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xas-my.sharepoint.com/personal/shashwati_dacunha_austin_utexas_edu/Documents/RCL Experimental/LCA TEA for CO2R/Non-aqueous/Submission materials (draft)/"/>
    </mc:Choice>
  </mc:AlternateContent>
  <xr:revisionPtr revIDLastSave="2601" documentId="8_{31750E0B-A732-4503-8EA8-2753BAB2D178}" xr6:coauthVersionLast="47" xr6:coauthVersionMax="47" xr10:uidLastSave="{5AC1A62F-5116-4D57-8A12-81930A0EC8A9}"/>
  <bookViews>
    <workbookView xWindow="-120" yWindow="-120" windowWidth="29040" windowHeight="15720" firstSheet="1" activeTab="6" xr2:uid="{A43CA30C-0C57-4CA9-B7DA-D833452F41BC}"/>
  </bookViews>
  <sheets>
    <sheet name="Constants and assumptions" sheetId="2" r:id="rId1"/>
    <sheet name="Products" sheetId="7" r:id="rId2"/>
    <sheet name="Solvents" sheetId="9" r:id="rId3"/>
    <sheet name="Supporting electrolytes" sheetId="10" r:id="rId4"/>
    <sheet name="Utilities" sheetId="3" r:id="rId5"/>
    <sheet name="Debye-Huckel-Onsager" sheetId="11" r:id="rId6"/>
    <sheet name="Literature conductivity data" sheetId="12" r:id="rId7"/>
  </sheets>
  <externalReferences>
    <externalReference r:id="rId8"/>
  </externalReferences>
  <definedNames>
    <definedName name="CO2_elec">Utilities!$C$11</definedName>
    <definedName name="CO2_heat">Utilities!$C$12</definedName>
    <definedName name="cost_elec">Utilities!$B$11</definedName>
    <definedName name="cost_heat">Utilities!$B$12</definedName>
    <definedName name="crossover_acid">'Constants and assumptions'!#REF!</definedName>
    <definedName name="crossover_alkaline">'Constants and assumptions'!#REF!</definedName>
    <definedName name="crossover_neutral">'Constants and assumptions'!$C$9</definedName>
    <definedName name="F">'Constants and assumptions'!$C$17</definedName>
    <definedName name="K_to_C">'Constants and assumptions'!$C$37</definedName>
    <definedName name="kJ_per_kWh">'Constants and assumptions'!$C$38</definedName>
    <definedName name="kJ_per_mmBtu">'Constants and assumptions'!$C$39</definedName>
    <definedName name="kWh_per_mmBtu">'Constants and assumptions'!$C$40</definedName>
    <definedName name="mol_s_per_mA">#REF!</definedName>
    <definedName name="mol_s_per_sccm">#REF!</definedName>
    <definedName name="MW_CO">Products!$C$3</definedName>
    <definedName name="P">'Constants and assumptions'!$C$23</definedName>
    <definedName name="R_">'Constants and assumptions'!$C$18</definedName>
    <definedName name="separation_efficiency">'Constants and assumptions'!$C$13</definedName>
    <definedName name="T">'Constants and assumptions'!$C$36</definedName>
    <definedName name="T_sep">'Constants and assumptions'!$C$35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2" l="1"/>
  <c r="D15" i="12"/>
  <c r="I15" i="12"/>
  <c r="N15" i="12"/>
  <c r="R15" i="12"/>
  <c r="S15" i="12"/>
  <c r="C16" i="12"/>
  <c r="D16" i="12"/>
  <c r="H16" i="12"/>
  <c r="I16" i="12"/>
  <c r="M16" i="12"/>
  <c r="N16" i="12"/>
  <c r="R16" i="12"/>
  <c r="S16" i="12"/>
  <c r="C17" i="12"/>
  <c r="D17" i="12"/>
  <c r="H17" i="12"/>
  <c r="I17" i="12"/>
  <c r="M17" i="12"/>
  <c r="N17" i="12"/>
  <c r="R17" i="12"/>
  <c r="S17" i="12"/>
  <c r="C18" i="12"/>
  <c r="D18" i="12"/>
  <c r="H18" i="12"/>
  <c r="I18" i="12"/>
  <c r="M18" i="12"/>
  <c r="N18" i="12"/>
  <c r="R18" i="12"/>
  <c r="S18" i="12"/>
  <c r="C19" i="12"/>
  <c r="D19" i="12"/>
  <c r="H19" i="12"/>
  <c r="I19" i="12"/>
  <c r="M19" i="12"/>
  <c r="N19" i="12"/>
  <c r="R19" i="12"/>
  <c r="S19" i="12"/>
  <c r="C20" i="12"/>
  <c r="D20" i="12"/>
  <c r="H20" i="12"/>
  <c r="I20" i="12"/>
  <c r="M20" i="12"/>
  <c r="N20" i="12"/>
  <c r="R20" i="12"/>
  <c r="S20" i="12"/>
  <c r="C21" i="12"/>
  <c r="D21" i="12"/>
  <c r="H21" i="12"/>
  <c r="I21" i="12"/>
  <c r="M21" i="12"/>
  <c r="N21" i="12"/>
  <c r="R21" i="12"/>
  <c r="S21" i="12"/>
  <c r="C22" i="12"/>
  <c r="D22" i="12"/>
  <c r="H22" i="12"/>
  <c r="I22" i="12"/>
  <c r="M22" i="12"/>
  <c r="N22" i="12"/>
  <c r="R22" i="12"/>
  <c r="S22" i="12"/>
  <c r="C23" i="12"/>
  <c r="D23" i="12"/>
  <c r="H23" i="12"/>
  <c r="I23" i="12"/>
  <c r="M23" i="12"/>
  <c r="N23" i="12"/>
  <c r="R23" i="12"/>
  <c r="S23" i="12"/>
  <c r="H24" i="12"/>
  <c r="I24" i="12"/>
  <c r="M24" i="12"/>
  <c r="N24" i="12"/>
  <c r="R24" i="12"/>
  <c r="S24" i="12"/>
  <c r="H25" i="12"/>
  <c r="I25" i="12"/>
  <c r="R25" i="12"/>
  <c r="S25" i="12"/>
  <c r="H26" i="12"/>
  <c r="I26" i="12"/>
  <c r="R26" i="12"/>
  <c r="S26" i="12"/>
  <c r="H27" i="12"/>
  <c r="I27" i="12"/>
  <c r="R27" i="12"/>
  <c r="S27" i="12"/>
  <c r="H28" i="12"/>
  <c r="I28" i="12"/>
  <c r="R28" i="12"/>
  <c r="S28" i="12"/>
  <c r="R29" i="12"/>
  <c r="S29" i="12"/>
  <c r="D30" i="12"/>
  <c r="B3" i="12" s="1"/>
  <c r="I30" i="12"/>
  <c r="C3" i="12" s="1"/>
  <c r="N30" i="12"/>
  <c r="D3" i="12" s="1"/>
  <c r="S30" i="12"/>
  <c r="E3" i="12" s="1"/>
  <c r="C32" i="12"/>
  <c r="D32" i="12"/>
  <c r="H32" i="12"/>
  <c r="I32" i="12"/>
  <c r="M32" i="12"/>
  <c r="N32" i="12"/>
  <c r="R32" i="12"/>
  <c r="S32" i="12"/>
  <c r="C33" i="12"/>
  <c r="D33" i="12"/>
  <c r="H33" i="12"/>
  <c r="I33" i="12"/>
  <c r="M33" i="12"/>
  <c r="N33" i="12"/>
  <c r="R33" i="12"/>
  <c r="S33" i="12"/>
  <c r="C34" i="12"/>
  <c r="D34" i="12"/>
  <c r="H34" i="12"/>
  <c r="I34" i="12"/>
  <c r="M34" i="12"/>
  <c r="N34" i="12"/>
  <c r="R34" i="12"/>
  <c r="S34" i="12"/>
  <c r="C35" i="12"/>
  <c r="D35" i="12"/>
  <c r="H35" i="12"/>
  <c r="I35" i="12"/>
  <c r="M35" i="12"/>
  <c r="N35" i="12"/>
  <c r="R35" i="12"/>
  <c r="S35" i="12"/>
  <c r="C36" i="12"/>
  <c r="D36" i="12"/>
  <c r="I36" i="12"/>
  <c r="M36" i="12"/>
  <c r="N36" i="12"/>
  <c r="R36" i="12"/>
  <c r="S36" i="12"/>
  <c r="C37" i="12"/>
  <c r="D37" i="12"/>
  <c r="M37" i="12"/>
  <c r="N37" i="12"/>
  <c r="R37" i="12"/>
  <c r="S37" i="12"/>
  <c r="C38" i="12"/>
  <c r="D38" i="12"/>
  <c r="M38" i="12"/>
  <c r="N38" i="12"/>
  <c r="R38" i="12"/>
  <c r="S38" i="12"/>
  <c r="C39" i="12"/>
  <c r="D39" i="12"/>
  <c r="N39" i="12"/>
  <c r="R39" i="12"/>
  <c r="S39" i="12"/>
  <c r="C40" i="12"/>
  <c r="D40" i="12"/>
  <c r="R40" i="12"/>
  <c r="S40" i="12"/>
  <c r="D41" i="12"/>
  <c r="D42" i="12"/>
  <c r="B4" i="12" s="1"/>
  <c r="I42" i="12"/>
  <c r="C4" i="12" s="1"/>
  <c r="N42" i="12"/>
  <c r="D4" i="12" s="1"/>
  <c r="S42" i="12"/>
  <c r="E4" i="12" s="1"/>
  <c r="C44" i="12"/>
  <c r="D44" i="12"/>
  <c r="I44" i="12"/>
  <c r="N44" i="12"/>
  <c r="R44" i="12"/>
  <c r="S44" i="12"/>
  <c r="C45" i="12"/>
  <c r="D45" i="12"/>
  <c r="H45" i="12"/>
  <c r="N45" i="12"/>
  <c r="R45" i="12"/>
  <c r="S45" i="12"/>
  <c r="C46" i="12"/>
  <c r="D46" i="12"/>
  <c r="H46" i="12"/>
  <c r="N46" i="12"/>
  <c r="R46" i="12"/>
  <c r="S46" i="12"/>
  <c r="H47" i="12"/>
  <c r="M47" i="12"/>
  <c r="N47" i="12"/>
  <c r="R47" i="12"/>
  <c r="S47" i="12"/>
  <c r="H48" i="12"/>
  <c r="R48" i="12"/>
  <c r="S48" i="12"/>
  <c r="H49" i="12"/>
  <c r="R49" i="12"/>
  <c r="S49" i="12"/>
  <c r="H50" i="12"/>
  <c r="R50" i="12"/>
  <c r="S50" i="12"/>
  <c r="R51" i="12"/>
  <c r="S51" i="12"/>
  <c r="R52" i="12"/>
  <c r="S52" i="12"/>
  <c r="R53" i="12"/>
  <c r="S53" i="12"/>
  <c r="D54" i="12"/>
  <c r="B5" i="12" s="1"/>
  <c r="I54" i="12"/>
  <c r="C5" i="12" s="1"/>
  <c r="N54" i="12"/>
  <c r="D5" i="12" s="1"/>
  <c r="S54" i="12"/>
  <c r="E5" i="12" s="1"/>
  <c r="C56" i="12"/>
  <c r="D56" i="12"/>
  <c r="H56" i="12"/>
  <c r="I56" i="12"/>
  <c r="M56" i="12"/>
  <c r="R56" i="12"/>
  <c r="S56" i="12"/>
  <c r="C57" i="12"/>
  <c r="D57" i="12"/>
  <c r="H57" i="12"/>
  <c r="I57" i="12"/>
  <c r="M57" i="12"/>
  <c r="R57" i="12"/>
  <c r="S57" i="12"/>
  <c r="C58" i="12"/>
  <c r="D58" i="12"/>
  <c r="H58" i="12"/>
  <c r="I58" i="12"/>
  <c r="M58" i="12"/>
  <c r="R58" i="12"/>
  <c r="S58" i="12"/>
  <c r="C59" i="12"/>
  <c r="D59" i="12"/>
  <c r="H59" i="12"/>
  <c r="I59" i="12"/>
  <c r="M59" i="12"/>
  <c r="R59" i="12"/>
  <c r="S59" i="12"/>
  <c r="C60" i="12"/>
  <c r="D60" i="12"/>
  <c r="H60" i="12"/>
  <c r="I60" i="12"/>
  <c r="C61" i="12"/>
  <c r="D61" i="12"/>
  <c r="C62" i="12"/>
  <c r="D62" i="12"/>
  <c r="C63" i="12"/>
  <c r="D63" i="12"/>
  <c r="C64" i="12"/>
  <c r="D64" i="12"/>
  <c r="D65" i="12"/>
  <c r="B6" i="12" s="1"/>
  <c r="I65" i="12"/>
  <c r="C6" i="12" s="1"/>
  <c r="N65" i="12"/>
  <c r="D6" i="12" s="1"/>
  <c r="S65" i="12"/>
  <c r="E6" i="12" s="1"/>
  <c r="E23" i="11"/>
  <c r="J23" i="11"/>
  <c r="O23" i="11"/>
  <c r="T23" i="11"/>
  <c r="E36" i="11"/>
  <c r="J36" i="11"/>
  <c r="O36" i="11"/>
  <c r="T36" i="11"/>
  <c r="E49" i="11"/>
  <c r="J49" i="11"/>
  <c r="O49" i="11"/>
  <c r="T49" i="11"/>
  <c r="E62" i="11"/>
  <c r="J62" i="11"/>
  <c r="O62" i="11"/>
  <c r="T62" i="11"/>
  <c r="C75" i="11"/>
  <c r="F75" i="11" s="1"/>
  <c r="E75" i="11"/>
  <c r="C76" i="11"/>
  <c r="F76" i="11" s="1"/>
  <c r="E76" i="11"/>
  <c r="C77" i="11"/>
  <c r="F77" i="11" s="1"/>
  <c r="E77" i="11"/>
  <c r="C78" i="11"/>
  <c r="F78" i="11" s="1"/>
  <c r="E78" i="11"/>
  <c r="U47" i="11" l="1"/>
  <c r="T54" i="11" s="1"/>
  <c r="U54" i="11" s="1"/>
  <c r="U60" i="11"/>
  <c r="I5" i="12"/>
  <c r="T64" i="11"/>
  <c r="U64" i="11" s="1"/>
  <c r="J4" i="12"/>
  <c r="I4" i="12"/>
  <c r="H4" i="12"/>
  <c r="I3" i="12"/>
  <c r="H3" i="12"/>
  <c r="J3" i="12"/>
  <c r="J7" i="12" s="1"/>
  <c r="P47" i="11"/>
  <c r="O52" i="11" s="1"/>
  <c r="P52" i="11" s="1"/>
  <c r="P60" i="11"/>
  <c r="O64" i="11" s="1"/>
  <c r="P64" i="11" s="1"/>
  <c r="N56" i="12" s="1"/>
  <c r="U21" i="11"/>
  <c r="T29" i="11" s="1"/>
  <c r="U29" i="11" s="1"/>
  <c r="F7" i="11" s="1"/>
  <c r="J5" i="12"/>
  <c r="I6" i="12"/>
  <c r="H5" i="12"/>
  <c r="J6" i="12"/>
  <c r="H6" i="12"/>
  <c r="P34" i="11"/>
  <c r="T69" i="11"/>
  <c r="U69" i="11" s="1"/>
  <c r="T70" i="11"/>
  <c r="U70" i="11" s="1"/>
  <c r="P21" i="11"/>
  <c r="F21" i="11"/>
  <c r="E31" i="11" s="1"/>
  <c r="F31" i="11" s="1"/>
  <c r="U34" i="11"/>
  <c r="T39" i="11" s="1"/>
  <c r="U39" i="11" s="1"/>
  <c r="K60" i="11"/>
  <c r="K47" i="11"/>
  <c r="K34" i="11"/>
  <c r="J38" i="11" s="1"/>
  <c r="K38" i="11" s="1"/>
  <c r="K21" i="11"/>
  <c r="F60" i="11"/>
  <c r="E64" i="11" s="1"/>
  <c r="F64" i="11" s="1"/>
  <c r="F47" i="11"/>
  <c r="E54" i="11" s="1"/>
  <c r="F54" i="11" s="1"/>
  <c r="F34" i="11"/>
  <c r="E43" i="11" s="1"/>
  <c r="F43" i="11" s="1"/>
  <c r="E29" i="11"/>
  <c r="F29" i="11" s="1"/>
  <c r="C7" i="11" s="1"/>
  <c r="E27" i="11"/>
  <c r="F27" i="11" s="1"/>
  <c r="T53" i="11"/>
  <c r="U53" i="11" s="1"/>
  <c r="T27" i="11"/>
  <c r="U27" i="11" s="1"/>
  <c r="E70" i="11"/>
  <c r="F70" i="11" s="1"/>
  <c r="E42" i="11"/>
  <c r="F42" i="11" s="1"/>
  <c r="C8" i="11" s="1"/>
  <c r="T68" i="11"/>
  <c r="U68" i="11" s="1"/>
  <c r="F10" i="11" s="1"/>
  <c r="T67" i="11"/>
  <c r="U67" i="11" s="1"/>
  <c r="T66" i="11"/>
  <c r="U66" i="11" s="1"/>
  <c r="T65" i="11"/>
  <c r="U65" i="11" s="1"/>
  <c r="F4" i="7"/>
  <c r="B7" i="3"/>
  <c r="I4" i="7"/>
  <c r="I3" i="7"/>
  <c r="O54" i="11" l="1"/>
  <c r="P54" i="11" s="1"/>
  <c r="T43" i="11"/>
  <c r="U43" i="11" s="1"/>
  <c r="O66" i="11"/>
  <c r="P66" i="11" s="1"/>
  <c r="N58" i="12" s="1"/>
  <c r="O55" i="11"/>
  <c r="P55" i="11" s="1"/>
  <c r="E9" i="11" s="1"/>
  <c r="O70" i="11"/>
  <c r="P70" i="11" s="1"/>
  <c r="O51" i="11"/>
  <c r="P51" i="11" s="1"/>
  <c r="T26" i="11"/>
  <c r="U26" i="11" s="1"/>
  <c r="E25" i="11"/>
  <c r="F25" i="11" s="1"/>
  <c r="O65" i="11"/>
  <c r="P65" i="11" s="1"/>
  <c r="N57" i="12" s="1"/>
  <c r="O56" i="11"/>
  <c r="P56" i="11" s="1"/>
  <c r="T30" i="11"/>
  <c r="U30" i="11" s="1"/>
  <c r="T40" i="11"/>
  <c r="U40" i="11" s="1"/>
  <c r="O68" i="11"/>
  <c r="P68" i="11" s="1"/>
  <c r="E10" i="11" s="1"/>
  <c r="T25" i="11"/>
  <c r="U25" i="11" s="1"/>
  <c r="O53" i="11"/>
  <c r="P53" i="11" s="1"/>
  <c r="T31" i="11"/>
  <c r="U31" i="11" s="1"/>
  <c r="E26" i="11"/>
  <c r="F26" i="11" s="1"/>
  <c r="T41" i="11"/>
  <c r="U41" i="11" s="1"/>
  <c r="O69" i="11"/>
  <c r="P69" i="11" s="1"/>
  <c r="I8" i="12"/>
  <c r="T55" i="11"/>
  <c r="U55" i="11" s="1"/>
  <c r="F9" i="11" s="1"/>
  <c r="E40" i="11"/>
  <c r="F40" i="11" s="1"/>
  <c r="E30" i="11"/>
  <c r="F30" i="11" s="1"/>
  <c r="T56" i="11"/>
  <c r="U56" i="11" s="1"/>
  <c r="T57" i="11"/>
  <c r="U57" i="11" s="1"/>
  <c r="T51" i="11"/>
  <c r="U51" i="11" s="1"/>
  <c r="I7" i="11"/>
  <c r="T52" i="11"/>
  <c r="U52" i="11" s="1"/>
  <c r="J8" i="12"/>
  <c r="J9" i="12" s="1"/>
  <c r="T28" i="11"/>
  <c r="U28" i="11" s="1"/>
  <c r="O67" i="11"/>
  <c r="P67" i="11" s="1"/>
  <c r="N59" i="12" s="1"/>
  <c r="O57" i="11"/>
  <c r="P57" i="11" s="1"/>
  <c r="I7" i="12"/>
  <c r="T44" i="11"/>
  <c r="U44" i="11" s="1"/>
  <c r="H8" i="12"/>
  <c r="K10" i="11"/>
  <c r="H7" i="12"/>
  <c r="J27" i="11"/>
  <c r="K27" i="11" s="1"/>
  <c r="J28" i="11"/>
  <c r="K28" i="11" s="1"/>
  <c r="J29" i="11"/>
  <c r="K29" i="11" s="1"/>
  <c r="D7" i="11" s="1"/>
  <c r="J30" i="11"/>
  <c r="K30" i="11" s="1"/>
  <c r="J31" i="11"/>
  <c r="K31" i="11" s="1"/>
  <c r="J39" i="11"/>
  <c r="K39" i="11" s="1"/>
  <c r="J40" i="11"/>
  <c r="K40" i="11" s="1"/>
  <c r="J41" i="11"/>
  <c r="K41" i="11" s="1"/>
  <c r="J42" i="11"/>
  <c r="K42" i="11" s="1"/>
  <c r="D8" i="11" s="1"/>
  <c r="J43" i="11"/>
  <c r="K43" i="11" s="1"/>
  <c r="J44" i="11"/>
  <c r="K44" i="11" s="1"/>
  <c r="E44" i="11"/>
  <c r="F44" i="11" s="1"/>
  <c r="T42" i="11"/>
  <c r="U42" i="11" s="1"/>
  <c r="F8" i="11" s="1"/>
  <c r="I10" i="11" s="1"/>
  <c r="E55" i="11"/>
  <c r="F55" i="11" s="1"/>
  <c r="C9" i="11" s="1"/>
  <c r="J7" i="11" s="1"/>
  <c r="J51" i="11"/>
  <c r="K51" i="11" s="1"/>
  <c r="I45" i="12" s="1"/>
  <c r="J52" i="11"/>
  <c r="K52" i="11" s="1"/>
  <c r="I46" i="12" s="1"/>
  <c r="J53" i="11"/>
  <c r="K53" i="11" s="1"/>
  <c r="I47" i="12" s="1"/>
  <c r="J54" i="11"/>
  <c r="K54" i="11" s="1"/>
  <c r="I48" i="12" s="1"/>
  <c r="J55" i="11"/>
  <c r="K55" i="11" s="1"/>
  <c r="D9" i="11" s="1"/>
  <c r="J56" i="11"/>
  <c r="K56" i="11" s="1"/>
  <c r="I49" i="12" s="1"/>
  <c r="J57" i="11"/>
  <c r="K57" i="11" s="1"/>
  <c r="I50" i="12" s="1"/>
  <c r="T38" i="11"/>
  <c r="U38" i="11" s="1"/>
  <c r="J64" i="11"/>
  <c r="K64" i="11" s="1"/>
  <c r="J65" i="11"/>
  <c r="K65" i="11" s="1"/>
  <c r="J66" i="11"/>
  <c r="K66" i="11" s="1"/>
  <c r="J67" i="11"/>
  <c r="K67" i="11" s="1"/>
  <c r="J68" i="11"/>
  <c r="K68" i="11" s="1"/>
  <c r="D10" i="11" s="1"/>
  <c r="J69" i="11"/>
  <c r="K69" i="11" s="1"/>
  <c r="J70" i="11"/>
  <c r="K70" i="11" s="1"/>
  <c r="J26" i="11"/>
  <c r="K26" i="11" s="1"/>
  <c r="E57" i="11"/>
  <c r="F57" i="11" s="1"/>
  <c r="E39" i="11"/>
  <c r="F39" i="11" s="1"/>
  <c r="E65" i="11"/>
  <c r="F65" i="11" s="1"/>
  <c r="O42" i="11"/>
  <c r="P42" i="11" s="1"/>
  <c r="E8" i="11" s="1"/>
  <c r="O40" i="11"/>
  <c r="P40" i="11" s="1"/>
  <c r="O44" i="11"/>
  <c r="P44" i="11" s="1"/>
  <c r="O38" i="11"/>
  <c r="P38" i="11" s="1"/>
  <c r="O41" i="11"/>
  <c r="P41" i="11" s="1"/>
  <c r="O39" i="11"/>
  <c r="P39" i="11" s="1"/>
  <c r="O43" i="11"/>
  <c r="P43" i="11" s="1"/>
  <c r="J10" i="11"/>
  <c r="E28" i="11"/>
  <c r="F28" i="11" s="1"/>
  <c r="E66" i="11"/>
  <c r="F66" i="11" s="1"/>
  <c r="E41" i="11"/>
  <c r="F41" i="11" s="1"/>
  <c r="E67" i="11"/>
  <c r="F67" i="11" s="1"/>
  <c r="E51" i="11"/>
  <c r="F51" i="11" s="1"/>
  <c r="J25" i="11"/>
  <c r="K25" i="11" s="1"/>
  <c r="E38" i="11"/>
  <c r="F38" i="11" s="1"/>
  <c r="E53" i="11"/>
  <c r="F53" i="11" s="1"/>
  <c r="E52" i="11"/>
  <c r="F52" i="11" s="1"/>
  <c r="E56" i="11"/>
  <c r="F56" i="11" s="1"/>
  <c r="E68" i="11"/>
  <c r="F68" i="11" s="1"/>
  <c r="C10" i="11" s="1"/>
  <c r="K7" i="11" s="1"/>
  <c r="E69" i="11"/>
  <c r="F69" i="11" s="1"/>
  <c r="O25" i="11"/>
  <c r="P25" i="11" s="1"/>
  <c r="O31" i="11"/>
  <c r="P31" i="11" s="1"/>
  <c r="O29" i="11"/>
  <c r="P29" i="11" s="1"/>
  <c r="E7" i="11" s="1"/>
  <c r="K9" i="11" s="1"/>
  <c r="O26" i="11"/>
  <c r="P26" i="11" s="1"/>
  <c r="O28" i="11"/>
  <c r="P28" i="11" s="1"/>
  <c r="O30" i="11"/>
  <c r="P30" i="11" s="1"/>
  <c r="O27" i="11"/>
  <c r="P27" i="11" s="1"/>
  <c r="C8" i="2"/>
  <c r="I9" i="12" l="1"/>
  <c r="I8" i="11"/>
  <c r="I15" i="11" s="1"/>
  <c r="H9" i="12"/>
  <c r="I14" i="11"/>
  <c r="I16" i="11" s="1"/>
  <c r="K8" i="11"/>
  <c r="K14" i="11" s="1"/>
  <c r="J8" i="11"/>
  <c r="J14" i="11" s="1"/>
  <c r="J9" i="11"/>
  <c r="I9" i="11"/>
  <c r="I12" i="11" s="1"/>
  <c r="F3" i="9"/>
  <c r="H3" i="9" s="1"/>
  <c r="J5" i="9"/>
  <c r="I5" i="9"/>
  <c r="J2" i="9"/>
  <c r="J4" i="9"/>
  <c r="I4" i="9"/>
  <c r="J3" i="9"/>
  <c r="I3" i="9"/>
  <c r="I2" i="9"/>
  <c r="F5" i="9"/>
  <c r="H5" i="9" s="1"/>
  <c r="F4" i="9"/>
  <c r="H4" i="9" s="1"/>
  <c r="F2" i="9"/>
  <c r="H2" i="9" s="1"/>
  <c r="C7" i="2" s="1"/>
  <c r="J4" i="7"/>
  <c r="C11" i="3"/>
  <c r="G3" i="7"/>
  <c r="J11" i="11" l="1"/>
  <c r="K11" i="11"/>
  <c r="K15" i="11"/>
  <c r="K16" i="11" s="1"/>
  <c r="J15" i="11"/>
  <c r="J16" i="11" s="1"/>
  <c r="I11" i="11"/>
  <c r="I13" i="11" s="1"/>
  <c r="J12" i="11"/>
  <c r="K12" i="11"/>
  <c r="K13" i="11" s="1"/>
  <c r="J13" i="11"/>
  <c r="C6" i="2"/>
  <c r="C14" i="2" l="1"/>
  <c r="C24" i="2"/>
  <c r="C34" i="2"/>
  <c r="C38" i="2"/>
  <c r="C39" i="2"/>
  <c r="B6" i="3"/>
  <c r="C40" i="2" l="1"/>
  <c r="B11" i="3"/>
  <c r="C2" i="7" l="1"/>
  <c r="C8" i="3" l="1"/>
  <c r="C12" i="3" l="1"/>
  <c r="B8" i="3" l="1"/>
  <c r="B1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tc={ADC85B62-F8B0-4820-A968-870FAF95942C}</author>
  </authors>
  <commentList>
    <comment ref="C3" authorId="0" shapeId="0" xr:uid="{ADC85B62-F8B0-4820-A968-870FAF95942C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Averaged from literature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tc={4BADFAB7-76AF-444F-91EF-5DC354E714D4}</author>
    <author>tc={70A0C8CB-3A8C-48E4-A4A0-92D06DADCA1C}</author>
    <author>tc={E6E48448-0E21-41A5-B06E-F65140C42E87}</author>
    <author>tc={D9B01A9E-9FFA-448D-A0A9-79E915973C3A}</author>
    <author>tc={8D2E08FD-BCF3-4A8C-9D9E-6747D93724EB}</author>
    <author>tc={9C7BA66E-4710-4766-B736-DAB2C4C5EA8C}</author>
    <author>tc={F0232A46-C9BF-49E2-A4AA-DE559C7A6D71}</author>
    <author>tc={7273D210-4D64-44E6-BE25-BA65E8FE5FAE}</author>
    <author>tc={AFCEC81D-C29E-4742-9893-06690BE859BC}</author>
    <author>tc={38772031-2712-4E60-AF4C-BC7506EB126A}</author>
    <author>tc={19966830-0D20-46F0-AE3D-88797573DA5E}</author>
    <author>tc={61AD334A-127F-49E9-826D-132D83D54FFE}</author>
    <author>tc={D3F419E4-0AC2-42D8-AE74-03450151D28F}</author>
  </authors>
  <commentList>
    <comment ref="F2" authorId="0" shapeId="0" xr:uid="{4BADFAB7-76AF-444F-91EF-5DC354E714D4}">
      <text>
        <t>[Threaded comment]
Your version of Excel allows you to read this threaded comment; however, any edits to it will get removed if the file is opened in a newer version of Excel. Learn more: https://go.microsoft.com/fwlink/?linkid=870924
Comment:
    Engineering Toolbox, https://www.engineeringtoolbox.com/heating-values-fuel-gases-d_823.html</t>
      </text>
    </comment>
    <comment ref="F3" authorId="1" shapeId="0" xr:uid="{70A0C8CB-3A8C-48E4-A4A0-92D06DADCA1C}">
      <text>
        <t>[Threaded comment]
Your version of Excel allows you to read this threaded comment; however, any edits to it will get removed if the file is opened in a newer version of Excel. Learn more: https://go.microsoft.com/fwlink/?linkid=870924
Comment:
    Engineering Toolbox, https://www.engineeringtoolbox.com/heating-values-fuel-gases-d_823.html</t>
      </text>
    </comment>
    <comment ref="I3" authorId="2" shapeId="0" xr:uid="{E6E48448-0E21-41A5-B06E-F65140C42E87}">
      <text>
        <t>[Threaded comment]
Your version of Excel allows you to read this threaded comment; however, any edits to it will get removed if the file is opened in a newer version of Excel. Learn more: https://go.microsoft.com/fwlink/?linkid=870924
Comment:
    McGregor Resasco Nat Cat 2024 - TEA+ in DMSO over Ag</t>
      </text>
    </comment>
    <comment ref="J3" authorId="3" shapeId="0" xr:uid="{D9B01A9E-9FFA-448D-A0A9-79E915973C3A}">
      <text>
        <t>[Threaded comment]
Your version of Excel allows you to read this threaded comment; however, any edits to it will get removed if the file is opened in a newer version of Excel. Learn more: https://go.microsoft.com/fwlink/?linkid=870924
Comment:
    McGregor Resasco Nat Cat 2024 - TEA+ in DMSO over Ag</t>
      </text>
    </comment>
    <comment ref="K3" authorId="4" shapeId="0" xr:uid="{8D2E08FD-BCF3-4A8C-9D9E-6747D93724EB}">
      <text>
        <t>[Threaded comment]
Your version of Excel allows you to read this threaded comment; however, any edits to it will get removed if the file is opened in a newer version of Excel. Learn more: https://go.microsoft.com/fwlink/?linkid=870924
Comment:
    McGregor Resasco Nat Cat 2024 - TEA+ in DMSO over Ag</t>
      </text>
    </comment>
    <comment ref="L3" authorId="5" shapeId="0" xr:uid="{9C7BA66E-4710-4766-B736-DAB2C4C5EA8C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top 25 datapoints making CO</t>
      </text>
    </comment>
    <comment ref="N3" authorId="6" shapeId="0" xr:uid="{F0232A46-C9BF-49E2-A4AA-DE559C7A6D71}">
      <text>
        <t>[Threaded comment]
Your version of Excel allows you to read this threaded comment; however, any edits to it will get removed if the file is opened in a newer version of Excel. Learn more: https://go.microsoft.com/fwlink/?linkid=870924
Comment:
    In DMF</t>
      </text>
    </comment>
    <comment ref="F4" authorId="7" shapeId="0" xr:uid="{7273D210-4D64-44E6-BE25-BA65E8FE5FA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Heat of combustion. NIST Standard Reference Database Number 69. DOI: https://doi.org/10.18434/T4D303 </t>
      </text>
    </comment>
    <comment ref="I4" authorId="8" shapeId="0" xr:uid="{AFCEC81D-C29E-4742-9893-06690BE859BC}">
      <text>
        <t>[Threaded comment]
Your version of Excel allows you to read this threaded comment; however, any edits to it will get removed if the file is opened in a newer version of Excel. Learn more: https://go.microsoft.com/fwlink/?linkid=870924
Comment:
    Fischer Heitz J Appl Electrochem 1981 - 0.2 M TEACl in DMF over Pb</t>
      </text>
    </comment>
    <comment ref="J4" authorId="9" shapeId="0" xr:uid="{38772031-2712-4E60-AF4C-BC7506EB126A}">
      <text>
        <t>[Threaded comment]
Your version of Excel allows you to read this threaded comment; however, any edits to it will get removed if the file is opened in a newer version of Excel. Learn more: https://go.microsoft.com/fwlink/?linkid=870924
Comment:
    Gennaro Saveant J Chem Soc Faraday Trans 1996 - over Hg in ACN</t>
      </text>
    </comment>
    <comment ref="K4" authorId="10" shapeId="0" xr:uid="{19966830-0D20-46F0-AE3D-88797573DA5E}">
      <text>
        <t>[Threaded comment]
Your version of Excel allows you to read this threaded comment; however, any edits to it will get removed if the file is opened in a newer version of Excel. Learn more: https://go.microsoft.com/fwlink/?linkid=870924
Comment:
    Fischer Heitz J Applied Electrochem 1981
Reply:
    DMF, 0.2 M TEACl, Pb vs Al, undivided cell</t>
      </text>
    </comment>
    <comment ref="L4" authorId="11" shapeId="0" xr:uid="{61AD334A-127F-49E9-826D-132D83D54FFE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top 50 datapoints making any oxalates or OA</t>
      </text>
    </comment>
    <comment ref="N4" authorId="12" shapeId="0" xr:uid="{D3F419E4-0AC2-42D8-AE74-03450151D28F}">
      <text>
        <t>[Threaded comment]
Your version of Excel allows you to read this threaded comment; however, any edits to it will get removed if the file is opened in a newer version of Excel. Learn more: https://go.microsoft.com/fwlink/?linkid=870924
Comment:
    In DMSO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tc={E5AC3F3D-5F46-4C07-9B89-304D65BB0E75}</author>
    <author>tc={ECC5778C-B306-4101-9455-D2B811F9E1B3}</author>
    <author>tc={F67C249D-9E0C-448B-A8C7-01734972A047}</author>
    <author>tc={1A47F35F-C8C5-428F-B841-B07DB6CB6586}</author>
    <author>tc={1F00EE09-7981-4B53-A2FE-8E9564200CBF}</author>
    <author>tc={CCFAFA67-1AB3-4E10-B472-4734839B5FB8}</author>
    <author>tc={7E768D53-988A-46AE-8800-331D2B19C4CA}</author>
    <author>tc={F72D791D-203F-48D2-BBE6-FB8C410089E4}</author>
    <author>tc={46705330-D6EB-4863-A1A8-B104F2E8D6B3}</author>
    <author>tc={168996AD-382A-4647-91D8-9337C1109D7E}</author>
    <author>tc={64FBC311-9AC9-4A86-9F4C-B513D1E820CD}</author>
    <author>tc={03642210-2394-46F4-A4C6-05E5974668C8}</author>
    <author>tc={44C8D15E-D18E-42F7-B8B2-A65CC53CBB8C}</author>
    <author>tc={8C14FDD1-22B7-4F70-B01E-C665917CE3E4}</author>
    <author>tc={0182AE5B-5F63-4940-956C-D441191E1036}</author>
    <author>tc={CD81BE3F-D774-4E87-9142-820CB945B9AE}</author>
    <author>tc={DD06A995-3E0B-473D-8CCE-79C9FDD92985}</author>
    <author>tc={BF97B819-C241-44FC-AA8D-937FDD0CF315}</author>
    <author>tc={24A6F79D-F1B1-486E-8E16-0DF2EB3ECD76}</author>
    <author>tc={3E35980D-20DB-4345-B9FE-BEA0317F7EBB}</author>
    <author>tc={A557D283-8D16-4ED2-AC97-8D87D241B088}</author>
    <author>tc={1983A994-3FCC-4917-A080-32AC954B27A3}</author>
    <author>tc={F163D6D5-0931-443B-A93F-1C0E825E55FE}</author>
    <author>tc={5EA6F35C-447A-4F92-B17C-594D64D62197}</author>
    <author>tc={918158CC-13D0-4406-9FA6-83AE98F2FB61}</author>
    <author>tc={5D6620EE-D7DA-4BD1-9DEC-F1DFA3B16F63}</author>
    <author>tc={7EC05627-69D0-4FD7-BD41-0D34F6398A4A}</author>
    <author>tc={86D5D7AE-BF34-4CC2-BAB5-EB71EAF53309}</author>
    <author>tc={3A5F5CB1-C285-495B-87E8-AE2A789DD37B}</author>
    <author>tc={4E6C45D9-A547-4A85-8E31-46455E39B2F7}</author>
    <author>tc={C9E7B65A-8DF8-424A-AFB0-85F34FB8C5A3}</author>
    <author>tc={699871B5-28D8-4F74-810A-11C06F2FFAC4}</author>
  </authors>
  <commentList>
    <comment ref="B2" authorId="0" shapeId="0" xr:uid="{E5AC3F3D-5F46-4C07-9B89-304D65BB0E75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2" authorId="1" shapeId="0" xr:uid="{ECC5778C-B306-4101-9455-D2B811F9E1B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https://www.intratec.us/chemical-markets/acetonitrile-price</t>
      </text>
    </comment>
    <comment ref="D2" authorId="2" shapeId="0" xr:uid="{F67C249D-9E0C-448B-A8C7-01734972A04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2" authorId="3" shapeId="0" xr:uid="{1A47F35F-C8C5-428F-B841-B07DB6CB658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2" authorId="4" shapeId="0" xr:uid="{1F00EE09-7981-4B53-A2FE-8E9564200CBF}">
      <text>
        <t>[Threaded comment]
Your version of Excel allows you to read this threaded comment; however, any edits to it will get removed if the file is opened in a newer version of Excel. Learn more: https://go.microsoft.com/fwlink/?linkid=870924
Comment:
    Gennaro, Vianello (J. Electroanal. Chem. And Interfacial Electrochem. 1990)
Reply:
    Hong, Hardacre (Ind. Eng. Chem. Res. 2006)</t>
      </text>
    </comment>
    <comment ref="I2" authorId="5" shapeId="0" xr:uid="{CCFAFA67-1AB3-4E10-B472-4734839B5FB8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2" authorId="6" shapeId="0" xr:uid="{7E768D53-988A-46AE-8800-331D2B19C4CA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2" authorId="7" shapeId="0" xr:uid="{F72D791D-203F-48D2-BBE6-FB8C410089E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3" authorId="8" shapeId="0" xr:uid="{46705330-D6EB-4863-A1A8-B104F2E8D6B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3" authorId="9" shapeId="0" xr:uid="{168996AD-382A-4647-91D8-9337C1109D7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https://www.imarcgroup.com/propylene-carbonate-pricing-report</t>
      </text>
    </comment>
    <comment ref="D3" authorId="10" shapeId="0" xr:uid="{64FBC311-9AC9-4A86-9F4C-B513D1E820CD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3" authorId="11" shapeId="0" xr:uid="{03642210-2394-46F4-A4C6-05E5974668C8}">
      <text>
        <t>[Threaded comment]
Your version of Excel allows you to read this threaded comment; however, any edits to it will get removed if the file is opened in a newer version of Excel. Learn more: https://go.microsoft.com/fwlink/?linkid=870924
Comment:
    Izutsu (Wiley, 2009, Table 1.1)</t>
      </text>
    </comment>
    <comment ref="F3" authorId="12" shapeId="0" xr:uid="{44C8D15E-D18E-42F7-B8B2-A65CC53CBB8C}">
      <text>
        <t>[Threaded comment]
Your version of Excel allows you to read this threaded comment; however, any edits to it will get removed if the file is opened in a newer version of Excel. Learn more: https://go.microsoft.com/fwlink/?linkid=870924
Comment:
    Murrieta-Guevara, Trejo (Fluid Phase Equilibria, 1988)</t>
      </text>
    </comment>
    <comment ref="I3" authorId="13" shapeId="0" xr:uid="{8C14FDD1-22B7-4F70-B01E-C665917CE3E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3" authorId="14" shapeId="0" xr:uid="{0182AE5B-5F63-4940-956C-D441191E103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3" authorId="15" shapeId="0" xr:uid="{CD81BE3F-D774-4E87-9142-820CB945B9AE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4" authorId="16" shapeId="0" xr:uid="{DD06A995-3E0B-473D-8CCE-79C9FDD92985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4" authorId="17" shapeId="0" xr:uid="{BF97B819-C241-44FC-AA8D-937FDD0CF3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https://www.imarcgroup.com/dimethyl-sulfoxide-pricing-report
</t>
      </text>
    </comment>
    <comment ref="D4" authorId="18" shapeId="0" xr:uid="{24A6F79D-F1B1-486E-8E16-0DF2EB3ECD7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4" authorId="19" shapeId="0" xr:uid="{3E35980D-20DB-4345-B9FE-BEA0317F7EBB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4" authorId="20" shapeId="0" xr:uid="{A557D283-8D16-4ED2-AC97-8D87D241B088}">
      <text>
        <t>[Threaded comment]
Your version of Excel allows you to read this threaded comment; however, any edits to it will get removed if the file is opened in a newer version of Excel. Learn more: https://go.microsoft.com/fwlink/?linkid=870924
Comment:
    Harifi-Mood (J. Chem. Thermo., 2020, Table 3)
Reply:
    Gennaro, Vianello (J. Electroanal. Chem. And Interfacial Electrochem. 1990)</t>
      </text>
    </comment>
    <comment ref="I4" authorId="21" shapeId="0" xr:uid="{1983A994-3FCC-4917-A080-32AC954B27A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4" authorId="22" shapeId="0" xr:uid="{F163D6D5-0931-443B-A93F-1C0E825E55FE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4" authorId="23" shapeId="0" xr:uid="{5EA6F35C-447A-4F92-B17C-594D64D6219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5" authorId="24" shapeId="0" xr:uid="{918158CC-13D0-4406-9FA6-83AE98F2FB61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5" authorId="25" shapeId="0" xr:uid="{5D6620EE-D7DA-4BD1-9DEC-F1DFA3B16F6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https://businessanalytiq.com/procurementanalytics/index/dimethylformamide-dmf-price-index/
Reply:
    https://www.procurementresource.com/resource-center/dmf-dimethylformamide-price-trends
Reply:
    Averaged the above roughly</t>
      </text>
    </comment>
    <comment ref="D5" authorId="26" shapeId="0" xr:uid="{7EC05627-69D0-4FD7-BD41-0D34F6398A4A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5" authorId="27" shapeId="0" xr:uid="{86D5D7AE-BF34-4CC2-BAB5-EB71EAF53309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5" authorId="28" shapeId="0" xr:uid="{3A5F5CB1-C285-495B-87E8-AE2A789DD37B}">
      <text>
        <t>[Threaded comment]
Your version of Excel allows you to read this threaded comment; however, any edits to it will get removed if the file is opened in a newer version of Excel. Learn more: https://go.microsoft.com/fwlink/?linkid=870924
Comment:
    Gennaro, Vianello (J. Electroanal. Chem. And Interfacial Electrochem. 1990)</t>
      </text>
    </comment>
    <comment ref="I5" authorId="29" shapeId="0" xr:uid="{4E6C45D9-A547-4A85-8E31-46455E39B2F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5" authorId="30" shapeId="0" xr:uid="{C9E7B65A-8DF8-424A-AFB0-85F34FB8C5A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5" authorId="31" shapeId="0" xr:uid="{699871B5-28D8-4F74-810A-11C06F2FFAC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tc={F83C0BB8-84EC-45BA-80EA-4951B1179FBB}</author>
    <author>tc={74B6622E-07F7-49C4-B7AE-2162C5960A05}</author>
    <author>tc={7AF5891A-4275-420C-88F9-1032CBD27BC0}</author>
    <author>tc={95329D8C-BDCA-4D7B-BD82-A5E421E1F79B}</author>
    <author>tc={30296810-9BEE-43D1-B25A-B06E81168087}</author>
    <author>tc={AD5AF100-2068-4853-81C2-6293560FBE0E}</author>
    <author>tc={06DC49BF-BD0D-4A1E-9D7C-F4CD7A74ADDA}</author>
    <author>tc={05D31B46-3245-4EFF-B2CE-3B7C8121D431}</author>
    <author>tc={C4985599-33C8-4E93-8703-17FD436F52AF}</author>
    <author>tc={0B06D91A-118B-41A8-AD45-D3B4DF00D6EB}</author>
    <author>tc={60A4D9F1-60FC-42E7-A9B7-52B81A0860EB}</author>
    <author>tc={20C26133-ECAA-4616-A30C-17E4EA0E1314}</author>
  </authors>
  <commentList>
    <comment ref="O22" authorId="0" shapeId="0" xr:uid="{F83C0BB8-84EC-45BA-80EA-4951B1179FBB}">
      <text>
        <t>[Threaded comment]
Your version of Excel allows you to read this threaded comment; however, any edits to it will get removed if the file is opened in a newer version of Excel. Learn more: https://go.microsoft.com/fwlink/?linkid=870924
Comment:
    Ue, M. Mobility and Ionic Association of Lithium and Quaternary Ammonium Salts in Propylene Carbonate and γ‐Butyrolactone. J. Electrochem. Soc. 1994, 141 (12), 3336–3342. https://doi.org/10.1149/1.2059336.</t>
      </text>
    </comment>
    <comment ref="O35" authorId="1" shapeId="0" xr:uid="{74B6622E-07F7-49C4-B7AE-2162C5960A05}">
      <text>
        <t>[Threaded comment]
Your version of Excel allows you to read this threaded comment; however, any edits to it will get removed if the file is opened in a newer version of Excel. Learn more: https://go.microsoft.com/fwlink/?linkid=870924
Comment:
    Ue, M. Mobility and Ionic Association of Lithium and Quaternary Ammonium Salts in Propylene Carbonate and γ‐Butyrolactone. J. Electrochem. Soc. 1994, 141 (12), 3336–3342. https://doi.org/10.1149/1.2059336.</t>
      </text>
    </comment>
    <comment ref="O48" authorId="2" shapeId="0" xr:uid="{7AF5891A-4275-420C-88F9-1032CBD27BC0}">
      <text>
        <t>[Threaded comment]
Your version of Excel allows you to read this threaded comment; however, any edits to it will get removed if the file is opened in a newer version of Excel. Learn more: https://go.microsoft.com/fwlink/?linkid=870924
Comment:
    Roy, M. N.; Banik, I.; Ekka, D. Physics and Chemistry of an Ionic Liquid in Some Industrially Important Solvent Media Probed by Physicochemical Techniques. The Journal of Chemical Thermodynamics 2013, 57, 230–237. https://doi.org/10.1016/j.jct.2012.09.003.
Reply:
    36.82 by splitting limiting molar conductance of NaBF4 in DMF (68.62) between Na+ (30.0, Izutsu) and BF4- (68.62 - 30 = 36.82) from Borun et al.
Boruń, A.; Bald, A. Conductometric Studies of Sodium Tetraphenylborate, Tetrabutylammonium Bromide, and Sodium Tetrafluoroborate in N , N -Dimethylformamide at Temperatures from (283.15 to 318.15) K. J. Chem. Eng. Data 2012, 57 (7), 2037–2043. https://doi.org/10.1021/je300252d.</t>
      </text>
    </comment>
    <comment ref="O61" authorId="3" shapeId="0" xr:uid="{95329D8C-BDCA-4D7B-BD82-A5E421E1F79B}">
      <text>
        <t>[Threaded comment]
Your version of Excel allows you to read this threaded comment; however, any edits to it will get removed if the file is opened in a newer version of Excel. Learn more: https://go.microsoft.com/fwlink/?linkid=870924
Comment:
    McDonagh, P. M.; Reardon, J. F. Ionic Association and Mobility IV. Ionophores in Dimethylsulfoxide at 25°C. Journal of Solution Chemistry 1998, 27 (7), 675–683. https://doi.org/10.1023/A:1022602109299.</t>
      </text>
    </comment>
    <comment ref="C75" authorId="4" shapeId="0" xr:uid="{30296810-9BEE-43D1-B25A-B06E8116808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Chemistry and Physics: A Ready-Reference Book of Chemical and Physical Data, 105th edition.; Rumble, J. R., Brunno, T. J., Doa, M. J., Eds.; CRC handbook of chemistry and physics / Chemical Rubber Company; CRC Press: Boca Raton London New York, 2024.</t>
      </text>
    </comment>
    <comment ref="D75" authorId="5" shapeId="0" xr:uid="{AD5AF100-2068-4853-81C2-6293560FBE0E}">
      <text>
        <t>[Threaded comment]
Your version of Excel allows you to read this threaded comment; however, any edits to it will get removed if the file is opened in a newer version of Excel. Learn more: https://go.microsoft.com/fwlink/?linkid=870924
Comment:
    Izutsu, K. Electrochemistry in Nonaqueous Solutions, 1st ed.; Wiley, 2009. https://doi.org/10.1002/9783527629152.
Table 1.1</t>
      </text>
    </comment>
    <comment ref="C76" authorId="6" shapeId="0" xr:uid="{06DC49BF-BD0D-4A1E-9D7C-F4CD7A74ADDA}">
      <text>
        <t>[Threaded comment]
Your version of Excel allows you to read this threaded comment; however, any edits to it will get removed if the file is opened in a newer version of Excel. Learn more: https://go.microsoft.com/fwlink/?linkid=870924
Comment:
    Izutsu, K. Electrochemistry in Nonaqueous Solutions, 1st ed.; Wiley, 2009. https://doi.org/10.1002/9783527629152.
Table 1.1</t>
      </text>
    </comment>
    <comment ref="D76" authorId="7" shapeId="0" xr:uid="{05D31B46-3245-4EFF-B2CE-3B7C8121D431}">
      <text>
        <t>[Threaded comment]
Your version of Excel allows you to read this threaded comment; however, any edits to it will get removed if the file is opened in a newer version of Excel. Learn more: https://go.microsoft.com/fwlink/?linkid=870924
Comment:
    Izutsu, K. Electrochemistry in Nonaqueous Solutions, 1st ed.; Wiley, 2009. https://doi.org/10.1002/9783527629152.
Table 1.1</t>
      </text>
    </comment>
    <comment ref="C77" authorId="8" shapeId="0" xr:uid="{C4985599-33C8-4E93-8703-17FD436F52AF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Chemistry and Physics: A Ready-Reference Book of Chemical and Physical Data, 105th edition.; Rumble, J. R., Brunno, T. J., Doa, M. J., Eds.; CRC handbook of chemistry and physics / Chemical Rubber Company; CRC Press: Boca Raton London New York, 2024.</t>
      </text>
    </comment>
    <comment ref="D77" authorId="9" shapeId="0" xr:uid="{0B06D91A-118B-41A8-AD45-D3B4DF00D6EB}">
      <text>
        <t>[Threaded comment]
Your version of Excel allows you to read this threaded comment; however, any edits to it will get removed if the file is opened in a newer version of Excel. Learn more: https://go.microsoft.com/fwlink/?linkid=870924
Comment:
    Izutsu, K. Electrochemistry in Nonaqueous Solutions, 1st ed.; Wiley, 2009. https://doi.org/10.1002/9783527629152.
Table 1.1</t>
      </text>
    </comment>
    <comment ref="C78" authorId="10" shapeId="0" xr:uid="{60A4D9F1-60FC-42E7-A9B7-52B81A0860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CRC Handbook of Chemistry and Physics: A Ready-Reference Book of Chemical and Physical Data, 105th edition.; Rumble, J. R., Brunno, T. J., Doa, M. J., Eds.; CRC handbook of chemistry and physics / Chemical Rubber Company; CRC Press: Boca Raton London New York, 2024.
Reply:
    Izutsu, K. Electrochemistry in Nonaqueous Solutions, 1st ed.; Wiley, 2009. https://doi.org/10.1002/9783527629152.
Table 1.1
</t>
      </text>
    </comment>
    <comment ref="D78" authorId="11" shapeId="0" xr:uid="{20C26133-ECAA-4616-A30C-17E4EA0E1314}">
      <text>
        <t>[Threaded comment]
Your version of Excel allows you to read this threaded comment; however, any edits to it will get removed if the file is opened in a newer version of Excel. Learn more: https://go.microsoft.com/fwlink/?linkid=870924
Comment:
    Izutsu, K. Electrochemistry in Nonaqueous Solutions, 1st ed.; Wiley, 2009. https://doi.org/10.1002/9783527629152.
Table 1.1</t>
      </text>
    </comment>
  </commentList>
</comments>
</file>

<file path=xl/sharedStrings.xml><?xml version="1.0" encoding="utf-8"?>
<sst xmlns="http://schemas.openxmlformats.org/spreadsheetml/2006/main" count="540" uniqueCount="274">
  <si>
    <t>Utility</t>
  </si>
  <si>
    <t>Electricity - current US mix</t>
  </si>
  <si>
    <t>Electricity - current California mix</t>
  </si>
  <si>
    <t>Heat - NG</t>
  </si>
  <si>
    <t>Cost ($/kWh)</t>
  </si>
  <si>
    <t>Electricity - solar</t>
  </si>
  <si>
    <t>Name</t>
  </si>
  <si>
    <t>Value</t>
  </si>
  <si>
    <t>Unit</t>
  </si>
  <si>
    <t>R</t>
  </si>
  <si>
    <t>J/mol.K</t>
  </si>
  <si>
    <t>F</t>
  </si>
  <si>
    <r>
      <t>C/mol e</t>
    </r>
    <r>
      <rPr>
        <vertAlign val="superscript"/>
        <sz val="11"/>
        <rFont val="Arial Nova"/>
        <family val="2"/>
      </rPr>
      <t>-</t>
    </r>
  </si>
  <si>
    <t>K</t>
  </si>
  <si>
    <t>P</t>
  </si>
  <si>
    <t>Pa</t>
  </si>
  <si>
    <r>
      <t>mol CO</t>
    </r>
    <r>
      <rPr>
        <vertAlign val="subscript"/>
        <sz val="11"/>
        <rFont val="Arial Nova"/>
        <family val="2"/>
      </rPr>
      <t>2</t>
    </r>
    <r>
      <rPr>
        <sz val="11"/>
        <rFont val="Arial Nova"/>
        <family val="2"/>
      </rPr>
      <t>/mol e</t>
    </r>
    <r>
      <rPr>
        <vertAlign val="superscript"/>
        <sz val="11"/>
        <rFont val="Arial Nova"/>
        <family val="2"/>
      </rPr>
      <t>-</t>
    </r>
  </si>
  <si>
    <t>V</t>
  </si>
  <si>
    <t>Weng, Weber (Energy Environ. Sci. 2019)</t>
  </si>
  <si>
    <t>Shin, Jiao (Nat. Sust. 2021)</t>
  </si>
  <si>
    <r>
      <t>mA/cm</t>
    </r>
    <r>
      <rPr>
        <vertAlign val="superscript"/>
        <sz val="11"/>
        <color theme="1"/>
        <rFont val="Arial Nova"/>
        <family val="2"/>
      </rPr>
      <t>2</t>
    </r>
  </si>
  <si>
    <r>
      <t>Ω.cm</t>
    </r>
    <r>
      <rPr>
        <vertAlign val="superscript"/>
        <sz val="11"/>
        <color theme="1"/>
        <rFont val="Arial Nova"/>
        <family val="2"/>
      </rPr>
      <t>2</t>
    </r>
  </si>
  <si>
    <t>Moore, Hahn (Joule 2023)</t>
  </si>
  <si>
    <t>References</t>
  </si>
  <si>
    <t>Electric utility chosen</t>
  </si>
  <si>
    <t>Heat utility chosen</t>
  </si>
  <si>
    <t>kJ/kWh</t>
  </si>
  <si>
    <t>kJ/mmBtu</t>
  </si>
  <si>
    <t>g/mol</t>
  </si>
  <si>
    <r>
      <t>CO</t>
    </r>
    <r>
      <rPr>
        <b/>
        <vertAlign val="subscript"/>
        <sz val="11"/>
        <color theme="1"/>
        <rFont val="Arial Nova"/>
        <family val="2"/>
      </rPr>
      <t>2</t>
    </r>
    <r>
      <rPr>
        <b/>
        <sz val="11"/>
        <color theme="1"/>
        <rFont val="Arial Nova"/>
        <family val="2"/>
      </rPr>
      <t xml:space="preserve"> emissions (g CO</t>
    </r>
    <r>
      <rPr>
        <b/>
        <vertAlign val="subscript"/>
        <sz val="11"/>
        <color theme="1"/>
        <rFont val="Arial Nova"/>
        <family val="2"/>
      </rPr>
      <t>2</t>
    </r>
    <r>
      <rPr>
        <b/>
        <sz val="11"/>
        <color theme="1"/>
        <rFont val="Arial Nova"/>
        <family val="2"/>
      </rPr>
      <t>/kWh)</t>
    </r>
  </si>
  <si>
    <t>kWh/mmBtu</t>
  </si>
  <si>
    <t>Variable name</t>
  </si>
  <si>
    <t>crossover_neutral</t>
  </si>
  <si>
    <t>an_E_eqm</t>
  </si>
  <si>
    <t>an_eta_ref</t>
  </si>
  <si>
    <t>an_Tafel_slope</t>
  </si>
  <si>
    <t>an_j_ref</t>
  </si>
  <si>
    <t>T_sep</t>
  </si>
  <si>
    <t>K_to_C</t>
  </si>
  <si>
    <t>kJ_per_kWh</t>
  </si>
  <si>
    <t>kWh_per_mmBtu</t>
  </si>
  <si>
    <t>kJ_per_mmBtu</t>
  </si>
  <si>
    <t>MW_CO2</t>
  </si>
  <si>
    <t>MW_H2O</t>
  </si>
  <si>
    <t>Shin, Jiao assumption</t>
  </si>
  <si>
    <t>MW_O2</t>
  </si>
  <si>
    <r>
      <t>kg/m</t>
    </r>
    <r>
      <rPr>
        <vertAlign val="superscript"/>
        <sz val="11"/>
        <rFont val="Arial Nova"/>
        <family val="2"/>
      </rPr>
      <t>3</t>
    </r>
  </si>
  <si>
    <t>CO</t>
  </si>
  <si>
    <t>Product</t>
  </si>
  <si>
    <t>Molecular weight (g/mol)</t>
  </si>
  <si>
    <t>LHV (kJ/kg product)</t>
  </si>
  <si>
    <t>Reference overpotential (V)</t>
  </si>
  <si>
    <t>Tafel slope (mV/dec)</t>
  </si>
  <si>
    <t>V vs RHE</t>
  </si>
  <si>
    <r>
      <t>H</t>
    </r>
    <r>
      <rPr>
        <vertAlign val="subscript"/>
        <sz val="11"/>
        <rFont val="Arial Nova"/>
        <family val="2"/>
      </rPr>
      <t>2</t>
    </r>
  </si>
  <si>
    <r>
      <t>n (mol e</t>
    </r>
    <r>
      <rPr>
        <b/>
        <vertAlign val="superscript"/>
        <sz val="11"/>
        <rFont val="Arial Nova"/>
        <family val="2"/>
      </rPr>
      <t>-</t>
    </r>
    <r>
      <rPr>
        <b/>
        <sz val="11"/>
        <rFont val="Arial Nova"/>
        <family val="2"/>
      </rPr>
      <t>/ mol product)</t>
    </r>
  </si>
  <si>
    <r>
      <t>z (mol CO</t>
    </r>
    <r>
      <rPr>
        <b/>
        <vertAlign val="subscript"/>
        <sz val="11"/>
        <rFont val="Arial Nova"/>
        <family val="2"/>
      </rPr>
      <t>2</t>
    </r>
    <r>
      <rPr>
        <b/>
        <sz val="11"/>
        <rFont val="Arial Nova"/>
        <family val="2"/>
      </rPr>
      <t>/ mol product)</t>
    </r>
  </si>
  <si>
    <r>
      <t>Reference current density (mA/cm</t>
    </r>
    <r>
      <rPr>
        <b/>
        <vertAlign val="superscript"/>
        <sz val="11"/>
        <rFont val="Arial Nova"/>
        <family val="2"/>
      </rPr>
      <t>2</t>
    </r>
    <r>
      <rPr>
        <b/>
        <sz val="11"/>
        <rFont val="Arial Nova"/>
        <family val="2"/>
      </rPr>
      <t>)</t>
    </r>
  </si>
  <si>
    <t>Standard potential, pH = 0 (V vs SHE)</t>
  </si>
  <si>
    <t>Phase</t>
  </si>
  <si>
    <t>gas</t>
  </si>
  <si>
    <t>-</t>
  </si>
  <si>
    <t>PSA_second_law_efficiency</t>
  </si>
  <si>
    <t>Cost ($/kg product)</t>
  </si>
  <si>
    <t>CO2_cost_USD_tCO2</t>
  </si>
  <si>
    <r>
      <t>$/t CO</t>
    </r>
    <r>
      <rPr>
        <vertAlign val="subscript"/>
        <sz val="11"/>
        <rFont val="Arial Nova"/>
        <family val="2"/>
      </rPr>
      <t>2</t>
    </r>
  </si>
  <si>
    <t>Battery storage</t>
  </si>
  <si>
    <r>
      <t>FE</t>
    </r>
    <r>
      <rPr>
        <b/>
        <vertAlign val="subscript"/>
        <sz val="11"/>
        <rFont val="Arial Nova"/>
        <family val="2"/>
      </rPr>
      <t>CO2R</t>
    </r>
    <r>
      <rPr>
        <b/>
        <sz val="11"/>
        <rFont val="Arial Nova"/>
        <family val="2"/>
      </rPr>
      <t xml:space="preserve"> at SPC = 0</t>
    </r>
  </si>
  <si>
    <t>MW_K2CO3</t>
  </si>
  <si>
    <t>excess_water_ratio</t>
  </si>
  <si>
    <t>cathode_outlet_humidity</t>
  </si>
  <si>
    <t>M</t>
  </si>
  <si>
    <t>Electricity - wind + storage</t>
  </si>
  <si>
    <t>Electricity - onshore wind</t>
  </si>
  <si>
    <t>carbon_capture_efficiency</t>
  </si>
  <si>
    <t>Brandl, Mac Dowell (Int. J. Greenhouse Gas Control 2021)</t>
  </si>
  <si>
    <t>Tafel slope: anode</t>
  </si>
  <si>
    <t>Equilibrium potential: OER</t>
  </si>
  <si>
    <t>Reference overpotential: OER</t>
  </si>
  <si>
    <t>Efficiency: carbon capture</t>
  </si>
  <si>
    <r>
      <t>Cost: CO</t>
    </r>
    <r>
      <rPr>
        <vertAlign val="subscript"/>
        <sz val="11"/>
        <rFont val="Arial Nova"/>
        <family val="2"/>
      </rPr>
      <t>2</t>
    </r>
  </si>
  <si>
    <r>
      <t>Molar mass: CO</t>
    </r>
    <r>
      <rPr>
        <vertAlign val="subscript"/>
        <sz val="11"/>
        <rFont val="Arial Nova"/>
        <family val="2"/>
      </rPr>
      <t>2</t>
    </r>
  </si>
  <si>
    <t>Crossover: neutral electrolyte</t>
  </si>
  <si>
    <t>Faraday's constant</t>
  </si>
  <si>
    <r>
      <t xml:space="preserve">Unit conversion: K to </t>
    </r>
    <r>
      <rPr>
        <sz val="11"/>
        <color theme="1"/>
        <rFont val="Calibri"/>
        <family val="2"/>
        <scheme val="minor"/>
      </rPr>
      <t>°C</t>
    </r>
  </si>
  <si>
    <t>Unit conversion: kWh to kJ</t>
  </si>
  <si>
    <t>Unit conversion: mmBtu to kJ</t>
  </si>
  <si>
    <t>Unit conversion: mmBtu to kWh</t>
  </si>
  <si>
    <r>
      <t>Molar mass: O</t>
    </r>
    <r>
      <rPr>
        <vertAlign val="subscript"/>
        <sz val="11"/>
        <rFont val="Arial Nova"/>
        <family val="2"/>
      </rPr>
      <t>2</t>
    </r>
  </si>
  <si>
    <t>Pressure</t>
  </si>
  <si>
    <r>
      <t>Molar mass: K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CO</t>
    </r>
    <r>
      <rPr>
        <vertAlign val="subscript"/>
        <sz val="11"/>
        <color theme="1"/>
        <rFont val="Arial Nova"/>
        <family val="2"/>
      </rPr>
      <t>3</t>
    </r>
  </si>
  <si>
    <t>Reference current density: OER</t>
  </si>
  <si>
    <t>Efficiency: separations (second-law)</t>
  </si>
  <si>
    <t>Temperature: separations</t>
  </si>
  <si>
    <t>Temperature: streams</t>
  </si>
  <si>
    <t>Cost: DI water</t>
  </si>
  <si>
    <t>Ratio: Water feed vs product rate</t>
  </si>
  <si>
    <t>Molar mass: water</t>
  </si>
  <si>
    <t>Ratio: Mole fraction of water in cathode outlet gas</t>
  </si>
  <si>
    <t>Process assumption: production basis</t>
  </si>
  <si>
    <t>product_rate_kg_day</t>
  </si>
  <si>
    <t>kg/day</t>
  </si>
  <si>
    <t>Process assumption: capacity factor</t>
  </si>
  <si>
    <t>capacity_factor</t>
  </si>
  <si>
    <t>Process assumption: plant lifetime</t>
  </si>
  <si>
    <t>lifetime_years</t>
  </si>
  <si>
    <t>years</t>
  </si>
  <si>
    <t>Process assumption: default battery capacity</t>
  </si>
  <si>
    <t>battery_capacity</t>
  </si>
  <si>
    <t>$/kg</t>
  </si>
  <si>
    <t>NREL 2021</t>
  </si>
  <si>
    <t>mol/s water per mol/s oxygen</t>
  </si>
  <si>
    <t>water_cost_USD_kg</t>
  </si>
  <si>
    <t>Seider et al 2017: $0.27/m3 for process water = $0.00027/kg</t>
  </si>
  <si>
    <t>Alerte, Sargent (ACS Sust. Chem. Eng. 2023): $14.5/tonne DI</t>
  </si>
  <si>
    <t>Cost: Electrolyzer</t>
  </si>
  <si>
    <t>electrolyzer_capex_USD_m2</t>
  </si>
  <si>
    <r>
      <t>$/m</t>
    </r>
    <r>
      <rPr>
        <vertAlign val="superscript"/>
        <sz val="11"/>
        <rFont val="Arial Nova"/>
        <family val="2"/>
      </rPr>
      <t>2</t>
    </r>
  </si>
  <si>
    <t>T_streams</t>
  </si>
  <si>
    <t>mV/dec</t>
  </si>
  <si>
    <t>Process assumption: stack lifetime</t>
  </si>
  <si>
    <t>stack_lifetime_years</t>
  </si>
  <si>
    <t>Average for power generation; assumes zero transportation cost but has some buffer since transport is $2-14/t CO2</t>
  </si>
  <si>
    <t>Baylin-Stern, Berghout (IEA, 2021)</t>
  </si>
  <si>
    <t>Badgett, Cortright (J. Cleaner Prod. 2022)</t>
  </si>
  <si>
    <t>Nitopi, Jaramillo (Chem. Rev. 2019)</t>
  </si>
  <si>
    <t>Bui, Weber (Chem. Rev. 2022)</t>
  </si>
  <si>
    <t>Lazard (April 2023); NREL (2021)</t>
  </si>
  <si>
    <t>Lazard (April 2023); GREET (2022)</t>
  </si>
  <si>
    <t>https://www.nrel.gov/analysis/life-cycle-assessment.html</t>
  </si>
  <si>
    <t>75th percentile, harmonized</t>
  </si>
  <si>
    <t>U.S. Energy Information Administration (April 2023) - industrial retail; GREET (2022)</t>
  </si>
  <si>
    <t>Henry Hub (via U.S. Energy Information Administration, April 2023); Chen, Allen (Procedia CIRP, 2019)</t>
  </si>
  <si>
    <t>Gas constant</t>
  </si>
  <si>
    <t>Electrolyzer assumption: Membrane ohmic resistance</t>
  </si>
  <si>
    <t>R_membrane_ohmcm2</t>
  </si>
  <si>
    <t>Electrolyzer assumption: Electrolyte thickness</t>
  </si>
  <si>
    <t>cm</t>
  </si>
  <si>
    <t>Hofsommer, Spurgeon (ACS Appl. Energy. Mat. 2023)</t>
  </si>
  <si>
    <t>electrolyte_thickness_cm</t>
  </si>
  <si>
    <t>Acetonitrile</t>
  </si>
  <si>
    <t>Nafion membrane</t>
  </si>
  <si>
    <t>liquid</t>
  </si>
  <si>
    <t>Density: aqueous solutions</t>
  </si>
  <si>
    <t>water_density_kg_m3</t>
  </si>
  <si>
    <t>Concentration: anolyte supporting electrolyte</t>
  </si>
  <si>
    <t>Concentration: catholyte supporting electrolyte</t>
  </si>
  <si>
    <t>catholyte_conc_M</t>
  </si>
  <si>
    <t>anolyte_conc_M</t>
  </si>
  <si>
    <t>Solvent</t>
  </si>
  <si>
    <t>Cost ($/kg solvent)</t>
  </si>
  <si>
    <t>Supporting electrolyte</t>
  </si>
  <si>
    <t>Viscosity (cP)</t>
  </si>
  <si>
    <t>Cost ($/kg supporting)</t>
  </si>
  <si>
    <t>Propylene carbonate</t>
  </si>
  <si>
    <t>DMSO</t>
  </si>
  <si>
    <t>Oxalic acid</t>
  </si>
  <si>
    <t>LL_second_law_efficiency</t>
  </si>
  <si>
    <r>
      <t>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 xml:space="preserve"> solubility, 10 bar (mol 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/ mol solvent)</t>
    </r>
  </si>
  <si>
    <t>Cost: PSA</t>
  </si>
  <si>
    <t>Cost: L/L</t>
  </si>
  <si>
    <t>PSA_capex_USD_1000m3_hr</t>
  </si>
  <si>
    <r>
      <t>$/(1000 m</t>
    </r>
    <r>
      <rPr>
        <vertAlign val="superscript"/>
        <sz val="11"/>
        <rFont val="Arial Nova"/>
        <family val="2"/>
      </rPr>
      <t>3</t>
    </r>
    <r>
      <rPr>
        <sz val="11"/>
        <rFont val="Arial Nova"/>
        <family val="2"/>
      </rPr>
      <t>/hr)</t>
    </r>
  </si>
  <si>
    <t>$/(1000 mol/hr)</t>
  </si>
  <si>
    <t>LL_capex_USD_1000mol_hr</t>
  </si>
  <si>
    <t>Ratio: Solvent feed vs product rate</t>
  </si>
  <si>
    <t>excess_solvent_ratio</t>
  </si>
  <si>
    <t>CEPCI 2021: 773.1
CEPCI 2024: ~800 (https://toweringskills.com/financial-analysis/cost-indices/)</t>
  </si>
  <si>
    <t>CEPCI 2020: 596.2
CEPCI 2024: ~800 (https://toweringskills.com/financial-analysis/cost-indices/)</t>
  </si>
  <si>
    <t>Chosen SPC, no tradeoff</t>
  </si>
  <si>
    <t>DMF</t>
  </si>
  <si>
    <r>
      <t>Density (kg/m</t>
    </r>
    <r>
      <rPr>
        <vertAlign val="superscript"/>
        <sz val="11"/>
        <rFont val="Arial Nova"/>
        <family val="2"/>
      </rPr>
      <t>3</t>
    </r>
    <r>
      <rPr>
        <sz val="11"/>
        <rFont val="Arial Nova"/>
        <family val="2"/>
      </rPr>
      <t>)</t>
    </r>
  </si>
  <si>
    <t>Business Analytiq, 2024 (accessed 2025)</t>
  </si>
  <si>
    <t>Gennaro, Saveant (J. Chem. Soc. Faraday Trans. 1996)</t>
  </si>
  <si>
    <t>Boiling point (K)</t>
  </si>
  <si>
    <t>Solubility in water</t>
  </si>
  <si>
    <t>Vapor pressure (Pa)</t>
  </si>
  <si>
    <t>Miscible</t>
  </si>
  <si>
    <r>
      <t>Henry's constant at 298K, 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 xml:space="preserve"> (mole fraction/atm)</t>
    </r>
  </si>
  <si>
    <t>Soluble</t>
  </si>
  <si>
    <t>0.175; very soluble</t>
  </si>
  <si>
    <t>Solvent loss fraction ((mol/s offgas)/ (mol/s solvent))</t>
  </si>
  <si>
    <t>TEACl</t>
  </si>
  <si>
    <t>TBAClO$_4$</t>
  </si>
  <si>
    <t>TEAClO$_4$</t>
  </si>
  <si>
    <t>TBABF$_4$</t>
  </si>
  <si>
    <t>Comments</t>
  </si>
  <si>
    <t>Base case assumes mol/h of acetonitrile; TEA corrects for other solvents
CEPCI 2004: 444.2
CEPCI 2024: ~800 (https://toweringskills.com/financial-analysis/cost-indices/)</t>
  </si>
  <si>
    <t>Need to maintain similar liquid volumetric flow rates on cathode and anode side to balance pressure</t>
  </si>
  <si>
    <t>Literature data (Supplementary Workbook 2)</t>
  </si>
  <si>
    <t>Average catholyte concentration</t>
  </si>
  <si>
    <t>See comments</t>
  </si>
  <si>
    <t>References 2a</t>
  </si>
  <si>
    <t>References 2b</t>
  </si>
  <si>
    <t>See References 2a and 2b columns</t>
  </si>
  <si>
    <t>CRC Handbook of Chem and Phys 105th Ed.</t>
  </si>
  <si>
    <t>Rantakyla (2004)</t>
  </si>
  <si>
    <t>Chemours (2024)</t>
  </si>
  <si>
    <t>Official Journal of the European Union (2018/931)</t>
  </si>
  <si>
    <t>George (Kirk-Othmer Encyclopedia 2001) adjusted by 1% inflation</t>
  </si>
  <si>
    <t>Henry's law</t>
  </si>
  <si>
    <t>Chen, Hallett (Green Chem. 2014);
Seo, Baldea (ACS Sustainable Chem. Eng. 2020)</t>
  </si>
  <si>
    <t>Conductivity in ACN, 0.3 M (S/cm)</t>
  </si>
  <si>
    <t>Conductivity factor relative to ACN</t>
  </si>
  <si>
    <t>mol/s solvent per mol/s product</t>
  </si>
  <si>
    <t>U.S. Energy Information Administration (2024) - industrial retail; GREET (2022)</t>
  </si>
  <si>
    <r>
      <t>Chosen total current density (mA/cm</t>
    </r>
    <r>
      <rPr>
        <b/>
        <vertAlign val="superscript"/>
        <sz val="11"/>
        <rFont val="Arial Nova"/>
        <family val="2"/>
      </rPr>
      <t>2</t>
    </r>
    <r>
      <rPr>
        <b/>
        <sz val="11"/>
        <rFont val="Arial Nova"/>
        <family val="2"/>
      </rPr>
      <t>)</t>
    </r>
  </si>
  <si>
    <t xml:space="preserve"> Nafion N117, 180 um</t>
  </si>
  <si>
    <t>PC</t>
  </si>
  <si>
    <t>ACN</t>
  </si>
  <si>
    <t>B</t>
  </si>
  <si>
    <t>A</t>
  </si>
  <si>
    <t>Relative permittivity</t>
  </si>
  <si>
    <t>Viscosity (P)</t>
  </si>
  <si>
    <t>Conductivity (S/cm)</t>
  </si>
  <si>
    <t>Molar conductivity (S cm2/mol)</t>
  </si>
  <si>
    <t>Concentration (M)</t>
  </si>
  <si>
    <t>Total</t>
  </si>
  <si>
    <t>St dev %</t>
  </si>
  <si>
    <t>St dev</t>
  </si>
  <si>
    <t>Average</t>
  </si>
  <si>
    <t>DMSO to ACN</t>
  </si>
  <si>
    <t>DMF to ACN</t>
  </si>
  <si>
    <t>PC to ACN</t>
  </si>
  <si>
    <t>Debye-Huckel-Onsager: Conductivity ratios by solvent at 0.3 M</t>
  </si>
  <si>
    <t>Debye-Huckel-Onsager: Conductivity at 0.3 M (S/cm)</t>
  </si>
  <si>
    <t>Izutsu, K. Electrochemistry in Nonaqueous Solutions, 1st ed.; Wiley, 2009. https://doi.org/10.1002/9783527629152.</t>
  </si>
  <si>
    <t>Unless marked otherwise in the cell comments, data is from Izutsu (Wiley, 2009, Table 7.4).</t>
  </si>
  <si>
    <r>
      <t>Equations are for 1-1 electrolytes with viscosity in P, concentration c in M, and limiting molar conductivity in S.cm</t>
    </r>
    <r>
      <rPr>
        <vertAlign val="super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/mol. These equations show deviations at the high concentrations typical in electrolysis and are primarily used to determine the relative conductivity between solvents.</t>
    </r>
  </si>
  <si>
    <r>
      <t>TBAClO</t>
    </r>
    <r>
      <rPr>
        <b/>
        <vertAlign val="subscript"/>
        <sz val="11"/>
        <color theme="1"/>
        <rFont val="Arial Nova"/>
        <family val="2"/>
      </rPr>
      <t>4</t>
    </r>
  </si>
  <si>
    <r>
      <t>TEAClO</t>
    </r>
    <r>
      <rPr>
        <b/>
        <vertAlign val="subscript"/>
        <sz val="11"/>
        <color theme="1"/>
        <rFont val="Arial Nova"/>
        <family val="2"/>
      </rPr>
      <t>4</t>
    </r>
  </si>
  <si>
    <r>
      <t>TBABF</t>
    </r>
    <r>
      <rPr>
        <b/>
        <vertAlign val="subscript"/>
        <sz val="11"/>
        <color theme="1"/>
        <rFont val="Arial Nova"/>
        <family val="2"/>
      </rPr>
      <t>4</t>
    </r>
  </si>
  <si>
    <r>
      <t>Average without TBABF</t>
    </r>
    <r>
      <rPr>
        <i/>
        <vertAlign val="subscript"/>
        <sz val="11"/>
        <color theme="1"/>
        <rFont val="Arial Nova"/>
        <family val="2"/>
      </rPr>
      <t>4</t>
    </r>
  </si>
  <si>
    <r>
      <t>TBABF</t>
    </r>
    <r>
      <rPr>
        <vertAlign val="subscript"/>
        <sz val="11"/>
        <color theme="1"/>
        <rFont val="Arial Nova"/>
        <family val="2"/>
      </rPr>
      <t>4</t>
    </r>
    <r>
      <rPr>
        <sz val="11"/>
        <color theme="1"/>
        <rFont val="Arial Nova"/>
        <family val="2"/>
      </rPr>
      <t xml:space="preserve"> does not follow the same trend as the other salts listed here. No results in the manuscript are reported for it. However, we use the average conductivity including it.</t>
    </r>
  </si>
  <si>
    <r>
      <t>St dev without TBABF</t>
    </r>
    <r>
      <rPr>
        <i/>
        <vertAlign val="subscript"/>
        <sz val="11"/>
        <color theme="1"/>
        <rFont val="Arial Nova"/>
        <family val="2"/>
      </rPr>
      <t>4</t>
    </r>
  </si>
  <si>
    <r>
      <t>St dev % without TBABF</t>
    </r>
    <r>
      <rPr>
        <i/>
        <vertAlign val="subscript"/>
        <sz val="11"/>
        <color theme="1"/>
        <rFont val="Arial Nova"/>
        <family val="2"/>
      </rPr>
      <t>4</t>
    </r>
  </si>
  <si>
    <r>
      <t>Limiting molar conductivity (S cm</t>
    </r>
    <r>
      <rPr>
        <vertAlign val="super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/mol)</t>
    </r>
  </si>
  <si>
    <r>
      <t>S (M</t>
    </r>
    <r>
      <rPr>
        <vertAlign val="superscript"/>
        <sz val="11"/>
        <color theme="1"/>
        <rFont val="Arial Nova"/>
        <family val="2"/>
      </rPr>
      <t>-1/2</t>
    </r>
    <r>
      <rPr>
        <sz val="11"/>
        <color theme="1"/>
        <rFont val="Arial Nova"/>
        <family val="2"/>
      </rPr>
      <t>)</t>
    </r>
  </si>
  <si>
    <r>
      <t>TBA</t>
    </r>
    <r>
      <rPr>
        <vertAlign val="superscript"/>
        <sz val="11"/>
        <color theme="1"/>
        <rFont val="Arial Nova"/>
        <family val="2"/>
      </rPr>
      <t>+</t>
    </r>
  </si>
  <si>
    <r>
      <t>TEA</t>
    </r>
    <r>
      <rPr>
        <vertAlign val="superscript"/>
        <sz val="11"/>
        <color theme="1"/>
        <rFont val="Arial Nova"/>
        <family val="2"/>
      </rPr>
      <t>+</t>
    </r>
  </si>
  <si>
    <r>
      <t>ClO</t>
    </r>
    <r>
      <rPr>
        <vertAlign val="subscript"/>
        <sz val="11"/>
        <color theme="1"/>
        <rFont val="Arial Nova"/>
        <family val="2"/>
      </rPr>
      <t>4</t>
    </r>
    <r>
      <rPr>
        <vertAlign val="superscript"/>
        <sz val="11"/>
        <color theme="1"/>
        <rFont val="Arial Nova"/>
        <family val="2"/>
      </rPr>
      <t>-</t>
    </r>
  </si>
  <si>
    <r>
      <t>BF</t>
    </r>
    <r>
      <rPr>
        <vertAlign val="subscript"/>
        <sz val="11"/>
        <color theme="1"/>
        <rFont val="Arial Nova"/>
        <family val="2"/>
      </rPr>
      <t>4</t>
    </r>
    <r>
      <rPr>
        <vertAlign val="superscript"/>
        <sz val="11"/>
        <color theme="1"/>
        <rFont val="Arial Nova"/>
        <family val="2"/>
      </rPr>
      <t>-</t>
    </r>
  </si>
  <si>
    <r>
      <t>Cl</t>
    </r>
    <r>
      <rPr>
        <vertAlign val="superscript"/>
        <sz val="11"/>
        <color theme="1"/>
        <rFont val="Arial Nova"/>
        <family val="2"/>
      </rPr>
      <t>-</t>
    </r>
  </si>
  <si>
    <r>
      <t>Equations are for 1-1 electrolytes with viscosity in P, concentration c in M, and limiting molar conductivity in S.cm</t>
    </r>
    <r>
      <rPr>
        <vertAlign val="super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/mol.</t>
    </r>
  </si>
  <si>
    <t>Linear fit</t>
  </si>
  <si>
    <t>Anand, H.; Verma, R. Viscometric and Conductometric Studies of Solvation Behaviour of Tetraalkylammonium Salts in the Binary Mixtures of Dimethylsulfoxide and Methanol at 298.15 K. Zeitschrift für Physikalische Chemie 2019, 233 (5), 737–753. https://doi.org/10.1515/zpch-2017-1015.</t>
  </si>
  <si>
    <t>Nakata, R.; Kakaiuchi, H.; Oki, H. Conductometric and Voltammetric Studies on the Interaction between Amino Acidato Complexes and Some Ions. The Japan Society for Analytical Chemistry 2002. https://doi.org/10.14891/analscisp.17icas.0.i945.0.</t>
  </si>
  <si>
    <t>Debye-Huckel-Onsager model</t>
  </si>
  <si>
    <t>Butler, J. N. Electrochemistry in Dimethyl Sulfoxide. Journal of Electroanalytical Chemistry and Interfacial Electrochemistry 1967, 14 (1), 89–116. https://doi.org/10.1016/0022-0728(67)80136-0.</t>
  </si>
  <si>
    <t>Polynomial fit</t>
  </si>
  <si>
    <t>Sears, P. G.; Wolford, R. K.; Dawson, L. R. Conductances of Some Acids, Bromides, and Picrates in Dimethylformamide at 25°C. J. Electrochem. Soc. 1956, 103 (11), 633. https://doi.org/10.1149/1.2430177.</t>
  </si>
  <si>
    <t>House, H. O.; Feng, E.; Peet, N. P. Comparison of Various Tetraalkylammonium Salts as Supporting Electrolytes in Organic Electrochemical Reactions. J. Org. Chem. 1971, 36 (16), 2371–2375. https://doi.org/10.1021/jo00815a038.</t>
  </si>
  <si>
    <t>Ue, M.; Ida, K.; Mori, S. Electrochemical Properties of Organic Liquid Electrolytes Based on Quaternary Onium Salts for Electrical Double‐Layer Capacitors. J. Electrochem. Soc. 1994, 141 (11), 2989–2996. https://doi.org/10.1149/1.2059270.</t>
  </si>
  <si>
    <t>Shinkle, A. A.; Pomaville, T. J.; Sleightholme, A. E. S.; Thompson, L. T.; Monroe, C. W. Solvents and Supporting Electrolytes for Vanadium Acetylacetonate Flow Batteries. Journal of Power Sources 2014, 248, 1299–1305. https://doi.org/10.1016/j.jpowsour.2013.10.034.</t>
  </si>
  <si>
    <t>Gong, K.; Fang, Q.; Gu, S.; Li, S. F. Y.; Yan, Y. Nonaqueous Redox-Flow Batteries: Organic Solvents, Supporting Electrolytes, and Redox Pairs. Energy Environ. Sci. 2015, 8 (12), 3515–3530. https://doi.org/10.1039/C5EE02341F.</t>
  </si>
  <si>
    <t>Salomon, M.; Plichta, E. J. Conductivities and Ion Association of 1:1 Electrolytes in Aprotic Solvents. Electrochimica Acta 1984, 29 (6), 731–735. https://doi.org/10.1016/0013-4686(84)80007-9.</t>
  </si>
  <si>
    <t>Ue, M.; Takeda, M.; Takehara, M.; Mori, S. Electrochemical Properties of Quaternary Ammonium Salts for Electrochemical Capacitors. J. Electrochem. Soc. 1997, 144 (8), 2684–2688. https://doi.org/10.1149/1.1837882.</t>
  </si>
  <si>
    <t>Dilo, Mavitidi, Casals Hung Magaly . CONDUCTIVIDAD DE SOLUCIONES DE Et4NBr EN SOLVENTES ORGÁNICOS APRÓTICOS DE MEDIANA A ALTA CONSTANTE DIELECTRICA A 298,15 K. Revista Cubana de Química [en linea]. 2010, XXII(2), 59-62. ISSN: 0258-5995.</t>
  </si>
  <si>
    <t>Chernozhuk, T.; Kalugin, O. Conductivity and Interparticle Interactions in the Solutions of 1-1 Electrolytes in Propylene Carbonate in the Wide Range of Temperatures. ChChT 2016, 10 (1), 9–18. https://doi.org/10.23939/chcht10.01.009.</t>
  </si>
  <si>
    <t>Mukherjee, L. M.; Boden, D. P. Equilibria in Propylene Carbonate. I. Viscosity and Conductance Studies of Some Lithium and Quaternary Ammonium Salts. J. Phys. Chem. 1969, 73 (11), 3965–3968. https://doi.org/10.1021/j100845a068.</t>
  </si>
  <si>
    <t>Dilo Hung Rev Cub Quim 2010 (TEABr)</t>
  </si>
  <si>
    <t>Anand, H.; Verma, R. Solvation of Some Tetraalkylammonium Salts Investigated Conductometrically and Viscometrically in Binary Mixtures of Acetonitrile + Methanol at 298.15 K. Zeitschrift für Physikalische Chemie 2016, 230 (12), 1759–1772. https://doi.org/10.1515/zpch-2015-0724.</t>
  </si>
  <si>
    <t>Das, B.; Saha, N. Electrical Conductances of Some Symmetrical Tetraalkylammonium Salts in Methanol, Acetonitrile, and Methanol (1) + Acetonitrile (2) Mixtures at 298.15 K. J. Chem. Eng. Data 2000, 45 (1), 2–5. https://doi.org/10.1021/je990142c.</t>
  </si>
  <si>
    <t>Kalugin, O. N.; Lukinova, E. V.; Novikov, D. O. Electrical Conductivity, Ion-Molecular and Interionic Interactions in Solutions of Some Tetraalkylammonium Salts in Acetonitrile: The Influence of the Ion and Temperature. Chemical Series 2019, No. 33. https://doi.org/10.26565/2220-637X-2019-33-02.</t>
  </si>
  <si>
    <t>Wypych-Stasiewicz, A.; Benko, J.; Vollărovă, O.; Bald, A. Conductance Studies of Et4NIO4, Et4NClO4, Bu4NI, Et4NI and the Limiting Ionic Conductance in Water+acetonitrile Mixtures at 298.15K. Journal of Molecular Liquids 2014, 190, 54–58. https://doi.org/10.1016/j.molliq.2013.10.023.</t>
  </si>
  <si>
    <t>Chloride and bromide have similar conductivity, see for example Izutsu (2009). 
Izutsu, K. Electrochemistry in Nonaqueous Solutions, 1st ed.; Wiley, 2009. https://doi.org/10.1002/9783527629152.</t>
  </si>
  <si>
    <t>Source</t>
  </si>
  <si>
    <t>DMSO to PC</t>
  </si>
  <si>
    <t>DMF to PC</t>
  </si>
  <si>
    <t>ACN to PC</t>
  </si>
  <si>
    <t>Quadratic or linear fit to literature data: Conductivity ratios by solvent at 0.3 M</t>
  </si>
  <si>
    <t>Quadratic or linear fit to literature data: Conductivity at 0.3 M (S/cm)</t>
  </si>
  <si>
    <t>From literature conductivity data and Debye-Huckel-Onsager relations, see corresponding sheets</t>
  </si>
  <si>
    <t>Not all data is available, especially at high concentrations.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</si>
</sst>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0"/>
    <numFmt numFmtId="165" formatCode="0.000"/>
    <numFmt numFmtId="166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b/>
      <vertAlign val="subscript"/>
      <sz val="11"/>
      <color theme="1"/>
      <name val="Arial Nova"/>
      <family val="2"/>
    </font>
    <font>
      <b/>
      <sz val="11"/>
      <name val="Arial Nova"/>
      <family val="2"/>
    </font>
    <font>
      <sz val="11"/>
      <name val="Arial Nova"/>
      <family val="2"/>
    </font>
    <font>
      <vertAlign val="superscript"/>
      <sz val="11"/>
      <name val="Arial Nova"/>
      <family val="2"/>
    </font>
    <font>
      <vertAlign val="subscript"/>
      <sz val="11"/>
      <name val="Arial Nova"/>
      <family val="2"/>
    </font>
    <font>
      <vertAlign val="superscript"/>
      <sz val="11"/>
      <color theme="1"/>
      <name val="Arial Nova"/>
      <family val="2"/>
    </font>
    <font>
      <vertAlign val="subscript"/>
      <sz val="11"/>
      <color theme="1"/>
      <name val="Arial Nova"/>
      <family val="2"/>
    </font>
    <font>
      <i/>
      <sz val="11"/>
      <color theme="1"/>
      <name val="Arial Nova"/>
      <family val="2"/>
    </font>
    <font>
      <u/>
      <sz val="11"/>
      <name val="Arial Nova"/>
      <family val="2"/>
    </font>
    <font>
      <b/>
      <vertAlign val="superscript"/>
      <sz val="11"/>
      <name val="Arial Nova"/>
      <family val="2"/>
    </font>
    <font>
      <b/>
      <vertAlign val="subscript"/>
      <sz val="11"/>
      <name val="Arial Nov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Arial Nova"/>
      <family val="2"/>
    </font>
    <font>
      <u/>
      <sz val="11"/>
      <color theme="10"/>
      <name val="Arial Nova"/>
      <family val="2"/>
    </font>
    <font>
      <sz val="11"/>
      <color rgb="FFFF0000"/>
      <name val="Arial Nova"/>
      <family val="2"/>
    </font>
    <font>
      <sz val="11"/>
      <color theme="0"/>
      <name val="Arial Nova"/>
      <family val="2"/>
    </font>
    <font>
      <i/>
      <vertAlign val="subscript"/>
      <sz val="11"/>
      <color theme="1"/>
      <name val="Arial Nova"/>
      <family val="2"/>
    </font>
    <font>
      <i/>
      <sz val="11"/>
      <name val="Arial Nov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91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1" fontId="7" fillId="0" borderId="0" xfId="0" applyNumberFormat="1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9" fontId="4" fillId="0" borderId="0" xfId="2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2" fontId="4" fillId="0" borderId="0" xfId="2" applyNumberFormat="1" applyFont="1" applyFill="1" applyBorder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" fontId="4" fillId="0" borderId="0" xfId="2" applyNumberFormat="1" applyFont="1" applyFill="1" applyBorder="1" applyAlignment="1">
      <alignment horizontal="center" vertical="center" wrapText="1"/>
    </xf>
    <xf numFmtId="0" fontId="12" fillId="0" borderId="0" xfId="0" applyFont="1"/>
    <xf numFmtId="2" fontId="4" fillId="0" borderId="0" xfId="0" applyNumberFormat="1" applyFont="1"/>
    <xf numFmtId="164" fontId="7" fillId="0" borderId="0" xfId="0" applyNumberFormat="1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5" fontId="4" fillId="0" borderId="0" xfId="1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quotePrefix="1" applyFont="1" applyAlignment="1">
      <alignment horizontal="center" vertical="center"/>
    </xf>
    <xf numFmtId="0" fontId="13" fillId="0" borderId="0" xfId="3" applyFont="1" applyAlignment="1">
      <alignment horizontal="center" vertical="center" wrapText="1"/>
    </xf>
    <xf numFmtId="0" fontId="7" fillId="0" borderId="0" xfId="0" applyFont="1"/>
    <xf numFmtId="165" fontId="4" fillId="0" borderId="0" xfId="0" applyNumberFormat="1" applyFont="1" applyAlignment="1">
      <alignment horizontal="center" vertical="center"/>
    </xf>
    <xf numFmtId="9" fontId="7" fillId="0" borderId="0" xfId="2" applyFont="1" applyFill="1" applyBorder="1" applyAlignment="1">
      <alignment horizontal="center" vertical="center" wrapText="1"/>
    </xf>
    <xf numFmtId="166" fontId="7" fillId="0" borderId="0" xfId="0" applyNumberFormat="1" applyFont="1" applyAlignment="1">
      <alignment horizontal="center" vertical="center" wrapText="1"/>
    </xf>
    <xf numFmtId="4" fontId="4" fillId="0" borderId="0" xfId="0" applyNumberFormat="1" applyFont="1"/>
    <xf numFmtId="165" fontId="4" fillId="0" borderId="0" xfId="0" applyNumberFormat="1" applyFont="1" applyAlignment="1">
      <alignment horizontal="left"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4" fillId="0" borderId="0" xfId="0" applyNumberFormat="1" applyFont="1" applyAlignment="1">
      <alignment vertical="center" wrapText="1"/>
    </xf>
    <xf numFmtId="165" fontId="3" fillId="3" borderId="0" xfId="0" applyNumberFormat="1" applyFont="1" applyFill="1" applyAlignment="1">
      <alignment horizontal="center" vertical="center" wrapText="1"/>
    </xf>
    <xf numFmtId="165" fontId="4" fillId="3" borderId="0" xfId="0" applyNumberFormat="1" applyFont="1" applyFill="1" applyAlignment="1">
      <alignment horizontal="center" vertical="center" wrapText="1"/>
    </xf>
    <xf numFmtId="165" fontId="7" fillId="3" borderId="0" xfId="0" applyNumberFormat="1" applyFont="1" applyFill="1" applyAlignment="1">
      <alignment horizontal="center" vertical="center" wrapText="1"/>
    </xf>
    <xf numFmtId="165" fontId="21" fillId="3" borderId="0" xfId="0" applyNumberFormat="1" applyFont="1" applyFill="1" applyAlignment="1">
      <alignment horizontal="center" vertical="center" wrapText="1"/>
    </xf>
    <xf numFmtId="165" fontId="7" fillId="5" borderId="0" xfId="0" applyNumberFormat="1" applyFont="1" applyFill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165" fontId="12" fillId="3" borderId="0" xfId="0" applyNumberFormat="1" applyFont="1" applyFill="1" applyAlignment="1">
      <alignment horizontal="center" vertical="center" wrapText="1"/>
    </xf>
    <xf numFmtId="165" fontId="12" fillId="0" borderId="0" xfId="0" applyNumberFormat="1" applyFont="1" applyAlignment="1">
      <alignment horizontal="center" vertical="center" wrapText="1"/>
    </xf>
    <xf numFmtId="10" fontId="12" fillId="0" borderId="0" xfId="2" applyNumberFormat="1" applyFont="1" applyAlignment="1">
      <alignment horizontal="center" vertical="center" wrapText="1"/>
    </xf>
    <xf numFmtId="165" fontId="12" fillId="4" borderId="0" xfId="0" applyNumberFormat="1" applyFont="1" applyFill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5" fontId="4" fillId="3" borderId="4" xfId="0" applyNumberFormat="1" applyFont="1" applyFill="1" applyBorder="1" applyAlignment="1">
      <alignment horizontal="center" vertical="center" wrapText="1"/>
    </xf>
    <xf numFmtId="165" fontId="3" fillId="3" borderId="4" xfId="0" applyNumberFormat="1" applyFont="1" applyFill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165" fontId="3" fillId="0" borderId="0" xfId="0" applyNumberFormat="1" applyFont="1" applyAlignment="1">
      <alignment vertical="center" wrapText="1"/>
    </xf>
    <xf numFmtId="9" fontId="12" fillId="3" borderId="0" xfId="2" applyFont="1" applyFill="1" applyAlignment="1">
      <alignment horizontal="center" vertical="center" wrapText="1"/>
    </xf>
    <xf numFmtId="9" fontId="4" fillId="0" borderId="0" xfId="2" applyFont="1" applyAlignment="1">
      <alignment horizontal="center" vertical="center" wrapText="1"/>
    </xf>
    <xf numFmtId="165" fontId="23" fillId="3" borderId="4" xfId="0" applyNumberFormat="1" applyFont="1" applyFill="1" applyBorder="1" applyAlignment="1">
      <alignment horizontal="center" vertical="center" wrapText="1"/>
    </xf>
    <xf numFmtId="165" fontId="23" fillId="6" borderId="4" xfId="0" applyNumberFormat="1" applyFont="1" applyFill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9" fillId="0" borderId="0" xfId="3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165" fontId="3" fillId="3" borderId="0" xfId="0" applyNumberFormat="1" applyFont="1" applyFill="1" applyAlignment="1">
      <alignment horizontal="center" vertical="center" wrapText="1"/>
    </xf>
    <xf numFmtId="165" fontId="4" fillId="0" borderId="0" xfId="0" applyNumberFormat="1" applyFont="1" applyAlignment="1">
      <alignment horizontal="left" vertical="center"/>
    </xf>
    <xf numFmtId="165" fontId="4" fillId="0" borderId="0" xfId="0" applyNumberFormat="1" applyFont="1" applyAlignment="1">
      <alignment horizontal="left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4" fillId="0" borderId="0" xfId="0" applyNumberFormat="1" applyFont="1" applyAlignment="1">
      <alignment vertical="center" wrapText="1"/>
    </xf>
    <xf numFmtId="165" fontId="3" fillId="0" borderId="0" xfId="0" applyNumberFormat="1" applyFont="1" applyAlignment="1">
      <alignment horizontal="center" vertical="center" wrapText="1"/>
    </xf>
    <xf numFmtId="165" fontId="4" fillId="0" borderId="5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5" formatCode="0.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5" formatCode="0.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11"/>
        <name val="Arial Nova"/>
        <family val="2"/>
        <scheme val="none"/>
      </font>
      <numFmt numFmtId="165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165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sz val="11"/>
        <name val="Arial Nova"/>
        <family val="2"/>
        <scheme val="none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937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79872</xdr:colOff>
      <xdr:row>73</xdr:row>
      <xdr:rowOff>50436</xdr:rowOff>
    </xdr:from>
    <xdr:ext cx="1524071" cy="2515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4C13CAE-1DE5-4F59-B24F-452EBBEAA833}"/>
                </a:ext>
              </a:extLst>
            </xdr:cNvPr>
            <xdr:cNvSpPr txBox="1"/>
          </xdr:nvSpPr>
          <xdr:spPr>
            <a:xfrm>
              <a:off x="5975847" y="17909811"/>
              <a:ext cx="1524071" cy="2515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Λ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∞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Λ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∞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4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accent4"/>
                                </a:solidFill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accent4"/>
                                </a:solidFill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e>
                    </m:d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p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US" sz="1100" strike="dblStrike" baseline="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4C13CAE-1DE5-4F59-B24F-452EBBEAA833}"/>
                </a:ext>
              </a:extLst>
            </xdr:cNvPr>
            <xdr:cNvSpPr txBox="1"/>
          </xdr:nvSpPr>
          <xdr:spPr>
            <a:xfrm>
              <a:off x="5975847" y="17909811"/>
              <a:ext cx="1524071" cy="2515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Λ=Λ^∞−(</a:t>
              </a:r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𝐴^′ </a:t>
              </a:r>
              <a:r>
                <a:rPr lang="en-US" sz="1100" b="0" i="0">
                  <a:latin typeface="Cambria Math" panose="02040503050406030204" pitchFamily="18" charset="0"/>
                </a:rPr>
                <a:t>Λ^∞+</a:t>
              </a:r>
              <a:r>
                <a:rPr lang="en-US" sz="1100" b="0" i="0">
                  <a:solidFill>
                    <a:schemeClr val="accent4"/>
                  </a:solidFill>
                  <a:latin typeface="Cambria Math" panose="02040503050406030204" pitchFamily="18" charset="0"/>
                </a:rPr>
                <a:t>𝐵^′ ) </a:t>
              </a:r>
              <a:r>
                <a:rPr lang="en-US" sz="1100" b="0" i="0">
                  <a:latin typeface="Cambria Math" panose="02040503050406030204" pitchFamily="18" charset="0"/>
                </a:rPr>
                <a:t>𝑐^(1/2)</a:t>
              </a:r>
              <a:endParaRPr lang="en-US" sz="1100" strike="dblStrike" baseline="0"/>
            </a:p>
          </xdr:txBody>
        </xdr:sp>
      </mc:Fallback>
    </mc:AlternateContent>
    <xdr:clientData/>
  </xdr:oneCellAnchor>
  <xdr:oneCellAnchor>
    <xdr:from>
      <xdr:col>7</xdr:col>
      <xdr:colOff>98922</xdr:colOff>
      <xdr:row>75</xdr:row>
      <xdr:rowOff>15881</xdr:rowOff>
    </xdr:from>
    <xdr:ext cx="1794146" cy="401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FD4C17C-4F23-41A2-B348-A573F1CF7BC2}"/>
                </a:ext>
              </a:extLst>
            </xdr:cNvPr>
            <xdr:cNvSpPr txBox="1"/>
          </xdr:nvSpPr>
          <xdr:spPr>
            <a:xfrm>
              <a:off x="7366497" y="14303381"/>
              <a:ext cx="1794146" cy="401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A</m:t>
                        </m:r>
                      </m:e>
                      <m:sup>
                        <m:r>
                          <a:rPr lang="en-US" sz="1100" b="0" i="0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0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=2.8</m:t>
                    </m:r>
                    <m:r>
                      <m:rPr>
                        <m:sty m:val="p"/>
                      </m:rPr>
                      <a:rPr lang="en-US" sz="1100" b="0" i="0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e</m:t>
                    </m:r>
                    <m:r>
                      <a:rPr lang="en-US" sz="1100" b="0" i="0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6</m:t>
                    </m:r>
                    <m:r>
                      <a:rPr lang="en-US" sz="1100" b="0" i="1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𝑞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𝜖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p>
                        </m:sSup>
                        <m: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 (1+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  <m:t>𝑞</m:t>
                            </m:r>
                          </m:e>
                          <m:sup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p>
                        </m:sSup>
                        <m: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 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FD4C17C-4F23-41A2-B348-A573F1CF7BC2}"/>
                </a:ext>
              </a:extLst>
            </xdr:cNvPr>
            <xdr:cNvSpPr txBox="1"/>
          </xdr:nvSpPr>
          <xdr:spPr>
            <a:xfrm>
              <a:off x="7366497" y="14303381"/>
              <a:ext cx="1794146" cy="401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A^′=2.8e6×</a:t>
              </a:r>
              <a:r>
                <a:rPr lang="en-US" sz="1100" b="0" i="0">
                  <a:solidFill>
                    <a:schemeClr val="accent5"/>
                  </a:solidFill>
                  <a:latin typeface="Cambria Math" panose="02040503050406030204" pitchFamily="18" charset="0"/>
                </a:rPr>
                <a:t>𝑞</a:t>
              </a:r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/(〖</a:t>
              </a:r>
              <a:r>
                <a:rPr lang="en-US" sz="11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(𝜖_𝑟 𝑇)〗^(</a:t>
              </a:r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3/2)  (1+</a:t>
              </a:r>
              <a:r>
                <a:rPr lang="en-US" sz="1100" b="0" i="0">
                  <a:solidFill>
                    <a:schemeClr val="accent5"/>
                  </a:solidFill>
                  <a:latin typeface="Cambria Math" panose="02040503050406030204" pitchFamily="18" charset="0"/>
                </a:rPr>
                <a:t>𝑞</a:t>
              </a:r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^(1/2)  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96540</xdr:colOff>
      <xdr:row>77</xdr:row>
      <xdr:rowOff>108380</xdr:rowOff>
    </xdr:from>
    <xdr:ext cx="813684" cy="4289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4182A35-B2A8-449C-8BB3-A784635209E7}"/>
                </a:ext>
              </a:extLst>
            </xdr:cNvPr>
            <xdr:cNvSpPr txBox="1"/>
          </xdr:nvSpPr>
          <xdr:spPr>
            <a:xfrm>
              <a:off x="7364115" y="14776880"/>
              <a:ext cx="813684" cy="428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solidFill>
                              <a:schemeClr val="accent4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accent4"/>
                            </a:solidFill>
                            <a:latin typeface="Cambria Math" panose="02040503050406030204" pitchFamily="18" charset="0"/>
                          </a:rPr>
                          <m:t>B</m:t>
                        </m:r>
                      </m:e>
                      <m:sup>
                        <m:r>
                          <a:rPr lang="en-US" sz="1100" b="0" i="0">
                            <a:solidFill>
                              <a:schemeClr val="accent4"/>
                            </a:solidFill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0">
                        <a:solidFill>
                          <a:schemeClr val="accent4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accent4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accent4"/>
                            </a:solidFill>
                            <a:latin typeface="Cambria Math" panose="02040503050406030204" pitchFamily="18" charset="0"/>
                          </a:rPr>
                          <m:t>8.249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4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accent4"/>
                                </a:solidFill>
                                <a:latin typeface="Cambria Math" panose="02040503050406030204" pitchFamily="18" charset="0"/>
                              </a:rPr>
                              <m:t>𝜂</m:t>
                            </m:r>
                            <m:r>
                              <a:rPr lang="en-US" sz="1100" b="0" i="1">
                                <a:solidFill>
                                  <a:schemeClr val="accent4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accent4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accent4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𝜖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accent4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accent4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en-US" sz="1100" b="0" i="1">
                                <a:solidFill>
                                  <a:schemeClr val="accent4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accent4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accent4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4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4182A35-B2A8-449C-8BB3-A784635209E7}"/>
                </a:ext>
              </a:extLst>
            </xdr:cNvPr>
            <xdr:cNvSpPr txBox="1"/>
          </xdr:nvSpPr>
          <xdr:spPr>
            <a:xfrm>
              <a:off x="7364115" y="14776880"/>
              <a:ext cx="813684" cy="428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accent4"/>
                  </a:solidFill>
                  <a:latin typeface="Cambria Math" panose="02040503050406030204" pitchFamily="18" charset="0"/>
                </a:rPr>
                <a:t>B^′=8.249/〖𝜂</a:t>
              </a:r>
              <a:r>
                <a:rPr lang="en-US" sz="1100" b="0" i="0">
                  <a:solidFill>
                    <a:schemeClr val="accent4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(𝜖_𝑟 𝑇)〗^(</a:t>
              </a:r>
              <a:r>
                <a:rPr lang="en-US" sz="1100" b="0" i="0">
                  <a:solidFill>
                    <a:schemeClr val="accent4"/>
                  </a:solidFill>
                  <a:latin typeface="Cambria Math" panose="02040503050406030204" pitchFamily="18" charset="0"/>
                </a:rPr>
                <a:t>1/2)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390</xdr:colOff>
      <xdr:row>77</xdr:row>
      <xdr:rowOff>109107</xdr:rowOff>
    </xdr:from>
    <xdr:ext cx="2913140" cy="370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DD42DF6-4426-40FD-96BF-DDD322FC28F9}"/>
                </a:ext>
              </a:extLst>
            </xdr:cNvPr>
            <xdr:cNvSpPr txBox="1"/>
          </xdr:nvSpPr>
          <xdr:spPr>
            <a:xfrm>
              <a:off x="8306190" y="14777607"/>
              <a:ext cx="2913140" cy="370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accent5"/>
                        </a:solidFill>
                        <a:latin typeface="Cambria Math" panose="02040503050406030204" pitchFamily="18" charset="0"/>
                      </a:rPr>
                      <m:t>q</m:t>
                    </m:r>
                    <m:r>
                      <a:rPr lang="en-US" sz="1100" b="0" i="0">
                        <a:solidFill>
                          <a:schemeClr val="accent5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accent5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accent5"/>
                                    </a:solidFill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accent5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</m:sup>
                            </m:sSup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accent5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accent5"/>
                                    </a:solidFill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accent5"/>
                                    </a:solidFill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</m:sup>
                            </m:sSup>
                          </m:e>
                        </m:d>
                      </m:num>
                      <m:den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|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  <m:t>z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|+|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solidFill>
                          <a:schemeClr val="accent5"/>
                        </a:solidFill>
                        <a:latin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  <m:t>𝜆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  <m:t>∞</m:t>
                            </m:r>
                          </m:sup>
                        </m:sSubSup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∞</m:t>
                            </m:r>
                          </m:sup>
                        </m:sSubSup>
                      </m:num>
                      <m:den>
                        <m:r>
                          <a:rPr lang="en-US" sz="1100" b="0" i="1">
                            <a:solidFill>
                              <a:schemeClr val="accent5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|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z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accent5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|</m:t>
                        </m:r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∞</m:t>
                            </m:r>
                          </m:sup>
                        </m:sSubSup>
                        <m:r>
                          <a:rPr lang="en-US" sz="1100" b="0" i="1">
                            <a:solidFill>
                              <a:schemeClr val="accent5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+|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z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accent5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|</m:t>
                        </m:r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∞</m:t>
                            </m:r>
                          </m:sup>
                        </m:sSubSup>
                      </m:den>
                    </m:f>
                    <m:r>
                      <a:rPr lang="en-US" sz="1100" b="0" i="1">
                        <a:solidFill>
                          <a:schemeClr val="accent5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solidFill>
                          <a:schemeClr val="accent5"/>
                        </a:solidFill>
                        <a:latin typeface="Cambria Math" panose="02040503050406030204" pitchFamily="18" charset="0"/>
                      </a:rPr>
                      <m:t>×1=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>
                <a:solidFill>
                  <a:schemeClr val="accent5"/>
                </a:solidFill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DD42DF6-4426-40FD-96BF-DDD322FC28F9}"/>
                </a:ext>
              </a:extLst>
            </xdr:cNvPr>
            <xdr:cNvSpPr txBox="1"/>
          </xdr:nvSpPr>
          <xdr:spPr>
            <a:xfrm>
              <a:off x="8306190" y="14777607"/>
              <a:ext cx="2913140" cy="370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accent5"/>
                  </a:solidFill>
                  <a:latin typeface="Cambria Math" panose="02040503050406030204" pitchFamily="18" charset="0"/>
                </a:rPr>
                <a:t>q=|𝑧^+ 𝑧^− |/(|z^+ |+|𝑧^− |)×(𝜆_+^∞+</a:t>
              </a:r>
              <a:r>
                <a:rPr lang="en-US" sz="1100" b="0" i="0">
                  <a:solidFill>
                    <a:schemeClr val="accent5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𝜆_−^∞)/(|z^+ |𝜆_+^∞+|z^− |𝜆_−^∞ )</a:t>
              </a:r>
              <a:r>
                <a:rPr lang="en-US" sz="1100" b="0" i="0">
                  <a:solidFill>
                    <a:schemeClr val="accent5"/>
                  </a:solidFill>
                  <a:latin typeface="Cambria Math" panose="02040503050406030204" pitchFamily="18" charset="0"/>
                </a:rPr>
                <a:t>=1/2×1=1/2</a:t>
              </a:r>
              <a:endParaRPr lang="en-US" sz="1100">
                <a:solidFill>
                  <a:schemeClr val="accent5"/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65359</xdr:colOff>
      <xdr:row>80</xdr:row>
      <xdr:rowOff>53077</xdr:rowOff>
    </xdr:from>
    <xdr:ext cx="575750" cy="189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D390230-75DD-48C1-BC4A-FBE56EEF50A8}"/>
                </a:ext>
              </a:extLst>
            </xdr:cNvPr>
            <xdr:cNvSpPr txBox="1"/>
          </xdr:nvSpPr>
          <xdr:spPr>
            <a:xfrm>
              <a:off x="5952716" y="19375220"/>
              <a:ext cx="575750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𝜅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𝜆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D390230-75DD-48C1-BC4A-FBE56EEF50A8}"/>
                </a:ext>
              </a:extLst>
            </xdr:cNvPr>
            <xdr:cNvSpPr txBox="1"/>
          </xdr:nvSpPr>
          <xdr:spPr>
            <a:xfrm>
              <a:off x="5952716" y="19375220"/>
              <a:ext cx="575750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𝜅=𝜆𝑐</a:t>
              </a:r>
              <a:endParaRPr lang="en-US" sz="12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texas-my.sharepoint.com/personal/shashwati_dacunha_austin_utexas_edu/Documents/RCL%20Experimental/LCA%20TEA%20for%20CO2R/Non-aqueous/Conductivity%20data.xlsx" TargetMode="External"/><Relationship Id="rId1" Type="http://schemas.openxmlformats.org/officeDocument/2006/relationships/externalLinkPath" Target="/personal/shashwati_dacunha_austin_utexas_edu/Documents/RCL%20Experimental/LCA%20TEA%20for%20CO2R/Non-aqueous/Conductivity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terature"/>
      <sheetName val="Debye-Huckel-Onsager model"/>
      <sheetName val="House J Org Chem 1971"/>
      <sheetName val="Ue JECS 1994"/>
      <sheetName val="Nakata Anal Sci 2001"/>
      <sheetName val="Sears JECS 1963"/>
      <sheetName val="Anand Z Phys Chem 2016"/>
      <sheetName val="Anand Z Phys Chem 2019"/>
      <sheetName val="Mukherjee J Phys Chem 1969"/>
      <sheetName val="Salomon Electr Acta 1983"/>
      <sheetName val="Shinkle J Pow Sources 2014"/>
      <sheetName val="Dilo Rev Cub Quim 2010"/>
      <sheetName val="Gong EES 2015"/>
      <sheetName val="Gong EES 2015 limiting"/>
      <sheetName val="Das JCED 1999"/>
      <sheetName val="Kalugin Kharkiv Univ Bull 2019 "/>
      <sheetName val="Butler J Analytical Chem 1966"/>
      <sheetName val="Wypych J Mol Liq 2014"/>
      <sheetName val=" Chernozhuk Chem Tech 2016"/>
    </sheetNames>
    <sheetDataSet>
      <sheetData sheetId="0"/>
      <sheetData sheetId="1">
        <row r="55">
          <cell r="D55">
            <v>1E-3</v>
          </cell>
          <cell r="F55">
            <v>7.6192281564247928E-5</v>
          </cell>
        </row>
      </sheetData>
      <sheetData sheetId="2">
        <row r="4">
          <cell r="B4">
            <v>0.6</v>
          </cell>
          <cell r="D4">
            <v>2.7027027027027029E-2</v>
          </cell>
        </row>
        <row r="5">
          <cell r="B5">
            <v>0.5</v>
          </cell>
          <cell r="D5">
            <v>2.564102564102564E-2</v>
          </cell>
        </row>
        <row r="7">
          <cell r="B7">
            <v>0.6</v>
          </cell>
          <cell r="D7">
            <v>3.8461538461538464E-2</v>
          </cell>
        </row>
        <row r="9">
          <cell r="B9">
            <v>1</v>
          </cell>
          <cell r="D9">
            <v>3.2258064516129031E-2</v>
          </cell>
        </row>
        <row r="10">
          <cell r="B10">
            <v>0.5</v>
          </cell>
          <cell r="D10">
            <v>3.0303030303030304E-2</v>
          </cell>
        </row>
        <row r="13">
          <cell r="B13">
            <v>0.6</v>
          </cell>
          <cell r="D13">
            <v>1.2987012987012988E-2</v>
          </cell>
        </row>
        <row r="14">
          <cell r="B14">
            <v>0.5</v>
          </cell>
          <cell r="D14">
            <v>1.2195121951219513E-2</v>
          </cell>
        </row>
        <row r="17">
          <cell r="B17">
            <v>0.5</v>
          </cell>
          <cell r="D17">
            <v>1.3888888888888888E-2</v>
          </cell>
        </row>
      </sheetData>
      <sheetData sheetId="3">
        <row r="10">
          <cell r="B10">
            <v>0.65</v>
          </cell>
          <cell r="C10">
            <v>7.23</v>
          </cell>
        </row>
        <row r="18">
          <cell r="A18">
            <v>2.77795812819834E-2</v>
          </cell>
          <cell r="C18">
            <v>6.4151492372494E-4</v>
          </cell>
        </row>
        <row r="19">
          <cell r="A19">
            <v>6.06653893688439E-2</v>
          </cell>
          <cell r="C19">
            <v>1.2375235666209502E-3</v>
          </cell>
        </row>
        <row r="20">
          <cell r="A20">
            <v>8.3327532110991295E-2</v>
          </cell>
          <cell r="C20">
            <v>1.72576387300134E-3</v>
          </cell>
        </row>
        <row r="21">
          <cell r="A21">
            <v>0.108230270238364</v>
          </cell>
          <cell r="C21">
            <v>2.2249976506132701E-3</v>
          </cell>
        </row>
        <row r="22">
          <cell r="A22">
            <v>0.13311773213059999</v>
          </cell>
          <cell r="C22">
            <v>2.7016735210060499E-3</v>
          </cell>
        </row>
        <row r="23">
          <cell r="A23">
            <v>0.160269821037543</v>
          </cell>
          <cell r="C23">
            <v>3.2248295688289802E-3</v>
          </cell>
        </row>
        <row r="70">
          <cell r="B70">
            <v>6.0000000000000001E-3</v>
          </cell>
          <cell r="C70">
            <v>1.0999999999999999E-2</v>
          </cell>
          <cell r="D70">
            <v>7.4000000000000003E-3</v>
          </cell>
        </row>
        <row r="71">
          <cell r="C71">
            <v>2.4E-2</v>
          </cell>
          <cell r="D71">
            <v>1.4E-2</v>
          </cell>
        </row>
      </sheetData>
      <sheetData sheetId="4">
        <row r="14">
          <cell r="B14">
            <v>2.3884328301715294E-3</v>
          </cell>
          <cell r="D14">
            <v>9.1665547958706402E-5</v>
          </cell>
          <cell r="H14">
            <v>1.2892057784115549E-3</v>
          </cell>
          <cell r="J14">
            <v>1.0612592494750185E-4</v>
          </cell>
        </row>
        <row r="15">
          <cell r="B15">
            <v>3.3884176898968934E-3</v>
          </cell>
          <cell r="D15">
            <v>1.2746020825753812E-4</v>
          </cell>
          <cell r="H15">
            <v>1.7284642569285133E-3</v>
          </cell>
          <cell r="J15">
            <v>1.4003065501783159E-4</v>
          </cell>
        </row>
        <row r="16">
          <cell r="B16">
            <v>4.4790988508531544E-3</v>
          </cell>
          <cell r="D16">
            <v>1.6583833388283441E-4</v>
          </cell>
          <cell r="H16">
            <v>2.6034100068200046E-3</v>
          </cell>
          <cell r="J16">
            <v>2.0449974256470167E-4</v>
          </cell>
        </row>
        <row r="17">
          <cell r="B17">
            <v>5.5348968190282854E-3</v>
          </cell>
          <cell r="D17">
            <v>2.0259805765975052E-4</v>
          </cell>
          <cell r="H17">
            <v>3.249897699795396E-3</v>
          </cell>
          <cell r="J17">
            <v>2.4962982331761723E-4</v>
          </cell>
        </row>
      </sheetData>
      <sheetData sheetId="5">
        <row r="5">
          <cell r="A5">
            <v>8.9660000000000006E-5</v>
          </cell>
          <cell r="C5">
            <v>7.6820688000000009E-6</v>
          </cell>
        </row>
        <row r="6">
          <cell r="A6">
            <v>2.2450000000000001E-4</v>
          </cell>
          <cell r="C6">
            <v>1.8480839999999997E-5</v>
          </cell>
        </row>
        <row r="7">
          <cell r="A7">
            <v>4.1629999999999998E-4</v>
          </cell>
          <cell r="C7">
            <v>3.2679550000000001E-5</v>
          </cell>
        </row>
        <row r="8">
          <cell r="A8">
            <v>6.7409999999999996E-4</v>
          </cell>
          <cell r="C8">
            <v>5.0247414000000001E-5</v>
          </cell>
        </row>
        <row r="9">
          <cell r="A9">
            <v>1.0430000000000001E-3</v>
          </cell>
          <cell r="C9">
            <v>7.3072580000000008E-5</v>
          </cell>
        </row>
        <row r="10">
          <cell r="A10">
            <v>1.629E-3</v>
          </cell>
          <cell r="C10">
            <v>1.0549404000000001E-4</v>
          </cell>
        </row>
      </sheetData>
      <sheetData sheetId="6">
        <row r="6">
          <cell r="A6">
            <v>5.0310095439384403E-2</v>
          </cell>
          <cell r="C6">
            <v>8.7890164651051978E-4</v>
          </cell>
        </row>
        <row r="7">
          <cell r="A7">
            <v>4.5050031372807997E-2</v>
          </cell>
          <cell r="C7">
            <v>6.9661650396890843E-4</v>
          </cell>
        </row>
        <row r="8">
          <cell r="A8">
            <v>4.0268154948647598E-2</v>
          </cell>
          <cell r="C8">
            <v>5.822742283504975E-4</v>
          </cell>
        </row>
        <row r="9">
          <cell r="A9">
            <v>3.6203559988111297E-2</v>
          </cell>
          <cell r="C9">
            <v>4.6901833621402599E-4</v>
          </cell>
        </row>
        <row r="10">
          <cell r="A10">
            <v>3.0226214457910801E-2</v>
          </cell>
          <cell r="C10">
            <v>3.4609465816630875E-4</v>
          </cell>
        </row>
        <row r="11">
          <cell r="A11">
            <v>1.99451801459661E-2</v>
          </cell>
          <cell r="C11">
            <v>1.6834489332651469E-4</v>
          </cell>
        </row>
        <row r="12">
          <cell r="A12">
            <v>1.0142333476437299E-2</v>
          </cell>
          <cell r="C12">
            <v>5.5079061725431765E-5</v>
          </cell>
        </row>
        <row r="18">
          <cell r="A18">
            <v>4.9831907796968299E-2</v>
          </cell>
        </row>
        <row r="19">
          <cell r="A19">
            <v>4.4810937551599997E-2</v>
          </cell>
        </row>
        <row r="20">
          <cell r="A20">
            <v>3.6203559988111297E-2</v>
          </cell>
        </row>
        <row r="21">
          <cell r="A21">
            <v>4.0029061127439598E-2</v>
          </cell>
        </row>
        <row r="22">
          <cell r="A22">
            <v>2.9987120636702801E-2</v>
          </cell>
        </row>
        <row r="23">
          <cell r="A23">
            <v>1.99451801459661E-2</v>
          </cell>
        </row>
      </sheetData>
      <sheetData sheetId="7">
        <row r="10">
          <cell r="B10">
            <v>3.9768339104477588E-3</v>
          </cell>
          <cell r="D10">
            <v>3.986378311832794E-4</v>
          </cell>
        </row>
        <row r="11">
          <cell r="B11">
            <v>4.3924897114427869E-3</v>
          </cell>
          <cell r="D11">
            <v>4.3257238678288523E-4</v>
          </cell>
        </row>
        <row r="12">
          <cell r="B12">
            <v>4.3924897114427869E-3</v>
          </cell>
          <cell r="D12">
            <v>4.3257238678288523E-4</v>
          </cell>
        </row>
        <row r="13">
          <cell r="B13">
            <v>4.9506802786069603E-3</v>
          </cell>
          <cell r="D13">
            <v>4.8041401423601896E-4</v>
          </cell>
        </row>
        <row r="14">
          <cell r="B14">
            <v>5.5195923582089515E-3</v>
          </cell>
          <cell r="D14">
            <v>5.2414049033552141E-4</v>
          </cell>
        </row>
        <row r="23">
          <cell r="B23">
            <v>3.3040663084577021E-3</v>
          </cell>
          <cell r="D23">
            <v>2.9049350983960089E-4</v>
          </cell>
        </row>
        <row r="24">
          <cell r="B24">
            <v>3.9500155223880506E-3</v>
          </cell>
          <cell r="D24">
            <v>3.4286134734328236E-4</v>
          </cell>
        </row>
        <row r="25">
          <cell r="B25">
            <v>4.3987122786069638E-3</v>
          </cell>
          <cell r="D25">
            <v>3.761778740664671E-4</v>
          </cell>
        </row>
        <row r="26">
          <cell r="B26">
            <v>4.9570781293532262E-3</v>
          </cell>
          <cell r="D26">
            <v>4.1917052661810835E-4</v>
          </cell>
        </row>
        <row r="27">
          <cell r="B27">
            <v>5.5151518407960095E-3</v>
          </cell>
          <cell r="D27">
            <v>4.5665457241790905E-4</v>
          </cell>
        </row>
      </sheetData>
      <sheetData sheetId="8">
        <row r="11">
          <cell r="A11">
            <v>1E-3</v>
          </cell>
          <cell r="B11">
            <v>2.7211508808534348E-5</v>
          </cell>
          <cell r="D11">
            <v>1E-3</v>
          </cell>
          <cell r="E11">
            <v>3.1630033019835727E-5</v>
          </cell>
          <cell r="H11">
            <v>1E-3</v>
          </cell>
          <cell r="I11">
            <v>3.0656925958644218E-5</v>
          </cell>
        </row>
        <row r="12">
          <cell r="A12">
            <v>2E-3</v>
          </cell>
          <cell r="B12">
            <v>5.3728208474583968E-5</v>
          </cell>
          <cell r="D12">
            <v>2E-3</v>
          </cell>
          <cell r="E12">
            <v>6.2493155818728701E-5</v>
          </cell>
          <cell r="H12">
            <v>2E-3</v>
          </cell>
          <cell r="I12">
            <v>6.0609080816895597E-5</v>
          </cell>
        </row>
        <row r="13">
          <cell r="A13">
            <v>3.0000000000000001E-3</v>
          </cell>
          <cell r="B13">
            <v>7.9852408146862777E-5</v>
          </cell>
          <cell r="D13">
            <v>3.0000000000000001E-3</v>
          </cell>
          <cell r="E13">
            <v>9.290406228820849E-5</v>
          </cell>
          <cell r="H13">
            <v>3.0000000000000001E-3</v>
          </cell>
          <cell r="I13">
            <v>9.0168179980480397E-5</v>
          </cell>
        </row>
        <row r="14">
          <cell r="A14">
            <v>4.0000000000000001E-3</v>
          </cell>
          <cell r="B14">
            <v>1.056922565948685E-4</v>
          </cell>
          <cell r="D14">
            <v>4.0000000000000001E-3</v>
          </cell>
          <cell r="E14">
            <v>1.2297527929804771E-4</v>
          </cell>
          <cell r="H14">
            <v>4.0000000000000001E-3</v>
          </cell>
          <cell r="I14">
            <v>1.194456188645813E-4</v>
          </cell>
        </row>
      </sheetData>
      <sheetData sheetId="9">
        <row r="9">
          <cell r="B9">
            <v>4.9561600000000003E-3</v>
          </cell>
          <cell r="D9">
            <v>9.9429832455423983E-5</v>
          </cell>
        </row>
        <row r="10">
          <cell r="B10">
            <v>7.5689999999999993E-3</v>
          </cell>
          <cell r="D10">
            <v>1.5103854135338336E-4</v>
          </cell>
        </row>
      </sheetData>
      <sheetData sheetId="10">
        <row r="9">
          <cell r="B9">
            <v>9.93</v>
          </cell>
          <cell r="C9">
            <v>4.76</v>
          </cell>
        </row>
      </sheetData>
      <sheetData sheetId="11">
        <row r="5">
          <cell r="A5">
            <v>1.0326000000000001E-3</v>
          </cell>
          <cell r="C5">
            <v>3.2090213460000001E-5</v>
          </cell>
        </row>
        <row r="6">
          <cell r="A6">
            <v>2.8214999999999998E-3</v>
          </cell>
          <cell r="C6">
            <v>8.5098132899999983E-5</v>
          </cell>
        </row>
        <row r="7">
          <cell r="A7">
            <v>4.6381E-3</v>
          </cell>
          <cell r="C7">
            <v>1.3677571376E-4</v>
          </cell>
        </row>
        <row r="8">
          <cell r="A8">
            <v>6.4580000000000002E-3</v>
          </cell>
          <cell r="C8">
            <v>1.8702367999999999E-4</v>
          </cell>
        </row>
        <row r="9">
          <cell r="A9">
            <v>8.2468999999999997E-3</v>
          </cell>
          <cell r="C9">
            <v>2.3384827170999997E-4</v>
          </cell>
        </row>
        <row r="14">
          <cell r="A14">
            <v>1.0150000000000001E-3</v>
          </cell>
          <cell r="C14">
            <v>1.7378931500000003E-4</v>
          </cell>
        </row>
        <row r="15">
          <cell r="A15">
            <v>2.8806000000000001E-3</v>
          </cell>
          <cell r="C15">
            <v>4.6530619860000007E-4</v>
          </cell>
        </row>
        <row r="16">
          <cell r="A16">
            <v>4.6937000000000003E-3</v>
          </cell>
          <cell r="C16">
            <v>7.3750699990000012E-4</v>
          </cell>
        </row>
        <row r="17">
          <cell r="A17">
            <v>6.5418000000000004E-3</v>
          </cell>
          <cell r="C17">
            <v>9.7656644580000011E-4</v>
          </cell>
        </row>
        <row r="18">
          <cell r="A18">
            <v>8.4104000000000002E-3</v>
          </cell>
          <cell r="C18">
            <v>1.2169091864000002E-3</v>
          </cell>
        </row>
      </sheetData>
      <sheetData sheetId="12">
        <row r="7">
          <cell r="G7">
            <v>14.5</v>
          </cell>
        </row>
        <row r="11">
          <cell r="H11">
            <v>50.058999999999997</v>
          </cell>
        </row>
      </sheetData>
      <sheetData sheetId="13"/>
      <sheetData sheetId="14">
        <row r="9">
          <cell r="B9">
            <v>2.5535000000000002E-3</v>
          </cell>
          <cell r="D9">
            <v>4.2089340500000005E-4</v>
          </cell>
        </row>
        <row r="10">
          <cell r="B10">
            <v>3.5412E-3</v>
          </cell>
          <cell r="D10">
            <v>5.7062896799999993E-4</v>
          </cell>
        </row>
        <row r="11">
          <cell r="B11">
            <v>4.0008000000000005E-3</v>
          </cell>
          <cell r="D11">
            <v>6.3860769600000017E-4</v>
          </cell>
        </row>
        <row r="12">
          <cell r="B12">
            <v>4.5163E-3</v>
          </cell>
          <cell r="D12">
            <v>7.1362056300000002E-4</v>
          </cell>
        </row>
      </sheetData>
      <sheetData sheetId="15">
        <row r="12">
          <cell r="C12">
            <v>7.9658500000000004E-4</v>
          </cell>
          <cell r="E12">
            <v>1.2805E-4</v>
          </cell>
        </row>
        <row r="13">
          <cell r="C13">
            <v>9.6583974999999995E-4</v>
          </cell>
          <cell r="E13">
            <v>1.5412000000000002E-4</v>
          </cell>
        </row>
        <row r="14">
          <cell r="C14">
            <v>1.3707834999999999E-3</v>
          </cell>
          <cell r="E14">
            <v>2.1596000000000001E-4</v>
          </cell>
        </row>
        <row r="15">
          <cell r="C15">
            <v>1.6890262500000002E-3</v>
          </cell>
          <cell r="E15">
            <v>2.6379000000000002E-4</v>
          </cell>
        </row>
        <row r="16">
          <cell r="C16">
            <v>2.04615925E-3</v>
          </cell>
          <cell r="E16">
            <v>3.1684000000000004E-4</v>
          </cell>
        </row>
        <row r="17">
          <cell r="C17">
            <v>2.4298189999999997E-3</v>
          </cell>
          <cell r="E17">
            <v>3.7332000000000006E-4</v>
          </cell>
        </row>
        <row r="18">
          <cell r="C18">
            <v>2.99541E-3</v>
          </cell>
        </row>
        <row r="36">
          <cell r="C36">
            <v>3.056445E-4</v>
          </cell>
          <cell r="E36">
            <v>4.9534000000000004E-5</v>
          </cell>
        </row>
        <row r="37">
          <cell r="C37">
            <v>3.4152994999999997E-4</v>
          </cell>
          <cell r="E37">
            <v>5.5266000000000009E-5</v>
          </cell>
        </row>
        <row r="38">
          <cell r="C38">
            <v>3.8171914999999998E-4</v>
          </cell>
          <cell r="E38">
            <v>6.0946000000000002E-5</v>
          </cell>
        </row>
        <row r="39">
          <cell r="C39">
            <v>4.3208084999999996E-4</v>
          </cell>
          <cell r="E39">
            <v>6.8356000000000008E-5</v>
          </cell>
        </row>
        <row r="40">
          <cell r="C40">
            <v>5.8671850000000002E-4</v>
          </cell>
          <cell r="E40">
            <v>9.7729000000000012E-5</v>
          </cell>
        </row>
        <row r="41">
          <cell r="C41">
            <v>7.6976089999999996E-4</v>
          </cell>
          <cell r="E41">
            <v>1.1561000000000001E-4</v>
          </cell>
        </row>
      </sheetData>
      <sheetData sheetId="16">
        <row r="12">
          <cell r="A12">
            <v>3.0000000000000001E-3</v>
          </cell>
          <cell r="C12">
            <v>1.0720639957555545E-4</v>
          </cell>
        </row>
        <row r="13">
          <cell r="A13">
            <v>4.0000000000000001E-3</v>
          </cell>
          <cell r="C13">
            <v>1.4285582146765418E-4</v>
          </cell>
        </row>
        <row r="14">
          <cell r="A14">
            <v>5.0000000000000001E-3</v>
          </cell>
          <cell r="C14">
            <v>1.7846222104320967E-4</v>
          </cell>
        </row>
        <row r="15">
          <cell r="A15">
            <v>6.0000000000000001E-3</v>
          </cell>
          <cell r="C15">
            <v>2.1402559830222191E-4</v>
          </cell>
        </row>
      </sheetData>
      <sheetData sheetId="17">
        <row r="7">
          <cell r="A7">
            <v>1E-3</v>
          </cell>
          <cell r="B7">
            <v>1.8489633683833073E-4</v>
          </cell>
        </row>
        <row r="8">
          <cell r="A8">
            <v>2E-3</v>
          </cell>
          <cell r="B8">
            <v>3.6553980786422442E-4</v>
          </cell>
        </row>
        <row r="9">
          <cell r="A9">
            <v>3.0000000000000001E-3</v>
          </cell>
          <cell r="B9">
            <v>5.4341470372513251E-4</v>
          </cell>
        </row>
        <row r="10">
          <cell r="A10">
            <v>4.0000000000000001E-3</v>
          </cell>
          <cell r="B10">
            <v>7.190506947066461E-4</v>
          </cell>
        </row>
        <row r="11">
          <cell r="A11">
            <v>5.0000000000000001E-3</v>
          </cell>
          <cell r="B11">
            <v>8.9275390098460543E-4</v>
          </cell>
        </row>
        <row r="12">
          <cell r="A12">
            <v>6.0000000000000001E-3</v>
          </cell>
          <cell r="B12">
            <v>1.0647308684555239E-3</v>
          </cell>
        </row>
        <row r="13">
          <cell r="A13">
            <v>7.0000000000000001E-3</v>
          </cell>
          <cell r="B13">
            <v>1.2351332277161472E-3</v>
          </cell>
        </row>
      </sheetData>
      <sheetData sheetId="18">
        <row r="7">
          <cell r="A7">
            <v>1E-3</v>
          </cell>
          <cell r="C7">
            <v>2.7389311996581668E-5</v>
          </cell>
        </row>
        <row r="8">
          <cell r="A8">
            <v>2E-3</v>
          </cell>
          <cell r="C8">
            <v>5.4757247986326682E-5</v>
          </cell>
        </row>
        <row r="9">
          <cell r="A9">
            <v>3.0000000000000001E-3</v>
          </cell>
          <cell r="C9">
            <v>8.2103807969235025E-5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a Cunha, Shashwati C" id="{97EB442A-BA5A-4BA8-A59A-7061902B9186}" userId="S::shashwati.dacunha@austin.utexas.edu::3aeab326-ac30-46a2-93c7-beabe1f2d69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73E0AF-4F91-4E0C-A0FD-4101785DA193}" name="Constants" displayName="Constants" ref="A1:E40" totalsRowShown="0" headerRowDxfId="52" dataDxfId="51">
  <autoFilter ref="A1:E40" xr:uid="{4573E0AF-4F91-4E0C-A0FD-4101785DA193}"/>
  <sortState xmlns:xlrd2="http://schemas.microsoft.com/office/spreadsheetml/2017/richdata2" ref="A2:E40">
    <sortCondition ref="A1:A40"/>
  </sortState>
  <tableColumns count="5">
    <tableColumn id="1" xr3:uid="{0CD981D8-5D27-4DEC-AB19-B4CDEDE4E307}" name="Name" dataDxfId="50"/>
    <tableColumn id="5" xr3:uid="{447AB61C-D6A8-4C69-B914-F84CC2DD3D7F}" name="Variable name" dataDxfId="49"/>
    <tableColumn id="2" xr3:uid="{8D0B10A0-AAB3-497D-AACC-B47886E623F4}" name="Value" dataDxfId="48"/>
    <tableColumn id="3" xr3:uid="{13805BE1-5D36-4E51-B5A1-6DAB8482D1CA}" name="Unit" dataDxfId="47"/>
    <tableColumn id="4" xr3:uid="{D9E6851E-6681-4B84-8DD9-9DC84337FA8D}" name="References" dataDxfId="4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323130-A0D1-49F6-A5DF-27B490E4A7F3}" name="Products" displayName="Products" ref="A1:Q4" totalsRowShown="0" headerRowDxfId="45" dataDxfId="44">
  <autoFilter ref="A1:Q4" xr:uid="{89323130-A0D1-49F6-A5DF-27B490E4A7F3}"/>
  <tableColumns count="17">
    <tableColumn id="1" xr3:uid="{3C50D7C6-76ED-4D16-B177-C24A6EDEF5E8}" name="Product" dataDxfId="43"/>
    <tableColumn id="13" xr3:uid="{E3E543EF-1CAC-4E7C-917B-9F6A2A12C5A5}" name="Phase" dataDxfId="42"/>
    <tableColumn id="5" xr3:uid="{60087321-E31A-4465-97EA-5E82B4930DEF}" name="Molecular weight (g/mol)" dataDxfId="41"/>
    <tableColumn id="2" xr3:uid="{73F411CA-0C00-43A6-8E8A-2C96DEBEAE56}" name="n (mol e-/ mol product)" dataDxfId="40"/>
    <tableColumn id="12" xr3:uid="{35098869-B8D6-4322-9A6F-55D84BD00AAD}" name="z (mol CO2/ mol product)" dataDxfId="39"/>
    <tableColumn id="3" xr3:uid="{42FF57EE-C82B-4BEE-B6E3-5CDCD61D73F4}" name="LHV (kJ/kg product)" dataDxfId="38"/>
    <tableColumn id="14" xr3:uid="{E9D086E2-203C-4567-AACC-7D8FDCBCFD52}" name="Cost ($/kg product)" dataDxfId="37"/>
    <tableColumn id="6" xr3:uid="{F6536296-A5EF-4707-BAA4-8ED36A0299FD}" name="Standard potential, pH = 0 (V vs SHE)" dataDxfId="36"/>
    <tableColumn id="9" xr3:uid="{44F64A4D-679B-4F83-A0F1-9FD50BE9A102}" name="Reference overpotential (V)" dataDxfId="35"/>
    <tableColumn id="8" xr3:uid="{63FE646D-E5BD-46A5-B63F-54D7C89DFC20}" name="Tafel slope (mV/dec)" dataDxfId="34"/>
    <tableColumn id="7" xr3:uid="{8762D60F-6494-4D48-BF71-09EE6526135E}" name="Reference current density (mA/cm2)" dataDxfId="33"/>
    <tableColumn id="15" xr3:uid="{C96EBEF2-D837-4395-8D46-7E2BC536E261}" name="FECO2R at SPC = 0" dataDxfId="32"/>
    <tableColumn id="16" xr3:uid="{F3E3F633-1F65-481C-8C36-D0FBD783D2AB}" name="Chosen SPC, no tradeoff" dataDxfId="31"/>
    <tableColumn id="17" xr3:uid="{06806002-8BCC-442F-99A4-15A00506143C}" name="Chosen total current density (mA/cm2)" dataDxfId="30"/>
    <tableColumn id="4" xr3:uid="{EA53ED90-0A02-4FC0-8D2F-B62ACD3411A0}" name="References" dataDxfId="29"/>
    <tableColumn id="10" xr3:uid="{15AF80F1-11B7-4792-895F-6EC0B2B7A7A4}" name="References 2a" dataDxfId="28"/>
    <tableColumn id="11" xr3:uid="{F302EFF0-A13D-4A4C-8A0B-F721AD1E47B9}" name="References 2b" dataDxfId="2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E89AE4-9617-4085-AD63-8D726E2ECE27}" name="Products6" displayName="Products6" ref="A1:L5" totalsRowShown="0" headerRowDxfId="26" dataDxfId="25">
  <autoFilter ref="A1:L5" xr:uid="{FDE89AE4-9617-4085-AD63-8D726E2ECE27}"/>
  <tableColumns count="12">
    <tableColumn id="1" xr3:uid="{996983E7-48A1-4F2C-AAE8-BB6499F82011}" name="Solvent" dataDxfId="24"/>
    <tableColumn id="5" xr3:uid="{7587D408-6B96-4220-A9BE-2B71A4248C30}" name="Molecular weight (g/mol)" dataDxfId="23"/>
    <tableColumn id="14" xr3:uid="{8CB95F86-8F61-4051-8BEA-3EA0B1243627}" name="Cost ($/kg solvent)" dataDxfId="22"/>
    <tableColumn id="3" xr3:uid="{CCFBA968-B535-4D6B-82F9-71090461EE43}" name="Density (kg/m3)" dataDxfId="21"/>
    <tableColumn id="4" xr3:uid="{6DE0BEDB-FDAC-4FA2-8AC5-B102FC6EEC22}" name="Viscosity (cP)" dataDxfId="20"/>
    <tableColumn id="11" xr3:uid="{7E968132-802A-4590-8623-AF835C5600CC}" name="Henry's constant at 298K, CO2 (mole fraction/atm)" dataDxfId="19"/>
    <tableColumn id="12" xr3:uid="{C14326B4-157A-4FBF-9FD5-58F36F9782B3}" name="Conductivity factor relative to ACN" dataDxfId="18"/>
    <tableColumn id="2" xr3:uid="{4B98493F-7EF6-4DC3-A55A-0A71F419BBB2}" name="CO2 solubility, 10 bar (mol CO2/ mol solvent)" dataDxfId="17"/>
    <tableColumn id="6" xr3:uid="{1008D39B-F74C-44B5-9C39-9094D52EB44D}" name="Boiling point (K)" dataDxfId="16"/>
    <tableColumn id="9" xr3:uid="{4E983CB5-D8FE-442A-8A07-6298EE4689D9}" name="Vapor pressure (Pa)" dataDxfId="15"/>
    <tableColumn id="10" xr3:uid="{57E55551-0CF1-45DA-9F74-4502CD642FB0}" name="Solvent loss fraction ((mol/s offgas)/ (mol/s solvent))" dataDxfId="14"/>
    <tableColumn id="8" xr3:uid="{57ADEF7D-1DC8-4D29-B0B1-B07EDD74B7FC}" name="Solubility in water" dataDxfId="1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E243CA-C135-4CB6-B37F-4749B7F8C437}" name="Products67" displayName="Products67" ref="A1:D5" totalsRowShown="0" headerRowDxfId="12" dataDxfId="11">
  <autoFilter ref="A1:D5" xr:uid="{0BE243CA-C135-4CB6-B37F-4749B7F8C437}"/>
  <tableColumns count="4">
    <tableColumn id="1" xr3:uid="{5E12D873-28F4-4BAA-A124-01ED2F10306F}" name="Supporting electrolyte" dataDxfId="10"/>
    <tableColumn id="5" xr3:uid="{8BFB1102-BA9E-4FA2-8287-970DFEAD7F45}" name="Molecular weight (g/mol)" dataDxfId="9"/>
    <tableColumn id="14" xr3:uid="{40345891-0EC3-4D4A-9A2E-09812C6C59BF}" name="Cost ($/kg supporting)" dataDxfId="8"/>
    <tableColumn id="3" xr3:uid="{580C116E-F5E0-41C5-8884-D2C8E1385F89}" name="Conductivity in ACN, 0.3 M (S/cm)" dataDxfId="7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0A0C8F-F9A6-4BD9-BE38-37BCD437C167}" name="Utility_sources" displayName="Utility_sources" ref="A1:D14" totalsRowShown="0" headerRowBorderDxfId="6" tableBorderDxfId="5" totalsRowBorderDxfId="4">
  <autoFilter ref="A1:D14" xr:uid="{F90A0C8F-F9A6-4BD9-BE38-37BCD437C167}"/>
  <tableColumns count="4">
    <tableColumn id="1" xr3:uid="{019A737E-EC43-437D-A256-C18EEEE61274}" name="Utility" dataDxfId="3"/>
    <tableColumn id="2" xr3:uid="{339E3BF5-AD63-4805-BC84-16828025960D}" name="Cost ($/kWh)" dataDxfId="2" dataCellStyle="Currency"/>
    <tableColumn id="3" xr3:uid="{5BD4A003-8709-44FE-A299-AB3C44A1C92B}" name="CO2 emissions (g CO2/kWh)" dataDxfId="1"/>
    <tableColumn id="4" xr3:uid="{106C8FDA-1A54-408F-9E45-6177A2EA926F}" name="Referenc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5-01-15T15:42:59.74" personId="{97EB442A-BA5A-4BA8-A59A-7061902B9186}" id="{ADC85B62-F8B0-4820-A968-870FAF95942C}">
    <text>Averaged from literature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" dT="2025-01-15T16:01:17.56" personId="{97EB442A-BA5A-4BA8-A59A-7061902B9186}" id="{4BADFAB7-76AF-444F-91EF-5DC354E714D4}">
    <text>Engineering Toolbox, https://www.engineeringtoolbox.com/heating-values-fuel-gases-d_823.html</text>
    <extLst>
      <x:ext xmlns:xltc2="http://schemas.microsoft.com/office/spreadsheetml/2020/threadedcomments2" uri="{F7C98A9C-CBB3-438F-8F68-D28B6AF4A901}">
        <xltc2:checksum>226161047</xltc2:checksum>
        <xltc2:hyperlink startIndex="21" length="71" url="https://www.engineeringtoolbox.com/heating-values-fuel-gases-d_823.html"/>
      </x:ext>
    </extLst>
  </threadedComment>
  <threadedComment ref="F3" dT="2025-01-15T16:01:25.64" personId="{97EB442A-BA5A-4BA8-A59A-7061902B9186}" id="{70A0C8CB-3A8C-48E4-A4A0-92D06DADCA1C}">
    <text>Engineering Toolbox, https://www.engineeringtoolbox.com/heating-values-fuel-gases-d_823.html</text>
    <extLst>
      <x:ext xmlns:xltc2="http://schemas.microsoft.com/office/spreadsheetml/2020/threadedcomments2" uri="{F7C98A9C-CBB3-438F-8F68-D28B6AF4A901}">
        <xltc2:checksum>226161047</xltc2:checksum>
        <xltc2:hyperlink startIndex="21" length="71" url="https://www.engineeringtoolbox.com/heating-values-fuel-gases-d_823.html"/>
      </x:ext>
    </extLst>
  </threadedComment>
  <threadedComment ref="I3" dT="2024-11-11T19:46:16.62" personId="{97EB442A-BA5A-4BA8-A59A-7061902B9186}" id="{E6E48448-0E21-41A5-B06E-F65140C42E87}">
    <text>McGregor Resasco Nat Cat 2024 - TEA+ in DMSO over Ag</text>
  </threadedComment>
  <threadedComment ref="J3" dT="2024-11-11T16:47:41.07" personId="{97EB442A-BA5A-4BA8-A59A-7061902B9186}" id="{D9B01A9E-9FFA-448D-A0A9-79E915973C3A}">
    <text>McGregor Resasco Nat Cat 2024 - TEA+ in DMSO over Ag</text>
  </threadedComment>
  <threadedComment ref="K3" dT="2025-03-04T05:32:58.10" personId="{97EB442A-BA5A-4BA8-A59A-7061902B9186}" id="{8D2E08FD-BCF3-4A8C-9D9E-6747D93724EB}">
    <text>McGregor Resasco Nat Cat 2024 - TEA+ in DMSO over Ag</text>
  </threadedComment>
  <threadedComment ref="L3" dT="2024-11-11T19:54:36.26" personId="{97EB442A-BA5A-4BA8-A59A-7061902B9186}" id="{9C7BA66E-4710-4766-B736-DAB2C4C5EA8C}">
    <text>Average for top 25 datapoints making CO</text>
  </threadedComment>
  <threadedComment ref="N3" dT="2025-02-07T23:53:30.60" personId="{97EB442A-BA5A-4BA8-A59A-7061902B9186}" id="{F0232A46-C9BF-49E2-A4AA-DE559C7A6D71}">
    <text>In DMF</text>
  </threadedComment>
  <threadedComment ref="F4" dT="2025-03-12T20:14:00.34" personId="{97EB442A-BA5A-4BA8-A59A-7061902B9186}" id="{7273D210-4D64-44E6-BE25-BA65E8FE5FAE}">
    <text xml:space="preserve">Heat of combustion. NIST Standard Reference Database Number 69. DOI: https://doi.org/10.18434/T4D303 </text>
  </threadedComment>
  <threadedComment ref="I4" dT="2025-03-04T05:51:49.65" personId="{97EB442A-BA5A-4BA8-A59A-7061902B9186}" id="{AFCEC81D-C29E-4742-9893-06690BE859BC}">
    <text>Fischer Heitz J Appl Electrochem 1981 - 0.2 M TEACl in DMF over Pb</text>
  </threadedComment>
  <threadedComment ref="J4" dT="2025-01-15T16:47:50.62" personId="{97EB442A-BA5A-4BA8-A59A-7061902B9186}" id="{38772031-2712-4E60-AF4C-BC7506EB126A}">
    <text>Gennaro Saveant J Chem Soc Faraday Trans 1996 - over Hg in ACN</text>
  </threadedComment>
  <threadedComment ref="K4" dT="2024-11-11T19:30:39.97" personId="{97EB442A-BA5A-4BA8-A59A-7061902B9186}" id="{19966830-0D20-46F0-AE3D-88797573DA5E}">
    <text>Fischer Heitz J Applied Electrochem 1981</text>
  </threadedComment>
  <threadedComment ref="K4" dT="2024-11-11T19:31:14.43" personId="{97EB442A-BA5A-4BA8-A59A-7061902B9186}" id="{8FF508C9-FAC4-4AF1-AB3C-F8E3DAC447F3}" parentId="{19966830-0D20-46F0-AE3D-88797573DA5E}">
    <text>DMF, 0.2 M TEACl, Pb vs Al, undivided cell</text>
  </threadedComment>
  <threadedComment ref="L4" dT="2025-01-15T15:40:12.85" personId="{97EB442A-BA5A-4BA8-A59A-7061902B9186}" id="{61AD334A-127F-49E9-826D-132D83D54FFE}">
    <text>Average for top 50 datapoints making any oxalates or OA</text>
  </threadedComment>
  <threadedComment ref="N4" dT="2025-02-07T23:53:39.13" personId="{97EB442A-BA5A-4BA8-A59A-7061902B9186}" id="{D3F419E4-0AC2-42D8-AE74-03450151D28F}">
    <text>In DMSO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5-01-20T21:26:15.43" personId="{97EB442A-BA5A-4BA8-A59A-7061902B9186}" id="{E5AC3F3D-5F46-4C07-9B89-304D65BB0E75}">
    <text>CRC Handbook of Chem and Phys 105th Ed.</text>
  </threadedComment>
  <threadedComment ref="C2" dT="2024-12-03T18:32:44.07" personId="{97EB442A-BA5A-4BA8-A59A-7061902B9186}" id="{ECC5778C-B306-4101-9455-D2B811F9E1B3}">
    <text>https://www.intratec.us/chemical-markets/acetonitrile-price</text>
    <extLst>
      <x:ext xmlns:xltc2="http://schemas.microsoft.com/office/spreadsheetml/2020/threadedcomments2" uri="{F7C98A9C-CBB3-438F-8F68-D28B6AF4A901}">
        <xltc2:checksum>3329351198</xltc2:checksum>
        <xltc2:hyperlink startIndex="0" length="59" url="https://www.intratec.us/chemical-markets/acetonitrile-price"/>
      </x:ext>
    </extLst>
  </threadedComment>
  <threadedComment ref="D2" dT="2025-01-20T21:26:36.33" personId="{97EB442A-BA5A-4BA8-A59A-7061902B9186}" id="{F67C249D-9E0C-448B-A8C7-01734972A047}">
    <text>CRC Handbook of Chem and Phys 105th Ed.</text>
  </threadedComment>
  <threadedComment ref="E2" dT="2025-01-20T21:27:04.25" personId="{97EB442A-BA5A-4BA8-A59A-7061902B9186}" id="{1A47F35F-C8C5-428F-B841-B07DB6CB6586}">
    <text>CRC Handbook of Chem and Phys 105th Ed.</text>
  </threadedComment>
  <threadedComment ref="F2" dT="2025-01-20T20:55:14.09" personId="{97EB442A-BA5A-4BA8-A59A-7061902B9186}" id="{1F00EE09-7981-4B53-A2FE-8E9564200CBF}">
    <text>Gennaro, Vianello (J. Electroanal. Chem. And Interfacial Electrochem. 1990)</text>
  </threadedComment>
  <threadedComment ref="F2" dT="2025-02-28T19:23:53.36" personId="{97EB442A-BA5A-4BA8-A59A-7061902B9186}" id="{91C17045-AFD5-432B-B9C2-FCEBA6A5E127}" parentId="{1F00EE09-7981-4B53-A2FE-8E9564200CBF}">
    <text>Hong, Hardacre (Ind. Eng. Chem. Res. 2006)</text>
  </threadedComment>
  <threadedComment ref="I2" dT="2025-01-20T21:27:20.62" personId="{97EB442A-BA5A-4BA8-A59A-7061902B9186}" id="{CCFAFA67-1AB3-4E10-B472-4734839B5FB8}">
    <text>CRC Handbook of Chem and Phys 105th Ed.</text>
  </threadedComment>
  <threadedComment ref="J2" dT="2025-01-20T21:27:35.11" personId="{97EB442A-BA5A-4BA8-A59A-7061902B9186}" id="{7E768D53-988A-46AE-8800-331D2B19C4CA}">
    <text>CRC Handbook of Chem and Phys 105th Ed.</text>
  </threadedComment>
  <threadedComment ref="L2" dT="2025-01-20T21:27:50.71" personId="{97EB442A-BA5A-4BA8-A59A-7061902B9186}" id="{F72D791D-203F-48D2-BBE6-FB8C410089E4}">
    <text>CRC Handbook of Chem and Phys 105th Ed.</text>
  </threadedComment>
  <threadedComment ref="B3" dT="2025-01-20T21:26:20.62" personId="{97EB442A-BA5A-4BA8-A59A-7061902B9186}" id="{46705330-D6EB-4863-A1A8-B104F2E8D6B3}">
    <text>CRC Handbook of Chem and Phys 105th Ed.</text>
  </threadedComment>
  <threadedComment ref="C3" dT="2024-12-03T18:30:41.82" personId="{97EB442A-BA5A-4BA8-A59A-7061902B9186}" id="{168996AD-382A-4647-91D8-9337C1109D7E}">
    <text>https://www.imarcgroup.com/propylene-carbonate-pricing-report</text>
    <extLst>
      <x:ext xmlns:xltc2="http://schemas.microsoft.com/office/spreadsheetml/2020/threadedcomments2" uri="{F7C98A9C-CBB3-438F-8F68-D28B6AF4A901}">
        <xltc2:checksum>2517436472</xltc2:checksum>
        <xltc2:hyperlink startIndex="0" length="61" url="https://www.imarcgroup.com/propylene-carbonate-pricing-report"/>
      </x:ext>
    </extLst>
  </threadedComment>
  <threadedComment ref="D3" dT="2025-01-20T21:26:41.18" personId="{97EB442A-BA5A-4BA8-A59A-7061902B9186}" id="{64FBC311-9AC9-4A86-9F4C-B513D1E820CD}">
    <text>CRC Handbook of Chem and Phys 105th Ed.</text>
  </threadedComment>
  <threadedComment ref="E3" dT="2025-01-20T21:31:52.60" personId="{97EB442A-BA5A-4BA8-A59A-7061902B9186}" id="{03642210-2394-46F4-A4C6-05E5974668C8}">
    <text>Izutsu (Wiley, 2009, Table 1.1)</text>
  </threadedComment>
  <threadedComment ref="F3" dT="2025-01-20T22:11:26.46" personId="{97EB442A-BA5A-4BA8-A59A-7061902B9186}" id="{44C8D15E-D18E-42F7-B8B2-A65CC53CBB8C}">
    <text>Murrieta-Guevara, Trejo (Fluid Phase Equilibria, 1988)</text>
  </threadedComment>
  <threadedComment ref="I3" dT="2025-01-20T21:27:23.98" personId="{97EB442A-BA5A-4BA8-A59A-7061902B9186}" id="{8C14FDD1-22B7-4F70-B01E-C665917CE3E4}">
    <text>CRC Handbook of Chem and Phys 105th Ed.</text>
  </threadedComment>
  <threadedComment ref="J3" dT="2025-01-20T21:27:38.80" personId="{97EB442A-BA5A-4BA8-A59A-7061902B9186}" id="{0182AE5B-5F63-4940-956C-D441191E1036}">
    <text>CRC Handbook of Chem and Phys 105th Ed.</text>
  </threadedComment>
  <threadedComment ref="L3" dT="2025-02-27T16:47:21.60" personId="{97EB442A-BA5A-4BA8-A59A-7061902B9186}" id="{CD81BE3F-D774-4E87-9142-820CB945B9AE}">
    <text>CRC Handbook of Chem and Phys 105th Ed.</text>
  </threadedComment>
  <threadedComment ref="B4" dT="2025-01-20T21:26:24.25" personId="{97EB442A-BA5A-4BA8-A59A-7061902B9186}" id="{DD06A995-3E0B-473D-8CCE-79C9FDD92985}">
    <text>CRC Handbook of Chem and Phys 105th Ed.</text>
  </threadedComment>
  <threadedComment ref="C4" dT="2024-12-03T18:29:32.47" personId="{97EB442A-BA5A-4BA8-A59A-7061902B9186}" id="{BF97B819-C241-44FC-AA8D-937FDD0CF315}">
    <text xml:space="preserve">https://www.imarcgroup.com/dimethyl-sulfoxide-pricing-report
</text>
    <extLst>
      <x:ext xmlns:xltc2="http://schemas.microsoft.com/office/spreadsheetml/2020/threadedcomments2" uri="{F7C98A9C-CBB3-438F-8F68-D28B6AF4A901}">
        <xltc2:checksum>3022425215</xltc2:checksum>
        <xltc2:hyperlink startIndex="0" length="60" url="https://www.imarcgroup.com/dimethyl-sulfoxide-pricing-report"/>
      </x:ext>
    </extLst>
  </threadedComment>
  <threadedComment ref="D4" dT="2025-01-20T21:26:45.46" personId="{97EB442A-BA5A-4BA8-A59A-7061902B9186}" id="{24A6F79D-F1B1-486E-8E16-0DF2EB3ECD76}">
    <text>CRC Handbook of Chem and Phys 105th Ed.</text>
  </threadedComment>
  <threadedComment ref="E4" dT="2025-01-20T21:27:07.86" personId="{97EB442A-BA5A-4BA8-A59A-7061902B9186}" id="{3E35980D-20DB-4345-B9FE-BEA0317F7EBB}">
    <text>CRC Handbook of Chem and Phys 105th Ed.</text>
  </threadedComment>
  <threadedComment ref="F4" dT="2025-01-20T20:26:40.91" personId="{97EB442A-BA5A-4BA8-A59A-7061902B9186}" id="{A557D283-8D16-4ED2-AC97-8D87D241B088}">
    <text>Harifi-Mood (J. Chem. Thermo., 2020, Table 3)</text>
  </threadedComment>
  <threadedComment ref="F4" dT="2025-01-20T21:03:59.74" personId="{97EB442A-BA5A-4BA8-A59A-7061902B9186}" id="{ED490485-EB49-40FD-819B-2FFEDC862A79}" parentId="{A557D283-8D16-4ED2-AC97-8D87D241B088}">
    <text>Gennaro, Vianello (J. Electroanal. Chem. And Interfacial Electrochem. 1990)</text>
  </threadedComment>
  <threadedComment ref="I4" dT="2025-01-20T21:27:27.28" personId="{97EB442A-BA5A-4BA8-A59A-7061902B9186}" id="{1983A994-3FCC-4917-A080-32AC954B27A3}">
    <text>CRC Handbook of Chem and Phys 105th Ed.</text>
  </threadedComment>
  <threadedComment ref="J4" dT="2025-01-20T21:27:42.09" personId="{97EB442A-BA5A-4BA8-A59A-7061902B9186}" id="{F163D6D5-0931-443B-A93F-1C0E825E55FE}">
    <text>CRC Handbook of Chem and Phys 105th Ed.</text>
  </threadedComment>
  <threadedComment ref="L4" dT="2025-01-20T21:27:55.05" personId="{97EB442A-BA5A-4BA8-A59A-7061902B9186}" id="{5EA6F35C-447A-4F92-B17C-594D64D62197}">
    <text>CRC Handbook of Chem and Phys 105th Ed.</text>
  </threadedComment>
  <threadedComment ref="B5" dT="2025-01-20T21:26:28.19" personId="{97EB442A-BA5A-4BA8-A59A-7061902B9186}" id="{918158CC-13D0-4406-9FA6-83AE98F2FB61}">
    <text>CRC Handbook of Chem and Phys 105th Ed.</text>
  </threadedComment>
  <threadedComment ref="C5" dT="2025-01-15T16:55:54.83" personId="{97EB442A-BA5A-4BA8-A59A-7061902B9186}" id="{5D6620EE-D7DA-4BD1-9DEC-F1DFA3B16F63}">
    <text>https://businessanalytiq.com/procurementanalytics/index/dimethylformamide-dmf-price-index/</text>
    <extLst>
      <x:ext xmlns:xltc2="http://schemas.microsoft.com/office/spreadsheetml/2020/threadedcomments2" uri="{F7C98A9C-CBB3-438F-8F68-D28B6AF4A901}">
        <xltc2:checksum>2903401631</xltc2:checksum>
        <xltc2:hyperlink startIndex="0" length="90" url="https://businessanalytiq.com/procurementanalytics/index/dimethylformamide-dmf-price-index/"/>
      </x:ext>
    </extLst>
  </threadedComment>
  <threadedComment ref="C5" dT="2025-01-15T16:57:54.36" personId="{97EB442A-BA5A-4BA8-A59A-7061902B9186}" id="{2116F162-FBCC-4461-8DF2-BA5FD59EB428}" parentId="{5D6620EE-D7DA-4BD1-9DEC-F1DFA3B16F63}">
    <text>https://www.procurementresource.com/resource-center/dmf-dimethylformamide-price-trends</text>
    <extLst>
      <x:ext xmlns:xltc2="http://schemas.microsoft.com/office/spreadsheetml/2020/threadedcomments2" uri="{F7C98A9C-CBB3-438F-8F68-D28B6AF4A901}">
        <xltc2:checksum>3253514027</xltc2:checksum>
        <xltc2:hyperlink startIndex="0" length="86" url="https://www.procurementresource.com/resource-center/dmf-dimethylformamide-price-trends"/>
      </x:ext>
    </extLst>
  </threadedComment>
  <threadedComment ref="C5" dT="2025-01-15T16:58:00.41" personId="{97EB442A-BA5A-4BA8-A59A-7061902B9186}" id="{0F76214F-3170-4DB8-9A38-572C212649EE}" parentId="{5D6620EE-D7DA-4BD1-9DEC-F1DFA3B16F63}">
    <text>Averaged the above roughly</text>
  </threadedComment>
  <threadedComment ref="D5" dT="2025-01-20T21:27:00.06" personId="{97EB442A-BA5A-4BA8-A59A-7061902B9186}" id="{7EC05627-69D0-4FD7-BD41-0D34F6398A4A}">
    <text>CRC Handbook of Chem and Phys 105th Ed.</text>
  </threadedComment>
  <threadedComment ref="E5" dT="2025-01-20T21:27:11.44" personId="{97EB442A-BA5A-4BA8-A59A-7061902B9186}" id="{86D5D7AE-BF34-4CC2-BAB5-EB71EAF53309}">
    <text>CRC Handbook of Chem and Phys 105th Ed.</text>
  </threadedComment>
  <threadedComment ref="F5" dT="2025-01-20T21:04:12.01" personId="{97EB442A-BA5A-4BA8-A59A-7061902B9186}" id="{3A5F5CB1-C285-495B-87E8-AE2A789DD37B}">
    <text>Gennaro, Vianello (J. Electroanal. Chem. And Interfacial Electrochem. 1990)</text>
  </threadedComment>
  <threadedComment ref="I5" dT="2025-01-20T21:27:30.00" personId="{97EB442A-BA5A-4BA8-A59A-7061902B9186}" id="{4E6C45D9-A547-4A85-8E31-46455E39B2F7}">
    <text>CRC Handbook of Chem and Phys 105th Ed.</text>
  </threadedComment>
  <threadedComment ref="J5" dT="2025-01-20T21:27:46.12" personId="{97EB442A-BA5A-4BA8-A59A-7061902B9186}" id="{C9E7B65A-8DF8-424A-AFB0-85F34FB8C5A3}">
    <text>CRC Handbook of Chem and Phys 105th Ed.</text>
  </threadedComment>
  <threadedComment ref="L5" dT="2025-01-20T21:27:59.71" personId="{97EB442A-BA5A-4BA8-A59A-7061902B9186}" id="{699871B5-28D8-4F74-810A-11C06F2FFAC4}">
    <text>CRC Handbook of Chem and Phys 105th Ed.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O22" dT="2025-02-28T16:20:47.06" personId="{97EB442A-BA5A-4BA8-A59A-7061902B9186}" id="{F83C0BB8-84EC-45BA-80EA-4951B1179FBB}">
    <text>Ue, M. Mobility and Ionic Association of Lithium and Quaternary Ammonium Salts in Propylene Carbonate and γ‐Butyrolactone. J. Electrochem. Soc. 1994, 141 (12), 3336–3342. https://doi.org/10.1149/1.2059336.</text>
    <extLst>
      <x:ext xmlns:xltc2="http://schemas.microsoft.com/office/spreadsheetml/2020/threadedcomments2" uri="{F7C98A9C-CBB3-438F-8F68-D28B6AF4A901}">
        <xltc2:checksum>2265119330</xltc2:checksum>
        <xltc2:hyperlink startIndex="171" length="33" url="https://doi.org/10.1149/1.2059336"/>
      </x:ext>
    </extLst>
  </threadedComment>
  <threadedComment ref="O35" dT="2025-02-28T16:20:47.06" personId="{97EB442A-BA5A-4BA8-A59A-7061902B9186}" id="{74B6622E-07F7-49C4-B7AE-2162C5960A05}">
    <text>Ue, M. Mobility and Ionic Association of Lithium and Quaternary Ammonium Salts in Propylene Carbonate and γ‐Butyrolactone. J. Electrochem. Soc. 1994, 141 (12), 3336–3342. https://doi.org/10.1149/1.2059336.</text>
    <extLst>
      <x:ext xmlns:xltc2="http://schemas.microsoft.com/office/spreadsheetml/2020/threadedcomments2" uri="{F7C98A9C-CBB3-438F-8F68-D28B6AF4A901}">
        <xltc2:checksum>2265119330</xltc2:checksum>
        <xltc2:hyperlink startIndex="171" length="33" url="https://doi.org/10.1149/1.2059336"/>
      </x:ext>
    </extLst>
  </threadedComment>
  <threadedComment ref="O48" dT="2025-02-28T18:14:45.76" personId="{97EB442A-BA5A-4BA8-A59A-7061902B9186}" id="{7AF5891A-4275-420C-88F9-1032CBD27BC0}">
    <text>Roy, M. N.; Banik, I.; Ekka, D. Physics and Chemistry of an Ionic Liquid in Some Industrially Important Solvent Media Probed by Physicochemical Techniques. The Journal of Chemical Thermodynamics 2013, 57, 230–237. https://doi.org/10.1016/j.jct.2012.09.003.</text>
    <extLst>
      <x:ext xmlns:xltc2="http://schemas.microsoft.com/office/spreadsheetml/2020/threadedcomments2" uri="{F7C98A9C-CBB3-438F-8F68-D28B6AF4A901}">
        <xltc2:checksum>2103817893</xltc2:checksum>
        <xltc2:hyperlink startIndex="214" length="41" url="https://doi.org/10.1016/j.jct.2012.09.003"/>
      </x:ext>
    </extLst>
  </threadedComment>
  <threadedComment ref="O48" dT="2025-02-28T18:31:39.71" personId="{97EB442A-BA5A-4BA8-A59A-7061902B9186}" id="{8CE4A207-0E63-41C4-A2A8-C0518074A15E}" parentId="{7AF5891A-4275-420C-88F9-1032CBD27BC0}">
    <text>36.82 by splitting limiting molar conductance of NaBF4 in DMF (68.62) between Na+ (30.0, Izutsu) and BF4- (68.62 - 30 = 36.82) from Borun et al.
Boruń, A.; Bald, A. Conductometric Studies of Sodium Tetraphenylborate, Tetrabutylammonium Bromide, and Sodium Tetrafluoroborate in N , N -Dimethylformamide at Temperatures from (283.15 to 318.15) K. J. Chem. Eng. Data 2012, 57 (7), 2037–2043. https://doi.org/10.1021/je300252d.</text>
    <extLst>
      <x:ext xmlns:xltc2="http://schemas.microsoft.com/office/spreadsheetml/2020/threadedcomments2" uri="{F7C98A9C-CBB3-438F-8F68-D28B6AF4A901}">
        <xltc2:checksum>1029699062</xltc2:checksum>
        <xltc2:hyperlink startIndex="390" length="33" url="https://doi.org/10.1021/je300252d"/>
      </x:ext>
    </extLst>
  </threadedComment>
  <threadedComment ref="O61" dT="2025-02-28T17:42:56.35" personId="{97EB442A-BA5A-4BA8-A59A-7061902B9186}" id="{95329D8C-BDCA-4D7B-BD82-A5E421E1F79B}">
    <text>McDonagh, P. M.; Reardon, J. F. Ionic Association and Mobility IV. Ionophores in Dimethylsulfoxide at 25°C. Journal of Solution Chemistry 1998, 27 (7), 675–683. https://doi.org/10.1023/A:1022602109299.</text>
    <extLst>
      <x:ext xmlns:xltc2="http://schemas.microsoft.com/office/spreadsheetml/2020/threadedcomments2" uri="{F7C98A9C-CBB3-438F-8F68-D28B6AF4A901}">
        <xltc2:checksum>2153702695</xltc2:checksum>
        <xltc2:hyperlink startIndex="161" length="39" url="https://doi.org/10.1023/A:1022602109299"/>
      </x:ext>
    </extLst>
  </threadedComment>
  <threadedComment ref="C75" dT="2025-01-20T21:27:04.25" personId="{97EB442A-BA5A-4BA8-A59A-7061902B9186}" id="{30296810-9BEE-43D1-B25A-B06E81168087}">
    <text>CRC Handbook of Chemistry and Physics: A Ready-Reference Book of Chemical and Physical Data, 105th edition.; Rumble, J. R., Brunno, T. J., Doa, M. J., Eds.; CRC handbook of chemistry and physics / Chemical Rubber Company; CRC Press: Boca Raton London New York, 2024.</text>
  </threadedComment>
  <threadedComment ref="D75" dT="2025-02-28T17:47:00.64" personId="{97EB442A-BA5A-4BA8-A59A-7061902B9186}" id="{AD5AF100-2068-4853-81C2-6293560FBE0E}">
    <text>Izutsu, K. Electrochemistry in Nonaqueous Solutions, 1st ed.; Wiley, 2009. https://doi.org/10.1002/9783527629152.
Table 1.1</text>
    <extLst>
      <x:ext xmlns:xltc2="http://schemas.microsoft.com/office/spreadsheetml/2020/threadedcomments2" uri="{F7C98A9C-CBB3-438F-8F68-D28B6AF4A901}">
        <xltc2:checksum>656708958</xltc2:checksum>
        <xltc2:hyperlink startIndex="75" length="37" url="https://doi.org/10.1002/9783527629152"/>
      </x:ext>
    </extLst>
  </threadedComment>
  <threadedComment ref="C76" dT="2025-01-20T21:31:52.60" personId="{97EB442A-BA5A-4BA8-A59A-7061902B9186}" id="{06DC49BF-BD0D-4A1E-9D7C-F4CD7A74ADDA}">
    <text>Izutsu, K. Electrochemistry in Nonaqueous Solutions, 1st ed.; Wiley, 2009. https://doi.org/10.1002/9783527629152.
Table 1.1</text>
    <extLst>
      <x:ext xmlns:xltc2="http://schemas.microsoft.com/office/spreadsheetml/2020/threadedcomments2" uri="{F7C98A9C-CBB3-438F-8F68-D28B6AF4A901}">
        <xltc2:checksum>656708958</xltc2:checksum>
        <xltc2:hyperlink startIndex="75" length="37" url="https://doi.org/10.1002/9783527629152"/>
      </x:ext>
    </extLst>
  </threadedComment>
  <threadedComment ref="D76" dT="2025-02-28T17:47:30.87" personId="{97EB442A-BA5A-4BA8-A59A-7061902B9186}" id="{05D31B46-3245-4EFF-B2CE-3B7C8121D431}">
    <text>Izutsu, K. Electrochemistry in Nonaqueous Solutions, 1st ed.; Wiley, 2009. https://doi.org/10.1002/9783527629152.
Table 1.1</text>
    <extLst>
      <x:ext xmlns:xltc2="http://schemas.microsoft.com/office/spreadsheetml/2020/threadedcomments2" uri="{F7C98A9C-CBB3-438F-8F68-D28B6AF4A901}">
        <xltc2:checksum>656708958</xltc2:checksum>
        <xltc2:hyperlink startIndex="75" length="37" url="https://doi.org/10.1002/9783527629152"/>
      </x:ext>
    </extLst>
  </threadedComment>
  <threadedComment ref="C77" dT="2025-01-20T21:27:11.44" personId="{97EB442A-BA5A-4BA8-A59A-7061902B9186}" id="{C4985599-33C8-4E93-8703-17FD436F52AF}">
    <text>CRC Handbook of Chemistry and Physics: A Ready-Reference Book of Chemical and Physical Data, 105th edition.; Rumble, J. R., Brunno, T. J., Doa, M. J., Eds.; CRC handbook of chemistry and physics / Chemical Rubber Company; CRC Press: Boca Raton London New York, 2024.</text>
  </threadedComment>
  <threadedComment ref="D77" dT="2025-02-28T17:47:55.20" personId="{97EB442A-BA5A-4BA8-A59A-7061902B9186}" id="{0B06D91A-118B-41A8-AD45-D3B4DF00D6EB}">
    <text>Izutsu, K. Electrochemistry in Nonaqueous Solutions, 1st ed.; Wiley, 2009. https://doi.org/10.1002/9783527629152.
Table 1.1</text>
    <extLst>
      <x:ext xmlns:xltc2="http://schemas.microsoft.com/office/spreadsheetml/2020/threadedcomments2" uri="{F7C98A9C-CBB3-438F-8F68-D28B6AF4A901}">
        <xltc2:checksum>656708958</xltc2:checksum>
        <xltc2:hyperlink startIndex="75" length="37" url="https://doi.org/10.1002/9783527629152"/>
      </x:ext>
    </extLst>
  </threadedComment>
  <threadedComment ref="C78" dT="2025-01-20T21:27:07.86" personId="{97EB442A-BA5A-4BA8-A59A-7061902B9186}" id="{60A4D9F1-60FC-42E7-A9B7-52B81A0860EB}">
    <text>CRC Handbook of Chemistry and Physics: A Ready-Reference Book of Chemical and Physical Data, 105th edition.; Rumble, J. R., Brunno, T. J., Doa, M. J., Eds.; CRC handbook of chemistry and physics / Chemical Rubber Company; CRC Press: Boca Raton London New York, 2024.</text>
  </threadedComment>
  <threadedComment ref="C78" dT="2025-02-28T17:47:47.40" personId="{97EB442A-BA5A-4BA8-A59A-7061902B9186}" id="{CD6D2E6E-C2F3-4EA8-8D20-7A7AB31B9A3C}" parentId="{60A4D9F1-60FC-42E7-A9B7-52B81A0860EB}">
    <text xml:space="preserve">Izutsu, K. Electrochemistry in Nonaqueous Solutions, 1st ed.; Wiley, 2009. https://doi.org/10.1002/9783527629152.
Table 1.1
</text>
    <extLst>
      <x:ext xmlns:xltc2="http://schemas.microsoft.com/office/spreadsheetml/2020/threadedcomments2" uri="{F7C98A9C-CBB3-438F-8F68-D28B6AF4A901}">
        <xltc2:checksum>2504825948</xltc2:checksum>
        <xltc2:hyperlink startIndex="75" length="37" url="https://doi.org/10.1002/9783527629152"/>
      </x:ext>
    </extLst>
  </threadedComment>
  <threadedComment ref="D78" dT="2025-02-28T17:48:10.67" personId="{97EB442A-BA5A-4BA8-A59A-7061902B9186}" id="{20C26133-ECAA-4616-A30C-17E4EA0E1314}">
    <text>Izutsu, K. Electrochemistry in Nonaqueous Solutions, 1st ed.; Wiley, 2009. https://doi.org/10.1002/9783527629152.
Table 1.1</text>
    <extLst>
      <x:ext xmlns:xltc2="http://schemas.microsoft.com/office/spreadsheetml/2020/threadedcomments2" uri="{F7C98A9C-CBB3-438F-8F68-D28B6AF4A901}">
        <xltc2:checksum>656708958</xltc2:checksum>
        <xltc2:hyperlink startIndex="75" length="37" url="https://doi.org/10.1002/9783527629152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joule.2023.03.015" TargetMode="External"/><Relationship Id="rId13" Type="http://schemas.openxmlformats.org/officeDocument/2006/relationships/hyperlink" Target="http://www.doi.org/10.1038/s41893-021-00739-x" TargetMode="External"/><Relationship Id="rId18" Type="http://schemas.openxmlformats.org/officeDocument/2006/relationships/comments" Target="../comments1.xml"/><Relationship Id="rId3" Type="http://schemas.openxmlformats.org/officeDocument/2006/relationships/hyperlink" Target="https://pubs.acs.org/doi/10.1021/acssuschemeng.3c04373" TargetMode="External"/><Relationship Id="rId7" Type="http://schemas.openxmlformats.org/officeDocument/2006/relationships/hyperlink" Target="https://doi.org/10.1039/c9ee00909d" TargetMode="External"/><Relationship Id="rId12" Type="http://schemas.openxmlformats.org/officeDocument/2006/relationships/hyperlink" Target="http://www.doi.org/10.1038/s41893-021-00739-x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linkinghub.elsevier.com/retrieve/pii/S1750583620306642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pubs.acs.org/doi/10.1021/acsaem.3c00166" TargetMode="External"/><Relationship Id="rId6" Type="http://schemas.openxmlformats.org/officeDocument/2006/relationships/hyperlink" Target="https://www.chemours.com/en/-/media/files/nafion/nafion-flow-battery-brochure.pdf?la=en&amp;rev=0419d4c952254224bb97c2c80097922c" TargetMode="External"/><Relationship Id="rId11" Type="http://schemas.openxmlformats.org/officeDocument/2006/relationships/hyperlink" Target="http://www.doi.org/10.1038/s41893-021-00739-x" TargetMode="External"/><Relationship Id="rId5" Type="http://schemas.openxmlformats.org/officeDocument/2006/relationships/hyperlink" Target="https://doi.org/10.1016/j.joule.2023.03.015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aaltodoc.aalto.fi/server/api/core/bitstreams/20604c46-04fd-401a-b3c0-f8e4737fac33/content" TargetMode="External"/><Relationship Id="rId19" Type="http://schemas.microsoft.com/office/2017/10/relationships/threadedComment" Target="../threadedComments/threadedComment1.xml"/><Relationship Id="rId4" Type="http://schemas.openxmlformats.org/officeDocument/2006/relationships/hyperlink" Target="https://www.iea.org/commentaries/is-carbon-capture-too-expensive" TargetMode="External"/><Relationship Id="rId9" Type="http://schemas.openxmlformats.org/officeDocument/2006/relationships/hyperlink" Target="https://www.sciencedirect.com/science/article/pii/S0959652622011829?via=ihub" TargetMode="External"/><Relationship Id="rId14" Type="http://schemas.openxmlformats.org/officeDocument/2006/relationships/hyperlink" Target="http://www.doi.org/10.1038/s41893-021-00739-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nature.com/articles/s41893-021-00739-x" TargetMode="External"/><Relationship Id="rId7" Type="http://schemas.openxmlformats.org/officeDocument/2006/relationships/hyperlink" Target="https://businessanalytiq.com/procurementanalytics/index/oxalic-acid-price-index/" TargetMode="External"/><Relationship Id="rId12" Type="http://schemas.microsoft.com/office/2017/10/relationships/threadedComment" Target="../threadedComments/threadedComment2.xml"/><Relationship Id="rId2" Type="http://schemas.openxmlformats.org/officeDocument/2006/relationships/hyperlink" Target="https://pubs.acs.org/doi/10.1021/acs.chemrev.1c00901?ref=PDF" TargetMode="External"/><Relationship Id="rId1" Type="http://schemas.openxmlformats.org/officeDocument/2006/relationships/hyperlink" Target="https://pubs.acs.org/doi/10.1021/acs.chemrev.8b00705" TargetMode="External"/><Relationship Id="rId6" Type="http://schemas.openxmlformats.org/officeDocument/2006/relationships/hyperlink" Target="https://doi.org/10.1039/FT9969203963" TargetMode="External"/><Relationship Id="rId11" Type="http://schemas.openxmlformats.org/officeDocument/2006/relationships/comments" Target="../comments2.xml"/><Relationship Id="rId5" Type="http://schemas.openxmlformats.org/officeDocument/2006/relationships/hyperlink" Target="https://eur-lex.europa.eu/eli/reg_impl/2018/931/oj/eng/pdf" TargetMode="External"/><Relationship Id="rId10" Type="http://schemas.openxmlformats.org/officeDocument/2006/relationships/table" Target="../tables/table2.xml"/><Relationship Id="rId4" Type="http://schemas.openxmlformats.org/officeDocument/2006/relationships/hyperlink" Target="http://pubs.acs.org/action/showCitFormats?doi=10.1021/acs.iecr.7b03514" TargetMode="External"/><Relationship Id="rId9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xlink.rsc.org/?DOI=C4GC00016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www.nrel.gov/analysis/life-cycle-assessment.html" TargetMode="External"/><Relationship Id="rId7" Type="http://schemas.openxmlformats.org/officeDocument/2006/relationships/hyperlink" Target="https://www.eia.gov/electricity/data/browser/" TargetMode="External"/><Relationship Id="rId2" Type="http://schemas.openxmlformats.org/officeDocument/2006/relationships/hyperlink" Target="https://www.lazard.com/research-insights/2023-levelized-cost-of-energyplus/" TargetMode="External"/><Relationship Id="rId1" Type="http://schemas.openxmlformats.org/officeDocument/2006/relationships/hyperlink" Target="https://www.lazard.com/research-insights/2023-levelized-cost-of-energyplus/" TargetMode="External"/><Relationship Id="rId6" Type="http://schemas.openxmlformats.org/officeDocument/2006/relationships/hyperlink" Target="https://www.eia.gov/electricity/data/browser/" TargetMode="External"/><Relationship Id="rId5" Type="http://schemas.openxmlformats.org/officeDocument/2006/relationships/hyperlink" Target="https://www.lazard.com/research-insights/2023-levelized-cost-of-energyplus/" TargetMode="External"/><Relationship Id="rId4" Type="http://schemas.openxmlformats.org/officeDocument/2006/relationships/hyperlink" Target="https://www.nrel.gov/docs/fy21osti/79236.pdf" TargetMode="External"/><Relationship Id="rId9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F5ED-8DF7-423A-A030-17DE1F110F66}">
  <dimension ref="A1:F52"/>
  <sheetViews>
    <sheetView zoomScale="115" zoomScaleNormal="115" workbookViewId="0">
      <selection activeCell="B33" sqref="B33"/>
    </sheetView>
  </sheetViews>
  <sheetFormatPr defaultColWidth="9.140625" defaultRowHeight="14.25" x14ac:dyDescent="0.2"/>
  <cols>
    <col min="1" max="1" width="25.5703125" style="13" bestFit="1" customWidth="1"/>
    <col min="2" max="2" width="23.42578125" style="3" customWidth="1"/>
    <col min="3" max="3" width="17.5703125" style="3" customWidth="1"/>
    <col min="4" max="4" width="16.42578125" style="3" customWidth="1"/>
    <col min="5" max="5" width="21.85546875" style="3" customWidth="1"/>
    <col min="6" max="6" width="47" style="40" customWidth="1"/>
    <col min="7" max="16384" width="9.140625" style="3"/>
  </cols>
  <sheetData>
    <row r="1" spans="1:6" x14ac:dyDescent="0.2">
      <c r="A1" s="6" t="s">
        <v>6</v>
      </c>
      <c r="B1" s="6" t="s">
        <v>31</v>
      </c>
      <c r="C1" s="6" t="s">
        <v>7</v>
      </c>
      <c r="D1" s="6" t="s">
        <v>8</v>
      </c>
      <c r="E1" s="11" t="s">
        <v>23</v>
      </c>
      <c r="F1" s="38" t="s">
        <v>186</v>
      </c>
    </row>
    <row r="2" spans="1:6" ht="42.75" x14ac:dyDescent="0.2">
      <c r="A2" s="5" t="s">
        <v>145</v>
      </c>
      <c r="B2" s="5" t="s">
        <v>148</v>
      </c>
      <c r="C2" s="18">
        <v>1</v>
      </c>
      <c r="D2" s="5" t="s">
        <v>71</v>
      </c>
      <c r="E2" s="5" t="s">
        <v>189</v>
      </c>
      <c r="F2" s="39"/>
    </row>
    <row r="3" spans="1:6" ht="42.75" x14ac:dyDescent="0.2">
      <c r="A3" s="5" t="s">
        <v>146</v>
      </c>
      <c r="B3" s="5" t="s">
        <v>147</v>
      </c>
      <c r="C3" s="18">
        <v>0.3</v>
      </c>
      <c r="D3" s="5" t="s">
        <v>71</v>
      </c>
      <c r="E3" s="5" t="s">
        <v>189</v>
      </c>
      <c r="F3" s="39" t="s">
        <v>190</v>
      </c>
    </row>
    <row r="4" spans="1:6" ht="42.75" x14ac:dyDescent="0.2">
      <c r="A4" s="4" t="s">
        <v>80</v>
      </c>
      <c r="B4" s="5" t="s">
        <v>64</v>
      </c>
      <c r="C4" s="8">
        <v>75</v>
      </c>
      <c r="D4" s="4" t="s">
        <v>65</v>
      </c>
      <c r="E4" s="15" t="s">
        <v>123</v>
      </c>
      <c r="F4" s="39" t="s">
        <v>122</v>
      </c>
    </row>
    <row r="5" spans="1:6" ht="42.75" x14ac:dyDescent="0.2">
      <c r="A5" s="4" t="s">
        <v>95</v>
      </c>
      <c r="B5" s="5" t="s">
        <v>112</v>
      </c>
      <c r="C5" s="23">
        <v>1.4500000000000001E-2</v>
      </c>
      <c r="D5" s="4" t="s">
        <v>109</v>
      </c>
      <c r="E5" s="15" t="s">
        <v>114</v>
      </c>
      <c r="F5" s="39" t="s">
        <v>113</v>
      </c>
    </row>
    <row r="6" spans="1:6" ht="57" x14ac:dyDescent="0.2">
      <c r="A6" s="4" t="s">
        <v>115</v>
      </c>
      <c r="B6" s="5" t="s">
        <v>116</v>
      </c>
      <c r="C6" s="16">
        <f>5000*800/773.1</f>
        <v>5173.9749062217043</v>
      </c>
      <c r="D6" s="4" t="s">
        <v>117</v>
      </c>
      <c r="E6" s="15" t="s">
        <v>124</v>
      </c>
      <c r="F6" s="39" t="s">
        <v>167</v>
      </c>
    </row>
    <row r="7" spans="1:6" ht="85.5" x14ac:dyDescent="0.2">
      <c r="A7" s="4" t="s">
        <v>160</v>
      </c>
      <c r="B7" s="5" t="s">
        <v>164</v>
      </c>
      <c r="C7" s="16">
        <f>1.3*950000*1.24*(800/444.2)*((1000)/(2160/(Solvents!H2*C19/1000)))^0.7</f>
        <v>57368.495093584941</v>
      </c>
      <c r="D7" s="4" t="s">
        <v>163</v>
      </c>
      <c r="E7" s="15" t="s">
        <v>196</v>
      </c>
      <c r="F7" s="39" t="s">
        <v>187</v>
      </c>
    </row>
    <row r="8" spans="1:6" ht="57" x14ac:dyDescent="0.2">
      <c r="A8" s="4" t="s">
        <v>159</v>
      </c>
      <c r="B8" s="5" t="s">
        <v>161</v>
      </c>
      <c r="C8" s="16">
        <f>1.3*1989043*800/596.2</f>
        <v>3469648.9768534047</v>
      </c>
      <c r="D8" s="4" t="s">
        <v>162</v>
      </c>
      <c r="E8" s="15" t="s">
        <v>19</v>
      </c>
      <c r="F8" s="39" t="s">
        <v>168</v>
      </c>
    </row>
    <row r="9" spans="1:6" ht="28.5" x14ac:dyDescent="0.2">
      <c r="A9" s="4" t="s">
        <v>82</v>
      </c>
      <c r="B9" s="4" t="s">
        <v>32</v>
      </c>
      <c r="C9" s="8">
        <v>0</v>
      </c>
      <c r="D9" s="4" t="s">
        <v>16</v>
      </c>
      <c r="E9" s="4"/>
      <c r="F9" s="39" t="s">
        <v>141</v>
      </c>
    </row>
    <row r="10" spans="1:6" ht="28.5" x14ac:dyDescent="0.2">
      <c r="A10" s="4" t="s">
        <v>143</v>
      </c>
      <c r="B10" s="4" t="s">
        <v>144</v>
      </c>
      <c r="C10" s="7">
        <v>1000</v>
      </c>
      <c r="D10" s="4" t="s">
        <v>46</v>
      </c>
      <c r="E10" s="4"/>
      <c r="F10" s="39"/>
    </row>
    <row r="11" spans="1:6" ht="42.75" x14ac:dyDescent="0.2">
      <c r="A11" s="5" t="s">
        <v>79</v>
      </c>
      <c r="B11" s="5" t="s">
        <v>74</v>
      </c>
      <c r="C11" s="10">
        <v>0.9</v>
      </c>
      <c r="D11" s="5"/>
      <c r="E11" s="15" t="s">
        <v>75</v>
      </c>
      <c r="F11" s="39"/>
    </row>
    <row r="12" spans="1:6" ht="28.5" x14ac:dyDescent="0.2">
      <c r="A12" s="4" t="s">
        <v>92</v>
      </c>
      <c r="B12" s="4" t="s">
        <v>157</v>
      </c>
      <c r="C12" s="48">
        <v>0.2</v>
      </c>
      <c r="D12" s="4"/>
      <c r="E12" s="15"/>
      <c r="F12" s="39"/>
    </row>
    <row r="13" spans="1:6" ht="28.5" x14ac:dyDescent="0.2">
      <c r="A13" s="5" t="s">
        <v>92</v>
      </c>
      <c r="B13" s="5" t="s">
        <v>62</v>
      </c>
      <c r="C13" s="10">
        <v>7.0000000000000007E-2</v>
      </c>
      <c r="D13" s="5"/>
      <c r="E13" s="15" t="s">
        <v>22</v>
      </c>
    </row>
    <row r="14" spans="1:6" ht="42.75" x14ac:dyDescent="0.2">
      <c r="A14" s="5" t="s">
        <v>136</v>
      </c>
      <c r="B14" s="5" t="s">
        <v>139</v>
      </c>
      <c r="C14" s="9">
        <f>0.8/10</f>
        <v>0.08</v>
      </c>
      <c r="D14" s="5" t="s">
        <v>137</v>
      </c>
      <c r="E14" s="15" t="s">
        <v>138</v>
      </c>
    </row>
    <row r="15" spans="1:6" ht="42.75" x14ac:dyDescent="0.2">
      <c r="A15" s="5" t="s">
        <v>134</v>
      </c>
      <c r="B15" s="5" t="s">
        <v>135</v>
      </c>
      <c r="C15" s="9">
        <v>0.22</v>
      </c>
      <c r="D15" s="5" t="s">
        <v>21</v>
      </c>
      <c r="E15" s="15" t="s">
        <v>197</v>
      </c>
      <c r="F15" s="43" t="s">
        <v>207</v>
      </c>
    </row>
    <row r="16" spans="1:6" ht="42.75" x14ac:dyDescent="0.2">
      <c r="A16" s="5" t="s">
        <v>77</v>
      </c>
      <c r="B16" s="5" t="s">
        <v>33</v>
      </c>
      <c r="C16" s="9">
        <v>1.23</v>
      </c>
      <c r="D16" s="5" t="s">
        <v>53</v>
      </c>
      <c r="E16" s="15" t="s">
        <v>18</v>
      </c>
    </row>
    <row r="17" spans="1:6" ht="15.75" x14ac:dyDescent="0.2">
      <c r="A17" s="4" t="s">
        <v>83</v>
      </c>
      <c r="B17" s="4" t="s">
        <v>11</v>
      </c>
      <c r="C17" s="7">
        <v>96485.33212331</v>
      </c>
      <c r="D17" s="4" t="s">
        <v>12</v>
      </c>
      <c r="E17" s="4"/>
      <c r="F17" s="39"/>
    </row>
    <row r="18" spans="1:6" x14ac:dyDescent="0.2">
      <c r="A18" s="4" t="s">
        <v>133</v>
      </c>
      <c r="B18" s="4" t="s">
        <v>9</v>
      </c>
      <c r="C18" s="4">
        <v>8.3144720000000003</v>
      </c>
      <c r="D18" s="4" t="s">
        <v>10</v>
      </c>
      <c r="E18" s="4"/>
      <c r="F18" s="39"/>
    </row>
    <row r="19" spans="1:6" ht="17.25" x14ac:dyDescent="0.2">
      <c r="A19" s="4" t="s">
        <v>81</v>
      </c>
      <c r="B19" s="4" t="s">
        <v>42</v>
      </c>
      <c r="C19" s="8">
        <v>44.009500000000003</v>
      </c>
      <c r="D19" s="4" t="s">
        <v>28</v>
      </c>
      <c r="E19" s="4"/>
      <c r="F19" s="39"/>
    </row>
    <row r="20" spans="1:6" ht="17.25" x14ac:dyDescent="0.2">
      <c r="A20" s="5" t="s">
        <v>90</v>
      </c>
      <c r="B20" s="5" t="s">
        <v>68</v>
      </c>
      <c r="C20" s="8">
        <v>138.2055</v>
      </c>
      <c r="D20" s="4" t="s">
        <v>28</v>
      </c>
      <c r="E20" s="4"/>
      <c r="F20" s="39"/>
    </row>
    <row r="21" spans="1:6" ht="17.25" x14ac:dyDescent="0.2">
      <c r="A21" s="4" t="s">
        <v>88</v>
      </c>
      <c r="B21" s="5" t="s">
        <v>45</v>
      </c>
      <c r="C21" s="8">
        <v>31.998799999999999</v>
      </c>
      <c r="D21" s="4" t="s">
        <v>28</v>
      </c>
      <c r="E21" s="4"/>
      <c r="F21" s="39"/>
    </row>
    <row r="22" spans="1:6" x14ac:dyDescent="0.2">
      <c r="A22" s="4" t="s">
        <v>97</v>
      </c>
      <c r="B22" s="4" t="s">
        <v>43</v>
      </c>
      <c r="C22" s="8">
        <v>18.015799999999999</v>
      </c>
      <c r="D22" s="4" t="s">
        <v>28</v>
      </c>
      <c r="E22" s="4"/>
      <c r="F22" s="39"/>
    </row>
    <row r="23" spans="1:6" x14ac:dyDescent="0.2">
      <c r="A23" s="4" t="s">
        <v>89</v>
      </c>
      <c r="B23" s="4" t="s">
        <v>14</v>
      </c>
      <c r="C23" s="7">
        <v>101325</v>
      </c>
      <c r="D23" s="4" t="s">
        <v>15</v>
      </c>
      <c r="E23" s="4"/>
      <c r="F23" s="39"/>
    </row>
    <row r="24" spans="1:6" ht="28.5" x14ac:dyDescent="0.2">
      <c r="A24" s="4" t="s">
        <v>102</v>
      </c>
      <c r="B24" s="4" t="s">
        <v>103</v>
      </c>
      <c r="C24" s="10">
        <f>350/365</f>
        <v>0.95890410958904104</v>
      </c>
      <c r="D24" s="4"/>
      <c r="E24" s="4"/>
      <c r="F24" s="39"/>
    </row>
    <row r="25" spans="1:6" ht="28.5" x14ac:dyDescent="0.2">
      <c r="A25" s="4" t="s">
        <v>107</v>
      </c>
      <c r="B25" s="4" t="s">
        <v>108</v>
      </c>
      <c r="C25" s="18">
        <v>0</v>
      </c>
      <c r="D25" s="4"/>
      <c r="E25" s="4"/>
      <c r="F25" s="39"/>
    </row>
    <row r="26" spans="1:6" ht="28.5" x14ac:dyDescent="0.2">
      <c r="A26" s="4" t="s">
        <v>104</v>
      </c>
      <c r="B26" s="4" t="s">
        <v>105</v>
      </c>
      <c r="C26" s="20">
        <v>10</v>
      </c>
      <c r="D26" s="4" t="s">
        <v>106</v>
      </c>
      <c r="E26" s="4"/>
      <c r="F26" s="39"/>
    </row>
    <row r="27" spans="1:6" ht="28.5" x14ac:dyDescent="0.2">
      <c r="A27" s="4" t="s">
        <v>99</v>
      </c>
      <c r="B27" s="4" t="s">
        <v>100</v>
      </c>
      <c r="C27" s="19">
        <v>3000</v>
      </c>
      <c r="D27" s="4" t="s">
        <v>101</v>
      </c>
      <c r="E27" s="4"/>
      <c r="F27" s="39"/>
    </row>
    <row r="28" spans="1:6" ht="28.5" x14ac:dyDescent="0.2">
      <c r="A28" s="4" t="s">
        <v>120</v>
      </c>
      <c r="B28" s="5" t="s">
        <v>121</v>
      </c>
      <c r="C28" s="19">
        <v>1</v>
      </c>
      <c r="D28" s="4" t="s">
        <v>106</v>
      </c>
      <c r="E28" s="4"/>
      <c r="F28" s="39"/>
    </row>
    <row r="29" spans="1:6" ht="42.75" x14ac:dyDescent="0.2">
      <c r="A29" s="5" t="s">
        <v>98</v>
      </c>
      <c r="B29" s="5" t="s">
        <v>70</v>
      </c>
      <c r="C29" s="10">
        <v>0.05</v>
      </c>
      <c r="D29" s="5"/>
      <c r="E29" s="15"/>
      <c r="F29" s="39"/>
    </row>
    <row r="30" spans="1:6" ht="42.75" x14ac:dyDescent="0.2">
      <c r="A30" s="5" t="s">
        <v>165</v>
      </c>
      <c r="B30" s="5" t="s">
        <v>166</v>
      </c>
      <c r="C30" s="18">
        <v>500</v>
      </c>
      <c r="D30" s="5" t="s">
        <v>204</v>
      </c>
      <c r="E30" s="15"/>
      <c r="F30" s="39" t="s">
        <v>188</v>
      </c>
    </row>
    <row r="31" spans="1:6" ht="28.5" x14ac:dyDescent="0.2">
      <c r="A31" s="5" t="s">
        <v>96</v>
      </c>
      <c r="B31" s="5" t="s">
        <v>69</v>
      </c>
      <c r="C31" s="18">
        <v>2500</v>
      </c>
      <c r="D31" s="5" t="s">
        <v>111</v>
      </c>
      <c r="E31" s="15"/>
      <c r="F31" s="39"/>
    </row>
    <row r="32" spans="1:6" ht="28.5" x14ac:dyDescent="0.2">
      <c r="A32" s="5" t="s">
        <v>91</v>
      </c>
      <c r="B32" s="5" t="s">
        <v>36</v>
      </c>
      <c r="C32" s="5">
        <v>10</v>
      </c>
      <c r="D32" s="5" t="s">
        <v>20</v>
      </c>
      <c r="E32" s="15" t="s">
        <v>19</v>
      </c>
      <c r="F32" s="39"/>
    </row>
    <row r="33" spans="1:6" ht="28.5" x14ac:dyDescent="0.2">
      <c r="A33" s="5" t="s">
        <v>78</v>
      </c>
      <c r="B33" s="5" t="s">
        <v>34</v>
      </c>
      <c r="C33" s="5">
        <v>0.247</v>
      </c>
      <c r="D33" s="5" t="s">
        <v>17</v>
      </c>
      <c r="E33" s="15" t="s">
        <v>19</v>
      </c>
      <c r="F33" s="39"/>
    </row>
    <row r="34" spans="1:6" ht="28.5" x14ac:dyDescent="0.2">
      <c r="A34" s="5" t="s">
        <v>76</v>
      </c>
      <c r="B34" s="5" t="s">
        <v>35</v>
      </c>
      <c r="C34" s="5">
        <f>0.041*1000</f>
        <v>41</v>
      </c>
      <c r="D34" s="5" t="s">
        <v>119</v>
      </c>
      <c r="E34" s="15" t="s">
        <v>19</v>
      </c>
      <c r="F34" s="39"/>
    </row>
    <row r="35" spans="1:6" ht="28.5" x14ac:dyDescent="0.2">
      <c r="A35" s="5" t="s">
        <v>93</v>
      </c>
      <c r="B35" s="5" t="s">
        <v>37</v>
      </c>
      <c r="C35" s="9">
        <v>313.14999999999998</v>
      </c>
      <c r="D35" s="5" t="s">
        <v>13</v>
      </c>
      <c r="E35" s="15" t="s">
        <v>22</v>
      </c>
      <c r="F35" s="39"/>
    </row>
    <row r="36" spans="1:6" x14ac:dyDescent="0.2">
      <c r="A36" s="4" t="s">
        <v>94</v>
      </c>
      <c r="B36" s="4" t="s">
        <v>118</v>
      </c>
      <c r="C36" s="9">
        <v>313.14999999999998</v>
      </c>
      <c r="D36" s="4" t="s">
        <v>13</v>
      </c>
      <c r="E36" s="4"/>
      <c r="F36" s="39"/>
    </row>
    <row r="37" spans="1:6" ht="15" x14ac:dyDescent="0.2">
      <c r="A37" s="14" t="s">
        <v>84</v>
      </c>
      <c r="B37" s="5" t="s">
        <v>38</v>
      </c>
      <c r="C37" s="14">
        <v>273.14999999999998</v>
      </c>
      <c r="D37" s="14" t="s">
        <v>13</v>
      </c>
      <c r="E37" s="4"/>
      <c r="F37" s="39"/>
    </row>
    <row r="38" spans="1:6" ht="28.5" x14ac:dyDescent="0.2">
      <c r="A38" s="4" t="s">
        <v>85</v>
      </c>
      <c r="B38" s="5" t="s">
        <v>39</v>
      </c>
      <c r="C38" s="7">
        <f>3600</f>
        <v>3600</v>
      </c>
      <c r="D38" s="4" t="s">
        <v>26</v>
      </c>
      <c r="E38" s="4"/>
      <c r="F38" s="39"/>
    </row>
    <row r="39" spans="1:6" ht="28.5" x14ac:dyDescent="0.2">
      <c r="A39" s="4" t="s">
        <v>86</v>
      </c>
      <c r="B39" s="5" t="s">
        <v>41</v>
      </c>
      <c r="C39" s="7">
        <f>1055870</f>
        <v>1055870</v>
      </c>
      <c r="D39" s="4" t="s">
        <v>27</v>
      </c>
      <c r="E39" s="4"/>
      <c r="F39" s="39"/>
    </row>
    <row r="40" spans="1:6" ht="28.5" x14ac:dyDescent="0.2">
      <c r="A40" s="4" t="s">
        <v>87</v>
      </c>
      <c r="B40" s="5" t="s">
        <v>40</v>
      </c>
      <c r="C40" s="7">
        <f>kJ_per_mmBtu/kJ_per_kWh</f>
        <v>293.29722222222222</v>
      </c>
      <c r="D40" s="4" t="s">
        <v>30</v>
      </c>
      <c r="E40" s="4"/>
      <c r="F40" s="39"/>
    </row>
    <row r="41" spans="1:6" x14ac:dyDescent="0.2">
      <c r="A41" s="3"/>
      <c r="F41" s="39"/>
    </row>
    <row r="42" spans="1:6" x14ac:dyDescent="0.2">
      <c r="A42" s="3"/>
      <c r="F42" s="39"/>
    </row>
    <row r="43" spans="1:6" x14ac:dyDescent="0.2">
      <c r="A43" s="3"/>
    </row>
    <row r="44" spans="1:6" x14ac:dyDescent="0.2">
      <c r="A44" s="3"/>
    </row>
    <row r="45" spans="1:6" x14ac:dyDescent="0.2">
      <c r="A45" s="3"/>
    </row>
    <row r="46" spans="1:6" x14ac:dyDescent="0.2">
      <c r="A46" s="3"/>
    </row>
    <row r="47" spans="1:6" x14ac:dyDescent="0.2">
      <c r="A47" s="3"/>
    </row>
    <row r="48" spans="1:6" x14ac:dyDescent="0.2">
      <c r="A48" s="3"/>
    </row>
    <row r="49" spans="1:4" x14ac:dyDescent="0.2">
      <c r="A49" s="3"/>
    </row>
    <row r="50" spans="1:4" x14ac:dyDescent="0.2">
      <c r="A50" s="4"/>
      <c r="B50" s="7"/>
      <c r="C50" s="4"/>
      <c r="D50" s="4"/>
    </row>
    <row r="51" spans="1:4" x14ac:dyDescent="0.2">
      <c r="A51" s="4"/>
      <c r="B51" s="8"/>
      <c r="C51" s="4"/>
      <c r="D51" s="4"/>
    </row>
    <row r="52" spans="1:4" x14ac:dyDescent="0.2">
      <c r="B52" s="5"/>
      <c r="C52" s="5"/>
    </row>
  </sheetData>
  <hyperlinks>
    <hyperlink ref="E14" r:id="rId1" xr:uid="{B2106B39-835F-40BC-BDFE-DE3B87B90F64}"/>
    <hyperlink ref="E11" r:id="rId2" display="Brandl et al" xr:uid="{EF89FF7B-65AC-4D83-8890-C13EE030FEED}"/>
    <hyperlink ref="E5" r:id="rId3" display="Seider et al: $0.27/m3; Alerte et al: $0.0145/kg" xr:uid="{428FA07D-32E1-4E39-B95F-F3FC1495D338}"/>
    <hyperlink ref="E4" r:id="rId4" display="IEA, average for power gen" xr:uid="{781250D3-74FF-4AAC-876D-B170419E0026}"/>
    <hyperlink ref="E35" r:id="rId5" xr:uid="{1D582B49-C9A3-4464-96C4-7694D2F23D8F}"/>
    <hyperlink ref="E15" r:id="rId6" display="Chemours 2024; Nafion N117" xr:uid="{C255EE5C-FBDD-4176-A67A-8F3FD3120E2E}"/>
    <hyperlink ref="E16" r:id="rId7" xr:uid="{C621EBC1-D2D7-4FBE-8E4B-BC10DF4928D4}"/>
    <hyperlink ref="E13" r:id="rId8" xr:uid="{2C690385-64CC-452A-875C-728C51C7F159}"/>
    <hyperlink ref="E6" r:id="rId9" location="fig2" display="Badgett, Cortright (J Cleaner Prod 2022)" xr:uid="{13C42B5A-CBC8-4B1A-A9AB-3BCDE19ECC9C}"/>
    <hyperlink ref="E7" r:id="rId10" display="Rantakyla, 2004" xr:uid="{02516210-4A57-4505-9BB9-81760639675F}"/>
    <hyperlink ref="E33" r:id="rId11" xr:uid="{4036FC5E-2405-4C4F-9382-95746ACACF99}"/>
    <hyperlink ref="E32" r:id="rId12" xr:uid="{A2BA9811-CE47-4570-9C89-3F1B13200BAB}"/>
    <hyperlink ref="E34" r:id="rId13" xr:uid="{D6C65685-0DF2-44D6-9321-5CE49E794532}"/>
    <hyperlink ref="E8" r:id="rId14" xr:uid="{BD6E9C34-DA45-404C-A535-A5E941272F90}"/>
  </hyperlinks>
  <pageMargins left="0.7" right="0.7" top="0.75" bottom="0.75" header="0.3" footer="0.3"/>
  <pageSetup orientation="portrait" r:id="rId15"/>
  <legacyDrawing r:id="rId16"/>
  <tableParts count="1"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DAF06-8365-4A5D-B76C-A5564B983B09}">
  <dimension ref="A1:Q11"/>
  <sheetViews>
    <sheetView zoomScaleNormal="100" workbookViewId="0">
      <pane xSplit="1" topLeftCell="B1" activePane="topRight" state="frozen"/>
      <selection pane="topRight" activeCell="H5" sqref="H5"/>
    </sheetView>
  </sheetViews>
  <sheetFormatPr defaultColWidth="9.140625" defaultRowHeight="14.25" x14ac:dyDescent="0.2"/>
  <cols>
    <col min="1" max="1" width="13" style="3" bestFit="1" customWidth="1"/>
    <col min="2" max="2" width="13" style="3" customWidth="1"/>
    <col min="3" max="3" width="15" style="3" bestFit="1" customWidth="1"/>
    <col min="4" max="4" width="18.7109375" style="3" bestFit="1" customWidth="1"/>
    <col min="5" max="5" width="18.7109375" style="3" customWidth="1"/>
    <col min="6" max="6" width="15.7109375" style="3" bestFit="1" customWidth="1"/>
    <col min="7" max="7" width="15.7109375" style="22" customWidth="1"/>
    <col min="8" max="8" width="17.7109375" style="3" bestFit="1" customWidth="1"/>
    <col min="9" max="9" width="16.42578125" style="3" bestFit="1" customWidth="1"/>
    <col min="10" max="10" width="13.28515625" style="3" bestFit="1" customWidth="1"/>
    <col min="11" max="11" width="15.140625" style="3" bestFit="1" customWidth="1"/>
    <col min="12" max="12" width="17.7109375" style="3" customWidth="1"/>
    <col min="13" max="14" width="15.140625" style="3" customWidth="1"/>
    <col min="15" max="15" width="15.7109375" style="3" customWidth="1"/>
    <col min="16" max="16" width="23.140625" style="46" bestFit="1" customWidth="1"/>
    <col min="17" max="17" width="19.7109375" style="3" bestFit="1" customWidth="1"/>
    <col min="18" max="16384" width="9.140625" style="3"/>
  </cols>
  <sheetData>
    <row r="1" spans="1:17" ht="58.5" x14ac:dyDescent="0.2">
      <c r="A1" s="6" t="s">
        <v>48</v>
      </c>
      <c r="B1" s="6" t="s">
        <v>59</v>
      </c>
      <c r="C1" s="6" t="s">
        <v>49</v>
      </c>
      <c r="D1" s="6" t="s">
        <v>55</v>
      </c>
      <c r="E1" s="6" t="s">
        <v>56</v>
      </c>
      <c r="F1" s="6" t="s">
        <v>50</v>
      </c>
      <c r="G1" s="17" t="s">
        <v>63</v>
      </c>
      <c r="H1" s="6" t="s">
        <v>58</v>
      </c>
      <c r="I1" s="6" t="s">
        <v>51</v>
      </c>
      <c r="J1" s="6" t="s">
        <v>52</v>
      </c>
      <c r="K1" s="6" t="s">
        <v>57</v>
      </c>
      <c r="L1" s="6" t="s">
        <v>67</v>
      </c>
      <c r="M1" s="6" t="s">
        <v>169</v>
      </c>
      <c r="N1" s="6" t="s">
        <v>206</v>
      </c>
      <c r="O1" s="11" t="s">
        <v>23</v>
      </c>
      <c r="P1" s="11" t="s">
        <v>192</v>
      </c>
      <c r="Q1" s="11" t="s">
        <v>193</v>
      </c>
    </row>
    <row r="2" spans="1:17" ht="17.25" x14ac:dyDescent="0.2">
      <c r="A2" s="24" t="s">
        <v>54</v>
      </c>
      <c r="B2" s="4" t="s">
        <v>60</v>
      </c>
      <c r="C2" s="8">
        <f>1.007947*2</f>
        <v>2.0158939999999999</v>
      </c>
      <c r="D2" s="4">
        <v>2</v>
      </c>
      <c r="E2" s="4">
        <v>0</v>
      </c>
      <c r="F2" s="16">
        <v>120087</v>
      </c>
      <c r="G2" s="8">
        <v>2</v>
      </c>
      <c r="H2" s="4">
        <v>0</v>
      </c>
      <c r="I2" s="5"/>
      <c r="J2" s="5"/>
      <c r="K2" s="5"/>
      <c r="L2" s="5"/>
      <c r="M2" s="5"/>
      <c r="N2" s="5"/>
      <c r="O2" s="4"/>
      <c r="P2" s="4"/>
      <c r="Q2" s="4"/>
    </row>
    <row r="3" spans="1:17" ht="57" x14ac:dyDescent="0.2">
      <c r="A3" s="24" t="s">
        <v>47</v>
      </c>
      <c r="B3" s="4" t="s">
        <v>60</v>
      </c>
      <c r="C3" s="8">
        <v>28.010100000000001</v>
      </c>
      <c r="D3" s="4">
        <v>2</v>
      </c>
      <c r="E3" s="4">
        <v>1</v>
      </c>
      <c r="F3" s="16">
        <v>10160</v>
      </c>
      <c r="G3" s="8">
        <f>0.6*(1.015^(2024-2001))</f>
        <v>0.84502629276592345</v>
      </c>
      <c r="H3" s="9">
        <v>-0.06</v>
      </c>
      <c r="I3" s="8">
        <f>-1.9+0.197-Products[[#This Row],[Standard potential, pH = 0 (V vs SHE)]]</f>
        <v>-1.6429999999999998</v>
      </c>
      <c r="J3" s="4">
        <v>-184</v>
      </c>
      <c r="K3" s="49">
        <v>0.1</v>
      </c>
      <c r="L3" s="9">
        <v>0.89</v>
      </c>
      <c r="M3" s="28">
        <v>0.66700000000000004</v>
      </c>
      <c r="N3" s="19">
        <v>200</v>
      </c>
      <c r="O3" s="15" t="s">
        <v>19</v>
      </c>
      <c r="P3" s="45" t="s">
        <v>199</v>
      </c>
      <c r="Q3" s="4"/>
    </row>
    <row r="4" spans="1:17" ht="71.25" x14ac:dyDescent="0.2">
      <c r="A4" s="24" t="s">
        <v>156</v>
      </c>
      <c r="B4" s="5" t="s">
        <v>142</v>
      </c>
      <c r="C4" s="9">
        <v>90.03</v>
      </c>
      <c r="D4" s="4">
        <v>2</v>
      </c>
      <c r="E4" s="4">
        <v>2</v>
      </c>
      <c r="F4" s="16">
        <f>253.5/(Products[[#This Row],[Molecular weight (g/mol)]]/1000)</f>
        <v>2815.7280906364545</v>
      </c>
      <c r="G4" s="8">
        <v>0.7</v>
      </c>
      <c r="H4" s="9">
        <v>-0.51</v>
      </c>
      <c r="I4" s="8">
        <f>-2.5+0.197-Products[[#This Row],[Standard potential, pH = 0 (V vs SHE)]]</f>
        <v>-1.7929999999999999</v>
      </c>
      <c r="J4" s="19">
        <f>0.2*1000/(3.2-5.2)</f>
        <v>-100</v>
      </c>
      <c r="K4" s="49">
        <v>5.2</v>
      </c>
      <c r="L4" s="5">
        <v>0.7</v>
      </c>
      <c r="M4" s="28">
        <v>0.66700000000000004</v>
      </c>
      <c r="N4" s="19">
        <v>200</v>
      </c>
      <c r="O4" s="15" t="s">
        <v>173</v>
      </c>
      <c r="P4" s="45" t="s">
        <v>198</v>
      </c>
      <c r="Q4" s="15" t="s">
        <v>172</v>
      </c>
    </row>
    <row r="5" spans="1:17" s="21" customFormat="1" ht="57" x14ac:dyDescent="0.2">
      <c r="A5" s="24" t="s">
        <v>23</v>
      </c>
      <c r="B5" s="5" t="s">
        <v>61</v>
      </c>
      <c r="C5" s="5" t="s">
        <v>61</v>
      </c>
      <c r="D5" s="15" t="s">
        <v>125</v>
      </c>
      <c r="E5" s="5" t="s">
        <v>61</v>
      </c>
      <c r="F5" s="4" t="s">
        <v>191</v>
      </c>
      <c r="G5" s="5" t="s">
        <v>194</v>
      </c>
      <c r="H5" s="15" t="s">
        <v>126</v>
      </c>
      <c r="I5" s="5" t="s">
        <v>191</v>
      </c>
      <c r="J5" s="5" t="s">
        <v>191</v>
      </c>
      <c r="K5" s="5" t="s">
        <v>191</v>
      </c>
      <c r="L5" s="5" t="s">
        <v>189</v>
      </c>
      <c r="M5" s="5"/>
      <c r="N5" s="19"/>
      <c r="O5" s="4"/>
      <c r="P5" s="4"/>
      <c r="Q5" s="4"/>
    </row>
    <row r="9" spans="1:17" x14ac:dyDescent="0.2">
      <c r="D9" s="50"/>
    </row>
    <row r="10" spans="1:17" x14ac:dyDescent="0.2">
      <c r="D10" s="50"/>
    </row>
    <row r="11" spans="1:17" x14ac:dyDescent="0.2">
      <c r="D11" s="50"/>
    </row>
  </sheetData>
  <phoneticPr fontId="17" type="noConversion"/>
  <hyperlinks>
    <hyperlink ref="D5" r:id="rId1" display="Nitopi Jaramillo Chem Rev 2019" xr:uid="{A6CEC16A-5A29-4C4B-B6DC-2F13839F3E5E}"/>
    <hyperlink ref="H5" r:id="rId2" display="Bui Weber Chem Rev 2022" xr:uid="{D54C8481-3AD6-4B97-878B-D2C90AD4D097}"/>
    <hyperlink ref="O3" r:id="rId3" xr:uid="{A4F65FF6-C6EC-40B1-9701-93F5858A18BD}"/>
    <hyperlink ref="P3" r:id="rId4" display="Jouny, Jiao I&amp;EC 2018" xr:uid="{055CF2D0-A5B8-4CD1-86AB-6306FD0BDCB1}"/>
    <hyperlink ref="P4" r:id="rId5" display="Official Journal of the European Union 2018/931; BusinessAnalytiq" xr:uid="{EE1F26C5-F40D-4FF5-8A7F-D7509C148F0D}"/>
    <hyperlink ref="O4" r:id="rId6" display="Gennaro, Saveant (Faraday Trans. 1996)" xr:uid="{7978DE13-367D-4230-95ED-F9E3350D0932}"/>
    <hyperlink ref="Q4" r:id="rId7" display="Business Analytiq (accessed 2024)" xr:uid="{42FBBE18-D944-424A-B062-2455F7054E13}"/>
  </hyperlinks>
  <pageMargins left="0.7" right="0.7" top="0.75" bottom="0.75" header="0.3" footer="0.3"/>
  <pageSetup orientation="portrait" r:id="rId8"/>
  <legacyDrawing r:id="rId9"/>
  <tableParts count="1"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85D70-1AE4-4A35-988B-BBC4298D1C90}">
  <dimension ref="A1:L11"/>
  <sheetViews>
    <sheetView zoomScaleNormal="100" workbookViewId="0">
      <pane xSplit="1" topLeftCell="B1" activePane="topRight" state="frozen"/>
      <selection pane="topRight" activeCell="G13" sqref="G13"/>
    </sheetView>
  </sheetViews>
  <sheetFormatPr defaultColWidth="9.140625" defaultRowHeight="14.25" x14ac:dyDescent="0.25"/>
  <cols>
    <col min="1" max="1" width="14.5703125" style="41" customWidth="1"/>
    <col min="2" max="6" width="15.7109375" style="41" customWidth="1"/>
    <col min="7" max="7" width="20" style="41" bestFit="1" customWidth="1"/>
    <col min="8" max="12" width="15.7109375" style="41" customWidth="1"/>
    <col min="13" max="16384" width="9.140625" style="41"/>
  </cols>
  <sheetData>
    <row r="1" spans="1:12" ht="74.25" x14ac:dyDescent="0.25">
      <c r="A1" s="25" t="s">
        <v>149</v>
      </c>
      <c r="B1" s="6" t="s">
        <v>49</v>
      </c>
      <c r="C1" s="17" t="s">
        <v>150</v>
      </c>
      <c r="D1" s="4" t="s">
        <v>171</v>
      </c>
      <c r="E1" s="5" t="s">
        <v>152</v>
      </c>
      <c r="F1" s="5" t="s">
        <v>178</v>
      </c>
      <c r="G1" s="5" t="s">
        <v>203</v>
      </c>
      <c r="H1" s="5" t="s">
        <v>158</v>
      </c>
      <c r="I1" s="5" t="s">
        <v>174</v>
      </c>
      <c r="J1" s="5" t="s">
        <v>176</v>
      </c>
      <c r="K1" s="5" t="s">
        <v>181</v>
      </c>
      <c r="L1" s="5" t="s">
        <v>175</v>
      </c>
    </row>
    <row r="2" spans="1:12" x14ac:dyDescent="0.25">
      <c r="A2" s="24" t="s">
        <v>140</v>
      </c>
      <c r="B2" s="8">
        <v>41.052</v>
      </c>
      <c r="C2" s="8">
        <v>2.7</v>
      </c>
      <c r="D2" s="19">
        <v>782.5</v>
      </c>
      <c r="E2" s="9">
        <v>0.36899999999999999</v>
      </c>
      <c r="F2" s="9">
        <f>1/60.7</f>
        <v>1.6474464579901153E-2</v>
      </c>
      <c r="G2" s="29">
        <v>1</v>
      </c>
      <c r="H2" s="9">
        <f>Products6[[#This Row],[Henry''s constant at 298K, CO2 (mole fraction/atm)]]*9.8692/(1-Products6[[#This Row],[Henry''s constant at 298K, CO2 (mole fraction/atm)]]*9.8692)</f>
        <v>0.19415787278579127</v>
      </c>
      <c r="I2" s="9">
        <f>273.15+81.6</f>
        <v>354.75</v>
      </c>
      <c r="J2" s="7">
        <f>11.9*1000</f>
        <v>11900</v>
      </c>
      <c r="K2" s="7">
        <v>1E-4</v>
      </c>
      <c r="L2" s="7" t="s">
        <v>177</v>
      </c>
    </row>
    <row r="3" spans="1:12" ht="28.5" x14ac:dyDescent="0.25">
      <c r="A3" s="24" t="s">
        <v>154</v>
      </c>
      <c r="B3" s="8">
        <v>102.089</v>
      </c>
      <c r="C3" s="8">
        <v>0.90700000000000003</v>
      </c>
      <c r="D3" s="19">
        <v>1204.7</v>
      </c>
      <c r="E3" s="9">
        <v>2.5299999999999998</v>
      </c>
      <c r="F3" s="9">
        <f>1/82.1</f>
        <v>1.2180267965895251E-2</v>
      </c>
      <c r="G3" s="29">
        <v>0.25637872945660661</v>
      </c>
      <c r="H3" s="9">
        <f>Products6[[#This Row],[Henry''s constant at 298K, CO2 (mole fraction/atm)]]*9.8692/(1-Products6[[#This Row],[Henry''s constant at 298K, CO2 (mole fraction/atm)]]*9.8692)</f>
        <v>0.13663423359564064</v>
      </c>
      <c r="I3" s="9">
        <f>273.15+241.6</f>
        <v>514.75</v>
      </c>
      <c r="J3" s="7">
        <f>0.05*1000</f>
        <v>50</v>
      </c>
      <c r="K3" s="7">
        <v>1.0000000000000001E-5</v>
      </c>
      <c r="L3" s="8" t="s">
        <v>180</v>
      </c>
    </row>
    <row r="4" spans="1:12" x14ac:dyDescent="0.25">
      <c r="A4" s="26" t="s">
        <v>155</v>
      </c>
      <c r="B4" s="8">
        <v>78.132999999999996</v>
      </c>
      <c r="C4" s="8">
        <v>2.66</v>
      </c>
      <c r="D4" s="19">
        <v>1101</v>
      </c>
      <c r="E4" s="9">
        <v>1.9870000000000001</v>
      </c>
      <c r="F4" s="9">
        <f>1/101.6</f>
        <v>9.8425196850393699E-3</v>
      </c>
      <c r="G4" s="47">
        <v>0.27641668300511479</v>
      </c>
      <c r="H4" s="9">
        <f>Products6[[#This Row],[Henry''s constant at 298K, CO2 (mole fraction/atm)]]*9.8692/(1-Products6[[#This Row],[Henry''s constant at 298K, CO2 (mole fraction/atm)]]*9.8692)</f>
        <v>0.10758872701426347</v>
      </c>
      <c r="I4" s="9">
        <f>273.15+191.9</f>
        <v>465.04999999999995</v>
      </c>
      <c r="J4" s="7">
        <f>0.084*1000</f>
        <v>84</v>
      </c>
      <c r="K4" s="7">
        <v>1.0000000000000001E-5</v>
      </c>
      <c r="L4" s="7" t="s">
        <v>179</v>
      </c>
    </row>
    <row r="5" spans="1:12" x14ac:dyDescent="0.25">
      <c r="A5" s="26" t="s">
        <v>170</v>
      </c>
      <c r="B5" s="8">
        <v>73.093999999999994</v>
      </c>
      <c r="C5" s="8">
        <v>1</v>
      </c>
      <c r="D5" s="19">
        <v>944.5</v>
      </c>
      <c r="E5" s="9">
        <v>0.79400000000000004</v>
      </c>
      <c r="F5" s="9">
        <f>1/65.3</f>
        <v>1.5313935681470138E-2</v>
      </c>
      <c r="G5" s="29">
        <v>0.46069532626431126</v>
      </c>
      <c r="H5" s="9">
        <f>Products6[[#This Row],[Henry''s constant at 298K, CO2 (mole fraction/atm)]]*9.8692/(1-Products6[[#This Row],[Henry''s constant at 298K, CO2 (mole fraction/atm)]]*9.8692)</f>
        <v>0.17804541879244029</v>
      </c>
      <c r="I5" s="9">
        <f>273.15+152.8</f>
        <v>425.95</v>
      </c>
      <c r="J5" s="7">
        <f>0.439*1000</f>
        <v>439</v>
      </c>
      <c r="K5" s="7">
        <v>1.0000000000000001E-5</v>
      </c>
      <c r="L5" s="7" t="s">
        <v>177</v>
      </c>
    </row>
    <row r="6" spans="1:12" s="5" customFormat="1" ht="85.5" x14ac:dyDescent="0.25">
      <c r="A6" s="24" t="s">
        <v>23</v>
      </c>
      <c r="B6" s="5" t="s">
        <v>195</v>
      </c>
      <c r="C6" s="5" t="s">
        <v>191</v>
      </c>
      <c r="D6" s="5" t="s">
        <v>195</v>
      </c>
      <c r="E6" s="5" t="s">
        <v>191</v>
      </c>
      <c r="F6" s="5" t="s">
        <v>191</v>
      </c>
      <c r="G6" s="8" t="s">
        <v>272</v>
      </c>
      <c r="H6" s="5" t="s">
        <v>200</v>
      </c>
      <c r="I6" s="5" t="s">
        <v>195</v>
      </c>
      <c r="J6" s="5" t="s">
        <v>195</v>
      </c>
      <c r="K6" s="7"/>
      <c r="L6" s="5" t="s">
        <v>195</v>
      </c>
    </row>
    <row r="7" spans="1:12" x14ac:dyDescent="0.25">
      <c r="I7" s="42"/>
    </row>
    <row r="8" spans="1:12" x14ac:dyDescent="0.25">
      <c r="I8" s="42"/>
    </row>
    <row r="9" spans="1:12" x14ac:dyDescent="0.25">
      <c r="I9" s="42"/>
    </row>
    <row r="10" spans="1:12" x14ac:dyDescent="0.25">
      <c r="I10" s="42"/>
    </row>
    <row r="11" spans="1:12" x14ac:dyDescent="0.25">
      <c r="I11" s="42"/>
    </row>
  </sheetData>
  <phoneticPr fontId="17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AAB6-E21A-42F8-BEF8-70CDE446E133}">
  <dimension ref="A1:F6"/>
  <sheetViews>
    <sheetView zoomScale="97" zoomScaleNormal="160" workbookViewId="0">
      <pane xSplit="1" topLeftCell="B1" activePane="topRight" state="frozen"/>
      <selection pane="topRight" activeCell="C6" sqref="C6"/>
    </sheetView>
  </sheetViews>
  <sheetFormatPr defaultColWidth="9.140625" defaultRowHeight="14.25" x14ac:dyDescent="0.25"/>
  <cols>
    <col min="1" max="1" width="17.140625" style="41" bestFit="1" customWidth="1"/>
    <col min="2" max="2" width="17" style="41" customWidth="1"/>
    <col min="3" max="3" width="18" style="41" bestFit="1" customWidth="1"/>
    <col min="4" max="4" width="18.7109375" style="41" bestFit="1" customWidth="1"/>
    <col min="5" max="5" width="22.5703125" style="41" customWidth="1"/>
    <col min="6" max="6" width="19.140625" style="41" customWidth="1"/>
    <col min="7" max="16384" width="9.140625" style="41"/>
  </cols>
  <sheetData>
    <row r="1" spans="1:6" ht="42.75" x14ac:dyDescent="0.25">
      <c r="A1" s="25" t="s">
        <v>151</v>
      </c>
      <c r="B1" s="6" t="s">
        <v>49</v>
      </c>
      <c r="C1" s="17" t="s">
        <v>153</v>
      </c>
      <c r="D1" s="5" t="s">
        <v>202</v>
      </c>
    </row>
    <row r="2" spans="1:6" x14ac:dyDescent="0.25">
      <c r="A2" s="24" t="s">
        <v>182</v>
      </c>
      <c r="B2" s="8">
        <v>165.74</v>
      </c>
      <c r="C2" s="8">
        <v>10</v>
      </c>
      <c r="D2" s="47">
        <v>2.9542007879697955E-2</v>
      </c>
      <c r="E2" s="4"/>
      <c r="F2" s="4"/>
    </row>
    <row r="3" spans="1:6" x14ac:dyDescent="0.25">
      <c r="A3" s="24" t="s">
        <v>183</v>
      </c>
      <c r="B3" s="8">
        <v>341.91</v>
      </c>
      <c r="C3" s="8">
        <v>10</v>
      </c>
      <c r="D3" s="47">
        <v>1.6752999999999997E-2</v>
      </c>
    </row>
    <row r="4" spans="1:6" x14ac:dyDescent="0.25">
      <c r="A4" s="24" t="s">
        <v>184</v>
      </c>
      <c r="B4" s="8">
        <v>229.74</v>
      </c>
      <c r="C4" s="8">
        <v>10</v>
      </c>
      <c r="D4" s="47">
        <v>2.0932000000000003E-2</v>
      </c>
      <c r="E4" s="27"/>
    </row>
    <row r="5" spans="1:6" x14ac:dyDescent="0.25">
      <c r="A5" s="24" t="s">
        <v>185</v>
      </c>
      <c r="B5" s="8">
        <v>329.27</v>
      </c>
      <c r="C5" s="8">
        <v>10</v>
      </c>
      <c r="D5" s="47">
        <v>2.1827000000000003E-2</v>
      </c>
      <c r="E5" s="27"/>
    </row>
    <row r="6" spans="1:6" ht="99.75" x14ac:dyDescent="0.25">
      <c r="A6" s="24" t="s">
        <v>23</v>
      </c>
      <c r="B6" s="44" t="s">
        <v>61</v>
      </c>
      <c r="C6" s="15" t="s">
        <v>201</v>
      </c>
      <c r="D6" s="8" t="s">
        <v>272</v>
      </c>
    </row>
  </sheetData>
  <phoneticPr fontId="17" type="noConversion"/>
  <hyperlinks>
    <hyperlink ref="C6" r:id="rId1" display="https://xlink.rsc.org/?DOI=C4GC00016A" xr:uid="{DE1E8B53-ACDC-4E0B-B896-B8420133203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50117-7FF7-46A9-9CB1-1D0EC2086168}">
  <dimension ref="A1:F14"/>
  <sheetViews>
    <sheetView workbookViewId="0">
      <pane xSplit="1" topLeftCell="B1" activePane="topRight" state="frozen"/>
      <selection activeCell="A4" sqref="A4"/>
      <selection pane="topRight" activeCell="I5" sqref="I5"/>
    </sheetView>
  </sheetViews>
  <sheetFormatPr defaultColWidth="9.140625" defaultRowHeight="15" x14ac:dyDescent="0.25"/>
  <cols>
    <col min="1" max="1" width="28.28515625" style="12" bestFit="1" customWidth="1"/>
    <col min="2" max="2" width="19.5703125" style="34" bestFit="1" customWidth="1"/>
    <col min="3" max="3" width="23.7109375" style="34" bestFit="1" customWidth="1"/>
    <col min="4" max="4" width="23.5703125" style="2" bestFit="1" customWidth="1"/>
    <col min="5" max="5" width="22.7109375" style="2" bestFit="1" customWidth="1"/>
    <col min="6" max="6" width="12.140625" style="2" customWidth="1"/>
    <col min="7" max="16384" width="9.140625" style="2"/>
  </cols>
  <sheetData>
    <row r="1" spans="1:6" s="1" customFormat="1" ht="34.5" x14ac:dyDescent="0.25">
      <c r="A1" s="37" t="s">
        <v>0</v>
      </c>
      <c r="B1" s="30" t="s">
        <v>4</v>
      </c>
      <c r="C1" s="30" t="s">
        <v>29</v>
      </c>
      <c r="D1" s="31" t="s">
        <v>23</v>
      </c>
    </row>
    <row r="2" spans="1:6" x14ac:dyDescent="0.25">
      <c r="A2" s="35"/>
      <c r="B2" s="32"/>
      <c r="C2" s="28"/>
      <c r="D2" s="5"/>
    </row>
    <row r="3" spans="1:6" ht="75" customHeight="1" x14ac:dyDescent="0.25">
      <c r="A3" s="36" t="s">
        <v>5</v>
      </c>
      <c r="B3" s="32">
        <v>2.4E-2</v>
      </c>
      <c r="C3" s="28">
        <v>50</v>
      </c>
      <c r="D3" s="33" t="s">
        <v>127</v>
      </c>
      <c r="E3" s="76" t="s">
        <v>129</v>
      </c>
      <c r="F3" s="75" t="s">
        <v>130</v>
      </c>
    </row>
    <row r="4" spans="1:6" ht="28.5" x14ac:dyDescent="0.25">
      <c r="A4" s="36" t="s">
        <v>73</v>
      </c>
      <c r="B4" s="32">
        <v>2.4E-2</v>
      </c>
      <c r="C4" s="28">
        <v>20</v>
      </c>
      <c r="D4" s="33" t="s">
        <v>127</v>
      </c>
      <c r="E4" s="76"/>
      <c r="F4" s="75"/>
    </row>
    <row r="5" spans="1:6" ht="28.5" x14ac:dyDescent="0.25">
      <c r="A5" s="36" t="s">
        <v>72</v>
      </c>
      <c r="B5" s="32">
        <v>4.2000000000000003E-2</v>
      </c>
      <c r="C5" s="28"/>
      <c r="D5" s="33" t="s">
        <v>128</v>
      </c>
    </row>
    <row r="6" spans="1:6" ht="57" x14ac:dyDescent="0.25">
      <c r="A6" s="36" t="s">
        <v>2</v>
      </c>
      <c r="B6" s="32">
        <f>16.05/100</f>
        <v>0.1605</v>
      </c>
      <c r="C6" s="28">
        <v>230.93061430996579</v>
      </c>
      <c r="D6" s="33" t="s">
        <v>131</v>
      </c>
    </row>
    <row r="7" spans="1:6" ht="57" x14ac:dyDescent="0.25">
      <c r="A7" s="36" t="s">
        <v>1</v>
      </c>
      <c r="B7" s="32">
        <f>8.15/100</f>
        <v>8.1500000000000003E-2</v>
      </c>
      <c r="C7" s="28">
        <v>414.10433834299573</v>
      </c>
      <c r="D7" s="33" t="s">
        <v>205</v>
      </c>
    </row>
    <row r="8" spans="1:6" ht="71.25" x14ac:dyDescent="0.25">
      <c r="A8" s="36" t="s">
        <v>3</v>
      </c>
      <c r="B8" s="32">
        <f>2.22/kWh_per_mmBtu</f>
        <v>7.5691136219420956E-3</v>
      </c>
      <c r="C8" s="28">
        <f>70.66/1000*kJ_per_kWh</f>
        <v>254.376</v>
      </c>
      <c r="D8" s="5" t="s">
        <v>132</v>
      </c>
    </row>
    <row r="9" spans="1:6" ht="28.5" x14ac:dyDescent="0.25">
      <c r="A9" s="36" t="s">
        <v>44</v>
      </c>
      <c r="B9" s="32">
        <v>0.03</v>
      </c>
      <c r="C9" s="28"/>
      <c r="D9" s="15" t="s">
        <v>19</v>
      </c>
    </row>
    <row r="10" spans="1:6" x14ac:dyDescent="0.25">
      <c r="A10" s="36"/>
      <c r="B10" s="32"/>
      <c r="C10" s="28"/>
      <c r="D10" s="5"/>
    </row>
    <row r="11" spans="1:6" x14ac:dyDescent="0.25">
      <c r="A11" s="36" t="s">
        <v>24</v>
      </c>
      <c r="B11" s="32">
        <f>B7</f>
        <v>8.1500000000000003E-2</v>
      </c>
      <c r="C11" s="28">
        <f>C7</f>
        <v>414.10433834299573</v>
      </c>
      <c r="D11" s="5"/>
    </row>
    <row r="12" spans="1:6" x14ac:dyDescent="0.25">
      <c r="A12" s="36" t="s">
        <v>25</v>
      </c>
      <c r="B12" s="32">
        <f>B8</f>
        <v>7.5691136219420956E-3</v>
      </c>
      <c r="C12" s="28">
        <f>C8</f>
        <v>254.376</v>
      </c>
      <c r="D12" s="5"/>
    </row>
    <row r="13" spans="1:6" x14ac:dyDescent="0.25">
      <c r="A13" s="36"/>
      <c r="B13" s="32"/>
      <c r="C13" s="28"/>
      <c r="D13" s="5"/>
    </row>
    <row r="14" spans="1:6" x14ac:dyDescent="0.25">
      <c r="A14" s="36" t="s">
        <v>66</v>
      </c>
      <c r="B14" s="32">
        <v>200</v>
      </c>
      <c r="C14" s="28"/>
      <c r="D14" s="15" t="s">
        <v>110</v>
      </c>
    </row>
  </sheetData>
  <mergeCells count="2">
    <mergeCell ref="F3:F4"/>
    <mergeCell ref="E3:E4"/>
  </mergeCells>
  <hyperlinks>
    <hyperlink ref="D3" r:id="rId1" display="Lazard April 2023; GREET 2022" xr:uid="{30AD102F-86CC-45B4-864B-ED7B59346D8B}"/>
    <hyperlink ref="D5" r:id="rId2" display="Lazard April 2023; GREET 2022" xr:uid="{1F2B7BF5-663B-4DAD-9B10-2CA45B85411D}"/>
    <hyperlink ref="E3" r:id="rId3" xr:uid="{3B32718D-979A-40E2-98A6-A140F52AD9CF}"/>
    <hyperlink ref="D14" r:id="rId4" xr:uid="{AE632364-779F-4089-A88D-F487214F42B4}"/>
    <hyperlink ref="D4" r:id="rId5" display="Lazard April 2023; GREET 2022" xr:uid="{001DDBDA-9A42-4028-A4C3-DD34E948B14B}"/>
    <hyperlink ref="D6" r:id="rId6" xr:uid="{EEDCFB93-E59F-403A-99E8-154836C00872}"/>
    <hyperlink ref="D7" r:id="rId7" display="U.S. Energy Information Administration (April 2023) - industrial retail; GREET (2022)" xr:uid="{2B223392-32B3-448A-811F-60ABD0999D47}"/>
  </hyperlinks>
  <pageMargins left="0.7" right="0.7" top="0.75" bottom="0.75" header="0.3" footer="0.3"/>
  <pageSetup orientation="portrait" r:id="rId8"/>
  <tableParts count="1"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83C3-39D1-4ED5-A491-3E778642522A}">
  <dimension ref="B1:U86"/>
  <sheetViews>
    <sheetView zoomScaleNormal="100" workbookViewId="0">
      <selection activeCell="M75" sqref="M75"/>
    </sheetView>
  </sheetViews>
  <sheetFormatPr defaultColWidth="15.5703125" defaultRowHeight="14.25" x14ac:dyDescent="0.25"/>
  <cols>
    <col min="1" max="1" width="9.7109375" style="28" bestFit="1" customWidth="1"/>
    <col min="2" max="2" width="13.42578125" style="28" bestFit="1" customWidth="1"/>
    <col min="3" max="3" width="17.85546875" style="60" bestFit="1" customWidth="1"/>
    <col min="4" max="4" width="14.140625" style="28" bestFit="1" customWidth="1"/>
    <col min="5" max="5" width="16.85546875" style="28" customWidth="1"/>
    <col min="6" max="6" width="15.140625" style="28" bestFit="1" customWidth="1"/>
    <col min="7" max="7" width="1.28515625" style="28" customWidth="1"/>
    <col min="8" max="8" width="17.28515625" style="28" bestFit="1" customWidth="1"/>
    <col min="9" max="9" width="14.140625" style="28" bestFit="1" customWidth="1"/>
    <col min="10" max="10" width="16.7109375" style="28" bestFit="1" customWidth="1"/>
    <col min="11" max="11" width="15.140625" style="28" bestFit="1" customWidth="1"/>
    <col min="12" max="12" width="1.7109375" style="28" customWidth="1"/>
    <col min="13" max="13" width="16.5703125" style="28" bestFit="1" customWidth="1"/>
    <col min="14" max="14" width="14.140625" style="28" bestFit="1" customWidth="1"/>
    <col min="15" max="15" width="16.7109375" style="28" bestFit="1" customWidth="1"/>
    <col min="16" max="16" width="15.140625" style="28" bestFit="1" customWidth="1"/>
    <col min="17" max="17" width="1.5703125" style="28" customWidth="1"/>
    <col min="18" max="18" width="16.5703125" style="28" bestFit="1" customWidth="1"/>
    <col min="19" max="19" width="15.140625" style="28" bestFit="1" customWidth="1"/>
    <col min="20" max="20" width="16.7109375" style="28" bestFit="1" customWidth="1"/>
    <col min="21" max="21" width="17.28515625" style="28" bestFit="1" customWidth="1"/>
    <col min="22" max="16384" width="15.5703125" style="28"/>
  </cols>
  <sheetData>
    <row r="1" spans="2:19" x14ac:dyDescent="0.25">
      <c r="B1" s="80" t="s">
        <v>227</v>
      </c>
      <c r="C1" s="80"/>
      <c r="D1" s="80"/>
      <c r="E1" s="80"/>
      <c r="F1" s="80"/>
      <c r="G1" s="80"/>
      <c r="H1" s="80"/>
      <c r="I1" s="52"/>
      <c r="J1" s="52"/>
      <c r="K1" s="52"/>
      <c r="S1" s="53"/>
    </row>
    <row r="2" spans="2:19" x14ac:dyDescent="0.2">
      <c r="B2" s="90" t="s">
        <v>226</v>
      </c>
      <c r="C2" s="90"/>
      <c r="D2" s="90"/>
      <c r="E2" s="90"/>
      <c r="F2" s="90"/>
      <c r="G2" s="90"/>
      <c r="H2" s="90"/>
      <c r="I2" s="3"/>
      <c r="J2" s="3"/>
      <c r="K2" s="3"/>
    </row>
    <row r="3" spans="2:19" ht="30" customHeight="1" x14ac:dyDescent="0.25">
      <c r="B3" s="81" t="s">
        <v>228</v>
      </c>
      <c r="C3" s="81"/>
      <c r="D3" s="81"/>
      <c r="E3" s="81"/>
      <c r="F3" s="81"/>
      <c r="G3" s="81"/>
      <c r="H3" s="81"/>
      <c r="I3" s="54"/>
      <c r="J3" s="54"/>
      <c r="K3" s="54"/>
    </row>
    <row r="5" spans="2:19" ht="29.25" customHeight="1" x14ac:dyDescent="0.25">
      <c r="B5" s="79" t="s">
        <v>225</v>
      </c>
      <c r="C5" s="79"/>
      <c r="D5" s="79"/>
      <c r="E5" s="79"/>
      <c r="F5" s="79"/>
      <c r="H5" s="79" t="s">
        <v>224</v>
      </c>
      <c r="I5" s="79"/>
      <c r="J5" s="79"/>
      <c r="K5" s="79"/>
    </row>
    <row r="6" spans="2:19" ht="35.25" customHeight="1" x14ac:dyDescent="0.25">
      <c r="B6" s="55"/>
      <c r="C6" s="55" t="s">
        <v>229</v>
      </c>
      <c r="D6" s="55" t="s">
        <v>230</v>
      </c>
      <c r="E6" s="55" t="s">
        <v>231</v>
      </c>
      <c r="F6" s="55" t="s">
        <v>182</v>
      </c>
      <c r="H6" s="56"/>
      <c r="I6" s="55" t="s">
        <v>223</v>
      </c>
      <c r="J6" s="55" t="s">
        <v>222</v>
      </c>
      <c r="K6" s="55" t="s">
        <v>221</v>
      </c>
    </row>
    <row r="7" spans="2:19" ht="17.25" x14ac:dyDescent="0.25">
      <c r="B7" s="56" t="s">
        <v>209</v>
      </c>
      <c r="C7" s="57">
        <f>F29</f>
        <v>2.5911618822705169E-2</v>
      </c>
      <c r="D7" s="56">
        <f>K29</f>
        <v>3.011259948001116E-2</v>
      </c>
      <c r="E7" s="56">
        <f>P29</f>
        <v>1.1081586510814711E-2</v>
      </c>
      <c r="F7" s="58">
        <f>U29</f>
        <v>2.9542007879697955E-2</v>
      </c>
      <c r="H7" s="55" t="s">
        <v>229</v>
      </c>
      <c r="I7" s="29">
        <f>C8/C7</f>
        <v>0.25447118373917371</v>
      </c>
      <c r="J7" s="29">
        <f>C9/C7</f>
        <v>0.48765370000986796</v>
      </c>
      <c r="K7" s="28">
        <f>C10/C7</f>
        <v>0.27404617625139061</v>
      </c>
    </row>
    <row r="8" spans="2:19" ht="17.25" x14ac:dyDescent="0.25">
      <c r="B8" s="56" t="s">
        <v>208</v>
      </c>
      <c r="C8" s="57">
        <f>F42</f>
        <v>6.5937603144120387E-3</v>
      </c>
      <c r="D8" s="56">
        <f>K42</f>
        <v>7.6435865352554094E-3</v>
      </c>
      <c r="E8" s="56">
        <f>P42</f>
        <v>6.9661986641874245E-3</v>
      </c>
      <c r="F8" s="58">
        <f>U42</f>
        <v>7.6010935691736524E-3</v>
      </c>
      <c r="H8" s="55" t="s">
        <v>230</v>
      </c>
      <c r="I8" s="29">
        <f>D8/D7</f>
        <v>0.2538335005029787</v>
      </c>
      <c r="J8" s="28">
        <f>D9/D7</f>
        <v>0.47827371437959321</v>
      </c>
      <c r="K8" s="28">
        <f>D10/D7</f>
        <v>0.27524214714615136</v>
      </c>
    </row>
    <row r="9" spans="2:19" ht="17.25" x14ac:dyDescent="0.25">
      <c r="B9" s="56" t="s">
        <v>170</v>
      </c>
      <c r="C9" s="59">
        <f>F55</f>
        <v>1.2635896792137514E-2</v>
      </c>
      <c r="D9" s="59">
        <f>K55</f>
        <v>1.4402064802929944E-2</v>
      </c>
      <c r="E9" s="56">
        <f>P55</f>
        <v>1.0071398968417234E-2</v>
      </c>
      <c r="F9" s="58">
        <f>U55</f>
        <v>1.480305238019964E-2</v>
      </c>
      <c r="H9" s="55" t="s">
        <v>231</v>
      </c>
      <c r="I9" s="29">
        <f>E8/E7</f>
        <v>0.6286282796591437</v>
      </c>
      <c r="J9" s="29">
        <f>E9/E7</f>
        <v>0.90884089192358719</v>
      </c>
      <c r="K9" s="28">
        <f>E10/E7</f>
        <v>0.68454939537044035</v>
      </c>
    </row>
    <row r="10" spans="2:19" x14ac:dyDescent="0.25">
      <c r="B10" s="56" t="s">
        <v>155</v>
      </c>
      <c r="C10" s="56">
        <f>F68</f>
        <v>7.1009800588459114E-3</v>
      </c>
      <c r="D10" s="58">
        <f>K68</f>
        <v>8.2882565370303533E-3</v>
      </c>
      <c r="E10" s="58">
        <f>P68</f>
        <v>7.5858933457234384E-3</v>
      </c>
      <c r="F10" s="58">
        <f>U68</f>
        <v>8.0751556306895549E-3</v>
      </c>
      <c r="H10" s="55" t="s">
        <v>182</v>
      </c>
      <c r="I10" s="29">
        <f>F8/F7</f>
        <v>0.25729779777079148</v>
      </c>
      <c r="J10" s="28">
        <f>F9/F7</f>
        <v>0.50108484299649403</v>
      </c>
      <c r="K10" s="28">
        <f>F10/F7</f>
        <v>0.27334484722817415</v>
      </c>
    </row>
    <row r="11" spans="2:19" x14ac:dyDescent="0.25">
      <c r="H11" s="61" t="s">
        <v>220</v>
      </c>
      <c r="I11" s="62">
        <f>AVERAGE(I7:I10)</f>
        <v>0.34855769041802187</v>
      </c>
      <c r="J11" s="62">
        <f>AVERAGE(J7:J10)</f>
        <v>0.59396328732738557</v>
      </c>
      <c r="K11" s="62">
        <f>AVERAGE(K7:K10)</f>
        <v>0.3767956414990391</v>
      </c>
    </row>
    <row r="12" spans="2:19" x14ac:dyDescent="0.25">
      <c r="H12" s="61" t="s">
        <v>219</v>
      </c>
      <c r="I12" s="62">
        <f>STDEV(I7:I10)</f>
        <v>0.18671979528868338</v>
      </c>
      <c r="J12" s="62">
        <f>STDEV(J7:J10)</f>
        <v>0.21012703851244535</v>
      </c>
      <c r="K12" s="62">
        <f>STDEV(K7:K10)</f>
        <v>0.20517066447323934</v>
      </c>
    </row>
    <row r="13" spans="2:19" x14ac:dyDescent="0.25">
      <c r="H13" s="61" t="s">
        <v>218</v>
      </c>
      <c r="I13" s="63">
        <f>I12/I11</f>
        <v>0.53569265697380575</v>
      </c>
      <c r="J13" s="63">
        <f>J12/J11</f>
        <v>0.35377108820637565</v>
      </c>
      <c r="K13" s="63">
        <f>K12/K11</f>
        <v>0.54451443136919242</v>
      </c>
    </row>
    <row r="14" spans="2:19" ht="33" customHeight="1" x14ac:dyDescent="0.25">
      <c r="H14" s="64" t="s">
        <v>232</v>
      </c>
      <c r="I14" s="62">
        <f>AVERAGE(I7:I8,I10)</f>
        <v>0.25520082733764798</v>
      </c>
      <c r="J14" s="62">
        <f>AVERAGE(J7:J8,J10)</f>
        <v>0.4890040857953184</v>
      </c>
      <c r="K14" s="62">
        <f>AVERAGE(K7:K8,K10)</f>
        <v>0.27421105687523872</v>
      </c>
      <c r="M14" s="85" t="s">
        <v>233</v>
      </c>
      <c r="N14" s="85"/>
      <c r="O14" s="85"/>
      <c r="P14" s="85"/>
    </row>
    <row r="15" spans="2:19" ht="31.5" x14ac:dyDescent="0.25">
      <c r="H15" s="64" t="s">
        <v>234</v>
      </c>
      <c r="I15" s="62">
        <f>STDEV(I7:I8,I10)</f>
        <v>1.8438068568967876E-3</v>
      </c>
      <c r="J15" s="62">
        <f>STDEV(J7:J8,J10)</f>
        <v>1.1465363209308192E-2</v>
      </c>
      <c r="K15" s="62">
        <f>STDEV(K7:K8,K10)</f>
        <v>9.5933620789558907E-4</v>
      </c>
      <c r="M15" s="85"/>
      <c r="N15" s="85"/>
      <c r="O15" s="85"/>
      <c r="P15" s="85"/>
    </row>
    <row r="16" spans="2:19" ht="31.5" x14ac:dyDescent="0.25">
      <c r="H16" s="64" t="s">
        <v>235</v>
      </c>
      <c r="I16" s="63">
        <f>I15/I14</f>
        <v>7.2249250761922739E-3</v>
      </c>
      <c r="J16" s="63">
        <f>J15/J14</f>
        <v>2.3446354626384919E-2</v>
      </c>
      <c r="K16" s="63">
        <f>K15/K14</f>
        <v>3.4985321847618655E-3</v>
      </c>
      <c r="M16" s="51"/>
    </row>
    <row r="18" spans="3:21" x14ac:dyDescent="0.25">
      <c r="C18" s="86" t="s">
        <v>229</v>
      </c>
      <c r="D18" s="86"/>
      <c r="E18" s="86"/>
      <c r="F18" s="86"/>
      <c r="H18" s="86" t="s">
        <v>230</v>
      </c>
      <c r="I18" s="86"/>
      <c r="J18" s="86"/>
      <c r="K18" s="86"/>
      <c r="M18" s="86" t="s">
        <v>231</v>
      </c>
      <c r="N18" s="86"/>
      <c r="O18" s="86"/>
      <c r="P18" s="86"/>
      <c r="Q18" s="60"/>
      <c r="R18" s="86" t="s">
        <v>182</v>
      </c>
      <c r="S18" s="86"/>
      <c r="T18" s="86"/>
      <c r="U18" s="86"/>
    </row>
    <row r="19" spans="3:21" x14ac:dyDescent="0.25">
      <c r="D19" s="60"/>
      <c r="E19" s="60"/>
      <c r="F19" s="60"/>
      <c r="H19" s="60"/>
      <c r="I19" s="60"/>
      <c r="J19" s="60"/>
      <c r="K19" s="60"/>
      <c r="M19" s="60"/>
      <c r="N19" s="60"/>
      <c r="O19" s="60"/>
      <c r="P19" s="60"/>
      <c r="Q19" s="60"/>
      <c r="R19" s="60"/>
      <c r="S19" s="60"/>
      <c r="T19" s="60"/>
      <c r="U19" s="60"/>
    </row>
    <row r="20" spans="3:21" ht="44.25" x14ac:dyDescent="0.25">
      <c r="C20" s="77" t="s">
        <v>209</v>
      </c>
      <c r="D20" s="66"/>
      <c r="E20" s="66" t="s">
        <v>236</v>
      </c>
      <c r="F20" s="66" t="s">
        <v>237</v>
      </c>
      <c r="H20" s="77" t="s">
        <v>209</v>
      </c>
      <c r="I20" s="66"/>
      <c r="J20" s="66" t="s">
        <v>236</v>
      </c>
      <c r="K20" s="66" t="s">
        <v>237</v>
      </c>
      <c r="M20" s="77" t="s">
        <v>209</v>
      </c>
      <c r="N20" s="66"/>
      <c r="O20" s="66" t="s">
        <v>236</v>
      </c>
      <c r="P20" s="66" t="s">
        <v>237</v>
      </c>
      <c r="Q20" s="60"/>
      <c r="R20" s="77" t="s">
        <v>209</v>
      </c>
      <c r="S20" s="66"/>
      <c r="T20" s="66" t="s">
        <v>236</v>
      </c>
      <c r="U20" s="66" t="s">
        <v>237</v>
      </c>
    </row>
    <row r="21" spans="3:21" ht="15.75" x14ac:dyDescent="0.25">
      <c r="C21" s="77"/>
      <c r="D21" s="66" t="s">
        <v>238</v>
      </c>
      <c r="E21" s="66">
        <v>61.63</v>
      </c>
      <c r="F21" s="66">
        <f>$E$75*E23+$F$75</f>
        <v>143.97423691447224</v>
      </c>
      <c r="H21" s="77"/>
      <c r="I21" s="66" t="s">
        <v>239</v>
      </c>
      <c r="J21" s="66">
        <v>85.19</v>
      </c>
      <c r="K21" s="66">
        <f>$E$75*J23+$F$75</f>
        <v>161.42236098999606</v>
      </c>
      <c r="M21" s="77"/>
      <c r="N21" s="66" t="s">
        <v>238</v>
      </c>
      <c r="O21" s="66">
        <v>61.63</v>
      </c>
      <c r="P21" s="66">
        <f>$E$75*O23+$F$75</f>
        <v>82.37998906382218</v>
      </c>
      <c r="Q21" s="60"/>
      <c r="R21" s="77"/>
      <c r="S21" s="66" t="s">
        <v>239</v>
      </c>
      <c r="T21" s="66">
        <v>85.19</v>
      </c>
      <c r="U21" s="66">
        <f>$E$75*T23+$F$75</f>
        <v>159.05249693899114</v>
      </c>
    </row>
    <row r="22" spans="3:21" ht="17.25" x14ac:dyDescent="0.25">
      <c r="C22" s="77"/>
      <c r="D22" s="66" t="s">
        <v>240</v>
      </c>
      <c r="E22" s="66">
        <v>103.6</v>
      </c>
      <c r="F22" s="66"/>
      <c r="H22" s="77"/>
      <c r="I22" s="66" t="s">
        <v>240</v>
      </c>
      <c r="J22" s="66">
        <v>103.6</v>
      </c>
      <c r="K22" s="67"/>
      <c r="M22" s="77"/>
      <c r="N22" s="66" t="s">
        <v>241</v>
      </c>
      <c r="O22" s="66">
        <v>20.43</v>
      </c>
      <c r="P22" s="66"/>
      <c r="Q22" s="60"/>
      <c r="R22" s="77"/>
      <c r="S22" s="66" t="s">
        <v>242</v>
      </c>
      <c r="T22" s="66">
        <v>100.4</v>
      </c>
      <c r="U22" s="66"/>
    </row>
    <row r="23" spans="3:21" x14ac:dyDescent="0.25">
      <c r="C23" s="77"/>
      <c r="D23" s="66" t="s">
        <v>217</v>
      </c>
      <c r="E23" s="66">
        <f>E22+E21</f>
        <v>165.23</v>
      </c>
      <c r="F23" s="66"/>
      <c r="H23" s="77"/>
      <c r="I23" s="66" t="s">
        <v>217</v>
      </c>
      <c r="J23" s="66">
        <f>J22+J21</f>
        <v>188.79</v>
      </c>
      <c r="K23" s="67"/>
      <c r="M23" s="77"/>
      <c r="N23" s="66" t="s">
        <v>217</v>
      </c>
      <c r="O23" s="66">
        <f>O22+O21</f>
        <v>82.06</v>
      </c>
      <c r="P23" s="66"/>
      <c r="Q23" s="60"/>
      <c r="R23" s="77"/>
      <c r="S23" s="66" t="s">
        <v>217</v>
      </c>
      <c r="T23" s="66">
        <f>T22+T21</f>
        <v>185.59</v>
      </c>
      <c r="U23" s="66"/>
    </row>
    <row r="24" spans="3:21" ht="42.75" x14ac:dyDescent="0.25">
      <c r="C24" s="77"/>
      <c r="D24" s="65" t="s">
        <v>216</v>
      </c>
      <c r="E24" s="65" t="s">
        <v>215</v>
      </c>
      <c r="F24" s="65" t="s">
        <v>214</v>
      </c>
      <c r="H24" s="77"/>
      <c r="I24" s="65" t="s">
        <v>216</v>
      </c>
      <c r="J24" s="65" t="s">
        <v>215</v>
      </c>
      <c r="K24" s="65" t="s">
        <v>214</v>
      </c>
      <c r="M24" s="77"/>
      <c r="N24" s="65" t="s">
        <v>216</v>
      </c>
      <c r="O24" s="65" t="s">
        <v>215</v>
      </c>
      <c r="P24" s="65" t="s">
        <v>214</v>
      </c>
      <c r="Q24" s="60"/>
      <c r="R24" s="77"/>
      <c r="S24" s="65" t="s">
        <v>216</v>
      </c>
      <c r="T24" s="65" t="s">
        <v>215</v>
      </c>
      <c r="U24" s="65" t="s">
        <v>214</v>
      </c>
    </row>
    <row r="25" spans="3:21" x14ac:dyDescent="0.25">
      <c r="C25" s="77"/>
      <c r="D25" s="68">
        <v>1E-3</v>
      </c>
      <c r="E25" s="68">
        <f t="shared" ref="E25:E31" si="0">$E$23-$F$21*SQRT(D25)</f>
        <v>160.67713486965573</v>
      </c>
      <c r="F25" s="68">
        <f t="shared" ref="F25:F31" si="1">E25*D25/1000</f>
        <v>1.6067713486965575E-4</v>
      </c>
      <c r="H25" s="77"/>
      <c r="I25" s="68">
        <v>1E-3</v>
      </c>
      <c r="J25" s="68">
        <f t="shared" ref="J25:J31" si="2">$J$23-$K$21*SQRT(I25)</f>
        <v>183.68537673989698</v>
      </c>
      <c r="K25" s="68">
        <f t="shared" ref="K25:K31" si="3">J25*I25/1000</f>
        <v>1.8368537673989698E-4</v>
      </c>
      <c r="M25" s="77"/>
      <c r="N25" s="68">
        <v>1E-3</v>
      </c>
      <c r="O25" s="68">
        <f t="shared" ref="O25:O31" si="4">$O$23-$P$21*SQRT(N25)</f>
        <v>79.454916009385599</v>
      </c>
      <c r="P25" s="68">
        <f t="shared" ref="P25:P31" si="5">O25*N25/1000</f>
        <v>7.94549160093856E-5</v>
      </c>
      <c r="R25" s="77"/>
      <c r="S25" s="68">
        <v>1E-3</v>
      </c>
      <c r="T25" s="68">
        <f t="shared" ref="T25:T31" si="6">$T$23-$U$21*SQRT(S25)</f>
        <v>180.56031842135829</v>
      </c>
      <c r="U25" s="68">
        <f t="shared" ref="U25:U31" si="7">T25*S25/1000</f>
        <v>1.8056031842135831E-4</v>
      </c>
    </row>
    <row r="26" spans="3:21" x14ac:dyDescent="0.25">
      <c r="C26" s="77"/>
      <c r="D26" s="68">
        <v>2E-3</v>
      </c>
      <c r="E26" s="68">
        <f t="shared" si="0"/>
        <v>158.7912763850116</v>
      </c>
      <c r="F26" s="68">
        <f t="shared" si="1"/>
        <v>3.1758255277002323E-4</v>
      </c>
      <c r="H26" s="77"/>
      <c r="I26" s="68">
        <v>2E-3</v>
      </c>
      <c r="J26" s="68">
        <f t="shared" si="2"/>
        <v>181.57097255475716</v>
      </c>
      <c r="K26" s="68">
        <f t="shared" si="3"/>
        <v>3.6314194510951429E-4</v>
      </c>
      <c r="M26" s="77"/>
      <c r="N26" s="68">
        <v>2E-3</v>
      </c>
      <c r="O26" s="68">
        <f t="shared" si="4"/>
        <v>78.375854889352084</v>
      </c>
      <c r="P26" s="68">
        <f t="shared" si="5"/>
        <v>1.5675170977870419E-4</v>
      </c>
      <c r="R26" s="77"/>
      <c r="S26" s="68">
        <v>2E-3</v>
      </c>
      <c r="T26" s="68">
        <f t="shared" si="6"/>
        <v>178.47695609706676</v>
      </c>
      <c r="U26" s="68">
        <f t="shared" si="7"/>
        <v>3.5695391219413351E-4</v>
      </c>
    </row>
    <row r="27" spans="3:21" x14ac:dyDescent="0.25">
      <c r="C27" s="77"/>
      <c r="D27" s="68">
        <v>3.0000000000000001E-3</v>
      </c>
      <c r="E27" s="68">
        <f t="shared" si="0"/>
        <v>157.34420627423503</v>
      </c>
      <c r="F27" s="68">
        <f t="shared" si="1"/>
        <v>4.720326188227051E-4</v>
      </c>
      <c r="H27" s="77"/>
      <c r="I27" s="68">
        <v>3.0000000000000001E-3</v>
      </c>
      <c r="J27" s="68">
        <f t="shared" si="2"/>
        <v>179.94853316000371</v>
      </c>
      <c r="K27" s="68">
        <f t="shared" si="3"/>
        <v>5.3984559948001105E-4</v>
      </c>
      <c r="M27" s="77"/>
      <c r="N27" s="68">
        <v>3.0000000000000001E-3</v>
      </c>
      <c r="O27" s="68">
        <f t="shared" si="4"/>
        <v>77.547862170271571</v>
      </c>
      <c r="P27" s="68">
        <f t="shared" si="5"/>
        <v>2.326435865108147E-4</v>
      </c>
      <c r="R27" s="77"/>
      <c r="S27" s="68">
        <v>3.0000000000000001E-3</v>
      </c>
      <c r="T27" s="68">
        <f t="shared" si="6"/>
        <v>176.87833595989932</v>
      </c>
      <c r="U27" s="68">
        <f t="shared" si="7"/>
        <v>5.3063500787969798E-4</v>
      </c>
    </row>
    <row r="28" spans="3:21" x14ac:dyDescent="0.25">
      <c r="C28" s="77"/>
      <c r="D28" s="68">
        <v>4.0000000000000001E-3</v>
      </c>
      <c r="E28" s="68">
        <f t="shared" si="0"/>
        <v>156.1242697393115</v>
      </c>
      <c r="F28" s="68">
        <f t="shared" si="1"/>
        <v>6.2449707895724602E-4</v>
      </c>
      <c r="H28" s="77"/>
      <c r="I28" s="68">
        <v>4.0000000000000001E-3</v>
      </c>
      <c r="J28" s="68">
        <f t="shared" si="2"/>
        <v>178.580753479794</v>
      </c>
      <c r="K28" s="68">
        <f t="shared" si="3"/>
        <v>7.1432301391917592E-4</v>
      </c>
      <c r="M28" s="77"/>
      <c r="N28" s="68">
        <v>4.0000000000000001E-3</v>
      </c>
      <c r="O28" s="68">
        <f t="shared" si="4"/>
        <v>76.849832018771195</v>
      </c>
      <c r="P28" s="68">
        <f t="shared" si="5"/>
        <v>3.0739932807508481E-4</v>
      </c>
      <c r="R28" s="77"/>
      <c r="S28" s="68">
        <v>4.0000000000000001E-3</v>
      </c>
      <c r="T28" s="68">
        <f t="shared" si="6"/>
        <v>175.53063684271658</v>
      </c>
      <c r="U28" s="68">
        <f t="shared" si="7"/>
        <v>7.0212254737086631E-4</v>
      </c>
    </row>
    <row r="29" spans="3:21" x14ac:dyDescent="0.25">
      <c r="C29" s="77"/>
      <c r="D29" s="68">
        <v>0.3</v>
      </c>
      <c r="E29" s="68">
        <f t="shared" si="0"/>
        <v>86.372062742350565</v>
      </c>
      <c r="F29" s="68">
        <f t="shared" si="1"/>
        <v>2.5911618822705169E-2</v>
      </c>
      <c r="H29" s="77"/>
      <c r="I29" s="68">
        <v>0.3</v>
      </c>
      <c r="J29" s="68">
        <f t="shared" si="2"/>
        <v>100.3753316000372</v>
      </c>
      <c r="K29" s="68">
        <f t="shared" si="3"/>
        <v>3.011259948001116E-2</v>
      </c>
      <c r="M29" s="77"/>
      <c r="N29" s="68">
        <v>0.3</v>
      </c>
      <c r="O29" s="68">
        <f t="shared" si="4"/>
        <v>36.938621702715707</v>
      </c>
      <c r="P29" s="68">
        <f t="shared" si="5"/>
        <v>1.1081586510814711E-2</v>
      </c>
      <c r="R29" s="77"/>
      <c r="S29" s="68">
        <v>0.3</v>
      </c>
      <c r="T29" s="68">
        <f t="shared" si="6"/>
        <v>98.473359598993184</v>
      </c>
      <c r="U29" s="68">
        <f t="shared" si="7"/>
        <v>2.9542007879697955E-2</v>
      </c>
    </row>
    <row r="30" spans="3:21" x14ac:dyDescent="0.25">
      <c r="C30" s="77"/>
      <c r="D30" s="68">
        <v>5.0000000000000001E-3</v>
      </c>
      <c r="E30" s="68">
        <f t="shared" si="0"/>
        <v>155.0494840761618</v>
      </c>
      <c r="F30" s="68">
        <f t="shared" si="1"/>
        <v>7.7524742038080911E-4</v>
      </c>
      <c r="H30" s="77"/>
      <c r="I30" s="68">
        <v>5.0000000000000001E-3</v>
      </c>
      <c r="J30" s="68">
        <f t="shared" si="2"/>
        <v>177.3757153908831</v>
      </c>
      <c r="K30" s="68">
        <f t="shared" si="3"/>
        <v>8.8687857695441557E-4</v>
      </c>
      <c r="M30" s="77"/>
      <c r="N30" s="68">
        <v>5.0000000000000001E-3</v>
      </c>
      <c r="O30" s="68">
        <f t="shared" si="4"/>
        <v>76.234855109889779</v>
      </c>
      <c r="P30" s="68">
        <f t="shared" si="5"/>
        <v>3.8117427554944889E-4</v>
      </c>
      <c r="R30" s="77"/>
      <c r="S30" s="68">
        <v>5.0000000000000001E-3</v>
      </c>
      <c r="T30" s="68">
        <f t="shared" si="6"/>
        <v>174.34329008497869</v>
      </c>
      <c r="U30" s="68">
        <f t="shared" si="7"/>
        <v>8.7171645042489348E-4</v>
      </c>
    </row>
    <row r="31" spans="3:21" x14ac:dyDescent="0.25">
      <c r="C31" s="77"/>
      <c r="D31" s="68">
        <v>6.0000000000000001E-3</v>
      </c>
      <c r="E31" s="68">
        <f t="shared" si="0"/>
        <v>154.07780356294654</v>
      </c>
      <c r="F31" s="68">
        <f t="shared" si="1"/>
        <v>9.2446682137767929E-4</v>
      </c>
      <c r="H31" s="77"/>
      <c r="I31" s="68">
        <v>6.0000000000000001E-3</v>
      </c>
      <c r="J31" s="68">
        <f t="shared" si="2"/>
        <v>176.28627768360525</v>
      </c>
      <c r="K31" s="68">
        <f t="shared" si="3"/>
        <v>1.0577176661016314E-3</v>
      </c>
      <c r="M31" s="77"/>
      <c r="N31" s="68">
        <v>6.0000000000000001E-3</v>
      </c>
      <c r="O31" s="68">
        <f t="shared" si="4"/>
        <v>75.678873485901349</v>
      </c>
      <c r="P31" s="68">
        <f t="shared" si="5"/>
        <v>4.5407324091540811E-4</v>
      </c>
      <c r="R31" s="77"/>
      <c r="S31" s="68">
        <v>6.0000000000000001E-3</v>
      </c>
      <c r="T31" s="68">
        <f t="shared" si="6"/>
        <v>173.26984656365164</v>
      </c>
      <c r="U31" s="68">
        <f t="shared" si="7"/>
        <v>1.0396190793819098E-3</v>
      </c>
    </row>
    <row r="32" spans="3:21" x14ac:dyDescent="0.25">
      <c r="C32" s="28"/>
    </row>
    <row r="33" spans="3:21" ht="44.25" x14ac:dyDescent="0.25">
      <c r="C33" s="77" t="s">
        <v>208</v>
      </c>
      <c r="D33" s="66"/>
      <c r="E33" s="66" t="s">
        <v>236</v>
      </c>
      <c r="F33" s="66" t="s">
        <v>237</v>
      </c>
      <c r="H33" s="77" t="s">
        <v>208</v>
      </c>
      <c r="I33" s="66"/>
      <c r="J33" s="66" t="s">
        <v>236</v>
      </c>
      <c r="K33" s="66" t="s">
        <v>237</v>
      </c>
      <c r="M33" s="77" t="s">
        <v>208</v>
      </c>
      <c r="N33" s="66"/>
      <c r="O33" s="66" t="s">
        <v>236</v>
      </c>
      <c r="P33" s="66" t="s">
        <v>237</v>
      </c>
      <c r="R33" s="77" t="s">
        <v>208</v>
      </c>
      <c r="S33" s="66"/>
      <c r="T33" s="66" t="s">
        <v>236</v>
      </c>
      <c r="U33" s="66" t="s">
        <v>237</v>
      </c>
    </row>
    <row r="34" spans="3:21" ht="15.75" x14ac:dyDescent="0.25">
      <c r="C34" s="77"/>
      <c r="D34" s="66" t="s">
        <v>238</v>
      </c>
      <c r="E34" s="66">
        <v>8.98</v>
      </c>
      <c r="F34" s="66">
        <f>$E$76*E36+$F$76</f>
        <v>10.846365318638243</v>
      </c>
      <c r="H34" s="77"/>
      <c r="I34" s="66" t="s">
        <v>239</v>
      </c>
      <c r="J34" s="66">
        <v>13.18</v>
      </c>
      <c r="K34" s="66">
        <f>$E$76*J36+$F$76</f>
        <v>12.125442205751522</v>
      </c>
      <c r="M34" s="77"/>
      <c r="N34" s="66" t="s">
        <v>238</v>
      </c>
      <c r="O34" s="66">
        <v>8.98</v>
      </c>
      <c r="P34" s="66">
        <f>$E$76*O36+$F$76</f>
        <v>11.300133071447476</v>
      </c>
      <c r="R34" s="77"/>
      <c r="S34" s="66" t="s">
        <v>239</v>
      </c>
      <c r="T34" s="66">
        <v>13.18</v>
      </c>
      <c r="U34" s="66">
        <f>$E$76*T36+$F$76</f>
        <v>12.073670046035032</v>
      </c>
    </row>
    <row r="35" spans="3:21" ht="17.25" x14ac:dyDescent="0.25">
      <c r="C35" s="77"/>
      <c r="D35" s="66" t="s">
        <v>240</v>
      </c>
      <c r="E35" s="66">
        <v>18.940000000000001</v>
      </c>
      <c r="F35" s="66"/>
      <c r="H35" s="77"/>
      <c r="I35" s="66" t="s">
        <v>240</v>
      </c>
      <c r="J35" s="66">
        <v>18.940000000000001</v>
      </c>
      <c r="K35" s="66"/>
      <c r="M35" s="77"/>
      <c r="N35" s="66" t="s">
        <v>241</v>
      </c>
      <c r="O35" s="66">
        <v>20.43</v>
      </c>
      <c r="P35" s="66"/>
      <c r="R35" s="77"/>
      <c r="S35" s="66" t="s">
        <v>242</v>
      </c>
      <c r="T35" s="66">
        <v>18.77</v>
      </c>
      <c r="U35" s="66"/>
    </row>
    <row r="36" spans="3:21" x14ac:dyDescent="0.25">
      <c r="C36" s="77"/>
      <c r="D36" s="66" t="s">
        <v>217</v>
      </c>
      <c r="E36" s="66">
        <f>E35+E34</f>
        <v>27.92</v>
      </c>
      <c r="F36" s="66"/>
      <c r="H36" s="77"/>
      <c r="I36" s="66" t="s">
        <v>217</v>
      </c>
      <c r="J36" s="66">
        <f>J35+J34</f>
        <v>32.120000000000005</v>
      </c>
      <c r="K36" s="67"/>
      <c r="M36" s="77"/>
      <c r="N36" s="66" t="s">
        <v>217</v>
      </c>
      <c r="O36" s="66">
        <f>O35+O34</f>
        <v>29.41</v>
      </c>
      <c r="P36" s="66"/>
      <c r="Q36" s="60"/>
      <c r="R36" s="77"/>
      <c r="S36" s="66" t="s">
        <v>217</v>
      </c>
      <c r="T36" s="66">
        <f>T35+T34</f>
        <v>31.95</v>
      </c>
      <c r="U36" s="66"/>
    </row>
    <row r="37" spans="3:21" ht="42.75" x14ac:dyDescent="0.25">
      <c r="C37" s="77"/>
      <c r="D37" s="65" t="s">
        <v>216</v>
      </c>
      <c r="E37" s="65" t="s">
        <v>215</v>
      </c>
      <c r="F37" s="65" t="s">
        <v>214</v>
      </c>
      <c r="H37" s="77"/>
      <c r="I37" s="65" t="s">
        <v>216</v>
      </c>
      <c r="J37" s="65" t="s">
        <v>215</v>
      </c>
      <c r="K37" s="65" t="s">
        <v>214</v>
      </c>
      <c r="M37" s="77"/>
      <c r="N37" s="65" t="s">
        <v>216</v>
      </c>
      <c r="O37" s="65" t="s">
        <v>215</v>
      </c>
      <c r="P37" s="65" t="s">
        <v>214</v>
      </c>
      <c r="Q37" s="60"/>
      <c r="R37" s="77"/>
      <c r="S37" s="65" t="s">
        <v>216</v>
      </c>
      <c r="T37" s="65" t="s">
        <v>215</v>
      </c>
      <c r="U37" s="65" t="s">
        <v>214</v>
      </c>
    </row>
    <row r="38" spans="3:21" x14ac:dyDescent="0.25">
      <c r="C38" s="77"/>
      <c r="D38" s="68">
        <v>1E-3</v>
      </c>
      <c r="E38" s="68">
        <f t="shared" ref="E38:E44" si="8">$E$36-$F$34*SQRT(D38)</f>
        <v>27.577007812588455</v>
      </c>
      <c r="F38" s="68">
        <f t="shared" ref="F38:F44" si="9">E38*D38/1000</f>
        <v>2.7577007812588457E-5</v>
      </c>
      <c r="H38" s="77"/>
      <c r="I38" s="68">
        <v>1E-3</v>
      </c>
      <c r="J38" s="68">
        <f t="shared" ref="J38:J44" si="10">$J$36-$K$34*SQRT(I38)</f>
        <v>31.736559849930895</v>
      </c>
      <c r="K38" s="68">
        <f t="shared" ref="K38:K44" si="11">J38*I38/1000</f>
        <v>3.1736559849930896E-5</v>
      </c>
      <c r="M38" s="77"/>
      <c r="N38" s="68">
        <v>1E-3</v>
      </c>
      <c r="O38" s="68">
        <f t="shared" ref="O38:O44" si="12">$O$36-$P$34*SQRT(N38)</f>
        <v>29.052658416312319</v>
      </c>
      <c r="P38" s="68">
        <f t="shared" ref="P38:P44" si="13">O38*N38/1000</f>
        <v>2.9052658416312318E-5</v>
      </c>
      <c r="R38" s="77"/>
      <c r="S38" s="68">
        <v>1E-3</v>
      </c>
      <c r="T38" s="68">
        <f t="shared" ref="T38:T44" si="14">$T$36-$U$34*SQRT(S38)</f>
        <v>31.568197029371792</v>
      </c>
      <c r="U38" s="68">
        <f t="shared" ref="U38:U44" si="15">T38*S38/1000</f>
        <v>3.1568197029371788E-5</v>
      </c>
    </row>
    <row r="39" spans="3:21" x14ac:dyDescent="0.25">
      <c r="C39" s="77"/>
      <c r="D39" s="68">
        <v>2E-3</v>
      </c>
      <c r="E39" s="68">
        <f t="shared" si="8"/>
        <v>27.434935796774575</v>
      </c>
      <c r="F39" s="68">
        <f t="shared" si="9"/>
        <v>5.4869871593549151E-5</v>
      </c>
      <c r="H39" s="77"/>
      <c r="I39" s="68">
        <v>2E-3</v>
      </c>
      <c r="J39" s="68">
        <f t="shared" si="10"/>
        <v>31.577733739413897</v>
      </c>
      <c r="K39" s="68">
        <f t="shared" si="11"/>
        <v>6.3155467478827784E-5</v>
      </c>
      <c r="M39" s="77"/>
      <c r="N39" s="68">
        <v>2E-3</v>
      </c>
      <c r="O39" s="68">
        <f t="shared" si="12"/>
        <v>28.904642685949</v>
      </c>
      <c r="P39" s="68">
        <f t="shared" si="13"/>
        <v>5.7809285371898002E-5</v>
      </c>
      <c r="R39" s="77"/>
      <c r="S39" s="68">
        <v>2E-3</v>
      </c>
      <c r="T39" s="68">
        <f t="shared" si="14"/>
        <v>31.410049060783251</v>
      </c>
      <c r="U39" s="68">
        <f t="shared" si="15"/>
        <v>6.2820098121566494E-5</v>
      </c>
    </row>
    <row r="40" spans="3:21" x14ac:dyDescent="0.25">
      <c r="C40" s="77"/>
      <c r="D40" s="68">
        <v>3.0000000000000001E-3</v>
      </c>
      <c r="E40" s="68">
        <f t="shared" si="8"/>
        <v>27.325920104804013</v>
      </c>
      <c r="F40" s="68">
        <f t="shared" si="9"/>
        <v>8.1977760314412034E-5</v>
      </c>
      <c r="H40" s="77"/>
      <c r="I40" s="68">
        <v>3.0000000000000001E-3</v>
      </c>
      <c r="J40" s="68">
        <f t="shared" si="10"/>
        <v>31.455862178418474</v>
      </c>
      <c r="K40" s="68">
        <f t="shared" si="11"/>
        <v>9.4367586535255423E-5</v>
      </c>
      <c r="M40" s="77"/>
      <c r="N40" s="68">
        <v>3.0000000000000001E-3</v>
      </c>
      <c r="O40" s="68">
        <f t="shared" si="12"/>
        <v>28.791066221395809</v>
      </c>
      <c r="P40" s="68">
        <f t="shared" si="13"/>
        <v>8.6373198664187431E-5</v>
      </c>
      <c r="R40" s="77"/>
      <c r="S40" s="68">
        <v>3.0000000000000001E-3</v>
      </c>
      <c r="T40" s="68">
        <f t="shared" si="14"/>
        <v>31.288697856391217</v>
      </c>
      <c r="U40" s="68">
        <f t="shared" si="15"/>
        <v>9.3866093569173648E-5</v>
      </c>
    </row>
    <row r="41" spans="3:21" x14ac:dyDescent="0.25">
      <c r="C41" s="77"/>
      <c r="D41" s="68">
        <v>4.0000000000000001E-3</v>
      </c>
      <c r="E41" s="68">
        <f t="shared" si="8"/>
        <v>27.234015625176905</v>
      </c>
      <c r="F41" s="68">
        <f t="shared" si="9"/>
        <v>1.0893606250070763E-4</v>
      </c>
      <c r="H41" s="77"/>
      <c r="I41" s="68">
        <v>4.0000000000000001E-3</v>
      </c>
      <c r="J41" s="68">
        <f t="shared" si="10"/>
        <v>31.353119699861789</v>
      </c>
      <c r="K41" s="68">
        <f t="shared" si="11"/>
        <v>1.2541247879944718E-4</v>
      </c>
      <c r="M41" s="77"/>
      <c r="N41" s="68">
        <v>4.0000000000000001E-3</v>
      </c>
      <c r="O41" s="68">
        <f t="shared" si="12"/>
        <v>28.695316832624634</v>
      </c>
      <c r="P41" s="68">
        <f t="shared" si="13"/>
        <v>1.1478126733049854E-4</v>
      </c>
      <c r="R41" s="77"/>
      <c r="S41" s="68">
        <v>4.0000000000000001E-3</v>
      </c>
      <c r="T41" s="68">
        <f t="shared" si="14"/>
        <v>31.186394058743584</v>
      </c>
      <c r="U41" s="68">
        <f t="shared" si="15"/>
        <v>1.2474557623497434E-4</v>
      </c>
    </row>
    <row r="42" spans="3:21" x14ac:dyDescent="0.25">
      <c r="C42" s="77"/>
      <c r="D42" s="68">
        <v>0.3</v>
      </c>
      <c r="E42" s="68">
        <f t="shared" si="8"/>
        <v>21.979201048040128</v>
      </c>
      <c r="F42" s="68">
        <f t="shared" si="9"/>
        <v>6.5937603144120387E-3</v>
      </c>
      <c r="H42" s="77"/>
      <c r="I42" s="68">
        <v>0.3</v>
      </c>
      <c r="J42" s="68">
        <f t="shared" si="10"/>
        <v>25.4786217841847</v>
      </c>
      <c r="K42" s="68">
        <f t="shared" si="11"/>
        <v>7.6435865352554094E-3</v>
      </c>
      <c r="M42" s="77"/>
      <c r="N42" s="68">
        <v>0.3</v>
      </c>
      <c r="O42" s="68">
        <f t="shared" si="12"/>
        <v>23.220662213958082</v>
      </c>
      <c r="P42" s="68">
        <f t="shared" si="13"/>
        <v>6.9661986641874245E-3</v>
      </c>
      <c r="R42" s="77"/>
      <c r="S42" s="68">
        <v>0.3</v>
      </c>
      <c r="T42" s="68">
        <f t="shared" si="14"/>
        <v>25.336978563912176</v>
      </c>
      <c r="U42" s="68">
        <f t="shared" si="15"/>
        <v>7.6010935691736524E-3</v>
      </c>
    </row>
    <row r="43" spans="3:21" x14ac:dyDescent="0.25">
      <c r="C43" s="77"/>
      <c r="D43" s="68">
        <v>5.0000000000000001E-3</v>
      </c>
      <c r="E43" s="68">
        <f t="shared" si="8"/>
        <v>27.153046153196431</v>
      </c>
      <c r="F43" s="68">
        <f t="shared" si="9"/>
        <v>1.3576523076598215E-4</v>
      </c>
      <c r="H43" s="77"/>
      <c r="I43" s="68">
        <v>5.0000000000000001E-3</v>
      </c>
      <c r="J43" s="68">
        <f t="shared" si="10"/>
        <v>31.262601759142758</v>
      </c>
      <c r="K43" s="68">
        <f t="shared" si="11"/>
        <v>1.563130087957138E-4</v>
      </c>
      <c r="M43" s="77"/>
      <c r="N43" s="68">
        <v>5.0000000000000001E-3</v>
      </c>
      <c r="O43" s="68">
        <f t="shared" si="12"/>
        <v>28.610959927686913</v>
      </c>
      <c r="P43" s="68">
        <f t="shared" si="13"/>
        <v>1.4305479963843456E-4</v>
      </c>
      <c r="R43" s="77"/>
      <c r="S43" s="68">
        <v>5.0000000000000001E-3</v>
      </c>
      <c r="T43" s="68">
        <f t="shared" si="14"/>
        <v>31.096262603663973</v>
      </c>
      <c r="U43" s="68">
        <f t="shared" si="15"/>
        <v>1.5548131301831988E-4</v>
      </c>
    </row>
    <row r="44" spans="3:21" x14ac:dyDescent="0.25">
      <c r="C44" s="77"/>
      <c r="D44" s="68">
        <v>6.0000000000000001E-3</v>
      </c>
      <c r="E44" s="68">
        <f t="shared" si="8"/>
        <v>27.07984415508065</v>
      </c>
      <c r="F44" s="68">
        <f t="shared" si="9"/>
        <v>1.6247906493048388E-4</v>
      </c>
      <c r="H44" s="77"/>
      <c r="I44" s="68">
        <v>6.0000000000000001E-3</v>
      </c>
      <c r="J44" s="68">
        <f t="shared" si="10"/>
        <v>31.180767285434481</v>
      </c>
      <c r="K44" s="68">
        <f t="shared" si="11"/>
        <v>1.8708460371260688E-4</v>
      </c>
      <c r="M44" s="77"/>
      <c r="N44" s="68">
        <v>6.0000000000000001E-3</v>
      </c>
      <c r="O44" s="68">
        <f t="shared" si="12"/>
        <v>28.534695456087125</v>
      </c>
      <c r="P44" s="68">
        <f t="shared" si="13"/>
        <v>1.7120817273652276E-4</v>
      </c>
      <c r="R44" s="77"/>
      <c r="S44" s="68">
        <v>6.0000000000000001E-3</v>
      </c>
      <c r="T44" s="68">
        <f t="shared" si="14"/>
        <v>31.014777539682058</v>
      </c>
      <c r="U44" s="68">
        <f t="shared" si="15"/>
        <v>1.8608866523809234E-4</v>
      </c>
    </row>
    <row r="45" spans="3:21" x14ac:dyDescent="0.25">
      <c r="C45" s="28"/>
    </row>
    <row r="46" spans="3:21" ht="44.25" x14ac:dyDescent="0.25">
      <c r="C46" s="77" t="s">
        <v>170</v>
      </c>
      <c r="D46" s="66"/>
      <c r="E46" s="66" t="s">
        <v>236</v>
      </c>
      <c r="F46" s="66" t="s">
        <v>237</v>
      </c>
      <c r="H46" s="77" t="s">
        <v>170</v>
      </c>
      <c r="I46" s="66"/>
      <c r="J46" s="66" t="s">
        <v>236</v>
      </c>
      <c r="K46" s="66" t="s">
        <v>237</v>
      </c>
      <c r="M46" s="77" t="s">
        <v>170</v>
      </c>
      <c r="N46" s="66"/>
      <c r="O46" s="66" t="s">
        <v>236</v>
      </c>
      <c r="P46" s="66" t="s">
        <v>237</v>
      </c>
      <c r="R46" s="77" t="s">
        <v>170</v>
      </c>
      <c r="S46" s="66"/>
      <c r="T46" s="66" t="s">
        <v>236</v>
      </c>
      <c r="U46" s="66" t="s">
        <v>237</v>
      </c>
    </row>
    <row r="47" spans="3:21" ht="15.75" x14ac:dyDescent="0.25">
      <c r="C47" s="77"/>
      <c r="D47" s="66" t="s">
        <v>238</v>
      </c>
      <c r="E47" s="66">
        <v>26.68</v>
      </c>
      <c r="F47" s="66">
        <f>$E$77*E49+$F$77</f>
        <v>66.019453701004863</v>
      </c>
      <c r="H47" s="77"/>
      <c r="I47" s="66" t="s">
        <v>239</v>
      </c>
      <c r="J47" s="66">
        <v>36.369999999999997</v>
      </c>
      <c r="K47" s="66">
        <f>$E$77*J49+$F$77</f>
        <v>72.962336087810144</v>
      </c>
      <c r="M47" s="77"/>
      <c r="N47" s="66" t="s">
        <v>238</v>
      </c>
      <c r="O47" s="66">
        <v>26.68</v>
      </c>
      <c r="P47" s="66">
        <f>$E$77*O49+$F$77</f>
        <v>55.938302495395973</v>
      </c>
      <c r="R47" s="77"/>
      <c r="S47" s="66" t="s">
        <v>239</v>
      </c>
      <c r="T47" s="66">
        <v>36.369999999999997</v>
      </c>
      <c r="U47" s="66">
        <f>$E$77*T49+$F$77</f>
        <v>74.538635494515148</v>
      </c>
    </row>
    <row r="48" spans="3:21" ht="17.25" x14ac:dyDescent="0.25">
      <c r="C48" s="77"/>
      <c r="D48" s="66" t="s">
        <v>240</v>
      </c>
      <c r="E48" s="66">
        <v>51.6</v>
      </c>
      <c r="F48" s="66"/>
      <c r="H48" s="77"/>
      <c r="I48" s="66" t="s">
        <v>240</v>
      </c>
      <c r="J48" s="66">
        <v>51.6</v>
      </c>
      <c r="K48" s="66"/>
      <c r="M48" s="77"/>
      <c r="N48" s="66" t="s">
        <v>241</v>
      </c>
      <c r="O48" s="66">
        <v>37.53</v>
      </c>
      <c r="P48" s="66"/>
      <c r="R48" s="77"/>
      <c r="S48" s="66" t="s">
        <v>242</v>
      </c>
      <c r="T48" s="66">
        <v>53.8</v>
      </c>
      <c r="U48" s="66"/>
    </row>
    <row r="49" spans="3:21" x14ac:dyDescent="0.25">
      <c r="C49" s="77"/>
      <c r="D49" s="66" t="s">
        <v>217</v>
      </c>
      <c r="E49" s="66">
        <f>E48+E47</f>
        <v>78.28</v>
      </c>
      <c r="F49" s="66"/>
      <c r="H49" s="77"/>
      <c r="I49" s="66" t="s">
        <v>217</v>
      </c>
      <c r="J49" s="66">
        <f>J48+J47</f>
        <v>87.97</v>
      </c>
      <c r="K49" s="67"/>
      <c r="M49" s="77"/>
      <c r="N49" s="66" t="s">
        <v>217</v>
      </c>
      <c r="O49" s="66">
        <f>O48+O47</f>
        <v>64.210000000000008</v>
      </c>
      <c r="P49" s="66"/>
      <c r="Q49" s="60"/>
      <c r="R49" s="77"/>
      <c r="S49" s="66" t="s">
        <v>217</v>
      </c>
      <c r="T49" s="66">
        <f>T48+T47</f>
        <v>90.169999999999987</v>
      </c>
      <c r="U49" s="66"/>
    </row>
    <row r="50" spans="3:21" ht="42.75" x14ac:dyDescent="0.25">
      <c r="C50" s="77"/>
      <c r="D50" s="65" t="s">
        <v>216</v>
      </c>
      <c r="E50" s="65" t="s">
        <v>215</v>
      </c>
      <c r="F50" s="65" t="s">
        <v>214</v>
      </c>
      <c r="H50" s="77"/>
      <c r="I50" s="65" t="s">
        <v>216</v>
      </c>
      <c r="J50" s="65" t="s">
        <v>215</v>
      </c>
      <c r="K50" s="65" t="s">
        <v>214</v>
      </c>
      <c r="M50" s="77"/>
      <c r="N50" s="65" t="s">
        <v>216</v>
      </c>
      <c r="O50" s="65" t="s">
        <v>215</v>
      </c>
      <c r="P50" s="65" t="s">
        <v>214</v>
      </c>
      <c r="Q50" s="60"/>
      <c r="R50" s="77"/>
      <c r="S50" s="65" t="s">
        <v>216</v>
      </c>
      <c r="T50" s="65" t="s">
        <v>215</v>
      </c>
      <c r="U50" s="65" t="s">
        <v>214</v>
      </c>
    </row>
    <row r="51" spans="3:21" x14ac:dyDescent="0.25">
      <c r="C51" s="77"/>
      <c r="D51" s="68">
        <v>1E-3</v>
      </c>
      <c r="E51" s="68">
        <f t="shared" ref="E51:E57" si="16">$E$49-$F$47*SQRT(D51)</f>
        <v>76.192281564247921</v>
      </c>
      <c r="F51" s="68">
        <f t="shared" ref="F51:F57" si="17">E51*D51/1000</f>
        <v>7.6192281564247928E-5</v>
      </c>
      <c r="H51" s="77"/>
      <c r="I51" s="68">
        <v>1E-3</v>
      </c>
      <c r="J51" s="68">
        <f t="shared" ref="J51:J57" si="18">$J$49-$K$47*SQRT(I51)</f>
        <v>85.662728345558207</v>
      </c>
      <c r="K51" s="68">
        <f t="shared" ref="K51:K57" si="19">J51*I51/1000</f>
        <v>8.5662728345558216E-5</v>
      </c>
      <c r="M51" s="77"/>
      <c r="N51" s="68">
        <v>1E-3</v>
      </c>
      <c r="O51" s="68">
        <f t="shared" ref="O51:O57" si="20">$O$49-$P$47*SQRT(N51)</f>
        <v>62.441075556710693</v>
      </c>
      <c r="P51" s="68">
        <f t="shared" ref="P51:P57" si="21">O51*N51/1000</f>
        <v>6.2441075556710703E-5</v>
      </c>
      <c r="R51" s="77"/>
      <c r="S51" s="68">
        <v>1E-3</v>
      </c>
      <c r="T51" s="68">
        <f t="shared" ref="T51:T57" si="22">$T$49-$U$47*SQRT(S51)</f>
        <v>87.81288138156259</v>
      </c>
      <c r="U51" s="68">
        <f t="shared" ref="U51:U57" si="23">T51*S51/1000</f>
        <v>8.7812881381562602E-5</v>
      </c>
    </row>
    <row r="52" spans="3:21" x14ac:dyDescent="0.25">
      <c r="C52" s="77"/>
      <c r="D52" s="68">
        <v>2E-3</v>
      </c>
      <c r="E52" s="68">
        <f t="shared" si="16"/>
        <v>75.327520273743062</v>
      </c>
      <c r="F52" s="68">
        <f t="shared" si="17"/>
        <v>1.5065504054748613E-4</v>
      </c>
      <c r="H52" s="77"/>
      <c r="I52" s="68">
        <v>2E-3</v>
      </c>
      <c r="J52" s="68">
        <f t="shared" si="18"/>
        <v>84.707025134209402</v>
      </c>
      <c r="K52" s="68">
        <f t="shared" si="19"/>
        <v>1.694140502684188E-4</v>
      </c>
      <c r="M52" s="77"/>
      <c r="N52" s="68">
        <v>2E-3</v>
      </c>
      <c r="O52" s="68">
        <f t="shared" si="20"/>
        <v>61.708363061486978</v>
      </c>
      <c r="P52" s="68">
        <f t="shared" si="21"/>
        <v>1.2341672612297395E-4</v>
      </c>
      <c r="R52" s="77"/>
      <c r="S52" s="68">
        <v>2E-3</v>
      </c>
      <c r="T52" s="68">
        <f t="shared" si="22"/>
        <v>86.8365308816837</v>
      </c>
      <c r="U52" s="68">
        <f t="shared" si="23"/>
        <v>1.7367306176336743E-4</v>
      </c>
    </row>
    <row r="53" spans="3:21" x14ac:dyDescent="0.25">
      <c r="C53" s="77"/>
      <c r="D53" s="68">
        <v>3.0000000000000001E-3</v>
      </c>
      <c r="E53" s="68">
        <f t="shared" si="16"/>
        <v>74.663965597379175</v>
      </c>
      <c r="F53" s="68">
        <f t="shared" si="17"/>
        <v>2.2399189679213753E-4</v>
      </c>
      <c r="H53" s="77"/>
      <c r="I53" s="68">
        <v>3.0000000000000001E-3</v>
      </c>
      <c r="J53" s="68">
        <f t="shared" si="18"/>
        <v>83.973688267643311</v>
      </c>
      <c r="K53" s="68">
        <f t="shared" si="19"/>
        <v>2.519210648029299E-4</v>
      </c>
      <c r="M53" s="77"/>
      <c r="N53" s="68">
        <v>3.0000000000000001E-3</v>
      </c>
      <c r="O53" s="68">
        <f t="shared" si="20"/>
        <v>61.14613298947242</v>
      </c>
      <c r="P53" s="68">
        <f t="shared" si="21"/>
        <v>1.8343839896841726E-4</v>
      </c>
      <c r="R53" s="77"/>
      <c r="S53" s="68">
        <v>3.0000000000000001E-3</v>
      </c>
      <c r="T53" s="68">
        <f t="shared" si="22"/>
        <v>86.087350793399864</v>
      </c>
      <c r="U53" s="68">
        <f t="shared" si="23"/>
        <v>2.5826205238019961E-4</v>
      </c>
    </row>
    <row r="54" spans="3:21" x14ac:dyDescent="0.25">
      <c r="C54" s="77"/>
      <c r="D54" s="68">
        <v>4.0000000000000001E-3</v>
      </c>
      <c r="E54" s="68">
        <f t="shared" si="16"/>
        <v>74.10456312849584</v>
      </c>
      <c r="F54" s="68">
        <f t="shared" si="17"/>
        <v>2.9641825251398336E-4</v>
      </c>
      <c r="H54" s="77"/>
      <c r="I54" s="68">
        <v>4.0000000000000001E-3</v>
      </c>
      <c r="J54" s="68">
        <f t="shared" si="18"/>
        <v>83.355456691116416</v>
      </c>
      <c r="K54" s="68">
        <f t="shared" si="19"/>
        <v>3.3342182676446568E-4</v>
      </c>
      <c r="M54" s="77"/>
      <c r="N54" s="68">
        <v>4.0000000000000001E-3</v>
      </c>
      <c r="O54" s="68">
        <f t="shared" si="20"/>
        <v>60.672151113421371</v>
      </c>
      <c r="P54" s="68">
        <f t="shared" si="21"/>
        <v>2.4268860445368547E-4</v>
      </c>
      <c r="R54" s="77"/>
      <c r="S54" s="68">
        <v>4.0000000000000001E-3</v>
      </c>
      <c r="T54" s="68">
        <f t="shared" si="22"/>
        <v>85.455762763125207</v>
      </c>
      <c r="U54" s="68">
        <f t="shared" si="23"/>
        <v>3.4182305105250082E-4</v>
      </c>
    </row>
    <row r="55" spans="3:21" x14ac:dyDescent="0.25">
      <c r="C55" s="77"/>
      <c r="D55" s="68">
        <v>0.3</v>
      </c>
      <c r="E55" s="68">
        <f t="shared" si="16"/>
        <v>42.119655973791716</v>
      </c>
      <c r="F55" s="68">
        <f t="shared" si="17"/>
        <v>1.2635896792137514E-2</v>
      </c>
      <c r="H55" s="77"/>
      <c r="I55" s="68">
        <v>0.3</v>
      </c>
      <c r="J55" s="68">
        <f t="shared" si="18"/>
        <v>48.00688267643315</v>
      </c>
      <c r="K55" s="68">
        <f t="shared" si="19"/>
        <v>1.4402064802929944E-2</v>
      </c>
      <c r="M55" s="77"/>
      <c r="N55" s="68">
        <v>0.3</v>
      </c>
      <c r="O55" s="68">
        <f t="shared" si="20"/>
        <v>33.571329894724116</v>
      </c>
      <c r="P55" s="68">
        <f t="shared" si="21"/>
        <v>1.0071398968417234E-2</v>
      </c>
      <c r="R55" s="77"/>
      <c r="S55" s="68">
        <v>0.3</v>
      </c>
      <c r="T55" s="68">
        <f t="shared" si="22"/>
        <v>49.343507933998801</v>
      </c>
      <c r="U55" s="68">
        <f t="shared" si="23"/>
        <v>1.480305238019964E-2</v>
      </c>
    </row>
    <row r="56" spans="3:21" x14ac:dyDescent="0.25">
      <c r="C56" s="77"/>
      <c r="D56" s="68">
        <v>5.0000000000000001E-3</v>
      </c>
      <c r="E56" s="68">
        <f t="shared" si="16"/>
        <v>73.611719659778814</v>
      </c>
      <c r="F56" s="68">
        <f t="shared" si="17"/>
        <v>3.6805859829889409E-4</v>
      </c>
      <c r="H56" s="77"/>
      <c r="I56" s="68">
        <v>5.0000000000000001E-3</v>
      </c>
      <c r="J56" s="68">
        <f t="shared" si="18"/>
        <v>82.810783738109748</v>
      </c>
      <c r="K56" s="68">
        <f t="shared" si="19"/>
        <v>4.1405391869054877E-4</v>
      </c>
      <c r="M56" s="77"/>
      <c r="N56" s="68">
        <v>5.0000000000000001E-3</v>
      </c>
      <c r="O56" s="68">
        <f t="shared" si="20"/>
        <v>60.254564697744122</v>
      </c>
      <c r="P56" s="68">
        <f t="shared" si="21"/>
        <v>3.0127282348872063E-4</v>
      </c>
      <c r="R56" s="77"/>
      <c r="S56" s="68">
        <v>5.0000000000000001E-3</v>
      </c>
      <c r="T56" s="68">
        <f t="shared" si="22"/>
        <v>84.899322538143593</v>
      </c>
      <c r="U56" s="68">
        <f t="shared" si="23"/>
        <v>4.2449661269071799E-4</v>
      </c>
    </row>
    <row r="57" spans="3:21" x14ac:dyDescent="0.25">
      <c r="C57" s="77"/>
      <c r="D57" s="68">
        <v>6.0000000000000001E-3</v>
      </c>
      <c r="E57" s="68">
        <f t="shared" si="16"/>
        <v>73.166155105805927</v>
      </c>
      <c r="F57" s="68">
        <f t="shared" si="17"/>
        <v>4.3899693063483556E-4</v>
      </c>
      <c r="H57" s="77"/>
      <c r="I57" s="68">
        <v>6.0000000000000001E-3</v>
      </c>
      <c r="J57" s="68">
        <f t="shared" si="18"/>
        <v>82.318361748630451</v>
      </c>
      <c r="K57" s="68">
        <f t="shared" si="19"/>
        <v>4.9391017049178266E-4</v>
      </c>
      <c r="M57" s="77"/>
      <c r="N57" s="68">
        <v>6.0000000000000001E-3</v>
      </c>
      <c r="O57" s="68">
        <f t="shared" si="20"/>
        <v>59.877037720404381</v>
      </c>
      <c r="P57" s="68">
        <f t="shared" si="21"/>
        <v>3.5926222632242624E-4</v>
      </c>
      <c r="R57" s="77"/>
      <c r="S57" s="68">
        <v>6.0000000000000001E-3</v>
      </c>
      <c r="T57" s="68">
        <f t="shared" si="22"/>
        <v>84.396262121614342</v>
      </c>
      <c r="U57" s="68">
        <f t="shared" si="23"/>
        <v>5.0637757272968607E-4</v>
      </c>
    </row>
    <row r="58" spans="3:21" x14ac:dyDescent="0.25">
      <c r="C58" s="28"/>
    </row>
    <row r="59" spans="3:21" ht="44.25" x14ac:dyDescent="0.25">
      <c r="C59" s="77" t="s">
        <v>155</v>
      </c>
      <c r="D59" s="66"/>
      <c r="E59" s="66" t="s">
        <v>236</v>
      </c>
      <c r="F59" s="66" t="s">
        <v>237</v>
      </c>
      <c r="H59" s="77" t="s">
        <v>155</v>
      </c>
      <c r="I59" s="66"/>
      <c r="J59" s="66" t="s">
        <v>236</v>
      </c>
      <c r="K59" s="66" t="s">
        <v>237</v>
      </c>
      <c r="M59" s="82" t="s">
        <v>155</v>
      </c>
      <c r="N59" s="66"/>
      <c r="O59" s="66" t="s">
        <v>236</v>
      </c>
      <c r="P59" s="66" t="s">
        <v>237</v>
      </c>
      <c r="R59" s="77" t="s">
        <v>155</v>
      </c>
      <c r="S59" s="66"/>
      <c r="T59" s="66" t="s">
        <v>236</v>
      </c>
      <c r="U59" s="66" t="s">
        <v>237</v>
      </c>
    </row>
    <row r="60" spans="3:21" ht="15.75" x14ac:dyDescent="0.25">
      <c r="C60" s="77"/>
      <c r="D60" s="66" t="s">
        <v>238</v>
      </c>
      <c r="E60" s="66">
        <v>10.93</v>
      </c>
      <c r="F60" s="66">
        <f>$E$78*E62+$F$78</f>
        <v>21.270014007783026</v>
      </c>
      <c r="H60" s="77"/>
      <c r="I60" s="66" t="s">
        <v>239</v>
      </c>
      <c r="J60" s="66">
        <v>16.39</v>
      </c>
      <c r="K60" s="66">
        <f>$E$78*J62+$F$78</f>
        <v>24.013030008855846</v>
      </c>
      <c r="M60" s="83"/>
      <c r="N60" s="66" t="s">
        <v>238</v>
      </c>
      <c r="O60" s="66">
        <v>10.93</v>
      </c>
      <c r="P60" s="66">
        <f>$E$78*O62+$F$78</f>
        <v>22.39033006682925</v>
      </c>
      <c r="R60" s="77"/>
      <c r="S60" s="66" t="s">
        <v>239</v>
      </c>
      <c r="T60" s="66">
        <v>16.39</v>
      </c>
      <c r="U60" s="66">
        <f>$E$78*T62+$F$78</f>
        <v>23.520693803535082</v>
      </c>
    </row>
    <row r="61" spans="3:21" ht="17.25" x14ac:dyDescent="0.25">
      <c r="C61" s="77"/>
      <c r="D61" s="66" t="s">
        <v>240</v>
      </c>
      <c r="E61" s="66">
        <v>24.39</v>
      </c>
      <c r="F61" s="66"/>
      <c r="H61" s="77"/>
      <c r="I61" s="66" t="s">
        <v>240</v>
      </c>
      <c r="J61" s="66">
        <v>24.39</v>
      </c>
      <c r="K61" s="66"/>
      <c r="M61" s="83"/>
      <c r="N61" s="66" t="s">
        <v>241</v>
      </c>
      <c r="O61" s="66">
        <v>26.62</v>
      </c>
      <c r="P61" s="66"/>
      <c r="R61" s="77"/>
      <c r="S61" s="66" t="s">
        <v>242</v>
      </c>
      <c r="T61" s="66">
        <v>23.41</v>
      </c>
      <c r="U61" s="66"/>
    </row>
    <row r="62" spans="3:21" x14ac:dyDescent="0.25">
      <c r="C62" s="77"/>
      <c r="D62" s="66" t="s">
        <v>217</v>
      </c>
      <c r="E62" s="66">
        <f>E61+E60</f>
        <v>35.32</v>
      </c>
      <c r="F62" s="66"/>
      <c r="H62" s="77"/>
      <c r="I62" s="66" t="s">
        <v>217</v>
      </c>
      <c r="J62" s="66">
        <f>J61+J60</f>
        <v>40.78</v>
      </c>
      <c r="K62" s="67"/>
      <c r="M62" s="83"/>
      <c r="N62" s="66" t="s">
        <v>217</v>
      </c>
      <c r="O62" s="66">
        <f>O61+O60</f>
        <v>37.549999999999997</v>
      </c>
      <c r="P62" s="66"/>
      <c r="Q62" s="60"/>
      <c r="R62" s="77"/>
      <c r="S62" s="66" t="s">
        <v>217</v>
      </c>
      <c r="T62" s="66">
        <f>T61+T60</f>
        <v>39.799999999999997</v>
      </c>
      <c r="U62" s="66"/>
    </row>
    <row r="63" spans="3:21" ht="42.75" x14ac:dyDescent="0.25">
      <c r="C63" s="77"/>
      <c r="D63" s="65" t="s">
        <v>216</v>
      </c>
      <c r="E63" s="65" t="s">
        <v>215</v>
      </c>
      <c r="F63" s="65" t="s">
        <v>214</v>
      </c>
      <c r="H63" s="77"/>
      <c r="I63" s="65" t="s">
        <v>216</v>
      </c>
      <c r="J63" s="65" t="s">
        <v>215</v>
      </c>
      <c r="K63" s="65" t="s">
        <v>214</v>
      </c>
      <c r="M63" s="83"/>
      <c r="N63" s="65" t="s">
        <v>216</v>
      </c>
      <c r="O63" s="65" t="s">
        <v>215</v>
      </c>
      <c r="P63" s="65" t="s">
        <v>214</v>
      </c>
      <c r="Q63" s="60"/>
      <c r="R63" s="77"/>
      <c r="S63" s="65" t="s">
        <v>216</v>
      </c>
      <c r="T63" s="65" t="s">
        <v>215</v>
      </c>
      <c r="U63" s="65" t="s">
        <v>214</v>
      </c>
    </row>
    <row r="64" spans="3:21" x14ac:dyDescent="0.25">
      <c r="C64" s="77"/>
      <c r="D64" s="68">
        <v>1E-3</v>
      </c>
      <c r="E64" s="68">
        <f t="shared" ref="E64:E70" si="24">$E$62-$F$60*SQRT(D64)</f>
        <v>34.647383098717192</v>
      </c>
      <c r="F64" s="68">
        <f t="shared" ref="F64:F70" si="25">E64*D64/1000</f>
        <v>3.4647383098717194E-5</v>
      </c>
      <c r="H64" s="77"/>
      <c r="I64" s="68">
        <v>1E-3</v>
      </c>
      <c r="J64" s="68">
        <f t="shared" ref="J64:J70" si="26">$J$62-$K$60*SQRT(I64)</f>
        <v>40.020641316500424</v>
      </c>
      <c r="K64" s="68">
        <f t="shared" ref="K64:K70" si="27">J64*I64/1000</f>
        <v>4.0020641316500427E-5</v>
      </c>
      <c r="M64" s="83"/>
      <c r="N64" s="68">
        <v>1E-3</v>
      </c>
      <c r="O64" s="68">
        <f t="shared" ref="O64:O70" si="28">$O$62-$P$60*SQRT(N64)</f>
        <v>36.841955594258692</v>
      </c>
      <c r="P64" s="68">
        <f t="shared" ref="P64:P70" si="29">O64*N64/1000</f>
        <v>3.6841955594258693E-5</v>
      </c>
      <c r="R64" s="77"/>
      <c r="S64" s="68">
        <v>1E-3</v>
      </c>
      <c r="T64" s="68">
        <f t="shared" ref="T64:T70" si="30">$T$62-$U$60*SQRT(S64)</f>
        <v>39.056210354334198</v>
      </c>
      <c r="U64" s="68">
        <f t="shared" ref="U64:U70" si="31">T64*S64/1000</f>
        <v>3.9056210354334205E-5</v>
      </c>
    </row>
    <row r="65" spans="2:21" x14ac:dyDescent="0.25">
      <c r="C65" s="77"/>
      <c r="D65" s="68">
        <v>2E-3</v>
      </c>
      <c r="E65" s="68">
        <f t="shared" si="24"/>
        <v>34.368776055924485</v>
      </c>
      <c r="F65" s="68">
        <f t="shared" si="25"/>
        <v>6.8737552111848972E-5</v>
      </c>
      <c r="H65" s="77"/>
      <c r="I65" s="68">
        <v>2E-3</v>
      </c>
      <c r="J65" s="68">
        <f t="shared" si="26"/>
        <v>39.70610465108912</v>
      </c>
      <c r="K65" s="68">
        <f t="shared" si="27"/>
        <v>7.9412209302178241E-5</v>
      </c>
      <c r="M65" s="83"/>
      <c r="N65" s="68">
        <v>2E-3</v>
      </c>
      <c r="O65" s="68">
        <f t="shared" si="28"/>
        <v>36.548673998638243</v>
      </c>
      <c r="P65" s="68">
        <f t="shared" si="29"/>
        <v>7.3097347997276484E-5</v>
      </c>
      <c r="R65" s="77"/>
      <c r="S65" s="68">
        <v>2E-3</v>
      </c>
      <c r="T65" s="68">
        <f t="shared" si="30"/>
        <v>38.748122595546747</v>
      </c>
      <c r="U65" s="68">
        <f t="shared" si="31"/>
        <v>7.7496245191093494E-5</v>
      </c>
    </row>
    <row r="66" spans="2:21" x14ac:dyDescent="0.25">
      <c r="C66" s="77"/>
      <c r="D66" s="68">
        <v>3.0000000000000001E-3</v>
      </c>
      <c r="E66" s="68">
        <f t="shared" si="24"/>
        <v>34.154993352948637</v>
      </c>
      <c r="F66" s="68">
        <f t="shared" si="25"/>
        <v>1.0246498005884591E-4</v>
      </c>
      <c r="H66" s="77"/>
      <c r="I66" s="68">
        <v>3.0000000000000001E-3</v>
      </c>
      <c r="J66" s="68">
        <f t="shared" si="26"/>
        <v>39.464752179010119</v>
      </c>
      <c r="K66" s="68">
        <f t="shared" si="27"/>
        <v>1.1839425653703035E-4</v>
      </c>
      <c r="M66" s="83"/>
      <c r="N66" s="68">
        <v>3.0000000000000001E-3</v>
      </c>
      <c r="O66" s="68">
        <f t="shared" si="28"/>
        <v>36.323631115241142</v>
      </c>
      <c r="P66" s="68">
        <f t="shared" si="29"/>
        <v>1.0897089334572343E-4</v>
      </c>
      <c r="R66" s="77"/>
      <c r="S66" s="68">
        <v>3.0000000000000001E-3</v>
      </c>
      <c r="T66" s="68">
        <f t="shared" si="30"/>
        <v>38.511718543563184</v>
      </c>
      <c r="U66" s="68">
        <f t="shared" si="31"/>
        <v>1.1553515563068955E-4</v>
      </c>
    </row>
    <row r="67" spans="2:21" x14ac:dyDescent="0.25">
      <c r="C67" s="77"/>
      <c r="D67" s="68">
        <v>4.0000000000000001E-3</v>
      </c>
      <c r="E67" s="68">
        <f t="shared" si="24"/>
        <v>33.974766197434384</v>
      </c>
      <c r="F67" s="68">
        <f t="shared" si="25"/>
        <v>1.3589906478973755E-4</v>
      </c>
      <c r="H67" s="77"/>
      <c r="I67" s="68">
        <v>4.0000000000000001E-3</v>
      </c>
      <c r="J67" s="68">
        <f t="shared" si="26"/>
        <v>39.261282633000846</v>
      </c>
      <c r="K67" s="68">
        <f t="shared" si="27"/>
        <v>1.5704513053200339E-4</v>
      </c>
      <c r="M67" s="83"/>
      <c r="N67" s="68">
        <v>4.0000000000000001E-3</v>
      </c>
      <c r="O67" s="68">
        <f t="shared" si="28"/>
        <v>36.133911188517388</v>
      </c>
      <c r="P67" s="68">
        <f t="shared" si="29"/>
        <v>1.4453564475406955E-4</v>
      </c>
      <c r="R67" s="77"/>
      <c r="S67" s="68">
        <v>4.0000000000000001E-3</v>
      </c>
      <c r="T67" s="68">
        <f t="shared" si="30"/>
        <v>38.312420708668398</v>
      </c>
      <c r="U67" s="68">
        <f t="shared" si="31"/>
        <v>1.5324968283467359E-4</v>
      </c>
    </row>
    <row r="68" spans="2:21" x14ac:dyDescent="0.25">
      <c r="C68" s="77"/>
      <c r="D68" s="68">
        <v>0.3</v>
      </c>
      <c r="E68" s="68">
        <f t="shared" si="24"/>
        <v>23.669933529486372</v>
      </c>
      <c r="F68" s="68">
        <f t="shared" si="25"/>
        <v>7.1009800588459114E-3</v>
      </c>
      <c r="H68" s="77"/>
      <c r="I68" s="68">
        <v>0.3</v>
      </c>
      <c r="J68" s="68">
        <f t="shared" si="26"/>
        <v>27.627521790101177</v>
      </c>
      <c r="K68" s="68">
        <f t="shared" si="27"/>
        <v>8.2882565370303533E-3</v>
      </c>
      <c r="M68" s="83"/>
      <c r="N68" s="68">
        <v>0.3</v>
      </c>
      <c r="O68" s="68">
        <f t="shared" si="28"/>
        <v>25.286311152411464</v>
      </c>
      <c r="P68" s="68">
        <f t="shared" si="29"/>
        <v>7.5858933457234384E-3</v>
      </c>
      <c r="R68" s="77"/>
      <c r="S68" s="68">
        <v>0.3</v>
      </c>
      <c r="T68" s="68">
        <f t="shared" si="30"/>
        <v>26.917185435631851</v>
      </c>
      <c r="U68" s="68">
        <f t="shared" si="31"/>
        <v>8.0751556306895549E-3</v>
      </c>
    </row>
    <row r="69" spans="2:21" x14ac:dyDescent="0.25">
      <c r="C69" s="77"/>
      <c r="D69" s="68">
        <v>5.0000000000000001E-3</v>
      </c>
      <c r="E69" s="68">
        <f t="shared" si="24"/>
        <v>33.815982885916377</v>
      </c>
      <c r="F69" s="68">
        <f t="shared" si="25"/>
        <v>1.690799144295819E-4</v>
      </c>
      <c r="H69" s="77"/>
      <c r="I69" s="68">
        <v>5.0000000000000001E-3</v>
      </c>
      <c r="J69" s="68">
        <f t="shared" si="26"/>
        <v>39.082022364390198</v>
      </c>
      <c r="K69" s="68">
        <f t="shared" si="27"/>
        <v>1.9541011182195101E-4</v>
      </c>
      <c r="M69" s="83"/>
      <c r="N69" s="68">
        <v>5.0000000000000001E-3</v>
      </c>
      <c r="O69" s="68">
        <f t="shared" si="28"/>
        <v>35.966764577673999</v>
      </c>
      <c r="P69" s="68">
        <f t="shared" si="29"/>
        <v>1.7983382288837E-4</v>
      </c>
      <c r="R69" s="77"/>
      <c r="S69" s="68">
        <v>5.0000000000000001E-3</v>
      </c>
      <c r="T69" s="68">
        <f t="shared" si="30"/>
        <v>38.136835791330789</v>
      </c>
      <c r="U69" s="68">
        <f t="shared" si="31"/>
        <v>1.9068417895665396E-4</v>
      </c>
    </row>
    <row r="70" spans="2:21" x14ac:dyDescent="0.25">
      <c r="C70" s="77"/>
      <c r="D70" s="68">
        <v>6.0000000000000001E-3</v>
      </c>
      <c r="E70" s="68">
        <f t="shared" si="24"/>
        <v>33.67243179948516</v>
      </c>
      <c r="F70" s="68">
        <f t="shared" si="25"/>
        <v>2.0203459079691096E-4</v>
      </c>
      <c r="H70" s="77"/>
      <c r="I70" s="68">
        <v>6.0000000000000001E-3</v>
      </c>
      <c r="J70" s="68">
        <f t="shared" si="26"/>
        <v>38.919958693674445</v>
      </c>
      <c r="K70" s="68">
        <f t="shared" si="27"/>
        <v>2.3351975216204669E-4</v>
      </c>
      <c r="M70" s="84"/>
      <c r="N70" s="68">
        <v>6.0000000000000001E-3</v>
      </c>
      <c r="O70" s="68">
        <f t="shared" si="28"/>
        <v>35.815652490701659</v>
      </c>
      <c r="P70" s="68">
        <f t="shared" si="29"/>
        <v>2.1489391494420996E-4</v>
      </c>
      <c r="R70" s="77"/>
      <c r="S70" s="68">
        <v>6.0000000000000001E-3</v>
      </c>
      <c r="T70" s="68">
        <f t="shared" si="30"/>
        <v>37.978094892153287</v>
      </c>
      <c r="U70" s="68">
        <f t="shared" si="31"/>
        <v>2.278685693529197E-4</v>
      </c>
    </row>
    <row r="71" spans="2:21" x14ac:dyDescent="0.25">
      <c r="H71" s="60"/>
      <c r="M71" s="69"/>
      <c r="R71" s="60"/>
    </row>
    <row r="72" spans="2:21" x14ac:dyDescent="0.25">
      <c r="H72" s="60"/>
      <c r="M72" s="60"/>
      <c r="R72" s="60"/>
    </row>
    <row r="73" spans="2:21" x14ac:dyDescent="0.25">
      <c r="C73" s="28"/>
    </row>
    <row r="74" spans="2:21" ht="28.5" x14ac:dyDescent="0.25">
      <c r="B74" s="56"/>
      <c r="C74" s="55" t="s">
        <v>213</v>
      </c>
      <c r="D74" s="55" t="s">
        <v>212</v>
      </c>
      <c r="E74" s="55" t="s">
        <v>211</v>
      </c>
      <c r="F74" s="55" t="s">
        <v>210</v>
      </c>
      <c r="H74" s="78"/>
      <c r="I74" s="78"/>
      <c r="J74" s="78"/>
      <c r="K74" s="78"/>
      <c r="L74" s="78"/>
    </row>
    <row r="75" spans="2:21" x14ac:dyDescent="0.25">
      <c r="B75" s="55" t="s">
        <v>209</v>
      </c>
      <c r="C75" s="28">
        <f>0.369/100</f>
        <v>3.6900000000000001E-3</v>
      </c>
      <c r="D75" s="28">
        <v>35.9</v>
      </c>
      <c r="E75" s="28">
        <f>2800000  *   0.5/(  (D75*298.15)^(3/2) *  (1+0.5^0.5) )</f>
        <v>0.74058251593904145</v>
      </c>
      <c r="F75" s="28">
        <f>8.249/(C75*(D75*298.15)^(1/2))</f>
        <v>21.607787805864429</v>
      </c>
      <c r="H75" s="78"/>
      <c r="I75" s="78"/>
      <c r="J75" s="78"/>
      <c r="K75" s="78"/>
      <c r="L75" s="78"/>
    </row>
    <row r="76" spans="2:21" x14ac:dyDescent="0.25">
      <c r="B76" s="55" t="s">
        <v>208</v>
      </c>
      <c r="C76" s="28">
        <f>2.53/100</f>
        <v>2.53E-2</v>
      </c>
      <c r="D76" s="28">
        <v>64.92</v>
      </c>
      <c r="E76" s="28">
        <f>2800000  *   0.5/(  (D76*298.15)^(3/2) *  (1+0.5^0.5) )</f>
        <v>0.30454211597935216</v>
      </c>
      <c r="F76" s="28">
        <f>8.249/(C76*(D76*298.15)^(1/2))</f>
        <v>2.3435494404947295</v>
      </c>
      <c r="H76" s="78"/>
      <c r="I76" s="78"/>
      <c r="J76" s="78"/>
      <c r="K76" s="78"/>
      <c r="L76" s="78"/>
    </row>
    <row r="77" spans="2:21" x14ac:dyDescent="0.25">
      <c r="B77" s="55" t="s">
        <v>170</v>
      </c>
      <c r="C77" s="28">
        <f>0.794/100</f>
        <v>7.9400000000000009E-3</v>
      </c>
      <c r="D77" s="28">
        <v>36.700000000000003</v>
      </c>
      <c r="E77" s="28">
        <f>2800000  *   0.5/(  (D77*298.15)^(3/2) *  (1+0.5^0.5) )</f>
        <v>0.71649973032046199</v>
      </c>
      <c r="F77" s="28">
        <f>8.249/(C77*(D77*298.15)^(1/2))</f>
        <v>9.9318548115191021</v>
      </c>
      <c r="H77" s="78"/>
      <c r="I77" s="78"/>
      <c r="J77" s="78"/>
      <c r="K77" s="78"/>
      <c r="L77" s="78"/>
    </row>
    <row r="78" spans="2:21" x14ac:dyDescent="0.25">
      <c r="B78" s="55" t="s">
        <v>155</v>
      </c>
      <c r="C78" s="28">
        <f>1.987/100</f>
        <v>1.9870000000000002E-2</v>
      </c>
      <c r="D78" s="28">
        <v>46.5</v>
      </c>
      <c r="E78" s="28">
        <f>2800000  *   0.5/(  (D78*298.15)^(3/2) *  (1+0.5^0.5) )</f>
        <v>0.50238388298036973</v>
      </c>
      <c r="F78" s="28">
        <f>8.249/(C78*(D78*298.15)^(1/2))</f>
        <v>3.5258152609163678</v>
      </c>
      <c r="H78" s="78"/>
      <c r="I78" s="78"/>
      <c r="J78" s="78"/>
      <c r="K78" s="78"/>
      <c r="L78" s="78"/>
    </row>
    <row r="79" spans="2:21" x14ac:dyDescent="0.25">
      <c r="E79" s="60"/>
      <c r="H79" s="78"/>
      <c r="I79" s="78"/>
      <c r="J79" s="78"/>
      <c r="K79" s="78"/>
      <c r="L79" s="78"/>
    </row>
    <row r="80" spans="2:21" x14ac:dyDescent="0.25">
      <c r="F80" s="60"/>
      <c r="H80" s="78"/>
      <c r="I80" s="78"/>
      <c r="J80" s="78"/>
      <c r="K80" s="78"/>
      <c r="L80" s="78"/>
    </row>
    <row r="81" spans="6:12" ht="22.5" customHeight="1" x14ac:dyDescent="0.25">
      <c r="F81" s="60"/>
      <c r="H81" s="78"/>
      <c r="I81" s="78"/>
      <c r="J81" s="78"/>
      <c r="K81" s="78"/>
      <c r="L81" s="78"/>
    </row>
    <row r="82" spans="6:12" ht="15.75" x14ac:dyDescent="0.25">
      <c r="F82" s="60"/>
      <c r="H82" s="51" t="s">
        <v>243</v>
      </c>
    </row>
    <row r="83" spans="6:12" x14ac:dyDescent="0.25">
      <c r="F83" s="60"/>
    </row>
    <row r="84" spans="6:12" x14ac:dyDescent="0.25">
      <c r="F84" s="60"/>
    </row>
    <row r="85" spans="6:12" x14ac:dyDescent="0.25">
      <c r="F85" s="60"/>
    </row>
    <row r="86" spans="6:12" x14ac:dyDescent="0.25">
      <c r="F86" s="60"/>
    </row>
  </sheetData>
  <mergeCells count="27">
    <mergeCell ref="B2:H2"/>
    <mergeCell ref="B1:H1"/>
    <mergeCell ref="B3:H3"/>
    <mergeCell ref="M59:M70"/>
    <mergeCell ref="M14:P15"/>
    <mergeCell ref="M18:P18"/>
    <mergeCell ref="C33:C44"/>
    <mergeCell ref="C18:F18"/>
    <mergeCell ref="H18:K18"/>
    <mergeCell ref="H33:H44"/>
    <mergeCell ref="H59:H70"/>
    <mergeCell ref="M20:M31"/>
    <mergeCell ref="B5:F5"/>
    <mergeCell ref="C46:C57"/>
    <mergeCell ref="C59:C70"/>
    <mergeCell ref="H46:H57"/>
    <mergeCell ref="C20:C31"/>
    <mergeCell ref="H20:H31"/>
    <mergeCell ref="R33:R44"/>
    <mergeCell ref="M33:M44"/>
    <mergeCell ref="M46:M57"/>
    <mergeCell ref="H74:L81"/>
    <mergeCell ref="H5:K5"/>
    <mergeCell ref="R46:R57"/>
    <mergeCell ref="R59:R70"/>
    <mergeCell ref="R18:U18"/>
    <mergeCell ref="R20:R31"/>
  </mergeCells>
  <conditionalFormatting sqref="C7:F10">
    <cfRule type="colorScale" priority="1">
      <colorScale>
        <cfvo type="min"/>
        <cfvo type="max"/>
        <color theme="8" tint="0.39997558519241921"/>
        <color rgb="FFFFC000"/>
      </colorScale>
    </cfRule>
  </conditionalFormatting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CE23-AB5C-4649-A47B-A5B4495DCC7D}">
  <dimension ref="A1:Y67"/>
  <sheetViews>
    <sheetView tabSelected="1" zoomScale="85" zoomScaleNormal="85" workbookViewId="0">
      <selection activeCell="N9" sqref="N9"/>
    </sheetView>
  </sheetViews>
  <sheetFormatPr defaultColWidth="9.140625" defaultRowHeight="14.25" x14ac:dyDescent="0.25"/>
  <cols>
    <col min="1" max="1" width="7.7109375" style="28" bestFit="1" customWidth="1"/>
    <col min="2" max="2" width="19" style="60" customWidth="1"/>
    <col min="3" max="4" width="19" style="28" customWidth="1"/>
    <col min="5" max="5" width="25.85546875" style="28" customWidth="1"/>
    <col min="6" max="6" width="4.5703125" style="28" customWidth="1"/>
    <col min="7" max="8" width="17.7109375" style="28" customWidth="1"/>
    <col min="9" max="9" width="17.7109375" style="60" customWidth="1"/>
    <col min="10" max="10" width="27.5703125" style="60" customWidth="1"/>
    <col min="11" max="11" width="4.140625" style="28" customWidth="1"/>
    <col min="12" max="14" width="19.7109375" style="28" customWidth="1"/>
    <col min="15" max="15" width="27.5703125" style="28" customWidth="1"/>
    <col min="16" max="16" width="3.85546875" style="28" customWidth="1"/>
    <col min="17" max="19" width="19.85546875" style="28" customWidth="1"/>
    <col min="20" max="20" width="27.5703125" style="28" customWidth="1"/>
    <col min="21" max="21" width="9.140625" style="28"/>
    <col min="22" max="22" width="11.42578125" style="28" bestFit="1" customWidth="1"/>
    <col min="23" max="23" width="10.42578125" style="28" bestFit="1" customWidth="1"/>
    <col min="24" max="16384" width="9.140625" style="28"/>
  </cols>
  <sheetData>
    <row r="1" spans="1:25" ht="33" customHeight="1" x14ac:dyDescent="0.25">
      <c r="A1" s="79" t="s">
        <v>271</v>
      </c>
      <c r="B1" s="79"/>
      <c r="C1" s="79"/>
      <c r="D1" s="79"/>
      <c r="E1" s="79"/>
      <c r="G1" s="79" t="s">
        <v>270</v>
      </c>
      <c r="H1" s="79"/>
      <c r="I1" s="79"/>
      <c r="J1" s="79"/>
      <c r="L1" s="78" t="s">
        <v>273</v>
      </c>
    </row>
    <row r="2" spans="1:25" ht="17.25" x14ac:dyDescent="0.25">
      <c r="A2" s="55"/>
      <c r="B2" s="55" t="s">
        <v>229</v>
      </c>
      <c r="C2" s="55" t="s">
        <v>230</v>
      </c>
      <c r="D2" s="55" t="s">
        <v>231</v>
      </c>
      <c r="E2" s="55" t="s">
        <v>182</v>
      </c>
      <c r="G2" s="56"/>
      <c r="H2" s="55" t="s">
        <v>269</v>
      </c>
      <c r="I2" s="55" t="s">
        <v>268</v>
      </c>
      <c r="J2" s="55" t="s">
        <v>267</v>
      </c>
      <c r="L2" s="78"/>
    </row>
    <row r="3" spans="1:25" ht="17.25" x14ac:dyDescent="0.25">
      <c r="A3" s="56" t="s">
        <v>209</v>
      </c>
      <c r="B3" s="57">
        <f>D30</f>
        <v>1.7230000000000002E-2</v>
      </c>
      <c r="C3" s="56">
        <f>I30</f>
        <v>2.0932000000000003E-2</v>
      </c>
      <c r="D3" s="56">
        <f>N30</f>
        <v>2.1827000000000003E-2</v>
      </c>
      <c r="E3" s="58">
        <f>S30</f>
        <v>4.4509999999999994E-2</v>
      </c>
      <c r="G3" s="55" t="s">
        <v>229</v>
      </c>
      <c r="H3" s="56">
        <f>B4/B3</f>
        <v>0.23726059199071381</v>
      </c>
      <c r="I3" s="56">
        <f>B5/B3</f>
        <v>0.50905397562391164</v>
      </c>
      <c r="J3" s="56">
        <f>B6/B3</f>
        <v>0.71490423679628545</v>
      </c>
      <c r="L3" s="78"/>
    </row>
    <row r="4" spans="1:25" ht="17.25" x14ac:dyDescent="0.25">
      <c r="A4" s="56" t="s">
        <v>208</v>
      </c>
      <c r="B4" s="57">
        <f>D42</f>
        <v>4.0879999999999996E-3</v>
      </c>
      <c r="C4" s="56">
        <f>I42</f>
        <v>5.8310000000000002E-3</v>
      </c>
      <c r="D4" s="56">
        <f>N42</f>
        <v>4.7520000000000001E-3</v>
      </c>
      <c r="E4" s="58">
        <f>S42</f>
        <v>8.4349999999999998E-3</v>
      </c>
      <c r="G4" s="55" t="s">
        <v>230</v>
      </c>
      <c r="H4" s="56">
        <f>C4/C3</f>
        <v>0.27856869864322564</v>
      </c>
      <c r="I4" s="56">
        <f>C5/C3</f>
        <v>0.67647620867571168</v>
      </c>
      <c r="J4" s="56">
        <f>C6/C3</f>
        <v>1.175711828778903</v>
      </c>
      <c r="L4" s="78"/>
    </row>
    <row r="5" spans="1:25" ht="17.25" x14ac:dyDescent="0.25">
      <c r="A5" s="56" t="s">
        <v>170</v>
      </c>
      <c r="B5" s="59">
        <f>D54</f>
        <v>8.7709999999999993E-3</v>
      </c>
      <c r="C5" s="59">
        <f>I54</f>
        <v>1.4159999999999999E-2</v>
      </c>
      <c r="D5" s="56">
        <f>N54</f>
        <v>1.0366E-2</v>
      </c>
      <c r="E5" s="58">
        <f>S54</f>
        <v>2.3101E-2</v>
      </c>
      <c r="G5" s="55" t="s">
        <v>231</v>
      </c>
      <c r="H5" s="56">
        <f>D4/D3</f>
        <v>0.21771200806340768</v>
      </c>
      <c r="I5" s="56">
        <f>D5/D3</f>
        <v>0.47491638795986618</v>
      </c>
      <c r="J5" s="56">
        <f>D6/D3</f>
        <v>1.4853163513080128</v>
      </c>
      <c r="L5" s="78"/>
    </row>
    <row r="6" spans="1:25" x14ac:dyDescent="0.25">
      <c r="A6" s="56" t="s">
        <v>155</v>
      </c>
      <c r="B6" s="56">
        <f>D65</f>
        <v>1.23178E-2</v>
      </c>
      <c r="C6" s="58">
        <f>I65</f>
        <v>2.461E-2</v>
      </c>
      <c r="D6" s="58">
        <f>N65</f>
        <v>3.2419999999999997E-2</v>
      </c>
      <c r="E6" s="58">
        <f>S65</f>
        <v>1.0567999999999999E-2</v>
      </c>
      <c r="G6" s="55" t="s">
        <v>182</v>
      </c>
      <c r="H6" s="56">
        <f>E4/E3</f>
        <v>0.18950797573578973</v>
      </c>
      <c r="I6" s="56">
        <f>E5/E3</f>
        <v>0.51900696472702768</v>
      </c>
      <c r="J6" s="56">
        <f>E6/E3</f>
        <v>0.23742979105818918</v>
      </c>
      <c r="L6" s="78"/>
    </row>
    <row r="7" spans="1:25" x14ac:dyDescent="0.25">
      <c r="B7" s="28"/>
      <c r="G7" s="61" t="s">
        <v>220</v>
      </c>
      <c r="H7" s="61">
        <f>AVERAGE(H3:H6)</f>
        <v>0.23076231860828419</v>
      </c>
      <c r="I7" s="61">
        <f>AVERAGE(I3:I6)</f>
        <v>0.54486338424662928</v>
      </c>
      <c r="J7" s="61">
        <f>AVERAGE(J3:J6)</f>
        <v>0.90334055198534768</v>
      </c>
      <c r="L7" s="78"/>
    </row>
    <row r="8" spans="1:25" x14ac:dyDescent="0.25">
      <c r="B8" s="28"/>
      <c r="C8" s="53"/>
      <c r="G8" s="61" t="s">
        <v>219</v>
      </c>
      <c r="H8" s="61">
        <f>STDEV(H3:H6)</f>
        <v>3.7416168252762609E-2</v>
      </c>
      <c r="I8" s="61">
        <f>STDEV(I3:I6)</f>
        <v>8.9750368652954091E-2</v>
      </c>
      <c r="J8" s="61">
        <f>STDEV(J3:J6)</f>
        <v>0.54523002174006763</v>
      </c>
      <c r="L8" s="78"/>
    </row>
    <row r="9" spans="1:25" x14ac:dyDescent="0.2">
      <c r="B9" s="28"/>
      <c r="C9" s="3"/>
      <c r="G9" s="61" t="s">
        <v>218</v>
      </c>
      <c r="H9" s="70">
        <f>H8/H7</f>
        <v>0.16214158567316198</v>
      </c>
      <c r="I9" s="70">
        <f>I8/I7</f>
        <v>0.16472086627191873</v>
      </c>
      <c r="J9" s="70">
        <f>J8/J7</f>
        <v>0.60357084661124716</v>
      </c>
      <c r="L9" s="78"/>
    </row>
    <row r="10" spans="1:25" x14ac:dyDescent="0.25">
      <c r="B10" s="28"/>
      <c r="H10" s="71"/>
      <c r="I10" s="71"/>
      <c r="J10" s="71"/>
    </row>
    <row r="11" spans="1:25" x14ac:dyDescent="0.25">
      <c r="B11" s="28"/>
      <c r="H11" s="71"/>
      <c r="I11" s="71"/>
      <c r="J11" s="71"/>
    </row>
    <row r="12" spans="1:25" ht="18" customHeight="1" x14ac:dyDescent="0.25">
      <c r="B12" s="86" t="s">
        <v>229</v>
      </c>
      <c r="C12" s="86"/>
      <c r="D12" s="86"/>
      <c r="E12" s="86"/>
      <c r="G12" s="86" t="s">
        <v>230</v>
      </c>
      <c r="H12" s="86"/>
      <c r="I12" s="86"/>
      <c r="J12" s="86"/>
      <c r="L12" s="86" t="s">
        <v>231</v>
      </c>
      <c r="M12" s="86"/>
      <c r="N12" s="86"/>
      <c r="O12" s="86"/>
      <c r="Q12" s="86" t="s">
        <v>182</v>
      </c>
      <c r="R12" s="86"/>
      <c r="S12" s="86"/>
      <c r="T12" s="86"/>
    </row>
    <row r="13" spans="1:25" ht="28.5" x14ac:dyDescent="0.25">
      <c r="C13" s="60" t="s">
        <v>216</v>
      </c>
      <c r="D13" s="60" t="s">
        <v>214</v>
      </c>
      <c r="E13" s="60" t="s">
        <v>266</v>
      </c>
      <c r="G13" s="60"/>
      <c r="H13" s="60" t="s">
        <v>216</v>
      </c>
      <c r="I13" s="60" t="s">
        <v>214</v>
      </c>
      <c r="J13" s="60" t="s">
        <v>266</v>
      </c>
      <c r="L13" s="60"/>
      <c r="M13" s="60" t="s">
        <v>216</v>
      </c>
      <c r="N13" s="60" t="s">
        <v>214</v>
      </c>
      <c r="O13" s="60" t="s">
        <v>266</v>
      </c>
      <c r="Q13" s="60"/>
      <c r="R13" s="60" t="s">
        <v>216</v>
      </c>
      <c r="S13" s="60" t="s">
        <v>214</v>
      </c>
      <c r="T13" s="60" t="s">
        <v>266</v>
      </c>
    </row>
    <row r="15" spans="1:25" ht="225" customHeight="1" x14ac:dyDescent="0.25">
      <c r="B15" s="82" t="s">
        <v>209</v>
      </c>
      <c r="C15" s="68">
        <f>'[1]House J Org Chem 1971'!B4</f>
        <v>0.6</v>
      </c>
      <c r="D15" s="68">
        <f>'[1]House J Org Chem 1971'!D4</f>
        <v>2.7027027027027029E-2</v>
      </c>
      <c r="E15" s="87" t="s">
        <v>251</v>
      </c>
      <c r="G15" s="82" t="s">
        <v>209</v>
      </c>
      <c r="H15" s="68">
        <v>1</v>
      </c>
      <c r="I15" s="68">
        <f>'[1]Gong EES 2015'!H11/1000</f>
        <v>5.0058999999999999E-2</v>
      </c>
      <c r="J15" s="68" t="s">
        <v>254</v>
      </c>
      <c r="L15" s="82" t="s">
        <v>209</v>
      </c>
      <c r="M15" s="68">
        <v>0.1</v>
      </c>
      <c r="N15" s="68">
        <f>'[1]Shinkle J Pow Sources 2014'!B9/1000</f>
        <v>9.9299999999999996E-3</v>
      </c>
      <c r="O15" s="68" t="s">
        <v>253</v>
      </c>
      <c r="Q15" s="82" t="s">
        <v>209</v>
      </c>
      <c r="R15" s="68">
        <f>'[1]Kalugin Kharkiv Univ Bull 2019 '!C36</f>
        <v>3.056445E-4</v>
      </c>
      <c r="S15" s="68">
        <f>'[1]Kalugin Kharkiv Univ Bull 2019 '!E36</f>
        <v>4.9534000000000004E-5</v>
      </c>
      <c r="T15" s="87" t="s">
        <v>263</v>
      </c>
      <c r="V15" s="85" t="s">
        <v>265</v>
      </c>
      <c r="W15" s="85"/>
      <c r="X15" s="85"/>
      <c r="Y15" s="85"/>
    </row>
    <row r="16" spans="1:25" x14ac:dyDescent="0.25">
      <c r="B16" s="83"/>
      <c r="C16" s="68">
        <f>'[1]House J Org Chem 1971'!B5</f>
        <v>0.5</v>
      </c>
      <c r="D16" s="68">
        <f>'[1]House J Org Chem 1971'!D5</f>
        <v>2.564102564102564E-2</v>
      </c>
      <c r="E16" s="89"/>
      <c r="G16" s="83"/>
      <c r="H16" s="68">
        <f>'[1]Wypych J Mol Liq 2014'!A7</f>
        <v>1E-3</v>
      </c>
      <c r="I16" s="68">
        <f>'[1]Wypych J Mol Liq 2014'!B7</f>
        <v>1.8489633683833073E-4</v>
      </c>
      <c r="J16" s="87" t="s">
        <v>264</v>
      </c>
      <c r="L16" s="83"/>
      <c r="M16" s="68">
        <f>'[1]House J Org Chem 1971'!B9</f>
        <v>1</v>
      </c>
      <c r="N16" s="68">
        <f>'[1]House J Org Chem 1971'!D9</f>
        <v>3.2258064516129031E-2</v>
      </c>
      <c r="O16" s="87" t="s">
        <v>251</v>
      </c>
      <c r="Q16" s="83"/>
      <c r="R16" s="68">
        <f>'[1]Kalugin Kharkiv Univ Bull 2019 '!C37</f>
        <v>3.4152994999999997E-4</v>
      </c>
      <c r="S16" s="68">
        <f>'[1]Kalugin Kharkiv Univ Bull 2019 '!E37</f>
        <v>5.5266000000000009E-5</v>
      </c>
      <c r="T16" s="88"/>
      <c r="V16" s="85"/>
      <c r="W16" s="85"/>
      <c r="X16" s="85"/>
      <c r="Y16" s="85"/>
    </row>
    <row r="17" spans="2:23" ht="127.5" customHeight="1" x14ac:dyDescent="0.25">
      <c r="B17" s="83"/>
      <c r="C17" s="68">
        <f>'[1]Anand Z Phys Chem 2016'!A6</f>
        <v>5.0310095439384403E-2</v>
      </c>
      <c r="D17" s="68">
        <f>'[1]Anand Z Phys Chem 2016'!C6</f>
        <v>8.7890164651051978E-4</v>
      </c>
      <c r="E17" s="87" t="s">
        <v>261</v>
      </c>
      <c r="G17" s="83"/>
      <c r="H17" s="68">
        <f>'[1]Wypych J Mol Liq 2014'!A8</f>
        <v>2E-3</v>
      </c>
      <c r="I17" s="68">
        <f>'[1]Wypych J Mol Liq 2014'!B8</f>
        <v>3.6553980786422442E-4</v>
      </c>
      <c r="J17" s="88"/>
      <c r="L17" s="83"/>
      <c r="M17" s="68">
        <f>'[1]House J Org Chem 1971'!B10</f>
        <v>0.5</v>
      </c>
      <c r="N17" s="68">
        <f>'[1]House J Org Chem 1971'!D10</f>
        <v>3.0303030303030304E-2</v>
      </c>
      <c r="O17" s="89"/>
      <c r="Q17" s="83"/>
      <c r="R17" s="68">
        <f>'[1]Kalugin Kharkiv Univ Bull 2019 '!C38</f>
        <v>3.8171914999999998E-4</v>
      </c>
      <c r="S17" s="68">
        <f>'[1]Kalugin Kharkiv Univ Bull 2019 '!E38</f>
        <v>6.0946000000000002E-5</v>
      </c>
      <c r="T17" s="88"/>
    </row>
    <row r="18" spans="2:23" ht="60" customHeight="1" x14ac:dyDescent="0.25">
      <c r="B18" s="83"/>
      <c r="C18" s="68">
        <f>'[1]Anand Z Phys Chem 2016'!A7</f>
        <v>4.5050031372807997E-2</v>
      </c>
      <c r="D18" s="68">
        <f>'[1]Anand Z Phys Chem 2016'!C7</f>
        <v>6.9661650396890843E-4</v>
      </c>
      <c r="E18" s="88"/>
      <c r="G18" s="83"/>
      <c r="H18" s="68">
        <f>'[1]Wypych J Mol Liq 2014'!A9</f>
        <v>3.0000000000000001E-3</v>
      </c>
      <c r="I18" s="68">
        <f>'[1]Wypych J Mol Liq 2014'!B9</f>
        <v>5.4341470372513251E-4</v>
      </c>
      <c r="J18" s="88"/>
      <c r="L18" s="83"/>
      <c r="M18" s="68">
        <f>'[1]Kalugin Kharkiv Univ Bull 2019 '!C12</f>
        <v>7.9658500000000004E-4</v>
      </c>
      <c r="N18" s="68">
        <f>'[1]Kalugin Kharkiv Univ Bull 2019 '!E12</f>
        <v>1.2805E-4</v>
      </c>
      <c r="O18" s="87" t="s">
        <v>263</v>
      </c>
      <c r="Q18" s="83"/>
      <c r="R18" s="68">
        <f>'[1]Kalugin Kharkiv Univ Bull 2019 '!C39</f>
        <v>4.3208084999999996E-4</v>
      </c>
      <c r="S18" s="68">
        <f>'[1]Kalugin Kharkiv Univ Bull 2019 '!E39</f>
        <v>6.8356000000000008E-5</v>
      </c>
      <c r="T18" s="88"/>
    </row>
    <row r="19" spans="2:23" ht="60" customHeight="1" x14ac:dyDescent="0.25">
      <c r="B19" s="83"/>
      <c r="C19" s="68">
        <f>'[1]Anand Z Phys Chem 2016'!A8</f>
        <v>4.0268154948647598E-2</v>
      </c>
      <c r="D19" s="68">
        <f>'[1]Anand Z Phys Chem 2016'!C8</f>
        <v>5.822742283504975E-4</v>
      </c>
      <c r="E19" s="88"/>
      <c r="G19" s="83"/>
      <c r="H19" s="68">
        <f>'[1]Wypych J Mol Liq 2014'!A10</f>
        <v>4.0000000000000001E-3</v>
      </c>
      <c r="I19" s="68">
        <f>'[1]Wypych J Mol Liq 2014'!B10</f>
        <v>7.190506947066461E-4</v>
      </c>
      <c r="J19" s="88"/>
      <c r="L19" s="83"/>
      <c r="M19" s="68">
        <f>'[1]Kalugin Kharkiv Univ Bull 2019 '!C13</f>
        <v>9.6583974999999995E-4</v>
      </c>
      <c r="N19" s="68">
        <f>'[1]Kalugin Kharkiv Univ Bull 2019 '!E13</f>
        <v>1.5412000000000002E-4</v>
      </c>
      <c r="O19" s="88"/>
      <c r="Q19" s="83"/>
      <c r="R19" s="68">
        <f>'[1]Kalugin Kharkiv Univ Bull 2019 '!C40</f>
        <v>5.8671850000000002E-4</v>
      </c>
      <c r="S19" s="68">
        <f>'[1]Kalugin Kharkiv Univ Bull 2019 '!E40</f>
        <v>9.7729000000000012E-5</v>
      </c>
      <c r="T19" s="88"/>
    </row>
    <row r="20" spans="2:23" ht="60" customHeight="1" x14ac:dyDescent="0.25">
      <c r="B20" s="83"/>
      <c r="C20" s="68">
        <f>'[1]Anand Z Phys Chem 2016'!A9</f>
        <v>3.6203559988111297E-2</v>
      </c>
      <c r="D20" s="68">
        <f>'[1]Anand Z Phys Chem 2016'!C9</f>
        <v>4.6901833621402599E-4</v>
      </c>
      <c r="E20" s="88"/>
      <c r="G20" s="83"/>
      <c r="H20" s="68">
        <f>'[1]Wypych J Mol Liq 2014'!A11</f>
        <v>5.0000000000000001E-3</v>
      </c>
      <c r="I20" s="68">
        <f>'[1]Wypych J Mol Liq 2014'!B11</f>
        <v>8.9275390098460543E-4</v>
      </c>
      <c r="J20" s="88"/>
      <c r="L20" s="83"/>
      <c r="M20" s="68">
        <f>'[1]Kalugin Kharkiv Univ Bull 2019 '!C14</f>
        <v>1.3707834999999999E-3</v>
      </c>
      <c r="N20" s="68">
        <f>'[1]Kalugin Kharkiv Univ Bull 2019 '!E14</f>
        <v>2.1596000000000001E-4</v>
      </c>
      <c r="O20" s="88"/>
      <c r="Q20" s="83"/>
      <c r="R20" s="68">
        <f>'[1]Kalugin Kharkiv Univ Bull 2019 '!C41</f>
        <v>7.6976089999999996E-4</v>
      </c>
      <c r="S20" s="68">
        <f>'[1]Kalugin Kharkiv Univ Bull 2019 '!E41</f>
        <v>1.1561000000000001E-4</v>
      </c>
      <c r="T20" s="89"/>
    </row>
    <row r="21" spans="2:23" ht="60" customHeight="1" x14ac:dyDescent="0.25">
      <c r="B21" s="83"/>
      <c r="C21" s="68">
        <f>'[1]Anand Z Phys Chem 2016'!A10</f>
        <v>3.0226214457910801E-2</v>
      </c>
      <c r="D21" s="68">
        <f>'[1]Anand Z Phys Chem 2016'!C10</f>
        <v>3.4609465816630875E-4</v>
      </c>
      <c r="E21" s="88"/>
      <c r="G21" s="83"/>
      <c r="H21" s="68">
        <f>'[1]Wypych J Mol Liq 2014'!A12</f>
        <v>6.0000000000000001E-3</v>
      </c>
      <c r="I21" s="68">
        <f>'[1]Wypych J Mol Liq 2014'!B12</f>
        <v>1.0647308684555239E-3</v>
      </c>
      <c r="J21" s="88"/>
      <c r="L21" s="83"/>
      <c r="M21" s="68">
        <f>'[1]Kalugin Kharkiv Univ Bull 2019 '!C15</f>
        <v>1.6890262500000002E-3</v>
      </c>
      <c r="N21" s="68">
        <f>'[1]Kalugin Kharkiv Univ Bull 2019 '!E15</f>
        <v>2.6379000000000002E-4</v>
      </c>
      <c r="O21" s="88"/>
      <c r="Q21" s="83"/>
      <c r="R21" s="68">
        <f>'[1]Das JCED 1999'!B9</f>
        <v>2.5535000000000002E-3</v>
      </c>
      <c r="S21" s="68">
        <f>'[1]Das JCED 1999'!D9</f>
        <v>4.2089340500000005E-4</v>
      </c>
      <c r="T21" s="87" t="s">
        <v>262</v>
      </c>
      <c r="W21" s="60"/>
    </row>
    <row r="22" spans="2:23" ht="60" customHeight="1" x14ac:dyDescent="0.25">
      <c r="B22" s="83"/>
      <c r="C22" s="68">
        <f>'[1]Anand Z Phys Chem 2016'!A11</f>
        <v>1.99451801459661E-2</v>
      </c>
      <c r="D22" s="68">
        <f>'[1]Anand Z Phys Chem 2016'!C11</f>
        <v>1.6834489332651469E-4</v>
      </c>
      <c r="E22" s="88"/>
      <c r="G22" s="83"/>
      <c r="H22" s="68">
        <f>'[1]Wypych J Mol Liq 2014'!A13</f>
        <v>7.0000000000000001E-3</v>
      </c>
      <c r="I22" s="68">
        <f>'[1]Wypych J Mol Liq 2014'!B13</f>
        <v>1.2351332277161472E-3</v>
      </c>
      <c r="J22" s="89"/>
      <c r="L22" s="83"/>
      <c r="M22" s="68">
        <f>'[1]Kalugin Kharkiv Univ Bull 2019 '!C16</f>
        <v>2.04615925E-3</v>
      </c>
      <c r="N22" s="68">
        <f>'[1]Kalugin Kharkiv Univ Bull 2019 '!E16</f>
        <v>3.1684000000000004E-4</v>
      </c>
      <c r="O22" s="88"/>
      <c r="Q22" s="83"/>
      <c r="R22" s="68">
        <f>'[1]Das JCED 1999'!B10</f>
        <v>3.5412E-3</v>
      </c>
      <c r="S22" s="68">
        <f>'[1]Das JCED 1999'!D10</f>
        <v>5.7062896799999993E-4</v>
      </c>
      <c r="T22" s="88"/>
    </row>
    <row r="23" spans="2:23" ht="142.5" x14ac:dyDescent="0.25">
      <c r="B23" s="83"/>
      <c r="C23" s="68">
        <f>'[1]Anand Z Phys Chem 2016'!A12</f>
        <v>1.0142333476437299E-2</v>
      </c>
      <c r="D23" s="68">
        <f>'[1]Anand Z Phys Chem 2016'!C12</f>
        <v>5.5079061725431765E-5</v>
      </c>
      <c r="E23" s="89"/>
      <c r="G23" s="83"/>
      <c r="H23" s="68">
        <f>'[1]House J Org Chem 1971'!B7</f>
        <v>0.6</v>
      </c>
      <c r="I23" s="68">
        <f>'[1]House J Org Chem 1971'!D7</f>
        <v>3.8461538461538464E-2</v>
      </c>
      <c r="J23" s="68" t="s">
        <v>251</v>
      </c>
      <c r="L23" s="83"/>
      <c r="M23" s="68">
        <f>'[1]Kalugin Kharkiv Univ Bull 2019 '!C17</f>
        <v>2.4298189999999997E-3</v>
      </c>
      <c r="N23" s="68">
        <f>'[1]Kalugin Kharkiv Univ Bull 2019 '!E17</f>
        <v>3.7332000000000006E-4</v>
      </c>
      <c r="O23" s="88"/>
      <c r="Q23" s="83"/>
      <c r="R23" s="68">
        <f>'[1]Das JCED 1999'!B11</f>
        <v>4.0008000000000005E-3</v>
      </c>
      <c r="S23" s="68">
        <f>'[1]Das JCED 1999'!D11</f>
        <v>6.3860769600000017E-4</v>
      </c>
      <c r="T23" s="88"/>
    </row>
    <row r="24" spans="2:23" ht="64.150000000000006" customHeight="1" x14ac:dyDescent="0.25">
      <c r="B24" s="83"/>
      <c r="C24" s="68"/>
      <c r="D24" s="68"/>
      <c r="E24" s="68"/>
      <c r="G24" s="83"/>
      <c r="H24" s="68">
        <f>'[1]Anand Z Phys Chem 2016'!A19</f>
        <v>4.4810937551599997E-2</v>
      </c>
      <c r="I24" s="68">
        <f>'[1]Kalugin Kharkiv Univ Bull 2019 '!C19</f>
        <v>0</v>
      </c>
      <c r="J24" s="87" t="s">
        <v>261</v>
      </c>
      <c r="L24" s="83"/>
      <c r="M24" s="68">
        <f>'[1]Anand Z Phys Chem 2016'!A18</f>
        <v>4.9831907796968299E-2</v>
      </c>
      <c r="N24" s="68">
        <f>'[1]Kalugin Kharkiv Univ Bull 2019 '!C18</f>
        <v>2.99541E-3</v>
      </c>
      <c r="O24" s="89"/>
      <c r="Q24" s="83"/>
      <c r="R24" s="68">
        <f>'[1]Das JCED 1999'!B12</f>
        <v>4.5163E-3</v>
      </c>
      <c r="S24" s="68">
        <f>'[1]Das JCED 1999'!D12</f>
        <v>7.1362056300000002E-4</v>
      </c>
      <c r="T24" s="89"/>
    </row>
    <row r="25" spans="2:23" ht="64.150000000000006" customHeight="1" x14ac:dyDescent="0.25">
      <c r="B25" s="83"/>
      <c r="C25" s="68"/>
      <c r="D25" s="68"/>
      <c r="E25" s="68"/>
      <c r="G25" s="83"/>
      <c r="H25" s="68">
        <f>'[1]Anand Z Phys Chem 2016'!A20</f>
        <v>3.6203559988111297E-2</v>
      </c>
      <c r="I25" s="68">
        <f>'[1]Kalugin Kharkiv Univ Bull 2019 '!C20</f>
        <v>0</v>
      </c>
      <c r="J25" s="88"/>
      <c r="L25" s="83"/>
      <c r="M25" s="68"/>
      <c r="N25" s="68"/>
      <c r="O25" s="68"/>
      <c r="Q25" s="83"/>
      <c r="R25" s="68">
        <f>'[1]Dilo Rev Cub Quim 2010'!A14</f>
        <v>1.0150000000000001E-3</v>
      </c>
      <c r="S25" s="68">
        <f>'[1]Dilo Rev Cub Quim 2010'!C14</f>
        <v>1.7378931500000003E-4</v>
      </c>
      <c r="T25" s="87" t="s">
        <v>260</v>
      </c>
    </row>
    <row r="26" spans="2:23" ht="64.150000000000006" customHeight="1" x14ac:dyDescent="0.25">
      <c r="B26" s="83"/>
      <c r="C26" s="68"/>
      <c r="D26" s="68"/>
      <c r="E26" s="68"/>
      <c r="G26" s="83"/>
      <c r="H26" s="68">
        <f>'[1]Anand Z Phys Chem 2016'!A21</f>
        <v>4.0029061127439598E-2</v>
      </c>
      <c r="I26" s="68">
        <f>'[1]Kalugin Kharkiv Univ Bull 2019 '!C21</f>
        <v>0</v>
      </c>
      <c r="J26" s="88"/>
      <c r="L26" s="83"/>
      <c r="M26" s="68"/>
      <c r="N26" s="68"/>
      <c r="O26" s="68"/>
      <c r="Q26" s="83"/>
      <c r="R26" s="68">
        <f>'[1]Dilo Rev Cub Quim 2010'!A15</f>
        <v>2.8806000000000001E-3</v>
      </c>
      <c r="S26" s="68">
        <f>'[1]Dilo Rev Cub Quim 2010'!C15</f>
        <v>4.6530619860000007E-4</v>
      </c>
      <c r="T26" s="88"/>
    </row>
    <row r="27" spans="2:23" ht="64.150000000000006" customHeight="1" x14ac:dyDescent="0.25">
      <c r="B27" s="83"/>
      <c r="C27" s="68"/>
      <c r="D27" s="68"/>
      <c r="E27" s="68"/>
      <c r="G27" s="83"/>
      <c r="H27" s="68">
        <f>'[1]Anand Z Phys Chem 2016'!A22</f>
        <v>2.9987120636702801E-2</v>
      </c>
      <c r="I27" s="68">
        <f>'[1]Kalugin Kharkiv Univ Bull 2019 '!C22</f>
        <v>0</v>
      </c>
      <c r="J27" s="88"/>
      <c r="L27" s="83"/>
      <c r="M27" s="68"/>
      <c r="N27" s="68"/>
      <c r="O27" s="68"/>
      <c r="Q27" s="83"/>
      <c r="R27" s="68">
        <f>'[1]Dilo Rev Cub Quim 2010'!A16</f>
        <v>4.6937000000000003E-3</v>
      </c>
      <c r="S27" s="68">
        <f>'[1]Dilo Rev Cub Quim 2010'!C16</f>
        <v>7.3750699990000012E-4</v>
      </c>
      <c r="T27" s="88"/>
    </row>
    <row r="28" spans="2:23" ht="64.150000000000006" customHeight="1" x14ac:dyDescent="0.25">
      <c r="B28" s="83"/>
      <c r="C28" s="68"/>
      <c r="D28" s="68"/>
      <c r="E28" s="68"/>
      <c r="G28" s="83"/>
      <c r="H28" s="68">
        <f>'[1]Anand Z Phys Chem 2016'!A23</f>
        <v>1.99451801459661E-2</v>
      </c>
      <c r="I28" s="68">
        <f>'[1]Kalugin Kharkiv Univ Bull 2019 '!C23</f>
        <v>0</v>
      </c>
      <c r="J28" s="89"/>
      <c r="L28" s="83"/>
      <c r="M28" s="68"/>
      <c r="N28" s="68"/>
      <c r="O28" s="68"/>
      <c r="Q28" s="83"/>
      <c r="R28" s="68">
        <f>'[1]Dilo Rev Cub Quim 2010'!A17</f>
        <v>6.5418000000000004E-3</v>
      </c>
      <c r="S28" s="68">
        <f>'[1]Dilo Rev Cub Quim 2010'!C17</f>
        <v>9.7656644580000011E-4</v>
      </c>
      <c r="T28" s="88"/>
    </row>
    <row r="29" spans="2:23" ht="30" customHeight="1" x14ac:dyDescent="0.25">
      <c r="B29" s="83"/>
      <c r="C29" s="68"/>
      <c r="D29" s="68"/>
      <c r="E29" s="68"/>
      <c r="G29" s="83"/>
      <c r="H29" s="68"/>
      <c r="I29" s="65"/>
      <c r="J29" s="65"/>
      <c r="L29" s="83"/>
      <c r="M29" s="68"/>
      <c r="N29" s="68"/>
      <c r="O29" s="68"/>
      <c r="Q29" s="83"/>
      <c r="R29" s="68">
        <f>'[1]Dilo Rev Cub Quim 2010'!A18</f>
        <v>8.4104000000000002E-3</v>
      </c>
      <c r="S29" s="68">
        <f>'[1]Dilo Rev Cub Quim 2010'!C18</f>
        <v>1.2169091864000002E-3</v>
      </c>
      <c r="T29" s="89"/>
    </row>
    <row r="30" spans="2:23" x14ac:dyDescent="0.25">
      <c r="B30" s="84"/>
      <c r="C30" s="72">
        <v>0.3</v>
      </c>
      <c r="D30" s="72">
        <f>-0.05*C30^2+0.0791*C30-0.002</f>
        <v>1.7230000000000002E-2</v>
      </c>
      <c r="E30" s="72" t="s">
        <v>249</v>
      </c>
      <c r="G30" s="84"/>
      <c r="H30" s="72">
        <v>0.3</v>
      </c>
      <c r="I30" s="72">
        <f>-0.0302*H30^2+0.0815*H30-0.0008</f>
        <v>2.0932000000000003E-2</v>
      </c>
      <c r="J30" s="72" t="s">
        <v>249</v>
      </c>
      <c r="L30" s="84"/>
      <c r="M30" s="72">
        <v>0.3</v>
      </c>
      <c r="N30" s="72">
        <f>-0.0577*M30^2+0.0898*M30+0.00008</f>
        <v>2.1827000000000003E-2</v>
      </c>
      <c r="O30" s="72" t="s">
        <v>249</v>
      </c>
      <c r="Q30" s="84"/>
      <c r="R30" s="73">
        <v>0.3</v>
      </c>
      <c r="S30" s="73">
        <f>0.1483*R30+0.00002</f>
        <v>4.4509999999999994E-2</v>
      </c>
      <c r="T30" s="73" t="s">
        <v>244</v>
      </c>
    </row>
    <row r="31" spans="2:23" x14ac:dyDescent="0.25">
      <c r="G31" s="60"/>
      <c r="I31" s="28"/>
      <c r="J31" s="28"/>
      <c r="L31" s="60"/>
      <c r="Q31" s="60"/>
    </row>
    <row r="32" spans="2:23" ht="30" customHeight="1" x14ac:dyDescent="0.25">
      <c r="B32" s="82" t="s">
        <v>208</v>
      </c>
      <c r="C32" s="68">
        <f>'[1]Mukherjee J Phys Chem 1969'!A11</f>
        <v>1E-3</v>
      </c>
      <c r="D32" s="68">
        <f>'[1]Mukherjee J Phys Chem 1969'!B11</f>
        <v>2.7211508808534348E-5</v>
      </c>
      <c r="E32" s="87" t="s">
        <v>259</v>
      </c>
      <c r="G32" s="82" t="s">
        <v>208</v>
      </c>
      <c r="H32" s="68">
        <f>'[1]Mukherjee J Phys Chem 1969'!D11</f>
        <v>1E-3</v>
      </c>
      <c r="I32" s="68">
        <f>'[1]Mukherjee J Phys Chem 1969'!E11</f>
        <v>3.1630033019835727E-5</v>
      </c>
      <c r="J32" s="87" t="s">
        <v>259</v>
      </c>
      <c r="L32" s="82" t="s">
        <v>208</v>
      </c>
      <c r="M32" s="68">
        <f>'[1]Ue JECS 1994'!B10</f>
        <v>0.65</v>
      </c>
      <c r="N32" s="68">
        <f>'[1]Ue JECS 1994'!C10/1000</f>
        <v>7.2300000000000003E-3</v>
      </c>
      <c r="O32" s="87" t="s">
        <v>252</v>
      </c>
      <c r="Q32" s="82" t="s">
        <v>208</v>
      </c>
      <c r="R32" s="68">
        <f>'[1]Mukherjee J Phys Chem 1969'!H11</f>
        <v>1E-3</v>
      </c>
      <c r="S32" s="68">
        <f>'[1]Mukherjee J Phys Chem 1969'!I11</f>
        <v>3.0656925958644218E-5</v>
      </c>
      <c r="T32" s="87" t="s">
        <v>259</v>
      </c>
    </row>
    <row r="33" spans="2:20" ht="30" customHeight="1" x14ac:dyDescent="0.25">
      <c r="B33" s="83"/>
      <c r="C33" s="68">
        <f>'[1]Mukherjee J Phys Chem 1969'!A12</f>
        <v>2E-3</v>
      </c>
      <c r="D33" s="68">
        <f>'[1]Mukherjee J Phys Chem 1969'!B12</f>
        <v>5.3728208474583968E-5</v>
      </c>
      <c r="E33" s="88"/>
      <c r="G33" s="83"/>
      <c r="H33" s="68">
        <f>'[1]Mukherjee J Phys Chem 1969'!D12</f>
        <v>2E-3</v>
      </c>
      <c r="I33" s="68">
        <f>'[1]Mukherjee J Phys Chem 1969'!E12</f>
        <v>6.2493155818728701E-5</v>
      </c>
      <c r="J33" s="88"/>
      <c r="L33" s="83"/>
      <c r="M33" s="68">
        <f>'[1]Ue JECS 1994'!A18</f>
        <v>2.77795812819834E-2</v>
      </c>
      <c r="N33" s="68">
        <f>'[1]Ue JECS 1994'!C18</f>
        <v>6.4151492372494E-4</v>
      </c>
      <c r="O33" s="88"/>
      <c r="Q33" s="83"/>
      <c r="R33" s="68">
        <f>'[1]Mukherjee J Phys Chem 1969'!H12</f>
        <v>2E-3</v>
      </c>
      <c r="S33" s="68">
        <f>'[1]Mukherjee J Phys Chem 1969'!I12</f>
        <v>6.0609080816895597E-5</v>
      </c>
      <c r="T33" s="88"/>
    </row>
    <row r="34" spans="2:20" ht="30" customHeight="1" x14ac:dyDescent="0.25">
      <c r="B34" s="83"/>
      <c r="C34" s="68">
        <f>'[1]Mukherjee J Phys Chem 1969'!A13</f>
        <v>3.0000000000000001E-3</v>
      </c>
      <c r="D34" s="68">
        <f>'[1]Mukherjee J Phys Chem 1969'!B13</f>
        <v>7.9852408146862777E-5</v>
      </c>
      <c r="E34" s="88"/>
      <c r="G34" s="83"/>
      <c r="H34" s="68">
        <f>'[1]Mukherjee J Phys Chem 1969'!D13</f>
        <v>3.0000000000000001E-3</v>
      </c>
      <c r="I34" s="68">
        <f>'[1]Mukherjee J Phys Chem 1969'!E13</f>
        <v>9.290406228820849E-5</v>
      </c>
      <c r="J34" s="88"/>
      <c r="L34" s="83"/>
      <c r="M34" s="68">
        <f>'[1]Ue JECS 1994'!A19</f>
        <v>6.06653893688439E-2</v>
      </c>
      <c r="N34" s="68">
        <f>'[1]Ue JECS 1994'!C19</f>
        <v>1.2375235666209502E-3</v>
      </c>
      <c r="O34" s="88"/>
      <c r="Q34" s="83"/>
      <c r="R34" s="68">
        <f>'[1]Mukherjee J Phys Chem 1969'!H13</f>
        <v>3.0000000000000001E-3</v>
      </c>
      <c r="S34" s="68">
        <f>'[1]Mukherjee J Phys Chem 1969'!I13</f>
        <v>9.0168179980480397E-5</v>
      </c>
      <c r="T34" s="88"/>
    </row>
    <row r="35" spans="2:20" ht="51" customHeight="1" x14ac:dyDescent="0.25">
      <c r="B35" s="83"/>
      <c r="C35" s="68">
        <f>'[1]Mukherjee J Phys Chem 1969'!A14</f>
        <v>4.0000000000000001E-3</v>
      </c>
      <c r="D35" s="68">
        <f>'[1]Mukherjee J Phys Chem 1969'!B14</f>
        <v>1.056922565948685E-4</v>
      </c>
      <c r="E35" s="89"/>
      <c r="G35" s="83"/>
      <c r="H35" s="68">
        <f>'[1]Mukherjee J Phys Chem 1969'!D14</f>
        <v>4.0000000000000001E-3</v>
      </c>
      <c r="I35" s="68">
        <f>'[1]Mukherjee J Phys Chem 1969'!E14</f>
        <v>1.2297527929804771E-4</v>
      </c>
      <c r="J35" s="89"/>
      <c r="L35" s="83"/>
      <c r="M35" s="68">
        <f>'[1]Ue JECS 1994'!A20</f>
        <v>8.3327532110991295E-2</v>
      </c>
      <c r="N35" s="68">
        <f>'[1]Ue JECS 1994'!C20</f>
        <v>1.72576387300134E-3</v>
      </c>
      <c r="O35" s="88"/>
      <c r="Q35" s="83"/>
      <c r="R35" s="68">
        <f>'[1]Mukherjee J Phys Chem 1969'!H14</f>
        <v>4.0000000000000001E-3</v>
      </c>
      <c r="S35" s="68">
        <f>'[1]Mukherjee J Phys Chem 1969'!I14</f>
        <v>1.194456188645813E-4</v>
      </c>
      <c r="T35" s="89"/>
    </row>
    <row r="36" spans="2:20" ht="156.75" x14ac:dyDescent="0.25">
      <c r="B36" s="83"/>
      <c r="C36" s="68">
        <f>'[1] Chernozhuk Chem Tech 2016'!A7</f>
        <v>1E-3</v>
      </c>
      <c r="D36" s="68">
        <f>'[1] Chernozhuk Chem Tech 2016'!C7</f>
        <v>2.7389311996581668E-5</v>
      </c>
      <c r="E36" s="87" t="s">
        <v>258</v>
      </c>
      <c r="G36" s="83"/>
      <c r="H36" s="68">
        <v>1</v>
      </c>
      <c r="I36" s="68">
        <f>'[1]Ue JECS 1994'!C70</f>
        <v>1.0999999999999999E-2</v>
      </c>
      <c r="J36" s="68" t="s">
        <v>252</v>
      </c>
      <c r="L36" s="83"/>
      <c r="M36" s="68">
        <f>'[1]Ue JECS 1994'!A21</f>
        <v>0.108230270238364</v>
      </c>
      <c r="N36" s="68">
        <f>'[1]Ue JECS 1994'!C21</f>
        <v>2.2249976506132701E-3</v>
      </c>
      <c r="O36" s="88"/>
      <c r="Q36" s="83"/>
      <c r="R36" s="68">
        <f>'[1]Dilo Rev Cub Quim 2010'!A5</f>
        <v>1.0326000000000001E-3</v>
      </c>
      <c r="S36" s="68">
        <f>'[1]Dilo Rev Cub Quim 2010'!C5</f>
        <v>3.2090213460000001E-5</v>
      </c>
      <c r="T36" s="87" t="s">
        <v>257</v>
      </c>
    </row>
    <row r="37" spans="2:20" ht="142.5" x14ac:dyDescent="0.25">
      <c r="B37" s="83"/>
      <c r="C37" s="68">
        <f>'[1] Chernozhuk Chem Tech 2016'!A8</f>
        <v>2E-3</v>
      </c>
      <c r="D37" s="68">
        <f>'[1] Chernozhuk Chem Tech 2016'!C8</f>
        <v>5.4757247986326682E-5</v>
      </c>
      <c r="E37" s="88"/>
      <c r="G37" s="83"/>
      <c r="H37" s="68">
        <v>0.65</v>
      </c>
      <c r="I37" s="68">
        <v>9.9000000000000008E-3</v>
      </c>
      <c r="J37" s="68" t="s">
        <v>256</v>
      </c>
      <c r="L37" s="83"/>
      <c r="M37" s="68">
        <f>'[1]Ue JECS 1994'!A22</f>
        <v>0.13311773213059999</v>
      </c>
      <c r="N37" s="68">
        <f>'[1]Ue JECS 1994'!C22</f>
        <v>2.7016735210060499E-3</v>
      </c>
      <c r="O37" s="88"/>
      <c r="Q37" s="83"/>
      <c r="R37" s="68">
        <f>'[1]Dilo Rev Cub Quim 2010'!A6</f>
        <v>2.8214999999999998E-3</v>
      </c>
      <c r="S37" s="68">
        <f>'[1]Dilo Rev Cub Quim 2010'!C6</f>
        <v>8.5098132899999983E-5</v>
      </c>
      <c r="T37" s="88"/>
    </row>
    <row r="38" spans="2:20" ht="42.75" customHeight="1" x14ac:dyDescent="0.25">
      <c r="B38" s="83"/>
      <c r="C38" s="68">
        <f>'[1] Chernozhuk Chem Tech 2016'!A9</f>
        <v>3.0000000000000001E-3</v>
      </c>
      <c r="D38" s="68">
        <f>'[1] Chernozhuk Chem Tech 2016'!C9</f>
        <v>8.2103807969235025E-5</v>
      </c>
      <c r="E38" s="89"/>
      <c r="G38" s="83"/>
      <c r="H38" s="68"/>
      <c r="I38" s="68"/>
      <c r="J38" s="68"/>
      <c r="L38" s="83"/>
      <c r="M38" s="68">
        <f>'[1]Ue JECS 1994'!A23</f>
        <v>0.160269821037543</v>
      </c>
      <c r="N38" s="68">
        <f>'[1]Ue JECS 1994'!C23</f>
        <v>3.2248295688289802E-3</v>
      </c>
      <c r="O38" s="88"/>
      <c r="Q38" s="83"/>
      <c r="R38" s="68">
        <f>'[1]Dilo Rev Cub Quim 2010'!A7</f>
        <v>4.6381E-3</v>
      </c>
      <c r="S38" s="68">
        <f>'[1]Dilo Rev Cub Quim 2010'!C7</f>
        <v>1.3677571376E-4</v>
      </c>
      <c r="T38" s="88"/>
    </row>
    <row r="39" spans="2:20" ht="45" customHeight="1" x14ac:dyDescent="0.25">
      <c r="B39" s="83"/>
      <c r="C39" s="68">
        <f>'[1]Salomon Electr Acta 1983'!B9</f>
        <v>4.9561600000000003E-3</v>
      </c>
      <c r="D39" s="68">
        <f>'[1]Salomon Electr Acta 1983'!D9</f>
        <v>9.9429832455423983E-5</v>
      </c>
      <c r="E39" s="87" t="s">
        <v>255</v>
      </c>
      <c r="G39" s="83"/>
      <c r="H39" s="68"/>
      <c r="I39" s="65"/>
      <c r="J39" s="68"/>
      <c r="L39" s="83"/>
      <c r="M39" s="68">
        <v>1</v>
      </c>
      <c r="N39" s="68">
        <f>'[1]Ue JECS 1994'!D70</f>
        <v>7.4000000000000003E-3</v>
      </c>
      <c r="O39" s="89"/>
      <c r="Q39" s="83"/>
      <c r="R39" s="68">
        <f>'[1]Dilo Rev Cub Quim 2010'!A8</f>
        <v>6.4580000000000002E-3</v>
      </c>
      <c r="S39" s="68">
        <f>'[1]Dilo Rev Cub Quim 2010'!C8</f>
        <v>1.8702367999999999E-4</v>
      </c>
      <c r="T39" s="88"/>
    </row>
    <row r="40" spans="2:20" ht="45" customHeight="1" x14ac:dyDescent="0.25">
      <c r="B40" s="83"/>
      <c r="C40" s="68">
        <f>'[1]Salomon Electr Acta 1983'!B10</f>
        <v>7.5689999999999993E-3</v>
      </c>
      <c r="D40" s="68">
        <f>'[1]Salomon Electr Acta 1983'!D10</f>
        <v>1.5103854135338336E-4</v>
      </c>
      <c r="E40" s="89"/>
      <c r="G40" s="83"/>
      <c r="H40" s="68"/>
      <c r="I40" s="65"/>
      <c r="J40" s="68"/>
      <c r="L40" s="83"/>
      <c r="M40" s="74"/>
      <c r="N40" s="74"/>
      <c r="O40" s="68"/>
      <c r="Q40" s="83"/>
      <c r="R40" s="68">
        <f>'[1]Dilo Rev Cub Quim 2010'!A9</f>
        <v>8.2468999999999997E-3</v>
      </c>
      <c r="S40" s="68">
        <f>'[1]Dilo Rev Cub Quim 2010'!C9</f>
        <v>2.3384827170999997E-4</v>
      </c>
      <c r="T40" s="89"/>
    </row>
    <row r="41" spans="2:20" ht="171" x14ac:dyDescent="0.25">
      <c r="B41" s="83"/>
      <c r="C41" s="68">
        <v>1</v>
      </c>
      <c r="D41" s="68">
        <f>'[1]Ue JECS 1994'!B70</f>
        <v>6.0000000000000001E-3</v>
      </c>
      <c r="E41" s="68" t="s">
        <v>252</v>
      </c>
      <c r="G41" s="83"/>
      <c r="H41" s="68"/>
      <c r="I41" s="65"/>
      <c r="J41" s="68"/>
      <c r="L41" s="83"/>
      <c r="M41" s="74"/>
      <c r="N41" s="74"/>
      <c r="O41" s="68"/>
      <c r="Q41" s="83"/>
      <c r="R41" s="68"/>
      <c r="S41" s="68"/>
      <c r="T41" s="68"/>
    </row>
    <row r="42" spans="2:20" x14ac:dyDescent="0.25">
      <c r="B42" s="84"/>
      <c r="C42" s="72">
        <v>0.3</v>
      </c>
      <c r="D42" s="72">
        <f>-0.0108*C42^2+0.0168*C42+0.00002</f>
        <v>4.0879999999999996E-3</v>
      </c>
      <c r="E42" s="72" t="s">
        <v>249</v>
      </c>
      <c r="G42" s="84"/>
      <c r="H42" s="72">
        <v>0.3</v>
      </c>
      <c r="I42" s="72">
        <f>-0.0121*H42^2+0.023*H42+0.00002</f>
        <v>5.8310000000000002E-3</v>
      </c>
      <c r="J42" s="72" t="s">
        <v>249</v>
      </c>
      <c r="L42" s="84"/>
      <c r="M42" s="72">
        <v>0.3</v>
      </c>
      <c r="N42" s="72">
        <f>-0.0112*M42^2+0.0182*M42+0.0003</f>
        <v>4.7520000000000001E-3</v>
      </c>
      <c r="O42" s="72" t="s">
        <v>249</v>
      </c>
      <c r="Q42" s="84"/>
      <c r="R42" s="73">
        <v>0.3</v>
      </c>
      <c r="S42" s="73">
        <f>0.0281*R42+0.000005</f>
        <v>8.4349999999999998E-3</v>
      </c>
      <c r="T42" s="73" t="s">
        <v>244</v>
      </c>
    </row>
    <row r="44" spans="2:20" ht="225" customHeight="1" x14ac:dyDescent="0.25">
      <c r="B44" s="82" t="s">
        <v>170</v>
      </c>
      <c r="C44" s="68">
        <f>'[1]House J Org Chem 1971'!B13</f>
        <v>0.6</v>
      </c>
      <c r="D44" s="68">
        <f>'[1]House J Org Chem 1971'!D13</f>
        <v>1.2987012987012988E-2</v>
      </c>
      <c r="E44" s="87" t="s">
        <v>251</v>
      </c>
      <c r="G44" s="82" t="s">
        <v>170</v>
      </c>
      <c r="H44" s="68">
        <v>1</v>
      </c>
      <c r="I44" s="68">
        <f>'[1]Ue JECS 1994'!C71</f>
        <v>2.4E-2</v>
      </c>
      <c r="J44" s="68" t="s">
        <v>252</v>
      </c>
      <c r="L44" s="82" t="s">
        <v>170</v>
      </c>
      <c r="M44" s="68">
        <v>1</v>
      </c>
      <c r="N44" s="68">
        <f>'[1]Gong EES 2015'!G7/1000</f>
        <v>1.4500000000000001E-2</v>
      </c>
      <c r="O44" s="68" t="s">
        <v>254</v>
      </c>
      <c r="Q44" s="82" t="s">
        <v>170</v>
      </c>
      <c r="R44" s="68">
        <f>'[1]Nakata Anal Sci 2001'!H14</f>
        <v>1.2892057784115549E-3</v>
      </c>
      <c r="S44" s="68">
        <f>'[1]Nakata Anal Sci 2001'!J14</f>
        <v>1.0612592494750185E-4</v>
      </c>
      <c r="T44" s="87" t="s">
        <v>246</v>
      </c>
    </row>
    <row r="45" spans="2:20" ht="156.75" x14ac:dyDescent="0.25">
      <c r="B45" s="83"/>
      <c r="C45" s="68">
        <f>'[1]House J Org Chem 1971'!B14</f>
        <v>0.5</v>
      </c>
      <c r="D45" s="68">
        <f>'[1]House J Org Chem 1971'!D14</f>
        <v>1.2195121951219513E-2</v>
      </c>
      <c r="E45" s="89"/>
      <c r="G45" s="83"/>
      <c r="H45" s="68">
        <f>'Debye-Huckel-Onsager'!I51</f>
        <v>1E-3</v>
      </c>
      <c r="I45" s="68">
        <f>'Debye-Huckel-Onsager'!K51</f>
        <v>8.5662728345558216E-5</v>
      </c>
      <c r="J45" s="87" t="s">
        <v>247</v>
      </c>
      <c r="L45" s="83"/>
      <c r="M45" s="68">
        <v>0.1</v>
      </c>
      <c r="N45" s="68">
        <f>'[1]Shinkle J Pow Sources 2014'!C9/1000</f>
        <v>4.7599999999999995E-3</v>
      </c>
      <c r="O45" s="68" t="s">
        <v>253</v>
      </c>
      <c r="Q45" s="83"/>
      <c r="R45" s="68">
        <f>'[1]Nakata Anal Sci 2001'!H15</f>
        <v>1.7284642569285133E-3</v>
      </c>
      <c r="S45" s="68">
        <f>'[1]Nakata Anal Sci 2001'!J15</f>
        <v>1.4003065501783159E-4</v>
      </c>
      <c r="T45" s="88"/>
    </row>
    <row r="46" spans="2:20" ht="156.75" x14ac:dyDescent="0.25">
      <c r="B46" s="83"/>
      <c r="C46" s="68">
        <f>'[1]Debye-Huckel-Onsager model'!D55</f>
        <v>1E-3</v>
      </c>
      <c r="D46" s="68">
        <f>'[1]Debye-Huckel-Onsager model'!F55</f>
        <v>7.6192281564247928E-5</v>
      </c>
      <c r="E46" s="68" t="s">
        <v>247</v>
      </c>
      <c r="G46" s="83"/>
      <c r="H46" s="68">
        <f>'Debye-Huckel-Onsager'!I52</f>
        <v>2E-3</v>
      </c>
      <c r="I46" s="68">
        <f>'Debye-Huckel-Onsager'!K52</f>
        <v>1.694140502684188E-4</v>
      </c>
      <c r="J46" s="88"/>
      <c r="L46" s="83"/>
      <c r="M46" s="68">
        <v>1</v>
      </c>
      <c r="N46" s="68">
        <f>'[1]Ue JECS 1994'!D71</f>
        <v>1.4E-2</v>
      </c>
      <c r="O46" s="68" t="s">
        <v>252</v>
      </c>
      <c r="Q46" s="83"/>
      <c r="R46" s="68">
        <f>'[1]Nakata Anal Sci 2001'!H16</f>
        <v>2.6034100068200046E-3</v>
      </c>
      <c r="S46" s="68">
        <f>'[1]Nakata Anal Sci 2001'!J16</f>
        <v>2.0449974256470167E-4</v>
      </c>
      <c r="T46" s="88"/>
    </row>
    <row r="47" spans="2:20" ht="142.5" x14ac:dyDescent="0.25">
      <c r="B47" s="83"/>
      <c r="C47" s="68"/>
      <c r="D47" s="68"/>
      <c r="E47" s="68"/>
      <c r="G47" s="83"/>
      <c r="H47" s="68">
        <f>'Debye-Huckel-Onsager'!I53</f>
        <v>3.0000000000000001E-3</v>
      </c>
      <c r="I47" s="68">
        <f>'Debye-Huckel-Onsager'!K53</f>
        <v>2.519210648029299E-4</v>
      </c>
      <c r="J47" s="88"/>
      <c r="L47" s="83"/>
      <c r="M47" s="68">
        <f>'[1]House J Org Chem 1971'!B17</f>
        <v>0.5</v>
      </c>
      <c r="N47" s="68">
        <f>'[1]House J Org Chem 1971'!D17</f>
        <v>1.3888888888888888E-2</v>
      </c>
      <c r="O47" s="68" t="s">
        <v>251</v>
      </c>
      <c r="Q47" s="83"/>
      <c r="R47" s="68">
        <f>'[1]Nakata Anal Sci 2001'!H17</f>
        <v>3.249897699795396E-3</v>
      </c>
      <c r="S47" s="68">
        <f>'[1]Nakata Anal Sci 2001'!J17</f>
        <v>2.4962982331761723E-4</v>
      </c>
      <c r="T47" s="89"/>
    </row>
    <row r="48" spans="2:20" ht="30" customHeight="1" x14ac:dyDescent="0.25">
      <c r="B48" s="83"/>
      <c r="C48" s="68"/>
      <c r="D48" s="68"/>
      <c r="E48" s="68"/>
      <c r="G48" s="83"/>
      <c r="H48" s="68">
        <f>'Debye-Huckel-Onsager'!I54</f>
        <v>4.0000000000000001E-3</v>
      </c>
      <c r="I48" s="68">
        <f>'Debye-Huckel-Onsager'!K54</f>
        <v>3.3342182676446568E-4</v>
      </c>
      <c r="J48" s="88"/>
      <c r="L48" s="83"/>
      <c r="M48" s="68"/>
      <c r="N48" s="68"/>
      <c r="O48" s="68"/>
      <c r="Q48" s="83"/>
      <c r="R48" s="68">
        <f>'[1]Sears JECS 1963'!A5</f>
        <v>8.9660000000000006E-5</v>
      </c>
      <c r="S48" s="68">
        <f>'[1]Sears JECS 1963'!C5</f>
        <v>7.6820688000000009E-6</v>
      </c>
      <c r="T48" s="87" t="s">
        <v>250</v>
      </c>
    </row>
    <row r="49" spans="2:20" ht="30" customHeight="1" x14ac:dyDescent="0.25">
      <c r="B49" s="83"/>
      <c r="C49" s="68"/>
      <c r="D49" s="68"/>
      <c r="E49" s="68"/>
      <c r="G49" s="83"/>
      <c r="H49" s="68">
        <f>'Debye-Huckel-Onsager'!I56</f>
        <v>5.0000000000000001E-3</v>
      </c>
      <c r="I49" s="68">
        <f>'Debye-Huckel-Onsager'!K56</f>
        <v>4.1405391869054877E-4</v>
      </c>
      <c r="J49" s="88"/>
      <c r="L49" s="83"/>
      <c r="M49" s="68"/>
      <c r="N49" s="68"/>
      <c r="O49" s="68"/>
      <c r="Q49" s="83"/>
      <c r="R49" s="68">
        <f>'[1]Sears JECS 1963'!A6</f>
        <v>2.2450000000000001E-4</v>
      </c>
      <c r="S49" s="68">
        <f>'[1]Sears JECS 1963'!C6</f>
        <v>1.8480839999999997E-5</v>
      </c>
      <c r="T49" s="88"/>
    </row>
    <row r="50" spans="2:20" ht="30" customHeight="1" x14ac:dyDescent="0.25">
      <c r="B50" s="83"/>
      <c r="C50" s="68"/>
      <c r="D50" s="68"/>
      <c r="E50" s="68"/>
      <c r="G50" s="83"/>
      <c r="H50" s="68">
        <f>'Debye-Huckel-Onsager'!I57</f>
        <v>6.0000000000000001E-3</v>
      </c>
      <c r="I50" s="68">
        <f>'Debye-Huckel-Onsager'!K57</f>
        <v>4.9391017049178266E-4</v>
      </c>
      <c r="J50" s="89"/>
      <c r="L50" s="83"/>
      <c r="M50" s="68"/>
      <c r="N50" s="68"/>
      <c r="O50" s="68"/>
      <c r="Q50" s="83"/>
      <c r="R50" s="68">
        <f>'[1]Sears JECS 1963'!A7</f>
        <v>4.1629999999999998E-4</v>
      </c>
      <c r="S50" s="68">
        <f>'[1]Sears JECS 1963'!C7</f>
        <v>3.2679550000000001E-5</v>
      </c>
      <c r="T50" s="88"/>
    </row>
    <row r="51" spans="2:20" ht="30" customHeight="1" x14ac:dyDescent="0.25">
      <c r="B51" s="83"/>
      <c r="C51" s="68"/>
      <c r="D51" s="68"/>
      <c r="E51" s="68"/>
      <c r="G51" s="83"/>
      <c r="H51" s="68"/>
      <c r="I51" s="68"/>
      <c r="J51" s="68"/>
      <c r="L51" s="83"/>
      <c r="M51" s="68"/>
      <c r="N51" s="68"/>
      <c r="O51" s="68"/>
      <c r="Q51" s="83"/>
      <c r="R51" s="68">
        <f>'[1]Sears JECS 1963'!A8</f>
        <v>6.7409999999999996E-4</v>
      </c>
      <c r="S51" s="68">
        <f>'[1]Sears JECS 1963'!C8</f>
        <v>5.0247414000000001E-5</v>
      </c>
      <c r="T51" s="88"/>
    </row>
    <row r="52" spans="2:20" ht="30" customHeight="1" x14ac:dyDescent="0.25">
      <c r="B52" s="83"/>
      <c r="C52" s="68"/>
      <c r="D52" s="68"/>
      <c r="E52" s="68"/>
      <c r="G52" s="83"/>
      <c r="H52" s="68"/>
      <c r="I52" s="65"/>
      <c r="J52" s="65"/>
      <c r="L52" s="83"/>
      <c r="M52" s="68"/>
      <c r="N52" s="68"/>
      <c r="O52" s="68"/>
      <c r="Q52" s="83"/>
      <c r="R52" s="68">
        <f>'[1]Sears JECS 1963'!A9</f>
        <v>1.0430000000000001E-3</v>
      </c>
      <c r="S52" s="68">
        <f>'[1]Sears JECS 1963'!C9</f>
        <v>7.3072580000000008E-5</v>
      </c>
      <c r="T52" s="88"/>
    </row>
    <row r="53" spans="2:20" ht="30" customHeight="1" x14ac:dyDescent="0.25">
      <c r="B53" s="83"/>
      <c r="C53" s="68"/>
      <c r="D53" s="68"/>
      <c r="E53" s="68"/>
      <c r="G53" s="83"/>
      <c r="H53" s="68"/>
      <c r="I53" s="68"/>
      <c r="J53" s="68"/>
      <c r="L53" s="83"/>
      <c r="M53" s="68"/>
      <c r="N53" s="68"/>
      <c r="O53" s="68"/>
      <c r="Q53" s="83"/>
      <c r="R53" s="68">
        <f>'[1]Sears JECS 1963'!A10</f>
        <v>1.629E-3</v>
      </c>
      <c r="S53" s="68">
        <f>'[1]Sears JECS 1963'!C10</f>
        <v>1.0549404000000001E-4</v>
      </c>
      <c r="T53" s="89"/>
    </row>
    <row r="54" spans="2:20" x14ac:dyDescent="0.25">
      <c r="B54" s="84"/>
      <c r="C54" s="72">
        <v>0.3</v>
      </c>
      <c r="D54" s="72">
        <f>-0.0251*C54^2+0.0368*C54-0.00001</f>
        <v>8.7709999999999993E-3</v>
      </c>
      <c r="E54" s="72" t="s">
        <v>244</v>
      </c>
      <c r="G54" s="84"/>
      <c r="H54" s="72">
        <v>0.3</v>
      </c>
      <c r="I54" s="72">
        <f>-0.033*H54^2+0.0568*H54+0.00009</f>
        <v>1.4159999999999999E-2</v>
      </c>
      <c r="J54" s="72" t="s">
        <v>249</v>
      </c>
      <c r="L54" s="84"/>
      <c r="M54" s="72">
        <v>0.3</v>
      </c>
      <c r="N54" s="72">
        <f>-0.0246*M54^2+0.0376*M54+0.0013</f>
        <v>1.0366E-2</v>
      </c>
      <c r="O54" s="72" t="s">
        <v>249</v>
      </c>
      <c r="Q54" s="84"/>
      <c r="R54" s="72">
        <v>0.3</v>
      </c>
      <c r="S54" s="72">
        <f>0.077*R54+0.000001</f>
        <v>2.3101E-2</v>
      </c>
      <c r="T54" s="72" t="s">
        <v>244</v>
      </c>
    </row>
    <row r="55" spans="2:20" x14ac:dyDescent="0.25">
      <c r="G55" s="60"/>
      <c r="I55" s="28"/>
      <c r="J55" s="28"/>
      <c r="L55" s="68"/>
      <c r="M55" s="68"/>
      <c r="N55" s="68"/>
      <c r="O55" s="68"/>
      <c r="Q55" s="60"/>
    </row>
    <row r="56" spans="2:20" ht="60" customHeight="1" x14ac:dyDescent="0.25">
      <c r="B56" s="82" t="s">
        <v>155</v>
      </c>
      <c r="C56" s="68">
        <f>'[1]Butler J Analytical Chem 1966'!A12</f>
        <v>3.0000000000000001E-3</v>
      </c>
      <c r="D56" s="68">
        <f>'[1]Butler J Analytical Chem 1966'!C12</f>
        <v>1.0720639957555545E-4</v>
      </c>
      <c r="E56" s="87" t="s">
        <v>248</v>
      </c>
      <c r="G56" s="82" t="s">
        <v>155</v>
      </c>
      <c r="H56" s="68">
        <f>'[1]Anand Z Phys Chem 2019'!B10</f>
        <v>3.9768339104477588E-3</v>
      </c>
      <c r="I56" s="68">
        <f>'[1]Anand Z Phys Chem 2019'!D10</f>
        <v>3.986378311832794E-4</v>
      </c>
      <c r="J56" s="87" t="s">
        <v>245</v>
      </c>
      <c r="L56" s="82" t="s">
        <v>155</v>
      </c>
      <c r="M56" s="68">
        <f>'Debye-Huckel-Onsager'!N64</f>
        <v>1E-3</v>
      </c>
      <c r="N56" s="68">
        <f>'Debye-Huckel-Onsager'!P64</f>
        <v>3.6841955594258693E-5</v>
      </c>
      <c r="O56" s="87" t="s">
        <v>247</v>
      </c>
      <c r="Q56" s="82" t="s">
        <v>155</v>
      </c>
      <c r="R56" s="68">
        <f>'[1]Nakata Anal Sci 2001'!B14</f>
        <v>2.3884328301715294E-3</v>
      </c>
      <c r="S56" s="68">
        <f>'[1]Nakata Anal Sci 2001'!D14</f>
        <v>9.1665547958706402E-5</v>
      </c>
      <c r="T56" s="87" t="s">
        <v>246</v>
      </c>
    </row>
    <row r="57" spans="2:20" ht="60" customHeight="1" x14ac:dyDescent="0.25">
      <c r="B57" s="83"/>
      <c r="C57" s="68">
        <f>'[1]Butler J Analytical Chem 1966'!A13</f>
        <v>4.0000000000000001E-3</v>
      </c>
      <c r="D57" s="68">
        <f>'[1]Butler J Analytical Chem 1966'!C13</f>
        <v>1.4285582146765418E-4</v>
      </c>
      <c r="E57" s="88"/>
      <c r="G57" s="83"/>
      <c r="H57" s="68">
        <f>'[1]Anand Z Phys Chem 2019'!B11</f>
        <v>4.3924897114427869E-3</v>
      </c>
      <c r="I57" s="68">
        <f>'[1]Anand Z Phys Chem 2019'!D11</f>
        <v>4.3257238678288523E-4</v>
      </c>
      <c r="J57" s="88"/>
      <c r="L57" s="83"/>
      <c r="M57" s="68">
        <f>'Debye-Huckel-Onsager'!N65</f>
        <v>2E-3</v>
      </c>
      <c r="N57" s="68">
        <f>'Debye-Huckel-Onsager'!P65</f>
        <v>7.3097347997276484E-5</v>
      </c>
      <c r="O57" s="88"/>
      <c r="Q57" s="83"/>
      <c r="R57" s="68">
        <f>'[1]Nakata Anal Sci 2001'!B15</f>
        <v>3.3884176898968934E-3</v>
      </c>
      <c r="S57" s="68">
        <f>'[1]Nakata Anal Sci 2001'!D15</f>
        <v>1.2746020825753812E-4</v>
      </c>
      <c r="T57" s="88"/>
    </row>
    <row r="58" spans="2:20" ht="60" customHeight="1" x14ac:dyDescent="0.25">
      <c r="B58" s="83"/>
      <c r="C58" s="68">
        <f>'[1]Butler J Analytical Chem 1966'!A14</f>
        <v>5.0000000000000001E-3</v>
      </c>
      <c r="D58" s="68">
        <f>'[1]Butler J Analytical Chem 1966'!C14</f>
        <v>1.7846222104320967E-4</v>
      </c>
      <c r="E58" s="88"/>
      <c r="G58" s="83"/>
      <c r="H58" s="68">
        <f>'[1]Anand Z Phys Chem 2019'!B12</f>
        <v>4.3924897114427869E-3</v>
      </c>
      <c r="I58" s="68">
        <f>'[1]Anand Z Phys Chem 2019'!D12</f>
        <v>4.3257238678288523E-4</v>
      </c>
      <c r="J58" s="88"/>
      <c r="L58" s="83"/>
      <c r="M58" s="68">
        <f>'Debye-Huckel-Onsager'!N66</f>
        <v>3.0000000000000001E-3</v>
      </c>
      <c r="N58" s="68">
        <f>'Debye-Huckel-Onsager'!P66</f>
        <v>1.0897089334572343E-4</v>
      </c>
      <c r="O58" s="88"/>
      <c r="Q58" s="83"/>
      <c r="R58" s="68">
        <f>'[1]Nakata Anal Sci 2001'!B16</f>
        <v>4.4790988508531544E-3</v>
      </c>
      <c r="S58" s="68">
        <f>'[1]Nakata Anal Sci 2001'!D16</f>
        <v>1.6583833388283441E-4</v>
      </c>
      <c r="T58" s="88"/>
    </row>
    <row r="59" spans="2:20" ht="60" customHeight="1" x14ac:dyDescent="0.25">
      <c r="B59" s="83"/>
      <c r="C59" s="68">
        <f>'[1]Butler J Analytical Chem 1966'!A15</f>
        <v>6.0000000000000001E-3</v>
      </c>
      <c r="D59" s="68">
        <f>'[1]Butler J Analytical Chem 1966'!C15</f>
        <v>2.1402559830222191E-4</v>
      </c>
      <c r="E59" s="89"/>
      <c r="G59" s="83"/>
      <c r="H59" s="68">
        <f>'[1]Anand Z Phys Chem 2019'!B13</f>
        <v>4.9506802786069603E-3</v>
      </c>
      <c r="I59" s="68">
        <f>'[1]Anand Z Phys Chem 2019'!D13</f>
        <v>4.8041401423601896E-4</v>
      </c>
      <c r="J59" s="88"/>
      <c r="L59" s="83"/>
      <c r="M59" s="68">
        <f>'Debye-Huckel-Onsager'!N67</f>
        <v>4.0000000000000001E-3</v>
      </c>
      <c r="N59" s="68">
        <f>'Debye-Huckel-Onsager'!P67</f>
        <v>1.4453564475406955E-4</v>
      </c>
      <c r="O59" s="89"/>
      <c r="Q59" s="83"/>
      <c r="R59" s="68">
        <f>'[1]Nakata Anal Sci 2001'!B17</f>
        <v>5.5348968190282854E-3</v>
      </c>
      <c r="S59" s="68">
        <f>'[1]Nakata Anal Sci 2001'!D17</f>
        <v>2.0259805765975052E-4</v>
      </c>
      <c r="T59" s="89"/>
    </row>
    <row r="60" spans="2:20" ht="60" customHeight="1" x14ac:dyDescent="0.25">
      <c r="B60" s="83"/>
      <c r="C60" s="68">
        <f>'[1]Anand Z Phys Chem 2019'!B23</f>
        <v>3.3040663084577021E-3</v>
      </c>
      <c r="D60" s="68">
        <f>'[1]Anand Z Phys Chem 2019'!D23</f>
        <v>2.9049350983960089E-4</v>
      </c>
      <c r="E60" s="87" t="s">
        <v>245</v>
      </c>
      <c r="G60" s="83"/>
      <c r="H60" s="68">
        <f>'[1]Anand Z Phys Chem 2019'!B14</f>
        <v>5.5195923582089515E-3</v>
      </c>
      <c r="I60" s="68">
        <f>'[1]Anand Z Phys Chem 2019'!D14</f>
        <v>5.2414049033552141E-4</v>
      </c>
      <c r="J60" s="89"/>
      <c r="L60" s="83"/>
      <c r="M60" s="68"/>
      <c r="N60" s="68"/>
      <c r="O60" s="68"/>
      <c r="Q60" s="83"/>
      <c r="R60" s="68"/>
      <c r="S60" s="68"/>
      <c r="T60" s="68"/>
    </row>
    <row r="61" spans="2:20" ht="60" customHeight="1" x14ac:dyDescent="0.25">
      <c r="B61" s="83"/>
      <c r="C61" s="68">
        <f>'[1]Anand Z Phys Chem 2019'!B24</f>
        <v>3.9500155223880506E-3</v>
      </c>
      <c r="D61" s="68">
        <f>'[1]Anand Z Phys Chem 2019'!D24</f>
        <v>3.4286134734328236E-4</v>
      </c>
      <c r="E61" s="88"/>
      <c r="G61" s="83"/>
      <c r="H61" s="68"/>
      <c r="I61" s="65"/>
      <c r="J61" s="65"/>
      <c r="L61" s="83"/>
      <c r="M61" s="68"/>
      <c r="N61" s="68"/>
      <c r="O61" s="68"/>
      <c r="Q61" s="83"/>
      <c r="R61" s="68"/>
      <c r="S61" s="68"/>
      <c r="T61" s="68"/>
    </row>
    <row r="62" spans="2:20" ht="60" customHeight="1" x14ac:dyDescent="0.25">
      <c r="B62" s="83"/>
      <c r="C62" s="68">
        <f>'[1]Anand Z Phys Chem 2019'!B25</f>
        <v>4.3987122786069638E-3</v>
      </c>
      <c r="D62" s="68">
        <f>'[1]Anand Z Phys Chem 2019'!D25</f>
        <v>3.761778740664671E-4</v>
      </c>
      <c r="E62" s="88"/>
      <c r="G62" s="83"/>
      <c r="H62" s="68"/>
      <c r="I62" s="65"/>
      <c r="J62" s="65"/>
      <c r="L62" s="83"/>
      <c r="M62" s="68"/>
      <c r="N62" s="68"/>
      <c r="O62" s="68"/>
      <c r="Q62" s="83"/>
      <c r="R62" s="68"/>
      <c r="S62" s="68"/>
      <c r="T62" s="68"/>
    </row>
    <row r="63" spans="2:20" ht="60" customHeight="1" x14ac:dyDescent="0.25">
      <c r="B63" s="83"/>
      <c r="C63" s="68">
        <f>'[1]Anand Z Phys Chem 2019'!B26</f>
        <v>4.9570781293532262E-3</v>
      </c>
      <c r="D63" s="68">
        <f>'[1]Anand Z Phys Chem 2019'!D26</f>
        <v>4.1917052661810835E-4</v>
      </c>
      <c r="E63" s="88"/>
      <c r="G63" s="83"/>
      <c r="H63" s="68"/>
      <c r="I63" s="65"/>
      <c r="J63" s="65"/>
      <c r="L63" s="83"/>
      <c r="M63" s="68"/>
      <c r="N63" s="68"/>
      <c r="O63" s="68"/>
      <c r="Q63" s="83"/>
      <c r="R63" s="68"/>
      <c r="S63" s="68"/>
      <c r="T63" s="68"/>
    </row>
    <row r="64" spans="2:20" ht="60" customHeight="1" x14ac:dyDescent="0.25">
      <c r="B64" s="83"/>
      <c r="C64" s="68">
        <f>'[1]Anand Z Phys Chem 2019'!B27</f>
        <v>5.5151518407960095E-3</v>
      </c>
      <c r="D64" s="68">
        <f>'[1]Anand Z Phys Chem 2019'!D27</f>
        <v>4.5665457241790905E-4</v>
      </c>
      <c r="E64" s="89"/>
      <c r="G64" s="83"/>
      <c r="H64" s="68"/>
      <c r="I64" s="65"/>
      <c r="J64" s="65"/>
      <c r="L64" s="83"/>
      <c r="M64" s="68"/>
      <c r="N64" s="68"/>
      <c r="O64" s="68"/>
      <c r="Q64" s="83"/>
      <c r="R64" s="68"/>
      <c r="S64" s="68"/>
      <c r="T64" s="68"/>
    </row>
    <row r="65" spans="2:20" x14ac:dyDescent="0.25">
      <c r="B65" s="84"/>
      <c r="C65" s="72">
        <v>0.3</v>
      </c>
      <c r="D65" s="72">
        <f>-0.02558*C65^2+0.0485*C65+0.00007</f>
        <v>1.23178E-2</v>
      </c>
      <c r="E65" s="72" t="s">
        <v>244</v>
      </c>
      <c r="G65" s="84"/>
      <c r="H65" s="73">
        <v>0.3</v>
      </c>
      <c r="I65" s="73">
        <f>0.0818*H65+0.00007</f>
        <v>2.461E-2</v>
      </c>
      <c r="J65" s="73" t="s">
        <v>244</v>
      </c>
      <c r="L65" s="84"/>
      <c r="M65" s="73">
        <v>0.3</v>
      </c>
      <c r="N65" s="73">
        <f>0.1094*M65-0.0004</f>
        <v>3.2419999999999997E-2</v>
      </c>
      <c r="O65" s="73" t="s">
        <v>244</v>
      </c>
      <c r="Q65" s="84"/>
      <c r="R65" s="73">
        <v>0.3</v>
      </c>
      <c r="S65" s="73">
        <f>0.0352*R65+0.000008</f>
        <v>1.0567999999999999E-2</v>
      </c>
      <c r="T65" s="73" t="s">
        <v>244</v>
      </c>
    </row>
    <row r="67" spans="2:20" x14ac:dyDescent="0.25">
      <c r="B67" s="28"/>
    </row>
  </sheetData>
  <mergeCells count="49">
    <mergeCell ref="T44:T47"/>
    <mergeCell ref="T36:T40"/>
    <mergeCell ref="T32:T35"/>
    <mergeCell ref="J32:J35"/>
    <mergeCell ref="V15:Y16"/>
    <mergeCell ref="T25:T29"/>
    <mergeCell ref="T21:T24"/>
    <mergeCell ref="T15:T20"/>
    <mergeCell ref="J56:J60"/>
    <mergeCell ref="E56:E59"/>
    <mergeCell ref="E60:E64"/>
    <mergeCell ref="E32:E35"/>
    <mergeCell ref="E36:E38"/>
    <mergeCell ref="E39:E40"/>
    <mergeCell ref="T56:T59"/>
    <mergeCell ref="T48:T53"/>
    <mergeCell ref="Q12:T12"/>
    <mergeCell ref="B56:B65"/>
    <mergeCell ref="G56:G65"/>
    <mergeCell ref="L56:L65"/>
    <mergeCell ref="Q56:Q65"/>
    <mergeCell ref="G44:G54"/>
    <mergeCell ref="L44:L54"/>
    <mergeCell ref="Q44:Q54"/>
    <mergeCell ref="O56:O59"/>
    <mergeCell ref="J24:J28"/>
    <mergeCell ref="J16:J22"/>
    <mergeCell ref="O16:O17"/>
    <mergeCell ref="O18:O24"/>
    <mergeCell ref="O32:O39"/>
    <mergeCell ref="B44:B54"/>
    <mergeCell ref="B15:B30"/>
    <mergeCell ref="Q15:Q30"/>
    <mergeCell ref="B32:B42"/>
    <mergeCell ref="G32:G42"/>
    <mergeCell ref="L32:L42"/>
    <mergeCell ref="Q32:Q42"/>
    <mergeCell ref="G15:G30"/>
    <mergeCell ref="L15:L30"/>
    <mergeCell ref="E44:E45"/>
    <mergeCell ref="E15:E16"/>
    <mergeCell ref="J45:J50"/>
    <mergeCell ref="E17:E23"/>
    <mergeCell ref="A1:E1"/>
    <mergeCell ref="G1:J1"/>
    <mergeCell ref="B12:E12"/>
    <mergeCell ref="G12:J12"/>
    <mergeCell ref="L12:O12"/>
    <mergeCell ref="L1:L9"/>
  </mergeCells>
  <conditionalFormatting sqref="B3:E6">
    <cfRule type="colorScale" priority="1">
      <colorScale>
        <cfvo type="min"/>
        <cfvo type="max"/>
        <color theme="8" tint="0.39997558519241921"/>
        <color rgb="FFFFC000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E l 4 2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A S X j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l 4 2 V y i K R 7 g O A A A A E Q A A A B M A H A B G b 3 J t d W x h c y 9 T Z W N 0 a W 9 u M S 5 t I K I Y A C i g F A A A A A A A A A A A A A A A A A A A A A A A A A A A A C t O T S 7 J z M 9 T C I b Q h t Y A U E s B A i 0 A F A A C A A g A E l 4 2 V 5 2 I Z o + j A A A A 9 g A A A B I A A A A A A A A A A A A A A A A A A A A A A E N v b m Z p Z y 9 Q Y W N r Y W d l L n h t b F B L A Q I t A B Q A A g A I A B J e N l c P y u m r p A A A A O k A A A A T A A A A A A A A A A A A A A A A A O 8 A A A B b Q 2 9 u d G V u d F 9 U e X B l c 1 0 u e G 1 s U E s B A i 0 A F A A C A A g A E l 4 2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u V X k V u 3 c 9 C t y g E G P 6 L E b I A A A A A A g A A A A A A E G Y A A A A B A A A g A A A A Q Y y P v B 5 v Z i i r J s D f 4 T d s u S n Z D m u h e f S H P G y a R T c j 8 u o A A A A A D o A A A A A C A A A g A A A A d d + N E O A 1 D s L M Y b 9 g H x s H S o O p 0 X 2 q n N b C K T / W F W L l 8 J p Q A A A A R C A x 4 u E y E U Q M V D p i z l Z S e r J 7 u Z m P H M T g h X u w b K N 3 + M x 2 h d m K b 9 Z Q q u V Q P v B s d t / c 6 h Z Y V T 3 t 9 C h / C V T i X l K r I / m r 3 8 K t n T x r J C x Q t I 4 9 O U 1 A A A A A o C t E F p N 3 t 5 L 5 x v 4 c p U V 1 u z R P B O s p Q Z t l n M H Q C O D I 9 G G O P D b 8 w y j U + v 3 L s O g E E z m c i 5 + N 5 w 5 R g S K N 4 + b 3 6 s S e d w = = < / D a t a M a s h u p > 
</file>

<file path=customXml/itemProps1.xml><?xml version="1.0" encoding="utf-8"?>
<ds:datastoreItem xmlns:ds="http://schemas.openxmlformats.org/officeDocument/2006/customXml" ds:itemID="{2F11A301-CD55-4EB5-92C3-498246BC8E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16</vt:i4>
      </vt:variant>
    </vt:vector>
  </HeadingPairs>
  <TitlesOfParts>
    <vt:vector size="23" baseType="lpstr">
      <vt:lpstr>Constants and assumptions</vt:lpstr>
      <vt:lpstr>Products</vt:lpstr>
      <vt:lpstr>Solvents</vt:lpstr>
      <vt:lpstr>Supporting electrolytes</vt:lpstr>
      <vt:lpstr>Utilities</vt:lpstr>
      <vt:lpstr>Debye-Huckel-Onsager</vt:lpstr>
      <vt:lpstr>Literature conductivity data</vt:lpstr>
      <vt:lpstr>CO2_elec</vt:lpstr>
      <vt:lpstr>CO2_heat</vt:lpstr>
      <vt:lpstr>cost_elec</vt:lpstr>
      <vt:lpstr>cost_heat</vt:lpstr>
      <vt:lpstr>crossover_neutral</vt:lpstr>
      <vt:lpstr>F</vt:lpstr>
      <vt:lpstr>K_to_C</vt:lpstr>
      <vt:lpstr>kJ_per_kWh</vt:lpstr>
      <vt:lpstr>kJ_per_mmBtu</vt:lpstr>
      <vt:lpstr>kWh_per_mmBtu</vt:lpstr>
      <vt:lpstr>MW_CO</vt:lpstr>
      <vt:lpstr>P</vt:lpstr>
      <vt:lpstr>R_</vt:lpstr>
      <vt:lpstr>separation_efficiency</vt:lpstr>
      <vt:lpstr>T</vt:lpstr>
      <vt:lpstr>T_sep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</dc:creator>
  <cp:lastModifiedBy>Da Cunha, Shashwati C</cp:lastModifiedBy>
  <dcterms:created xsi:type="dcterms:W3CDTF">2023-07-10T13:17:55Z</dcterms:created>
  <dcterms:modified xsi:type="dcterms:W3CDTF">2025-04-15T20:02:38Z</dcterms:modified>
</cp:coreProperties>
</file>