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1418" documentId="8_{31750E0B-A732-4503-8EA8-2753BAB2D178}" xr6:coauthVersionLast="47" xr6:coauthVersionMax="47" xr10:uidLastSave="{BE25F94A-D602-4A9D-868E-26129E46B096}"/>
  <bookViews>
    <workbookView xWindow="-105" yWindow="0" windowWidth="14610" windowHeight="15585" activeTab="1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  <sheet name="Kas Smith curvefit (copy)" sheetId="8" r:id="rId6"/>
  </sheets>
  <externalReferences>
    <externalReference r:id="rId7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assumptions'!$C$37</definedName>
    <definedName name="kJ_per_kWh">'Constants and assumptions'!$C$38</definedName>
    <definedName name="kJ_per_mmBtu">'Constants and assumptions'!$C$39</definedName>
    <definedName name="kWh_per_mmBtu">'Constants and assumptions'!$C$40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assumptions'!$C$36</definedName>
    <definedName name="T_sep">'Constants and assumptions'!$C$35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2" i="9"/>
  <c r="F2" i="9"/>
  <c r="F3" i="9"/>
  <c r="F4" i="9"/>
  <c r="D2" i="10"/>
  <c r="I3" i="7"/>
  <c r="I5" i="7"/>
  <c r="C14" i="2"/>
  <c r="C5" i="2"/>
  <c r="C24" i="2"/>
  <c r="C34" i="2"/>
  <c r="C38" i="2"/>
  <c r="C39" i="2"/>
  <c r="B6" i="3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C40" i="2" l="1"/>
  <c r="H58" i="8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C8" i="3" l="1"/>
  <c r="C12" i="3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tc={E6E48448-0E21-41A5-B06E-F65140C42E87}</author>
    <author>tc={D9B01A9E-9FFA-448D-A0A9-79E915973C3A}</author>
    <author>tc={9C7BA66E-4710-4766-B736-DAB2C4C5EA8C}</author>
    <author>tc={19966830-0D20-46F0-AE3D-88797573DA5E}</author>
  </authors>
  <commentList>
    <comment ref="I3" authorId="0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- McGregor Resasco Nat Cat 2024</t>
      </text>
    </comment>
    <comment ref="J3" authorId="1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2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Gomes Amanchukwu Nat Cat 2024</t>
      </text>
    </comment>
    <comment ref="K5" authorId="3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tc={ECC5778C-B306-4101-9455-D2B811F9E1B3}</author>
    <author>tc={168996AD-382A-4647-91D8-9337C1109D7E}</author>
    <author>tc={317D1D06-DBFE-4387-B801-D2EDD5F30074}</author>
    <author>tc={BF97B819-C241-44FC-AA8D-937FDD0CF315}</author>
  </authors>
  <commentList>
    <comment ref="C2" authorId="0" shapeId="0" xr:uid="{ECC5778C-B306-4101-9455-D2B811F9E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https://www.intratec.us/chemical-markets/acetonitrile-price</t>
      </text>
    </comment>
    <comment ref="C3" authorId="1" shapeId="0" xr:uid="{168996AD-382A-4647-91D8-9337C1109D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https://www.imarcgroup.com/propylene-carbonate-pricing-report</t>
      </text>
    </comment>
    <comment ref="H3" authorId="2" shapeId="0" xr:uid="{317D1D06-DBFE-4387-B801-D2EDD5F3007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https://doi.org/10.1016/j.jct.2019.106017
Fig 4</t>
      </text>
    </comment>
    <comment ref="C4" authorId="3" shapeId="0" xr:uid="{BF97B819-C241-44FC-AA8D-937FDD0CF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https://www.imarcgroup.com/dimethyl-sulfoxide-pricing-report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<sst xmlns="http://schemas.openxmlformats.org/spreadsheetml/2006/main" count="280" uniqueCount="215">
  <si>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</si>
  <si>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</si>
  <si>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</si>
  <si>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</si>
  <si>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</si>
  <si>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</si>
  <si>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</si>
  <si>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</si>
  <si>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</si>
  <si>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</si>
  <si>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</si>
  <si>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</si>
  <si>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</si>
  <si>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</si>
  <si>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</si>
  <si>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</si>
  <si>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</si>
  <si>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</si>
  <si>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</si>
  <si>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</si>
  <si>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</si>
  <si>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</si>
  <si>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</si>
  <si>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</si>
  <si>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</si>
  <si>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</si>
  <si>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</si>
  <si>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</si>
  <si>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</si>
  <si>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</si>
  <si>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</si>
  <si>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</si>
  <si>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</si>
  <si>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</si>
  <si>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</si>
  <si>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</si>
  <si>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</si>
  <si>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</si>
  <si>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</si>
  <si>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</si>
  <si>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</si>
  <si>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</si>
  <si>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</si>
  <si>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</si>
  <si>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</si>
  <si>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</si>
  <si>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</si>
  <si>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</si>
  <si>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</si>
  <si>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</si>
  <si>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</si>
  <si>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</si>
  <si>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</si>
  <si>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</si>
  <si>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</si>
  <si>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</si>
  <si>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</si>
  <si>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</si>
  <si>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</si>
  <si>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</si>
  <si>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</si>
  <si>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</si>
  <si>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</si>
  <si>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</si>
  <si>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</si>
  <si>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</si>
  <si>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</si>
  <si>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</si>
  <si>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</si>
  <si>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</si>
  <si>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</si>
  <si>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</si>
  <si>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</si>
  <si>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</si>
  <si>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</si>
  <si>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</si>
  <si>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</si>
  <si>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</si>
  <si>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</si>
  <si>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</si>
  <si>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</si>
  <si>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</si>
  <si>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</si>
  <si>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</si>
  <si>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</si>
  <si>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</si>
  <si>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</si>
  <si>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</si>
  <si>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</si>
  <si>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</si>
  <si>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</si>
  <si>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</si>
  <si>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</si>
  <si>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</si>
  <si>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</si>
  <si>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</si>
  <si>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</si>
  <si>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</si>
  <si>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</si>
  <si>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</si>
  <si>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</si>
  <si>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</si>
  <si>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</si>
  <si>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</si>
  <si>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</si>
  <si>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</si>
  <si>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</si>
  <si>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</si>
  <si>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</si>
  <si>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</si>
  <si>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</si>
  <si>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</si>
  <si>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</si>
  <si>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</si>
  <si>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</si>
  <si>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</si>
  <si>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</si>
  <si>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</si>
  <si>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</si>
  <si>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</si>
  <si>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</si>
  <si>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</si>
  <si>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</si>
  <si>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</si>
  <si>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</si>
  <si>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</si>
  <si>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</si>
  <si>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</si>
  <si>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</si>
  <si>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</si>
  <si>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</si>
  <si>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</si>
  <si>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</si>
  <si>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</si>
  <si>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</si>
  <si>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</si>
  <si>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</si>
  <si>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</si>
  <si>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</si>
  <si>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</si>
  <si>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</si>
  <si>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</si>
  <si>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</si>
  <si>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</si>
  <si>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</si>
  <si>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</si>
  <si>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</si>
  <si>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</si>
  <si>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</si>
  <si>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</si>
  <si>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</si>
  <si>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</si>
  <si>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</si>
  <si>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</si>
  <si>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</si>
  <si>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</si>
  <si>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</si>
  <si>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</si>
  <si>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</si>
  <si>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</si>
  <si>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George (Kirk-Othmer Encyclopedia 2001)</t>
  </si>
  <si>
    <t>Electrolyzer assumption: Membrane ohmic resistance</t>
  </si>
  <si>
    <t>R_membrane_ohmcm2</t>
  </si>
  <si>
    <t>Izutsu (Wiley 2009)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</si>
  <si>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</si>
  <si>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</si>
  <si>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</si>
  <si>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</si>
  <si>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</si>
  <si>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</si>
  <si>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</si>
  <si>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</si>
  <si>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Sigma-Aldrich; acetonitrile</t>
  </si>
  <si>
    <t>Sigma-Aldrich; TBA perchlorate</t>
  </si>
  <si>
    <t>TBA perchlorate</t>
  </si>
  <si>
    <t>Formic acid</t>
  </si>
  <si>
    <t>liquid</t>
  </si>
  <si>
    <t>Jouny, Jiao I&amp;EC 2020; Guerra 2023 $0.74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</si>
  <si>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</si>
  <si>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</si>
  <si>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</si>
  <si>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</si>
  <si>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</si>
  <si>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</si>
  <si>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</si>
  <si>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</si>
  <si>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</si>
  <si>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Density (kg/m3)</t>
  </si>
  <si>
    <t>Reference viscosity (cP)</t>
  </si>
  <si>
    <t>Viscosity (cP)</t>
  </si>
  <si>
    <t>Conductivity (S/cm)</t>
  </si>
  <si>
    <t>Molar conductivity (S/cm.mol)</t>
  </si>
  <si>
    <t>Cost ($/kg supporting)</t>
  </si>
  <si>
    <t>Propylene carbonate</t>
  </si>
  <si>
    <t>DMSO</t>
  </si>
  <si>
    <t>TEST ONLY</t>
  </si>
  <si>
    <t>TBA BF4</t>
  </si>
  <si>
    <t>TEA BF4</t>
  </si>
  <si>
    <t>Sigma-Aldrich; TBA BF4</t>
  </si>
  <si>
    <t>Sigma-Aldrich; TEA perchlorate</t>
  </si>
  <si>
    <t>Oxalic acid</t>
  </si>
  <si>
    <t>Business Analytiq (accessed 2024)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</si>
  <si>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</si>
  <si>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</si>
  <si>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</si>
  <si>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</si>
  <si>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</si>
  <si>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</si>
  <si>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</si>
  <si>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</si>
  <si>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Kinematic viscosity (mm^2/s)</t>
  </si>
  <si>
    <t>Unused</t>
  </si>
  <si>
    <t>Ratio: Solvent feed vs product rate</t>
  </si>
  <si>
    <t>excess_solvent_ratio</t>
  </si>
  <si>
    <t>mol/s solvent per mol/s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</si>
</sst>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  <font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2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1" fontId="7" fillId="3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6" fontId="23" fillId="3" borderId="0" xfId="0" applyNumberFormat="1" applyFont="1" applyFill="1" applyAlignment="1">
      <alignment horizontal="center" vertical="center" wrapText="1"/>
    </xf>
    <xf numFmtId="1" fontId="23" fillId="3" borderId="0" xfId="0" applyNumberFormat="1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9" fontId="23" fillId="3" borderId="0" xfId="2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2" fontId="7" fillId="3" borderId="0" xfId="1" applyNumberFormat="1" applyFont="1" applyFill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0" totalsRowShown="0" headerRowDxfId="54" dataDxfId="53">
  <autoFilter ref="A1:E40" xr:uid="{4573E0AF-4F91-4E0C-A0FD-4101785DA193}"/>
  <sortState xmlns:xlrd2="http://schemas.microsoft.com/office/spreadsheetml/2017/richdata2" ref="A2:E40">
    <sortCondition ref="A1:A40"/>
  </sortState>
  <tableColumns count="5">
    <tableColumn id="1" xr3:uid="{0CD981D8-5D27-4DEC-AB19-B4CDEDE4E307}" name="Name" dataDxfId="52"/>
    <tableColumn id="5" xr3:uid="{447AB61C-D6A8-4C69-B914-F84CC2DD3D7F}" name="Variable name" dataDxfId="51"/>
    <tableColumn id="2" xr3:uid="{8D0B10A0-AAB3-497D-AACC-B47886E623F4}" name="Value" dataDxfId="50"/>
    <tableColumn id="3" xr3:uid="{13805BE1-5D36-4E51-B5A1-6DAB8482D1CA}" name="Unit" dataDxfId="49"/>
    <tableColumn id="4" xr3:uid="{D9E6851E-6681-4B84-8DD9-9DC84337FA8D}" name="References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P6" totalsRowShown="0" headerRowDxfId="47" dataDxfId="46">
  <autoFilter ref="A1:P6" xr:uid="{89323130-A0D1-49F6-A5DF-27B490E4A7F3}"/>
  <tableColumns count="16">
    <tableColumn id="1" xr3:uid="{3C50D7C6-76ED-4D16-B177-C24A6EDEF5E8}" name="Product" dataDxfId="45"/>
    <tableColumn id="13" xr3:uid="{E3E543EF-1CAC-4E7C-917B-9F6A2A12C5A5}" name="Phase" dataDxfId="44"/>
    <tableColumn id="5" xr3:uid="{60087321-E31A-4465-97EA-5E82B4930DEF}" name="Molecular weight (g/mol)" dataDxfId="43"/>
    <tableColumn id="2" xr3:uid="{73F411CA-0C00-43A6-8E8A-2C96DEBEAE56}" name="n (mol e-/ mol product)" dataDxfId="42"/>
    <tableColumn id="12" xr3:uid="{35098869-B8D6-4322-9A6F-55D84BD00AAD}" name="z (mol CO2/ mol product)" dataDxfId="41"/>
    <tableColumn id="3" xr3:uid="{42FF57EE-C82B-4BEE-B6E3-5CDCD61D73F4}" name="LHV (kJ/kg product)" dataDxfId="40"/>
    <tableColumn id="14" xr3:uid="{E9D086E2-203C-4567-AACC-7D8FDCBCFD52}" name="Cost ($/kg product)" dataDxfId="39"/>
    <tableColumn id="6" xr3:uid="{F6536296-A5EF-4707-BAA4-8ED36A0299FD}" name="Standard potential, pH = 0 (V vs SHE)" dataDxfId="38"/>
    <tableColumn id="9" xr3:uid="{44F64A4D-679B-4F83-A0F1-9FD50BE9A102}" name="Reference overpotential (V)" dataDxfId="37"/>
    <tableColumn id="8" xr3:uid="{63FE646D-E5BD-46A5-B63F-54D7C89DFC20}" name="Tafel slope (mV/dec)" dataDxfId="36"/>
    <tableColumn id="7" xr3:uid="{8762D60F-6494-4D48-BF71-09EE6526135E}" name="Reference current density (mA/cm2)" dataDxfId="35"/>
    <tableColumn id="15" xr3:uid="{C96EBEF2-D837-4395-8D46-7E2BC536E261}" name="FECO2R at SPC = 0" dataDxfId="34"/>
    <tableColumn id="16" xr3:uid="{F3E3F633-1F65-481C-8C36-D0FBD783D2AB}" name="Optimal SPC @ 7.6 c/kWh, Hawks model" dataDxfId="33"/>
    <tableColumn id="17" xr3:uid="{06806002-8BCC-442F-99A4-15A00506143C}" name="Optimal j @ 7.6 c/kWh, Hawks model" dataDxfId="32"/>
    <tableColumn id="4" xr3:uid="{EA53ED90-0A02-4FC0-8D2F-B62ACD3411A0}" name="References" dataDxfId="31"/>
    <tableColumn id="10" xr3:uid="{15AF80F1-11B7-4792-895F-6EC0B2B7A7A4}" name="References 2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J5" totalsRowShown="0" headerRowDxfId="29" dataDxfId="28">
  <autoFilter ref="A1:J5" xr:uid="{FDE89AE4-9617-4085-AD63-8D726E2ECE27}"/>
  <tableColumns count="10">
    <tableColumn id="1" xr3:uid="{996983E7-48A1-4F2C-AAE8-BB6499F82011}" name="Solvent" dataDxfId="27"/>
    <tableColumn id="5" xr3:uid="{7587D408-6B96-4220-A9BE-2B71A4248C30}" name="Molecular weight (g/mol)" dataDxfId="26"/>
    <tableColumn id="14" xr3:uid="{8CB95F86-8F61-4051-8BEA-3EA0B1243627}" name="Cost ($/kg solvent)" dataDxfId="25"/>
    <tableColumn id="3" xr3:uid="{CCFBA968-B535-4D6B-82F9-71090461EE43}" name="Density (kg/m3)"/>
    <tableColumn id="4" xr3:uid="{6DE0BEDB-FDAC-4FA2-8AC5-B102FC6EEC22}" name="Viscosity (cP)" dataDxfId="24"/>
    <tableColumn id="6" xr3:uid="{6108B8C4-06F4-4532-A974-65B053CF0239}" name="Kinematic viscosity (mm^2/s)"/>
    <tableColumn id="8" xr3:uid="{BB2CD104-5FF0-4D3A-B0BB-272AA763754A}" name="Reference viscosity (cP)"/>
    <tableColumn id="2" xr3:uid="{4B98493F-7EF6-4DC3-A55A-0A71F419BBB2}" name="CO2 solubility, 10 bar (mol CO2/ mol solvent)"/>
    <tableColumn id="7" xr3:uid="{A94104E3-BA24-4CBD-8D8E-9581768AC69A}" name="References"/>
    <tableColumn id="10" xr3:uid="{4E675812-11FC-4CAB-A5F4-0146BC4E9F30}" name="References 2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H5" totalsRowShown="0" headerRowDxfId="22" dataDxfId="21">
  <autoFilter ref="A1:H5" xr:uid="{0BE243CA-C135-4CB6-B37F-4749B7F8C437}"/>
  <tableColumns count="8">
    <tableColumn id="1" xr3:uid="{5E12D873-28F4-4BAA-A124-01ED2F10306F}" name="Supporting electrolyte" dataDxfId="20"/>
    <tableColumn id="5" xr3:uid="{8BFB1102-BA9E-4FA2-8287-970DFEAD7F45}" name="Molecular weight (g/mol)" dataDxfId="19"/>
    <tableColumn id="14" xr3:uid="{40345891-0EC3-4D4A-9A2E-09812C6C59BF}" name="Cost ($/kg supporting)" dataDxfId="18"/>
    <tableColumn id="3" xr3:uid="{580C116E-F5E0-41C5-8884-D2C8E1385F89}" name="Conductivity (S/cm)"/>
    <tableColumn id="6" xr3:uid="{C9659692-EF7D-4190-B767-6AC28EF23541}" name="Reference viscosity (cP)"/>
    <tableColumn id="4" xr3:uid="{F0A415E1-CFAE-4B45-AF57-6D3EEBC72369}" name="Molar conductivity (S/cm.mol)" dataDxfId="17"/>
    <tableColumn id="2" xr3:uid="{BF9F5B6E-2598-43D5-ABA7-189814842EF4}" name="References" dataDxfId="16"/>
    <tableColumn id="10" xr3:uid="{0EA10F76-7695-4288-8BC9-D38255B25BBB}" name="References 2" dataDxfId="1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11-11T19:46:16.62" personId="{97EB442A-BA5A-4BA8-A59A-7061902B9186}" id="{E6E48448-0E21-41A5-B06E-F65140C42E87}">
    <text>TBAClO4 in AC N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Gomes Amanchukwu Nat Cat 2024</text>
  </threadedComment>
  <threadedComment ref="K5" dT="2024-11-11T19:30:39.97" personId="{97EB442A-BA5A-4BA8-A59A-7061902B9186}" id="{19966830-0D20-46F0-AE3D-88797573DA5E}">
    <text>Fischer Heitz J Applied Electrochem 1981</text>
  </threadedComment>
  <threadedComment ref="K5" dT="2024-11-11T19:31:14.43" personId="{97EB442A-BA5A-4BA8-A59A-7061902B9186}" id="{8FF508C9-FAC4-4AF1-AB3C-F8E3DAC447F3}" parentId="{19966830-0D20-46F0-AE3D-88797573DA5E}">
    <text>DMF, 0.2 M TEACl, Pb vs Al, undivided cell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2-03T18:32:44.07" personId="{97EB442A-BA5A-4BA8-A59A-7061902B9186}" id="{ECC5778C-B306-4101-9455-D2B811F9E1B3}">
    <text>https://www.intratec.us/chemical-markets/acetonitrile-price</text>
    <extLst>
      <x:ext xmlns:xltc2="http://schemas.microsoft.com/office/spreadsheetml/2020/threadedcomments2" uri="{F7C98A9C-CBB3-438F-8F68-D28B6AF4A901}">
        <xltc2:checksum>3329351198</xltc2:checksum>
        <xltc2:hyperlink startIndex="0" length="59" url="https://www.intratec.us/chemical-markets/acetonitrile-price"/>
      </x:ext>
    </extLst>
  </threadedComment>
  <threadedComment ref="C3" dT="2024-12-03T18:30:41.82" personId="{97EB442A-BA5A-4BA8-A59A-7061902B9186}" id="{168996AD-382A-4647-91D8-9337C1109D7E}">
    <text>https://www.imarcgroup.com/propylene-carbonate-pricing-report</text>
    <extLst>
      <x:ext xmlns:xltc2="http://schemas.microsoft.com/office/spreadsheetml/2020/threadedcomments2" uri="{F7C98A9C-CBB3-438F-8F68-D28B6AF4A901}">
        <xltc2:checksum>2517436472</xltc2:checksum>
        <xltc2:hyperlink startIndex="0" length="61" url="https://www.imarcgroup.com/propylene-carbonate-pricing-report"/>
      </x:ext>
    </extLst>
  </threadedComment>
  <threadedComment ref="H3" dT="2024-12-03T18:25:05.42" personId="{97EB442A-BA5A-4BA8-A59A-7061902B9186}" id="{317D1D06-DBFE-4387-B801-D2EDD5F30074}">
    <text>https://doi.org/10.1016/j.jct.2019.106017
Fig 4</text>
    <extLst>
      <x:ext xmlns:xltc2="http://schemas.microsoft.com/office/spreadsheetml/2020/threadedcomments2" uri="{F7C98A9C-CBB3-438F-8F68-D28B6AF4A901}">
        <xltc2:checksum>3672286581</xltc2:checksum>
        <xltc2:hyperlink startIndex="0" length="41" url="https://doi.org/10.1016/j.jct.2019.106017"/>
      </x:ext>
    </extLst>
  </threadedComment>
  <threadedComment ref="C4" dT="2024-12-03T18:29:32.47" personId="{97EB442A-BA5A-4BA8-A59A-7061902B9186}" id="{BF97B819-C241-44FC-AA8D-937FDD0CF315}">
    <text xml:space="preserve">https://www.imarcgroup.com/dimethyl-sulfoxide-pricing-report
</text>
    <extLst>
      <x:ext xmlns:xltc2="http://schemas.microsoft.com/office/spreadsheetml/2020/threadedcomments2" uri="{F7C98A9C-CBB3-438F-8F68-D28B6AF4A901}">
        <xltc2:checksum>3022425215</xltc2:checksum>
        <xltc2:hyperlink startIndex="0" length="60" url="https://www.imarcgroup.com/dimethyl-sulfoxide-pricing-report"/>
      </x:ext>
    </extLs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9ee00909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inkinghub.elsevier.com/retrieve/pii/S1750583620306642" TargetMode="External"/><Relationship Id="rId7" Type="http://schemas.openxmlformats.org/officeDocument/2006/relationships/hyperlink" Target="https://www.chemours.com/en/-/media/files/nafion/nafion-flow-battery-brochure.pdf?la=en&amp;rev=0419d4c952254224bb97c2c80097922c" TargetMode="External"/><Relationship Id="rId12" Type="http://schemas.openxmlformats.org/officeDocument/2006/relationships/hyperlink" Target="https://www.sciencedirect.com/science/article/pii/S0959652622011829?via=ihub" TargetMode="External"/><Relationship Id="rId2" Type="http://schemas.openxmlformats.org/officeDocument/2006/relationships/hyperlink" Target="https://www.sciencedirect.com/science/article/pii/S0959652622011829?via=ihub" TargetMode="Externa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hyperlink" Target="https://www.sciencedirect.com/science/article/pii/S0959652622011829?via=ihub" TargetMode="External"/><Relationship Id="rId5" Type="http://schemas.openxmlformats.org/officeDocument/2006/relationships/hyperlink" Target="https://www.iea.org/commentaries/is-carbon-capture-too-expensive" TargetMode="External"/><Relationship Id="rId10" Type="http://schemas.openxmlformats.org/officeDocument/2006/relationships/hyperlink" Target="https://doi.org/10.1016/j.joule.2023.03.015" TargetMode="External"/><Relationship Id="rId4" Type="http://schemas.openxmlformats.org/officeDocument/2006/relationships/hyperlink" Target="https://pubs.acs.org/doi/10.1021/acssuschemeng.3c04373" TargetMode="External"/><Relationship Id="rId9" Type="http://schemas.openxmlformats.org/officeDocument/2006/relationships/hyperlink" Target="https://www.nature.com/articles/s41893-021-00739-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www.nature.com/articles/s41893-021-00739-x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engineeringtoolbox.com/heating-values-fuel-gases-d_823.html" TargetMode="Externa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businessanalytiq.com/procurementanalytics/index/oxalic-acid-price-index/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l010000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3.xml"/><Relationship Id="rId3" Type="http://schemas.openxmlformats.org/officeDocument/2006/relationships/hyperlink" Target="https://www.sigmaaldrich.com/US/en/product/sial/86896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www.sigmaaldrich.com/US/en/product/aldrich/86885" TargetMode="External"/><Relationship Id="rId6" Type="http://schemas.openxmlformats.org/officeDocument/2006/relationships/table" Target="../tables/table4.xml"/><Relationship Id="rId5" Type="http://schemas.openxmlformats.org/officeDocument/2006/relationships/vmlDrawing" Target="../drawings/vmlDrawing3.vml"/><Relationship Id="rId4" Type="http://schemas.openxmlformats.org/officeDocument/2006/relationships/hyperlink" Target="https://www.sigmaaldrich.com/US/en/product/aldrich/24214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2"/>
  <sheetViews>
    <sheetView topLeftCell="A18" zoomScaleNormal="100" workbookViewId="0">
      <selection activeCell="B25" sqref="B25"/>
    </sheetView>
  </sheetViews>
  <sheetFormatPr defaultColWidth="9.140625" defaultRowHeight="14.25" x14ac:dyDescent="0.2"/>
  <cols>
    <col min="1" max="1" width="25.7109375" style="15" customWidth="1"/>
    <col min="2" max="2" width="26.28515625" style="4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181</v>
      </c>
      <c r="B2" s="6" t="s">
        <v>182</v>
      </c>
      <c r="C2" s="29">
        <v>1</v>
      </c>
      <c r="D2" s="6" t="s">
        <v>76</v>
      </c>
      <c r="E2" s="24"/>
      <c r="F2" s="5"/>
    </row>
    <row r="3" spans="1:6" ht="28.5" x14ac:dyDescent="0.2">
      <c r="A3" s="6" t="s">
        <v>180</v>
      </c>
      <c r="B3" s="6" t="s">
        <v>183</v>
      </c>
      <c r="C3" s="29">
        <v>1</v>
      </c>
      <c r="D3" s="6" t="s">
        <v>76</v>
      </c>
      <c r="E3" s="24"/>
      <c r="F3" s="5"/>
    </row>
    <row r="4" spans="1:6" ht="85.5" x14ac:dyDescent="0.2">
      <c r="A4" s="5" t="s">
        <v>87</v>
      </c>
      <c r="B4" s="6" t="s">
        <v>68</v>
      </c>
      <c r="C4" s="9">
        <v>75</v>
      </c>
      <c r="D4" s="5" t="s">
        <v>69</v>
      </c>
      <c r="E4" s="24" t="s">
        <v>141</v>
      </c>
      <c r="F4" s="5" t="s">
        <v>140</v>
      </c>
    </row>
    <row r="5" spans="1:6" ht="42.75" x14ac:dyDescent="0.2">
      <c r="A5" s="5" t="s">
        <v>102</v>
      </c>
      <c r="B5" s="6" t="s">
        <v>130</v>
      </c>
      <c r="C5" s="76">
        <f>0.0145</f>
        <v>1.4500000000000001E-2</v>
      </c>
      <c r="D5" s="5" t="s">
        <v>116</v>
      </c>
      <c r="E5" s="24" t="s">
        <v>132</v>
      </c>
      <c r="F5" s="5" t="s">
        <v>131</v>
      </c>
    </row>
    <row r="6" spans="1:6" ht="28.5" x14ac:dyDescent="0.2">
      <c r="A6" s="5" t="s">
        <v>204</v>
      </c>
      <c r="B6" s="6" t="s">
        <v>206</v>
      </c>
      <c r="C6" s="25">
        <v>1989043</v>
      </c>
      <c r="D6" s="5" t="s">
        <v>207</v>
      </c>
      <c r="E6" s="24" t="s">
        <v>142</v>
      </c>
      <c r="F6" s="5"/>
    </row>
    <row r="7" spans="1:6" ht="28.5" x14ac:dyDescent="0.2">
      <c r="A7" s="5" t="s">
        <v>205</v>
      </c>
      <c r="B7" s="6" t="s">
        <v>209</v>
      </c>
      <c r="C7" s="25">
        <v>36703.01902</v>
      </c>
      <c r="D7" s="5" t="s">
        <v>208</v>
      </c>
      <c r="E7" s="24" t="s">
        <v>142</v>
      </c>
      <c r="F7" s="5"/>
    </row>
    <row r="8" spans="1:6" ht="28.5" x14ac:dyDescent="0.2">
      <c r="A8" s="5" t="s">
        <v>133</v>
      </c>
      <c r="B8" s="6" t="s">
        <v>134</v>
      </c>
      <c r="C8" s="25">
        <v>5000</v>
      </c>
      <c r="D8" s="5" t="s">
        <v>135</v>
      </c>
      <c r="E8" s="24" t="s">
        <v>142</v>
      </c>
      <c r="F8" s="5"/>
    </row>
    <row r="9" spans="1:6" ht="28.5" x14ac:dyDescent="0.2">
      <c r="A9" s="5" t="s">
        <v>89</v>
      </c>
      <c r="B9" s="5" t="s">
        <v>33</v>
      </c>
      <c r="C9" s="9">
        <v>0</v>
      </c>
      <c r="D9" s="5" t="s">
        <v>17</v>
      </c>
      <c r="E9" s="5" t="s">
        <v>171</v>
      </c>
      <c r="F9" s="5"/>
    </row>
    <row r="10" spans="1:6" ht="28.5" x14ac:dyDescent="0.2">
      <c r="A10" s="5" t="s">
        <v>178</v>
      </c>
      <c r="B10" s="5" t="s">
        <v>179</v>
      </c>
      <c r="C10" s="8">
        <v>1000</v>
      </c>
      <c r="D10" s="5" t="s">
        <v>47</v>
      </c>
      <c r="E10" s="5"/>
      <c r="F10" s="5"/>
    </row>
    <row r="11" spans="1:6" ht="42.75" x14ac:dyDescent="0.2">
      <c r="A11" s="6" t="s">
        <v>86</v>
      </c>
      <c r="B11" s="6" t="s">
        <v>81</v>
      </c>
      <c r="C11" s="11">
        <v>0.9</v>
      </c>
      <c r="D11" s="6"/>
      <c r="E11" s="24" t="s">
        <v>82</v>
      </c>
      <c r="F11" s="5"/>
    </row>
    <row r="12" spans="1:6" ht="28.5" x14ac:dyDescent="0.2">
      <c r="A12" s="6" t="s">
        <v>99</v>
      </c>
      <c r="B12" s="6" t="s">
        <v>202</v>
      </c>
      <c r="C12" s="83">
        <v>0.3</v>
      </c>
      <c r="D12" s="6"/>
      <c r="E12" s="24"/>
      <c r="F12" s="5"/>
    </row>
    <row r="13" spans="1:6" ht="28.5" x14ac:dyDescent="0.2">
      <c r="A13" s="6" t="s">
        <v>99</v>
      </c>
      <c r="B13" s="6" t="s">
        <v>66</v>
      </c>
      <c r="C13" s="11">
        <v>7.0000000000000007E-2</v>
      </c>
      <c r="D13" s="6"/>
      <c r="E13" s="24" t="s">
        <v>23</v>
      </c>
    </row>
    <row r="14" spans="1:6" ht="42.75" x14ac:dyDescent="0.2">
      <c r="A14" s="6" t="s">
        <v>164</v>
      </c>
      <c r="B14" s="6" t="s">
        <v>167</v>
      </c>
      <c r="C14" s="10">
        <f>0.8/10</f>
        <v>0.08</v>
      </c>
      <c r="D14" s="6" t="s">
        <v>165</v>
      </c>
      <c r="E14" s="24" t="s">
        <v>166</v>
      </c>
    </row>
    <row r="15" spans="1:6" ht="42.75" x14ac:dyDescent="0.2">
      <c r="A15" s="6" t="s">
        <v>161</v>
      </c>
      <c r="B15" s="6" t="s">
        <v>162</v>
      </c>
      <c r="C15" s="10">
        <v>0.22</v>
      </c>
      <c r="D15" s="6" t="s">
        <v>22</v>
      </c>
      <c r="E15" s="24" t="s">
        <v>168</v>
      </c>
    </row>
    <row r="16" spans="1:6" ht="42.75" x14ac:dyDescent="0.2">
      <c r="A16" s="6" t="s">
        <v>84</v>
      </c>
      <c r="B16" s="6" t="s">
        <v>34</v>
      </c>
      <c r="C16" s="10">
        <v>1.23</v>
      </c>
      <c r="D16" s="6" t="s">
        <v>55</v>
      </c>
      <c r="E16" s="24" t="s">
        <v>19</v>
      </c>
    </row>
    <row r="17" spans="1:6" ht="15.75" x14ac:dyDescent="0.2">
      <c r="A17" s="5" t="s">
        <v>90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ht="27" customHeight="1" x14ac:dyDescent="0.2">
      <c r="A18" s="5" t="s">
        <v>159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7.25" x14ac:dyDescent="0.2">
      <c r="A19" s="5" t="s">
        <v>88</v>
      </c>
      <c r="B19" s="5" t="s">
        <v>43</v>
      </c>
      <c r="C19" s="9">
        <v>44.009500000000003</v>
      </c>
      <c r="D19" s="5" t="s">
        <v>29</v>
      </c>
      <c r="E19" s="5"/>
      <c r="F19" s="5"/>
    </row>
    <row r="20" spans="1:6" ht="17.25" x14ac:dyDescent="0.2">
      <c r="A20" s="6" t="s">
        <v>97</v>
      </c>
      <c r="B20" s="6" t="s">
        <v>73</v>
      </c>
      <c r="C20" s="9">
        <v>138.2055</v>
      </c>
      <c r="D20" s="5" t="s">
        <v>29</v>
      </c>
      <c r="E20" s="5"/>
      <c r="F20" s="5"/>
    </row>
    <row r="21" spans="1:6" ht="17.25" x14ac:dyDescent="0.2">
      <c r="A21" s="5" t="s">
        <v>95</v>
      </c>
      <c r="B21" s="6" t="s">
        <v>46</v>
      </c>
      <c r="C21" s="9">
        <v>31.998799999999999</v>
      </c>
      <c r="D21" s="5" t="s">
        <v>29</v>
      </c>
      <c r="E21" s="5"/>
      <c r="F21" s="5"/>
    </row>
    <row r="22" spans="1:6" x14ac:dyDescent="0.2">
      <c r="A22" s="5" t="s">
        <v>104</v>
      </c>
      <c r="B22" s="5" t="s">
        <v>44</v>
      </c>
      <c r="C22" s="9">
        <v>18.015799999999999</v>
      </c>
      <c r="D22" s="5" t="s">
        <v>29</v>
      </c>
      <c r="E22" s="5"/>
      <c r="F22" s="5"/>
    </row>
    <row r="23" spans="1:6" x14ac:dyDescent="0.2">
      <c r="A23" s="5" t="s">
        <v>96</v>
      </c>
      <c r="B23" s="5" t="s">
        <v>15</v>
      </c>
      <c r="C23" s="8">
        <v>101325</v>
      </c>
      <c r="D23" s="5" t="s">
        <v>16</v>
      </c>
      <c r="E23" s="5"/>
      <c r="F23" s="5"/>
    </row>
    <row r="24" spans="1:6" ht="28.5" x14ac:dyDescent="0.2">
      <c r="A24" s="5" t="s">
        <v>109</v>
      </c>
      <c r="B24" s="5" t="s">
        <v>110</v>
      </c>
      <c r="C24" s="11">
        <f>350/365</f>
        <v>0.95890410958904104</v>
      </c>
      <c r="D24" s="5"/>
      <c r="E24" s="5"/>
      <c r="F24" s="5"/>
    </row>
    <row r="25" spans="1:6" ht="28.5" x14ac:dyDescent="0.2">
      <c r="A25" s="5" t="s">
        <v>114</v>
      </c>
      <c r="B25" s="5" t="s">
        <v>115</v>
      </c>
      <c r="C25" s="29">
        <v>0</v>
      </c>
      <c r="D25" s="5"/>
      <c r="E25" s="5"/>
      <c r="F25" s="5"/>
    </row>
    <row r="26" spans="1:6" ht="28.5" x14ac:dyDescent="0.2">
      <c r="A26" s="5" t="s">
        <v>111</v>
      </c>
      <c r="B26" s="5" t="s">
        <v>112</v>
      </c>
      <c r="C26" s="36">
        <v>10</v>
      </c>
      <c r="D26" s="5" t="s">
        <v>113</v>
      </c>
      <c r="E26" s="5"/>
      <c r="F26" s="5"/>
    </row>
    <row r="27" spans="1:6" ht="28.5" x14ac:dyDescent="0.2">
      <c r="A27" s="69" t="s">
        <v>106</v>
      </c>
      <c r="B27" s="69" t="s">
        <v>107</v>
      </c>
      <c r="C27" s="75">
        <v>2500</v>
      </c>
      <c r="D27" s="69" t="s">
        <v>108</v>
      </c>
      <c r="E27" s="69"/>
      <c r="F27" s="5"/>
    </row>
    <row r="28" spans="1:6" ht="28.5" x14ac:dyDescent="0.2">
      <c r="A28" s="5" t="s">
        <v>138</v>
      </c>
      <c r="B28" s="6" t="s">
        <v>139</v>
      </c>
      <c r="C28" s="35">
        <v>1</v>
      </c>
      <c r="D28" s="5" t="s">
        <v>113</v>
      </c>
      <c r="E28" s="5"/>
      <c r="F28" s="5"/>
    </row>
    <row r="29" spans="1:6" ht="42.75" x14ac:dyDescent="0.2">
      <c r="A29" s="6" t="s">
        <v>105</v>
      </c>
      <c r="B29" s="6" t="s">
        <v>75</v>
      </c>
      <c r="C29" s="11">
        <v>0.05</v>
      </c>
      <c r="D29" s="6"/>
      <c r="E29" s="24"/>
      <c r="F29" s="5"/>
    </row>
    <row r="30" spans="1:6" ht="28.5" x14ac:dyDescent="0.2">
      <c r="A30" s="67" t="s">
        <v>212</v>
      </c>
      <c r="B30" s="67" t="s">
        <v>213</v>
      </c>
      <c r="C30" s="88">
        <v>100</v>
      </c>
      <c r="D30" s="67" t="s">
        <v>214</v>
      </c>
      <c r="E30" s="71"/>
      <c r="F30" s="5"/>
    </row>
    <row r="31" spans="1:6" ht="28.5" x14ac:dyDescent="0.2">
      <c r="A31" s="67" t="s">
        <v>103</v>
      </c>
      <c r="B31" s="67" t="s">
        <v>74</v>
      </c>
      <c r="C31" s="88">
        <v>2500</v>
      </c>
      <c r="D31" s="67" t="s">
        <v>129</v>
      </c>
      <c r="E31" s="71"/>
      <c r="F31" s="5"/>
    </row>
    <row r="32" spans="1:6" ht="28.5" x14ac:dyDescent="0.2">
      <c r="A32" s="6" t="s">
        <v>98</v>
      </c>
      <c r="B32" s="6" t="s">
        <v>37</v>
      </c>
      <c r="C32" s="6">
        <v>10</v>
      </c>
      <c r="D32" s="6" t="s">
        <v>21</v>
      </c>
      <c r="E32" s="24" t="s">
        <v>20</v>
      </c>
      <c r="F32" s="5"/>
    </row>
    <row r="33" spans="1:6" ht="28.5" x14ac:dyDescent="0.2">
      <c r="A33" s="6" t="s">
        <v>85</v>
      </c>
      <c r="B33" s="6" t="s">
        <v>35</v>
      </c>
      <c r="C33" s="6">
        <v>0.247</v>
      </c>
      <c r="D33" s="6" t="s">
        <v>18</v>
      </c>
      <c r="E33" s="24" t="s">
        <v>20</v>
      </c>
      <c r="F33" s="5"/>
    </row>
    <row r="34" spans="1:6" ht="28.5" x14ac:dyDescent="0.2">
      <c r="A34" s="6" t="s">
        <v>83</v>
      </c>
      <c r="B34" s="6" t="s">
        <v>36</v>
      </c>
      <c r="C34" s="6">
        <f>0.041*1000</f>
        <v>41</v>
      </c>
      <c r="D34" s="6" t="s">
        <v>137</v>
      </c>
      <c r="E34" s="24" t="s">
        <v>20</v>
      </c>
      <c r="F34" s="5"/>
    </row>
    <row r="35" spans="1:6" ht="28.5" x14ac:dyDescent="0.2">
      <c r="A35" s="6" t="s">
        <v>100</v>
      </c>
      <c r="B35" s="6" t="s">
        <v>38</v>
      </c>
      <c r="C35" s="10">
        <v>313.14999999999998</v>
      </c>
      <c r="D35" s="6" t="s">
        <v>14</v>
      </c>
      <c r="E35" s="24" t="s">
        <v>23</v>
      </c>
      <c r="F35" s="5"/>
    </row>
    <row r="36" spans="1:6" x14ac:dyDescent="0.2">
      <c r="A36" s="5" t="s">
        <v>101</v>
      </c>
      <c r="B36" s="5" t="s">
        <v>136</v>
      </c>
      <c r="C36" s="10">
        <v>313.14999999999998</v>
      </c>
      <c r="D36" s="5" t="s">
        <v>14</v>
      </c>
      <c r="E36" s="5"/>
      <c r="F36" s="5"/>
    </row>
    <row r="37" spans="1:6" ht="15" x14ac:dyDescent="0.2">
      <c r="A37" s="16" t="s">
        <v>91</v>
      </c>
      <c r="B37" s="6" t="s">
        <v>39</v>
      </c>
      <c r="C37" s="16">
        <v>273.14999999999998</v>
      </c>
      <c r="D37" s="16" t="s">
        <v>14</v>
      </c>
      <c r="E37" s="5"/>
      <c r="F37" s="5"/>
    </row>
    <row r="38" spans="1:6" ht="28.5" x14ac:dyDescent="0.2">
      <c r="A38" s="5" t="s">
        <v>92</v>
      </c>
      <c r="B38" s="6" t="s">
        <v>40</v>
      </c>
      <c r="C38" s="8">
        <f>3600</f>
        <v>3600</v>
      </c>
      <c r="D38" s="5" t="s">
        <v>27</v>
      </c>
      <c r="E38" s="5"/>
      <c r="F38" s="5"/>
    </row>
    <row r="39" spans="1:6" ht="28.5" x14ac:dyDescent="0.2">
      <c r="A39" s="5" t="s">
        <v>93</v>
      </c>
      <c r="B39" s="6" t="s">
        <v>42</v>
      </c>
      <c r="C39" s="8">
        <f>1055870</f>
        <v>1055870</v>
      </c>
      <c r="D39" s="5" t="s">
        <v>28</v>
      </c>
      <c r="E39" s="5"/>
      <c r="F39" s="5"/>
    </row>
    <row r="40" spans="1:6" ht="28.5" x14ac:dyDescent="0.2">
      <c r="A40" s="5" t="s">
        <v>94</v>
      </c>
      <c r="B40" s="6" t="s">
        <v>41</v>
      </c>
      <c r="C40" s="8">
        <f>kJ_per_mmBtu/kJ_per_kWh</f>
        <v>293.29722222222222</v>
      </c>
      <c r="D40" s="5" t="s">
        <v>31</v>
      </c>
      <c r="E40" s="5"/>
      <c r="F40" s="5"/>
    </row>
    <row r="41" spans="1:6" x14ac:dyDescent="0.2">
      <c r="A41" s="4"/>
      <c r="F41" s="5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4"/>
    </row>
    <row r="47" spans="1:6" x14ac:dyDescent="0.2">
      <c r="A47" s="4"/>
    </row>
    <row r="48" spans="1:6" x14ac:dyDescent="0.2">
      <c r="A48" s="4"/>
    </row>
    <row r="49" spans="1:4" x14ac:dyDescent="0.2">
      <c r="A49" s="4"/>
    </row>
    <row r="50" spans="1:4" x14ac:dyDescent="0.2">
      <c r="A50" s="5"/>
      <c r="B50" s="8"/>
      <c r="C50" s="5"/>
      <c r="D50" s="5"/>
    </row>
    <row r="51" spans="1:4" x14ac:dyDescent="0.2">
      <c r="A51" s="5"/>
      <c r="B51" s="9"/>
      <c r="C51" s="5"/>
      <c r="D51" s="5"/>
    </row>
    <row r="52" spans="1:4" x14ac:dyDescent="0.2">
      <c r="B52" s="6"/>
      <c r="C52" s="6"/>
    </row>
  </sheetData>
  <hyperlinks>
    <hyperlink ref="E14" r:id="rId1" xr:uid="{B2106B39-835F-40BC-BDFE-DE3B87B90F64}"/>
    <hyperlink ref="E8" r:id="rId2" location="fig2" display="Badgett, Cortright (J Cleaner Prod 2022)" xr:uid="{13C42B5A-CBC8-4B1A-A9AB-3BCDE19ECC9C}"/>
    <hyperlink ref="E11" r:id="rId3" display="Brandl et al" xr:uid="{EF89FF7B-65AC-4D83-8890-C13EE030FEED}"/>
    <hyperlink ref="E5" r:id="rId4" display="Seider et al: $0.27/m3; Alerte et al: $0.0145/kg" xr:uid="{428FA07D-32E1-4E39-B95F-F3FC1495D338}"/>
    <hyperlink ref="E4" r:id="rId5" display="IEA, average for power gen" xr:uid="{781250D3-74FF-4AAC-876D-B170419E0026}"/>
    <hyperlink ref="E35" r:id="rId6" xr:uid="{1D582B49-C9A3-4464-96C4-7694D2F23D8F}"/>
    <hyperlink ref="E15" r:id="rId7" display="Chemours 2024; Nafion N117" xr:uid="{C255EE5C-FBDD-4176-A67A-8F3FD3120E2E}"/>
    <hyperlink ref="E16" r:id="rId8" xr:uid="{C621EBC1-D2D7-4FBE-8E4B-BC10DF4928D4}"/>
    <hyperlink ref="E33" r:id="rId9" xr:uid="{214EAADB-058E-4DBA-880F-727E021F35A8}"/>
    <hyperlink ref="E13" r:id="rId10" xr:uid="{2C690385-64CC-452A-875C-728C51C7F159}"/>
    <hyperlink ref="E6" r:id="rId11" location="fig2" display="Badgett, Cortright (J Cleaner Prod 2022)" xr:uid="{B305148C-D46E-4A68-A9BE-7CDAF5B30D3F}"/>
    <hyperlink ref="E7" r:id="rId12" location="fig2" display="Badgett, Cortright (J Cleaner Prod 2022)" xr:uid="{063033EA-CFBF-459E-876F-914E3FE1C3B5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P6"/>
  <sheetViews>
    <sheetView tabSelected="1" zoomScale="70" zoomScaleNormal="70" workbookViewId="0">
      <pane xSplit="1" topLeftCell="F1" activePane="topRight" state="frozen"/>
      <selection pane="topRight" activeCell="N6" sqref="N6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1" customWidth="1"/>
    <col min="8" max="8" width="17.7109375" style="4" bestFit="1" customWidth="1"/>
    <col min="9" max="9" width="16.42578125" style="4" bestFit="1" customWidth="1"/>
    <col min="10" max="10" width="13.28515625" style="4" bestFit="1" customWidth="1"/>
    <col min="11" max="11" width="15.140625" style="4" bestFit="1" customWidth="1"/>
    <col min="12" max="14" width="15.140625" style="4" customWidth="1"/>
    <col min="15" max="15" width="15.7109375" style="4" customWidth="1"/>
    <col min="16" max="16" width="20.85546875" style="42" customWidth="1"/>
    <col min="17" max="16384" width="9.140625" style="4"/>
  </cols>
  <sheetData>
    <row r="1" spans="1:16" ht="58.5" x14ac:dyDescent="0.2">
      <c r="A1" s="7" t="s">
        <v>49</v>
      </c>
      <c r="B1" s="7" t="s">
        <v>63</v>
      </c>
      <c r="C1" s="7" t="s">
        <v>50</v>
      </c>
      <c r="D1" s="7" t="s">
        <v>58</v>
      </c>
      <c r="E1" s="7" t="s">
        <v>59</v>
      </c>
      <c r="F1" s="7" t="s">
        <v>51</v>
      </c>
      <c r="G1" s="28" t="s">
        <v>67</v>
      </c>
      <c r="H1" s="7" t="s">
        <v>62</v>
      </c>
      <c r="I1" s="7" t="s">
        <v>52</v>
      </c>
      <c r="J1" s="7" t="s">
        <v>53</v>
      </c>
      <c r="K1" s="7" t="s">
        <v>60</v>
      </c>
      <c r="L1" s="7" t="s">
        <v>72</v>
      </c>
      <c r="M1" s="7" t="s">
        <v>77</v>
      </c>
      <c r="N1" s="7" t="s">
        <v>78</v>
      </c>
      <c r="O1" s="12" t="s">
        <v>24</v>
      </c>
      <c r="P1" s="12" t="s">
        <v>61</v>
      </c>
    </row>
    <row r="2" spans="1:16" ht="17.25" x14ac:dyDescent="0.2">
      <c r="A2" s="5" t="s">
        <v>57</v>
      </c>
      <c r="B2" s="5" t="s">
        <v>64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</row>
    <row r="3" spans="1:16" ht="42.75" x14ac:dyDescent="0.2">
      <c r="A3" s="5" t="s">
        <v>48</v>
      </c>
      <c r="B3" s="5" t="s">
        <v>64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53">
        <f>-2.35-0.197-Products[[#This Row],[Standard potential, pH = 0 (V vs SHE)]]</f>
        <v>-2.4870000000000001</v>
      </c>
      <c r="J3" s="5">
        <v>-182</v>
      </c>
      <c r="K3" s="5">
        <v>1</v>
      </c>
      <c r="L3" s="9">
        <v>0.98</v>
      </c>
      <c r="M3" s="72">
        <v>0.7</v>
      </c>
      <c r="N3" s="84">
        <v>337</v>
      </c>
      <c r="O3" s="24" t="s">
        <v>20</v>
      </c>
      <c r="P3" s="39" t="s">
        <v>160</v>
      </c>
    </row>
    <row r="4" spans="1:16" ht="42.75" x14ac:dyDescent="0.2">
      <c r="A4" s="6" t="s">
        <v>175</v>
      </c>
      <c r="B4" s="5" t="s">
        <v>176</v>
      </c>
      <c r="C4" s="9">
        <v>46.024999999999999</v>
      </c>
      <c r="D4" s="5">
        <v>2</v>
      </c>
      <c r="E4" s="5">
        <v>1</v>
      </c>
      <c r="F4" s="25"/>
      <c r="G4" s="9">
        <v>0.74</v>
      </c>
      <c r="H4" s="10">
        <v>-7.0000000000000007E-2</v>
      </c>
      <c r="I4" s="66">
        <v>-0.71199999999999997</v>
      </c>
      <c r="J4" s="5">
        <v>-182</v>
      </c>
      <c r="K4" s="66">
        <v>10</v>
      </c>
      <c r="L4" s="74">
        <v>0.9</v>
      </c>
      <c r="M4" s="72">
        <v>0.7</v>
      </c>
      <c r="N4" s="73">
        <v>100</v>
      </c>
      <c r="O4" s="24" t="s">
        <v>20</v>
      </c>
      <c r="P4" s="39" t="s">
        <v>177</v>
      </c>
    </row>
    <row r="5" spans="1:16" s="40" customFormat="1" ht="57" x14ac:dyDescent="0.2">
      <c r="A5" s="5" t="s">
        <v>200</v>
      </c>
      <c r="B5" s="6" t="s">
        <v>176</v>
      </c>
      <c r="C5" s="10">
        <v>90.03</v>
      </c>
      <c r="D5" s="5">
        <v>2</v>
      </c>
      <c r="E5" s="5">
        <v>2</v>
      </c>
      <c r="F5" s="25"/>
      <c r="G5" s="9">
        <v>0.7</v>
      </c>
      <c r="H5" s="10">
        <v>-0.51</v>
      </c>
      <c r="I5" s="53">
        <f>-1.8+0.197-Products[[#This Row],[Standard potential, pH = 0 (V vs SHE)]]</f>
        <v>-1.093</v>
      </c>
      <c r="J5" s="74">
        <v>-416</v>
      </c>
      <c r="K5" s="5">
        <v>5.6</v>
      </c>
      <c r="L5" s="74">
        <v>0.8</v>
      </c>
      <c r="M5" s="72">
        <v>0.7</v>
      </c>
      <c r="N5" s="84">
        <v>332.4</v>
      </c>
      <c r="O5" s="24" t="s">
        <v>201</v>
      </c>
      <c r="P5" s="72" t="s">
        <v>195</v>
      </c>
    </row>
    <row r="6" spans="1:16" ht="57" x14ac:dyDescent="0.2">
      <c r="A6" s="26" t="s">
        <v>24</v>
      </c>
      <c r="B6" s="27" t="s">
        <v>65</v>
      </c>
      <c r="C6" s="27" t="s">
        <v>65</v>
      </c>
      <c r="D6" s="24" t="s">
        <v>143</v>
      </c>
      <c r="E6" s="27" t="s">
        <v>65</v>
      </c>
      <c r="F6" s="24" t="s">
        <v>54</v>
      </c>
      <c r="G6" s="27" t="s">
        <v>70</v>
      </c>
      <c r="H6" s="24" t="s">
        <v>144</v>
      </c>
      <c r="I6" s="27" t="s">
        <v>56</v>
      </c>
      <c r="J6" s="27" t="s">
        <v>56</v>
      </c>
      <c r="K6" s="27" t="s">
        <v>56</v>
      </c>
      <c r="L6" s="27"/>
      <c r="M6" s="27"/>
      <c r="N6" s="27"/>
      <c r="O6" s="26"/>
      <c r="P6" s="26"/>
    </row>
  </sheetData>
  <phoneticPr fontId="18" type="noConversion"/>
  <hyperlinks>
    <hyperlink ref="D6" r:id="rId1" display="Nitopi Jaramillo Chem Rev 2019" xr:uid="{A6CEC16A-5A29-4C4B-B6DC-2F13839F3E5E}"/>
    <hyperlink ref="F6" r:id="rId2" display="Engineering Toolbox" xr:uid="{0D86F13D-1D29-453A-84F4-38B2E4DB70A8}"/>
    <hyperlink ref="H6" r:id="rId3" display="Bui Weber Chem Rev 2022" xr:uid="{D54C8481-3AD6-4B97-878B-D2C90AD4D097}"/>
    <hyperlink ref="O4" r:id="rId4" xr:uid="{8DCF1B3E-E4C0-4519-B0A4-B9CFE6918586}"/>
    <hyperlink ref="O5" r:id="rId5" xr:uid="{42FBBE18-D944-424A-B062-2455F7054E13}"/>
    <hyperlink ref="P3" r:id="rId6" display="Jouny, Jiao I&amp;EC 2018" xr:uid="{10B5C8FC-32D4-41B8-BAEB-C077AC9722AB}"/>
    <hyperlink ref="O3" r:id="rId7" xr:uid="{A4F65FF6-C6EC-40B1-9701-93F5858A18BD}"/>
  </hyperlinks>
  <pageMargins left="0.7" right="0.7" top="0.75" bottom="0.75" header="0.3" footer="0.3"/>
  <pageSetup orientation="portrait" r:id="rId8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J5"/>
  <sheetViews>
    <sheetView zoomScale="85" zoomScaleNormal="85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5" bestFit="1" customWidth="1"/>
    <col min="6" max="6" width="15" customWidth="1"/>
    <col min="7" max="7" width="16.42578125" bestFit="1" customWidth="1"/>
    <col min="8" max="8" width="16.42578125" customWidth="1"/>
    <col min="9" max="9" width="17.5703125" bestFit="1" customWidth="1"/>
    <col min="10" max="10" width="19.5703125" bestFit="1" customWidth="1"/>
  </cols>
  <sheetData>
    <row r="1" spans="1:10" ht="63" x14ac:dyDescent="0.25">
      <c r="A1" s="81" t="s">
        <v>184</v>
      </c>
      <c r="B1" s="7" t="s">
        <v>50</v>
      </c>
      <c r="C1" s="28" t="s">
        <v>185</v>
      </c>
      <c r="D1" s="5" t="s">
        <v>187</v>
      </c>
      <c r="E1" s="6" t="s">
        <v>189</v>
      </c>
      <c r="F1" s="6" t="s">
        <v>210</v>
      </c>
      <c r="G1" s="67" t="s">
        <v>188</v>
      </c>
      <c r="H1" s="6" t="s">
        <v>203</v>
      </c>
      <c r="I1" s="6" t="s">
        <v>24</v>
      </c>
      <c r="J1" s="12" t="s">
        <v>61</v>
      </c>
    </row>
    <row r="2" spans="1:10" ht="28.5" x14ac:dyDescent="0.25">
      <c r="A2" s="77" t="s">
        <v>170</v>
      </c>
      <c r="B2" s="9">
        <v>41.05</v>
      </c>
      <c r="C2" s="9">
        <v>2.7</v>
      </c>
      <c r="D2" s="8">
        <v>786</v>
      </c>
      <c r="E2" s="10">
        <v>0.89</v>
      </c>
      <c r="F2" s="87">
        <f>(Products6[[#This Row],[Viscosity (cP)]]/100)/Products6[[#This Row],[Density (kg/m3)]]*10000</f>
        <v>0.11323155216284986</v>
      </c>
      <c r="G2" s="68">
        <f>Products6[[#This Row],[Viscosity (cP)]]</f>
        <v>0.89</v>
      </c>
      <c r="H2" s="68">
        <v>7.0000000000000007E-2</v>
      </c>
      <c r="I2" s="71" t="s">
        <v>163</v>
      </c>
      <c r="J2" s="24" t="s">
        <v>172</v>
      </c>
    </row>
    <row r="3" spans="1:10" ht="28.5" x14ac:dyDescent="0.25">
      <c r="A3" s="78" t="s">
        <v>193</v>
      </c>
      <c r="B3" s="9">
        <v>102.09</v>
      </c>
      <c r="C3" s="9">
        <v>0.90700000000000003</v>
      </c>
      <c r="D3" s="8">
        <v>1200</v>
      </c>
      <c r="E3" s="10">
        <v>2.5299999999999998</v>
      </c>
      <c r="F3" s="87">
        <f>(Products6[[#This Row],[Viscosity (cP)]]/100)/Products6[[#This Row],[Density (kg/m3)]]*100</f>
        <v>2.1083333333333332E-3</v>
      </c>
      <c r="G3" s="68">
        <f>Products6[[#This Row],[Viscosity (cP)]]</f>
        <v>2.5299999999999998</v>
      </c>
      <c r="H3" s="10">
        <v>7.0000000000000007E-2</v>
      </c>
      <c r="I3" s="74"/>
      <c r="J3" s="74"/>
    </row>
    <row r="4" spans="1:10" x14ac:dyDescent="0.25">
      <c r="A4" s="79" t="s">
        <v>194</v>
      </c>
      <c r="B4" s="9">
        <v>78.13</v>
      </c>
      <c r="C4" s="9">
        <v>2.66</v>
      </c>
      <c r="D4" s="8">
        <v>1095</v>
      </c>
      <c r="E4" s="10">
        <v>1.99</v>
      </c>
      <c r="F4" s="87">
        <f>(Products6[[#This Row],[Viscosity (cP)]]/100)/Products6[[#This Row],[Density (kg/m3)]]*100</f>
        <v>1.817351598173516E-3</v>
      </c>
      <c r="G4" s="68">
        <f>Products6[[#This Row],[Viscosity (cP)]]</f>
        <v>1.99</v>
      </c>
      <c r="H4" s="68"/>
      <c r="I4" s="74"/>
      <c r="J4" s="74"/>
    </row>
    <row r="5" spans="1:10" x14ac:dyDescent="0.25">
      <c r="A5" s="80"/>
      <c r="B5" s="27"/>
      <c r="C5" s="27"/>
      <c r="D5" s="26"/>
      <c r="E5" s="26"/>
      <c r="F5" s="26"/>
      <c r="G5" s="26" t="s">
        <v>211</v>
      </c>
      <c r="H5" s="26"/>
      <c r="J5" s="26"/>
    </row>
  </sheetData>
  <phoneticPr fontId="18" type="noConversion"/>
  <hyperlinks>
    <hyperlink ref="J2" r:id="rId1" xr:uid="{5655458C-49A7-4C0B-8608-74FBB0552E76}"/>
    <hyperlink ref="I2" r:id="rId2" xr:uid="{3CE65C60-DA75-4595-8CAA-88F2C9A358C9}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I5"/>
  <sheetViews>
    <sheetView zoomScale="116" workbookViewId="0">
      <selection activeCell="H3" sqref="H3:H4"/>
    </sheetView>
  </sheetViews>
  <sheetFormatPr defaultRowHeight="15" x14ac:dyDescent="0.25"/>
  <cols>
    <col min="1" max="1" width="17.140625" bestFit="1" customWidth="1"/>
    <col min="2" max="2" width="20.42578125" bestFit="1" customWidth="1"/>
    <col min="3" max="3" width="16.140625" bestFit="1" customWidth="1"/>
    <col min="4" max="4" width="18.28515625" bestFit="1" customWidth="1"/>
    <col min="5" max="5" width="17.5703125" customWidth="1"/>
    <col min="6" max="6" width="19.5703125" bestFit="1" customWidth="1"/>
    <col min="7" max="7" width="12.7109375" bestFit="1" customWidth="1"/>
    <col min="8" max="8" width="28.5703125" customWidth="1"/>
    <col min="9" max="9" width="22.5703125" customWidth="1"/>
  </cols>
  <sheetData>
    <row r="1" spans="1:9" ht="28.5" x14ac:dyDescent="0.25">
      <c r="A1" s="81" t="s">
        <v>186</v>
      </c>
      <c r="B1" s="7" t="s">
        <v>50</v>
      </c>
      <c r="C1" s="28" t="s">
        <v>192</v>
      </c>
      <c r="D1" s="6" t="s">
        <v>190</v>
      </c>
      <c r="E1" s="67" t="s">
        <v>188</v>
      </c>
      <c r="F1" s="67" t="s">
        <v>191</v>
      </c>
      <c r="G1" s="6" t="s">
        <v>24</v>
      </c>
      <c r="H1" s="12" t="s">
        <v>61</v>
      </c>
    </row>
    <row r="2" spans="1:9" ht="57" x14ac:dyDescent="0.25">
      <c r="A2" s="77" t="s">
        <v>174</v>
      </c>
      <c r="B2" s="9">
        <v>341.91</v>
      </c>
      <c r="C2" s="85">
        <v>250</v>
      </c>
      <c r="D2" s="86">
        <f>0.75/100</f>
        <v>7.4999999999999997E-3</v>
      </c>
      <c r="E2" s="68">
        <v>0.89</v>
      </c>
      <c r="F2" s="70">
        <v>6E-10</v>
      </c>
      <c r="G2" s="71" t="s">
        <v>173</v>
      </c>
      <c r="H2" s="71" t="s">
        <v>163</v>
      </c>
      <c r="I2" s="69" t="s">
        <v>169</v>
      </c>
    </row>
    <row r="3" spans="1:9" ht="42.75" x14ac:dyDescent="0.25">
      <c r="A3" s="78" t="s">
        <v>196</v>
      </c>
      <c r="B3" s="9">
        <v>329.27</v>
      </c>
      <c r="C3" s="85">
        <v>250</v>
      </c>
      <c r="D3" s="72">
        <v>0.01</v>
      </c>
      <c r="E3" s="5"/>
      <c r="F3" s="74"/>
      <c r="G3" s="71" t="s">
        <v>198</v>
      </c>
      <c r="H3" s="74"/>
      <c r="I3" s="66"/>
    </row>
    <row r="4" spans="1:9" ht="42.75" x14ac:dyDescent="0.25">
      <c r="A4" s="78" t="s">
        <v>197</v>
      </c>
      <c r="B4" s="9">
        <v>217.06</v>
      </c>
      <c r="C4" s="85">
        <v>250</v>
      </c>
      <c r="D4" s="72">
        <v>0.01</v>
      </c>
      <c r="E4" s="6"/>
      <c r="F4" s="74"/>
      <c r="G4" s="71" t="s">
        <v>199</v>
      </c>
      <c r="H4" s="74"/>
      <c r="I4" s="66"/>
    </row>
    <row r="5" spans="1:9" x14ac:dyDescent="0.25">
      <c r="A5" s="77"/>
      <c r="B5" s="82"/>
      <c r="C5" s="82"/>
      <c r="D5" s="66"/>
      <c r="E5" s="26"/>
      <c r="F5" s="66"/>
      <c r="G5" s="5"/>
      <c r="H5" s="66"/>
      <c r="I5" s="66"/>
    </row>
  </sheetData>
  <phoneticPr fontId="18" type="noConversion"/>
  <hyperlinks>
    <hyperlink ref="G2" r:id="rId1" display="Sigma-Aldrich; acetonitrile" xr:uid="{57133E53-0E09-45A4-B177-CDDD279FC5F5}"/>
    <hyperlink ref="H2" r:id="rId2" xr:uid="{C39A51B0-B47C-49B0-B277-5D1A3A5EC524}"/>
    <hyperlink ref="G3" r:id="rId3" xr:uid="{D4570DF9-3F93-4759-8735-C33384FE78FD}"/>
    <hyperlink ref="G4" r:id="rId4" xr:uid="{6DA15248-3C49-4A1E-B665-5E2480210A1D}"/>
  </hyperlinks>
  <pageMargins left="0.7" right="0.7" top="0.75" bottom="0.75" header="0.3" footer="0.3"/>
  <legacyDrawing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3" workbookViewId="0">
      <selection activeCell="F3" sqref="F3:F4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145</v>
      </c>
      <c r="E3" s="90" t="s">
        <v>147</v>
      </c>
      <c r="F3" s="89" t="s">
        <v>148</v>
      </c>
    </row>
    <row r="4" spans="1:6" ht="28.5" x14ac:dyDescent="0.25">
      <c r="A4" s="18" t="s">
        <v>80</v>
      </c>
      <c r="B4" s="32">
        <v>2.4E-2</v>
      </c>
      <c r="C4" s="21">
        <v>20</v>
      </c>
      <c r="D4" s="30" t="s">
        <v>145</v>
      </c>
      <c r="E4" s="90"/>
      <c r="F4" s="89"/>
    </row>
    <row r="5" spans="1:6" ht="28.5" x14ac:dyDescent="0.25">
      <c r="A5" s="18" t="s">
        <v>79</v>
      </c>
      <c r="B5" s="32">
        <v>4.2000000000000003E-2</v>
      </c>
      <c r="C5" s="21"/>
      <c r="D5" s="30" t="s">
        <v>146</v>
      </c>
    </row>
    <row r="6" spans="1:6" ht="57" x14ac:dyDescent="0.25">
      <c r="A6" s="18" t="s">
        <v>2</v>
      </c>
      <c r="B6" s="32">
        <f>16.05/100</f>
        <v>0.1605</v>
      </c>
      <c r="C6" s="43">
        <f>[1]Electric!$G$557/kWh_per_mmBtu</f>
        <v>230.93061430996579</v>
      </c>
      <c r="D6" s="30" t="s">
        <v>149</v>
      </c>
    </row>
    <row r="7" spans="1:6" ht="57" x14ac:dyDescent="0.25">
      <c r="A7" s="18" t="s">
        <v>1</v>
      </c>
      <c r="B7" s="32">
        <f>7.62/100</f>
        <v>7.6200000000000004E-2</v>
      </c>
      <c r="C7" s="43" cm="1">
        <f t="array" ref="C7">[1]!Electricity_upstream_fuel_CO2/kWh_per_mmBtu</f>
        <v>414.10433834299573</v>
      </c>
      <c r="D7" s="30" t="s">
        <v>149</v>
      </c>
    </row>
    <row r="8" spans="1:6" ht="71.25" x14ac:dyDescent="0.25">
      <c r="A8" s="18" t="s">
        <v>3</v>
      </c>
      <c r="B8" s="32">
        <f>2.22/kWh_per_mmBtu</f>
        <v>7.5691136219420956E-3</v>
      </c>
      <c r="C8" s="43">
        <f>70.66/1000*kJ_per_kWh</f>
        <v>254.376</v>
      </c>
      <c r="D8" s="19" t="s">
        <v>150</v>
      </c>
    </row>
    <row r="9" spans="1:6" ht="28.5" x14ac:dyDescent="0.25">
      <c r="A9" s="18" t="s">
        <v>45</v>
      </c>
      <c r="B9" s="32">
        <v>0.03</v>
      </c>
      <c r="C9" s="44"/>
      <c r="D9" s="38" t="s">
        <v>20</v>
      </c>
    </row>
    <row r="10" spans="1:6" x14ac:dyDescent="0.25">
      <c r="A10" s="18"/>
      <c r="B10" s="32"/>
      <c r="C10" s="44"/>
      <c r="D10" s="37"/>
    </row>
    <row r="11" spans="1:6" x14ac:dyDescent="0.25">
      <c r="A11" s="18" t="s">
        <v>25</v>
      </c>
      <c r="B11" s="32">
        <f>B7</f>
        <v>7.6200000000000004E-2</v>
      </c>
      <c r="C11" s="44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4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71</v>
      </c>
      <c r="B14" s="32">
        <v>200</v>
      </c>
      <c r="C14" s="37"/>
      <c r="D14" s="38" t="s">
        <v>117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48" bestFit="1" customWidth="1"/>
    <col min="2" max="2" width="20.85546875" style="48" bestFit="1" customWidth="1"/>
    <col min="3" max="3" width="19.140625" style="48" bestFit="1" customWidth="1"/>
    <col min="4" max="4" width="16" style="48" bestFit="1" customWidth="1"/>
    <col min="5" max="5" width="18" style="48" bestFit="1" customWidth="1"/>
    <col min="6" max="6" width="16" style="48" bestFit="1" customWidth="1"/>
    <col min="7" max="7" width="13.7109375" style="48"/>
    <col min="8" max="8" width="14.7109375" style="48" bestFit="1" customWidth="1"/>
    <col min="9" max="12" width="14.7109375" style="49" bestFit="1" customWidth="1"/>
    <col min="13" max="13" width="15.42578125" style="49" bestFit="1" customWidth="1"/>
    <col min="14" max="15" width="14.7109375" style="49" bestFit="1" customWidth="1"/>
    <col min="16" max="16" width="21" style="49" bestFit="1" customWidth="1"/>
    <col min="17" max="25" width="13.7109375" style="48"/>
    <col min="26" max="26" width="18.42578125" style="48" bestFit="1" customWidth="1"/>
    <col min="27" max="16384" width="13.7109375" style="48"/>
  </cols>
  <sheetData>
    <row r="1" spans="1:12" x14ac:dyDescent="0.2">
      <c r="A1" s="45" t="s">
        <v>121</v>
      </c>
      <c r="B1" s="46"/>
      <c r="C1" s="47"/>
      <c r="D1" s="47"/>
      <c r="E1" s="48" t="s">
        <v>157</v>
      </c>
    </row>
    <row r="2" spans="1:12" s="49" customFormat="1" ht="17.25" x14ac:dyDescent="0.2">
      <c r="A2" s="45" t="s">
        <v>151</v>
      </c>
      <c r="B2" s="46"/>
      <c r="C2" s="47"/>
      <c r="D2" s="47"/>
      <c r="E2" s="65" t="s">
        <v>158</v>
      </c>
      <c r="F2" s="48"/>
    </row>
    <row r="3" spans="1:12" s="49" customFormat="1" x14ac:dyDescent="0.2">
      <c r="A3" s="48"/>
      <c r="C3" s="48"/>
      <c r="D3" s="48"/>
      <c r="F3" s="48"/>
    </row>
    <row r="4" spans="1:12" x14ac:dyDescent="0.2">
      <c r="A4" s="50" t="s">
        <v>6</v>
      </c>
      <c r="B4" s="50" t="s">
        <v>7</v>
      </c>
      <c r="C4" s="50" t="s">
        <v>8</v>
      </c>
      <c r="D4" s="51" t="s">
        <v>125</v>
      </c>
    </row>
    <row r="5" spans="1:12" x14ac:dyDescent="0.2">
      <c r="A5" s="52" t="s">
        <v>9</v>
      </c>
      <c r="B5" s="52">
        <v>8.3144720000000003</v>
      </c>
      <c r="C5" s="52" t="s">
        <v>10</v>
      </c>
      <c r="D5" s="52"/>
    </row>
    <row r="6" spans="1:12" ht="15.75" x14ac:dyDescent="0.2">
      <c r="A6" s="53" t="s">
        <v>11</v>
      </c>
      <c r="B6" s="53">
        <v>96485.33212331</v>
      </c>
      <c r="C6" s="53" t="s">
        <v>12</v>
      </c>
      <c r="D6" s="53"/>
    </row>
    <row r="7" spans="1:12" s="49" customFormat="1" x14ac:dyDescent="0.2">
      <c r="A7" s="52" t="s">
        <v>13</v>
      </c>
      <c r="B7" s="52">
        <v>273.14999999999998</v>
      </c>
      <c r="C7" s="52" t="s">
        <v>14</v>
      </c>
      <c r="D7" s="52"/>
      <c r="E7" s="48"/>
      <c r="F7" s="48"/>
    </row>
    <row r="8" spans="1:12" s="49" customFormat="1" x14ac:dyDescent="0.2">
      <c r="A8" s="53" t="s">
        <v>15</v>
      </c>
      <c r="B8" s="53">
        <v>101325</v>
      </c>
      <c r="C8" s="53" t="s">
        <v>16</v>
      </c>
      <c r="D8" s="53"/>
      <c r="E8" s="48"/>
      <c r="F8" s="48"/>
    </row>
    <row r="9" spans="1:12" s="49" customFormat="1" x14ac:dyDescent="0.2">
      <c r="A9" s="52" t="s">
        <v>152</v>
      </c>
      <c r="B9" s="52">
        <v>273.14999999999998</v>
      </c>
      <c r="C9" s="52" t="s">
        <v>14</v>
      </c>
      <c r="D9" s="52"/>
      <c r="E9" s="48"/>
      <c r="F9" s="48"/>
      <c r="L9" s="48"/>
    </row>
    <row r="10" spans="1:12" s="49" customFormat="1" ht="28.5" x14ac:dyDescent="0.2">
      <c r="A10" s="53" t="s">
        <v>126</v>
      </c>
      <c r="B10" s="53">
        <f>1/60/(100^3)*P/(R_*B7+20)</f>
        <v>7.3709198831561756E-7</v>
      </c>
      <c r="C10" s="53" t="s">
        <v>122</v>
      </c>
      <c r="D10" s="53"/>
      <c r="E10" s="48"/>
      <c r="F10" s="48"/>
      <c r="L10" s="48"/>
    </row>
    <row r="11" spans="1:12" s="49" customFormat="1" x14ac:dyDescent="0.2">
      <c r="A11" s="52" t="s">
        <v>122</v>
      </c>
      <c r="B11" s="52">
        <f>1/60/(100^3)*P/(R_*B7)</f>
        <v>7.4358305104930494E-7</v>
      </c>
      <c r="C11" s="52" t="s">
        <v>122</v>
      </c>
      <c r="D11" s="52"/>
      <c r="E11" s="48"/>
      <c r="F11" s="48"/>
      <c r="G11" s="48"/>
    </row>
    <row r="12" spans="1:12" s="49" customFormat="1" ht="30" x14ac:dyDescent="0.2">
      <c r="A12" s="53" t="s">
        <v>123</v>
      </c>
      <c r="B12" s="53">
        <f>1/(1000*2*F)</f>
        <v>5.182134828131088E-9</v>
      </c>
      <c r="C12" s="53" t="s">
        <v>124</v>
      </c>
      <c r="D12" s="53"/>
      <c r="E12" s="48"/>
      <c r="F12" s="48"/>
      <c r="G12" s="48"/>
    </row>
    <row r="13" spans="1:12" s="49" customFormat="1" x14ac:dyDescent="0.2">
      <c r="A13" s="48"/>
      <c r="C13" s="48"/>
      <c r="D13" s="48"/>
      <c r="E13" s="48"/>
      <c r="F13" s="48"/>
      <c r="G13" s="48"/>
    </row>
    <row r="14" spans="1:12" x14ac:dyDescent="0.2">
      <c r="B14" s="49"/>
    </row>
    <row r="17" spans="1:16" x14ac:dyDescent="0.2">
      <c r="A17" s="92" t="s">
        <v>127</v>
      </c>
      <c r="B17" s="92"/>
      <c r="C17" s="92"/>
      <c r="D17" s="92"/>
      <c r="E17" s="92"/>
      <c r="F17" s="92"/>
      <c r="H17" s="92" t="s">
        <v>128</v>
      </c>
      <c r="I17" s="92"/>
      <c r="J17" s="92"/>
      <c r="K17" s="92"/>
      <c r="L17" s="92"/>
      <c r="M17" s="92"/>
      <c r="N17" s="92"/>
      <c r="O17" s="92"/>
      <c r="P17" s="92"/>
    </row>
    <row r="18" spans="1:16" x14ac:dyDescent="0.2">
      <c r="A18" s="91" t="s">
        <v>118</v>
      </c>
      <c r="B18" s="91"/>
      <c r="C18" s="91" t="s">
        <v>119</v>
      </c>
      <c r="D18" s="91"/>
      <c r="E18" s="91" t="s">
        <v>120</v>
      </c>
      <c r="F18" s="91"/>
      <c r="G18" s="55"/>
      <c r="H18" s="91" t="s">
        <v>118</v>
      </c>
      <c r="I18" s="91"/>
      <c r="J18" s="91"/>
      <c r="K18" s="91" t="s">
        <v>119</v>
      </c>
      <c r="L18" s="91"/>
      <c r="M18" s="91"/>
      <c r="N18" s="91" t="s">
        <v>120</v>
      </c>
      <c r="O18" s="91"/>
      <c r="P18" s="91"/>
    </row>
    <row r="19" spans="1:16" ht="17.25" x14ac:dyDescent="0.3">
      <c r="A19" s="54" t="s">
        <v>153</v>
      </c>
      <c r="B19" s="54" t="s">
        <v>154</v>
      </c>
      <c r="C19" s="54" t="s">
        <v>153</v>
      </c>
      <c r="D19" s="54" t="s">
        <v>154</v>
      </c>
      <c r="E19" s="54" t="s">
        <v>153</v>
      </c>
      <c r="F19" s="54" t="s">
        <v>154</v>
      </c>
      <c r="G19" s="55"/>
      <c r="H19" s="56" t="s">
        <v>154</v>
      </c>
      <c r="I19" s="56" t="s">
        <v>155</v>
      </c>
      <c r="J19" s="57" t="s">
        <v>156</v>
      </c>
      <c r="K19" s="56" t="s">
        <v>154</v>
      </c>
      <c r="L19" s="56" t="s">
        <v>155</v>
      </c>
      <c r="M19" s="57" t="s">
        <v>156</v>
      </c>
      <c r="N19" s="56" t="s">
        <v>154</v>
      </c>
      <c r="O19" s="56" t="s">
        <v>155</v>
      </c>
      <c r="P19" s="57" t="s">
        <v>156</v>
      </c>
    </row>
    <row r="20" spans="1:16" x14ac:dyDescent="0.2">
      <c r="A20" s="58">
        <v>-51.5244564886654</v>
      </c>
      <c r="B20" s="58">
        <v>96.069921944646296</v>
      </c>
      <c r="C20" s="58">
        <v>-270.69144156650799</v>
      </c>
      <c r="D20" s="58">
        <v>95.274625944703203</v>
      </c>
      <c r="E20" s="58">
        <v>-100.20956778631199</v>
      </c>
      <c r="F20" s="58">
        <v>95.562695969348596</v>
      </c>
      <c r="H20" s="59">
        <f t="shared" ref="H20:H58" si="0">B20/100</f>
        <v>0.96069921944646297</v>
      </c>
      <c r="I20" s="59">
        <f t="shared" ref="I20:I58" si="1">(-A20*H20*mol_s_per_mA/mol_s_per_sccm)/15</f>
        <v>2.2997934048565084E-2</v>
      </c>
      <c r="J20" s="59">
        <f t="shared" ref="J20:J41" si="2">0.9607-H20</f>
        <v>7.805535370275507E-7</v>
      </c>
      <c r="K20" s="60">
        <f t="shared" ref="K20:K47" si="3">D20/100</f>
        <v>0.95274625944703206</v>
      </c>
      <c r="L20" s="60">
        <f t="shared" ref="L20:L47" si="4">(-C20*K20*mol_s_per_mA/mol_s_per_sccm)/10</f>
        <v>0.17973431608477702</v>
      </c>
      <c r="M20" s="60">
        <f t="shared" ref="M20:M41" si="5">0.9607-K20</f>
        <v>7.9537405529679361E-3</v>
      </c>
      <c r="N20" s="60">
        <f t="shared" ref="N20:N31" si="6">F20/100</f>
        <v>0.95562695969348599</v>
      </c>
      <c r="O20" s="60">
        <f t="shared" ref="O20:O31" si="7">(-E20*N20*mol_s_per_mA/mol_s_per_sccm)/5</f>
        <v>0.13347711284619851</v>
      </c>
      <c r="P20" s="60">
        <f t="shared" ref="P20:P31" si="8">0.9607-N20</f>
        <v>5.0730403065140095E-3</v>
      </c>
    </row>
    <row r="21" spans="1:16" x14ac:dyDescent="0.2">
      <c r="A21" s="58">
        <v>-89.797974315320403</v>
      </c>
      <c r="B21" s="58">
        <v>96.042029369108704</v>
      </c>
      <c r="C21" s="58">
        <v>-308.956377062228</v>
      </c>
      <c r="D21" s="58">
        <v>95.0947545921981</v>
      </c>
      <c r="E21" s="58">
        <v>-138.476342352947</v>
      </c>
      <c r="F21" s="58">
        <v>95.415391497622196</v>
      </c>
      <c r="H21" s="59">
        <f t="shared" si="0"/>
        <v>0.96042029369108706</v>
      </c>
      <c r="I21" s="59">
        <f>(-A21*H21*mol_s_per_mA/mol_s_per_sccm)/15</f>
        <v>4.0069676396611777E-2</v>
      </c>
      <c r="J21" s="59">
        <f t="shared" si="2"/>
        <v>2.7970630891294146E-4</v>
      </c>
      <c r="K21" s="60">
        <f t="shared" si="3"/>
        <v>0.95094754592198105</v>
      </c>
      <c r="L21" s="60">
        <f t="shared" si="4"/>
        <v>0.20475426268967606</v>
      </c>
      <c r="M21" s="60">
        <f t="shared" si="5"/>
        <v>9.7524540780189461E-3</v>
      </c>
      <c r="N21" s="60">
        <f t="shared" si="6"/>
        <v>0.95415391497622193</v>
      </c>
      <c r="O21" s="60">
        <f t="shared" si="7"/>
        <v>0.18416336519532248</v>
      </c>
      <c r="P21" s="60">
        <f t="shared" si="8"/>
        <v>6.5460850237780699E-3</v>
      </c>
    </row>
    <row r="22" spans="1:16" x14ac:dyDescent="0.2">
      <c r="A22" s="58">
        <v>-128.06720097650799</v>
      </c>
      <c r="B22" s="58">
        <v>95.938147405087406</v>
      </c>
      <c r="C22" s="58">
        <v>-347.224990699778</v>
      </c>
      <c r="D22" s="58">
        <v>94.980017001250502</v>
      </c>
      <c r="E22" s="58">
        <v>-176.73943877775201</v>
      </c>
      <c r="F22" s="58">
        <v>95.202953264338404</v>
      </c>
      <c r="H22" s="59">
        <f t="shared" si="0"/>
        <v>0.95938147405087404</v>
      </c>
      <c r="I22" s="59">
        <f t="shared" si="1"/>
        <v>5.7084370034302737E-2</v>
      </c>
      <c r="J22" s="59">
        <f t="shared" si="2"/>
        <v>1.3185259491259593E-3</v>
      </c>
      <c r="K22" s="60">
        <f t="shared" si="3"/>
        <v>0.94980017001250505</v>
      </c>
      <c r="L22" s="60">
        <f t="shared" si="4"/>
        <v>0.22983832294016246</v>
      </c>
      <c r="M22" s="60">
        <f t="shared" si="5"/>
        <v>1.0899829987494947E-2</v>
      </c>
      <c r="N22" s="60">
        <f t="shared" si="6"/>
        <v>0.95202953264338408</v>
      </c>
      <c r="O22" s="60">
        <f t="shared" si="7"/>
        <v>0.23452714358904414</v>
      </c>
      <c r="P22" s="60">
        <f t="shared" si="8"/>
        <v>8.6704673566159185E-3</v>
      </c>
    </row>
    <row r="23" spans="1:16" x14ac:dyDescent="0.2">
      <c r="A23" s="58">
        <v>-166.34194485043901</v>
      </c>
      <c r="B23" s="58">
        <v>95.931966083402301</v>
      </c>
      <c r="C23" s="58">
        <v>-385.49483038460301</v>
      </c>
      <c r="D23" s="58">
        <v>94.886990664155405</v>
      </c>
      <c r="E23" s="58">
        <v>-214.99701798981499</v>
      </c>
      <c r="F23" s="58">
        <v>94.892814388718193</v>
      </c>
      <c r="H23" s="59">
        <f t="shared" si="0"/>
        <v>0.95931966083402298</v>
      </c>
      <c r="I23" s="59">
        <f t="shared" si="1"/>
        <v>7.4140086301005395E-2</v>
      </c>
      <c r="J23" s="59">
        <f t="shared" si="2"/>
        <v>1.3803391659770181E-3</v>
      </c>
      <c r="K23" s="60">
        <f t="shared" si="3"/>
        <v>0.94886990664155402</v>
      </c>
      <c r="L23" s="60">
        <f t="shared" si="4"/>
        <v>0.25492032163776229</v>
      </c>
      <c r="M23" s="60">
        <f t="shared" si="5"/>
        <v>1.1830093358445981E-2</v>
      </c>
      <c r="N23" s="60">
        <f t="shared" si="6"/>
        <v>0.94892814388718194</v>
      </c>
      <c r="O23" s="60">
        <f t="shared" si="7"/>
        <v>0.28436424285775436</v>
      </c>
      <c r="P23" s="60">
        <f t="shared" si="8"/>
        <v>1.1771856112818058E-2</v>
      </c>
    </row>
    <row r="24" spans="1:16" x14ac:dyDescent="0.2">
      <c r="A24" s="58">
        <v>-204.613623606179</v>
      </c>
      <c r="B24" s="58">
        <v>95.871506627086006</v>
      </c>
      <c r="C24" s="58">
        <v>-423.758539833047</v>
      </c>
      <c r="D24" s="58">
        <v>94.685408057797801</v>
      </c>
      <c r="E24" s="58">
        <v>-253.244788823666</v>
      </c>
      <c r="F24" s="58">
        <v>94.408985482277998</v>
      </c>
      <c r="H24" s="59">
        <f t="shared" si="0"/>
        <v>0.95871506627086012</v>
      </c>
      <c r="I24" s="59">
        <f t="shared" si="1"/>
        <v>9.1140638350711872E-2</v>
      </c>
      <c r="J24" s="59">
        <f t="shared" si="2"/>
        <v>1.9849337291398816E-3</v>
      </c>
      <c r="K24" s="60">
        <f t="shared" si="3"/>
        <v>0.94685408057797804</v>
      </c>
      <c r="L24" s="60">
        <f t="shared" si="4"/>
        <v>0.27962805684568059</v>
      </c>
      <c r="M24" s="60">
        <f t="shared" si="5"/>
        <v>1.3845919422021957E-2</v>
      </c>
      <c r="N24" s="60">
        <f t="shared" si="6"/>
        <v>0.94408985482277996</v>
      </c>
      <c r="O24" s="60">
        <f t="shared" si="7"/>
        <v>0.33324456103737476</v>
      </c>
      <c r="P24" s="60">
        <f t="shared" si="8"/>
        <v>1.6610145177220037E-2</v>
      </c>
    </row>
    <row r="25" spans="1:16" x14ac:dyDescent="0.2">
      <c r="A25" s="58">
        <v>-242.881624220091</v>
      </c>
      <c r="B25" s="58">
        <v>95.745913409212093</v>
      </c>
      <c r="C25" s="58">
        <v>-462.027153470597</v>
      </c>
      <c r="D25" s="58">
        <v>94.570670466850203</v>
      </c>
      <c r="E25" s="58">
        <v>-291.48642942113503</v>
      </c>
      <c r="F25" s="58">
        <v>93.816600306575296</v>
      </c>
      <c r="H25" s="59">
        <f t="shared" si="0"/>
        <v>0.95745913409212091</v>
      </c>
      <c r="I25" s="59">
        <f t="shared" si="1"/>
        <v>0.1080445517892699</v>
      </c>
      <c r="J25" s="59">
        <f t="shared" si="2"/>
        <v>3.2408659078790869E-3</v>
      </c>
      <c r="K25" s="60">
        <f t="shared" si="3"/>
        <v>0.94570670466850204</v>
      </c>
      <c r="L25" s="60">
        <f t="shared" si="4"/>
        <v>0.30451114626070497</v>
      </c>
      <c r="M25" s="60">
        <f t="shared" si="5"/>
        <v>1.4993295331497958E-2</v>
      </c>
      <c r="N25" s="60">
        <f t="shared" si="6"/>
        <v>0.93816600306575293</v>
      </c>
      <c r="O25" s="60">
        <f t="shared" si="7"/>
        <v>0.38115994292359628</v>
      </c>
      <c r="P25" s="60">
        <f t="shared" si="8"/>
        <v>2.2533996934247069E-2</v>
      </c>
    </row>
    <row r="26" spans="1:16" x14ac:dyDescent="0.2">
      <c r="A26" s="58">
        <v>-281.15268995219299</v>
      </c>
      <c r="B26" s="58">
        <v>95.674598325969598</v>
      </c>
      <c r="C26" s="58">
        <v>-500.28779780085</v>
      </c>
      <c r="D26" s="58">
        <v>94.314809725861295</v>
      </c>
      <c r="E26" s="58">
        <v>-329.710905356735</v>
      </c>
      <c r="F26" s="58">
        <v>92.920257576937502</v>
      </c>
      <c r="H26" s="59">
        <f t="shared" si="0"/>
        <v>0.95674598325969595</v>
      </c>
      <c r="I26" s="59">
        <f t="shared" si="1"/>
        <v>0.12497606826753388</v>
      </c>
      <c r="J26" s="59">
        <f t="shared" si="2"/>
        <v>3.9540167403040449E-3</v>
      </c>
      <c r="K26" s="60">
        <f t="shared" si="3"/>
        <v>0.94314809725861293</v>
      </c>
      <c r="L26" s="60">
        <f t="shared" si="4"/>
        <v>0.3288357521967914</v>
      </c>
      <c r="M26" s="60">
        <f t="shared" si="5"/>
        <v>1.7551902741387071E-2</v>
      </c>
      <c r="N26" s="60">
        <f t="shared" si="6"/>
        <v>0.92920257576937504</v>
      </c>
      <c r="O26" s="60">
        <f t="shared" si="7"/>
        <v>0.4270246434197687</v>
      </c>
      <c r="P26" s="60">
        <f t="shared" si="8"/>
        <v>3.149742423062496E-2</v>
      </c>
    </row>
    <row r="27" spans="1:16" x14ac:dyDescent="0.2">
      <c r="A27" s="58">
        <v>-319.427433826124</v>
      </c>
      <c r="B27" s="58">
        <v>95.668417004284507</v>
      </c>
      <c r="C27" s="58">
        <v>-538.54353794199801</v>
      </c>
      <c r="D27" s="58">
        <v>93.972103969462395</v>
      </c>
      <c r="E27" s="58">
        <v>-367.89001754310902</v>
      </c>
      <c r="F27" s="58">
        <v>91.220598454756896</v>
      </c>
      <c r="H27" s="59">
        <f t="shared" si="0"/>
        <v>0.95668417004284512</v>
      </c>
      <c r="I27" s="59">
        <f t="shared" si="1"/>
        <v>0.14198052165390951</v>
      </c>
      <c r="J27" s="59">
        <f t="shared" si="2"/>
        <v>4.0158299571548817E-3</v>
      </c>
      <c r="K27" s="60">
        <f t="shared" si="3"/>
        <v>0.93972103969462395</v>
      </c>
      <c r="L27" s="60">
        <f t="shared" si="4"/>
        <v>0.35269475055807387</v>
      </c>
      <c r="M27" s="60">
        <f t="shared" si="5"/>
        <v>2.0978960305376049E-2</v>
      </c>
      <c r="N27" s="60">
        <f t="shared" si="6"/>
        <v>0.91220598454756896</v>
      </c>
      <c r="O27" s="60">
        <f t="shared" si="7"/>
        <v>0.46775683538720408</v>
      </c>
      <c r="P27" s="60">
        <f t="shared" si="8"/>
        <v>4.8494015452431039E-2</v>
      </c>
    </row>
    <row r="28" spans="1:16" x14ac:dyDescent="0.2">
      <c r="A28" s="58">
        <v>-357.69420839275898</v>
      </c>
      <c r="B28" s="58">
        <v>95.521112532558107</v>
      </c>
      <c r="C28" s="58">
        <v>-576.79682598859199</v>
      </c>
      <c r="D28" s="58">
        <v>93.585975705358507</v>
      </c>
      <c r="E28" s="58">
        <v>-395.56423406075902</v>
      </c>
      <c r="F28" s="58">
        <v>88.348046314160797</v>
      </c>
      <c r="H28" s="59">
        <f t="shared" si="0"/>
        <v>0.95521112532558106</v>
      </c>
      <c r="I28" s="59">
        <f t="shared" si="1"/>
        <v>0.15874470475517963</v>
      </c>
      <c r="J28" s="59">
        <f t="shared" si="2"/>
        <v>5.4888746744189421E-3</v>
      </c>
      <c r="K28" s="60">
        <f t="shared" si="3"/>
        <v>0.93585975705358504</v>
      </c>
      <c r="L28" s="60">
        <f t="shared" si="4"/>
        <v>0.37619486272754976</v>
      </c>
      <c r="M28" s="60">
        <f t="shared" si="5"/>
        <v>2.4840242946414959E-2</v>
      </c>
      <c r="N28" s="60">
        <f t="shared" si="6"/>
        <v>0.883480463141608</v>
      </c>
      <c r="O28" s="60">
        <f t="shared" si="7"/>
        <v>0.48710567446559017</v>
      </c>
      <c r="P28" s="60">
        <f t="shared" si="8"/>
        <v>7.7219536858392002E-2</v>
      </c>
    </row>
    <row r="29" spans="1:16" x14ac:dyDescent="0.2">
      <c r="A29" s="58">
        <v>-395.96343505394702</v>
      </c>
      <c r="B29" s="58">
        <v>95.417230568536795</v>
      </c>
      <c r="C29" s="58">
        <v>-615.04888798791103</v>
      </c>
      <c r="D29" s="58">
        <v>93.178136187402004</v>
      </c>
      <c r="E29" s="58">
        <v>-411.05822260887902</v>
      </c>
      <c r="F29" s="58">
        <v>85.443808514265896</v>
      </c>
      <c r="H29" s="59">
        <f t="shared" si="0"/>
        <v>0.95417230568536793</v>
      </c>
      <c r="I29" s="59">
        <f t="shared" si="1"/>
        <v>0.17553747925232432</v>
      </c>
      <c r="J29" s="59">
        <f t="shared" si="2"/>
        <v>6.5276943146320709E-3</v>
      </c>
      <c r="K29" s="60">
        <f t="shared" si="3"/>
        <v>0.93178136187402005</v>
      </c>
      <c r="L29" s="60">
        <f t="shared" si="4"/>
        <v>0.39939523842258728</v>
      </c>
      <c r="M29" s="60">
        <f t="shared" si="5"/>
        <v>2.8918638125979945E-2</v>
      </c>
      <c r="N29" s="60">
        <f t="shared" si="6"/>
        <v>0.85443808514265895</v>
      </c>
      <c r="O29" s="60">
        <f t="shared" si="7"/>
        <v>0.48954560947328296</v>
      </c>
      <c r="P29" s="60">
        <f t="shared" si="8"/>
        <v>0.10626191485734104</v>
      </c>
    </row>
    <row r="30" spans="1:16" x14ac:dyDescent="0.2">
      <c r="A30" s="58">
        <v>-434.23572683332497</v>
      </c>
      <c r="B30" s="58">
        <v>95.367626739146701</v>
      </c>
      <c r="C30" s="58">
        <v>-653.292367656294</v>
      </c>
      <c r="D30" s="58">
        <v>92.618317892478103</v>
      </c>
      <c r="E30" s="58">
        <v>-22.3691530400998</v>
      </c>
      <c r="F30" s="58">
        <v>96.088498964897695</v>
      </c>
      <c r="H30" s="59">
        <f t="shared" si="0"/>
        <v>0.95367626739146705</v>
      </c>
      <c r="I30" s="59">
        <f t="shared" si="1"/>
        <v>0.19240417629290971</v>
      </c>
      <c r="J30" s="59">
        <f t="shared" si="2"/>
        <v>7.023732608532951E-3</v>
      </c>
      <c r="K30" s="60">
        <f t="shared" si="3"/>
        <v>0.92618317892478108</v>
      </c>
      <c r="L30" s="60">
        <f t="shared" si="4"/>
        <v>0.42168067631027412</v>
      </c>
      <c r="M30" s="60">
        <f t="shared" si="5"/>
        <v>3.4516821075218918E-2</v>
      </c>
      <c r="N30" s="60">
        <f t="shared" si="6"/>
        <v>0.96088498964897695</v>
      </c>
      <c r="O30" s="60">
        <f t="shared" si="7"/>
        <v>2.9959197207860659E-2</v>
      </c>
      <c r="P30" s="60">
        <f t="shared" si="8"/>
        <v>-1.8498964897695203E-4</v>
      </c>
    </row>
    <row r="31" spans="1:16" x14ac:dyDescent="0.2">
      <c r="A31" s="58">
        <v>-472.50188837632197</v>
      </c>
      <c r="B31" s="58">
        <v>95.209466640494099</v>
      </c>
      <c r="C31" s="58">
        <v>-691.53339523012505</v>
      </c>
      <c r="D31" s="58">
        <v>92.0150770898491</v>
      </c>
      <c r="E31" s="58">
        <v>-53.427693317890302</v>
      </c>
      <c r="F31" s="58">
        <v>96.083483050770099</v>
      </c>
      <c r="H31" s="59">
        <f t="shared" si="0"/>
        <v>0.952094666404941</v>
      </c>
      <c r="I31" s="59">
        <f t="shared" si="1"/>
        <v>0.20901220546271423</v>
      </c>
      <c r="J31" s="59">
        <f t="shared" si="2"/>
        <v>8.6053335950589949E-3</v>
      </c>
      <c r="K31" s="60">
        <f t="shared" si="3"/>
        <v>0.92015077089849096</v>
      </c>
      <c r="L31" s="60">
        <f t="shared" si="4"/>
        <v>0.44345686062990214</v>
      </c>
      <c r="M31" s="60">
        <f t="shared" si="5"/>
        <v>4.0549229101509043E-2</v>
      </c>
      <c r="N31" s="60">
        <f t="shared" si="6"/>
        <v>0.96083483050770102</v>
      </c>
      <c r="O31" s="60">
        <f t="shared" si="7"/>
        <v>7.1552429457515387E-2</v>
      </c>
      <c r="P31" s="60">
        <f t="shared" si="8"/>
        <v>-1.3483050770102256E-4</v>
      </c>
    </row>
    <row r="32" spans="1:16" x14ac:dyDescent="0.2">
      <c r="A32" s="58">
        <v>-510.774180155701</v>
      </c>
      <c r="B32" s="58">
        <v>95.159862811104006</v>
      </c>
      <c r="C32" s="58">
        <v>-729.75909721300195</v>
      </c>
      <c r="D32" s="58">
        <v>91.140445614063793</v>
      </c>
      <c r="E32" s="58"/>
      <c r="F32" s="58"/>
      <c r="H32" s="59">
        <f t="shared" si="0"/>
        <v>0.95159862811104001</v>
      </c>
      <c r="I32" s="59">
        <f t="shared" si="1"/>
        <v>0.22582431925537669</v>
      </c>
      <c r="J32" s="59">
        <f t="shared" si="2"/>
        <v>9.1013718889599859E-3</v>
      </c>
      <c r="K32" s="60">
        <f t="shared" si="3"/>
        <v>0.91140445614063792</v>
      </c>
      <c r="L32" s="60">
        <f t="shared" si="4"/>
        <v>0.46352150869834574</v>
      </c>
      <c r="M32" s="60">
        <f t="shared" si="5"/>
        <v>4.9295543859362079E-2</v>
      </c>
      <c r="N32" s="60"/>
      <c r="O32" s="60"/>
      <c r="P32" s="60"/>
    </row>
    <row r="33" spans="1:16" x14ac:dyDescent="0.2">
      <c r="A33" s="58">
        <v>-549.04095472233598</v>
      </c>
      <c r="B33" s="58">
        <v>95.012558339377705</v>
      </c>
      <c r="C33" s="58">
        <v>-767.97989500677295</v>
      </c>
      <c r="D33" s="58">
        <v>90.178969122868494</v>
      </c>
      <c r="E33" s="58"/>
      <c r="F33" s="58"/>
      <c r="H33" s="59">
        <f t="shared" si="0"/>
        <v>0.95012558339377706</v>
      </c>
      <c r="I33" s="59">
        <f t="shared" si="1"/>
        <v>0.24236713011424937</v>
      </c>
      <c r="J33" s="59">
        <f t="shared" si="2"/>
        <v>1.0574416606222936E-2</v>
      </c>
      <c r="K33" s="60">
        <f t="shared" si="3"/>
        <v>0.90178969122868491</v>
      </c>
      <c r="L33" s="60">
        <f t="shared" si="4"/>
        <v>0.48265225909718695</v>
      </c>
      <c r="M33" s="60">
        <f t="shared" si="5"/>
        <v>5.891030877131509E-2</v>
      </c>
      <c r="N33" s="60"/>
      <c r="O33" s="60"/>
      <c r="P33" s="60"/>
    </row>
    <row r="34" spans="1:16" x14ac:dyDescent="0.2">
      <c r="A34" s="58">
        <v>-587.30895533624698</v>
      </c>
      <c r="B34" s="58">
        <v>94.886965121503806</v>
      </c>
      <c r="C34" s="58">
        <v>-806.18352813867398</v>
      </c>
      <c r="D34" s="58">
        <v>88.913535077738004</v>
      </c>
      <c r="E34" s="58"/>
      <c r="F34" s="58"/>
      <c r="H34" s="59">
        <f t="shared" si="0"/>
        <v>0.94886965121503808</v>
      </c>
      <c r="I34" s="59">
        <f t="shared" si="1"/>
        <v>0.25891734586657894</v>
      </c>
      <c r="J34" s="59">
        <f t="shared" si="2"/>
        <v>1.1830348784961919E-2</v>
      </c>
      <c r="K34" s="60">
        <f t="shared" si="3"/>
        <v>0.88913535077738004</v>
      </c>
      <c r="L34" s="60">
        <f t="shared" si="4"/>
        <v>0.49955237047214929</v>
      </c>
      <c r="M34" s="60">
        <f t="shared" si="5"/>
        <v>7.1564649222619958E-2</v>
      </c>
      <c r="N34" s="60"/>
      <c r="O34" s="60"/>
      <c r="P34" s="60"/>
    </row>
    <row r="35" spans="1:16" x14ac:dyDescent="0.2">
      <c r="A35" s="58">
        <v>-625.57511687924398</v>
      </c>
      <c r="B35" s="58">
        <v>94.728805022851205</v>
      </c>
      <c r="C35" s="58">
        <v>-844.37857893964099</v>
      </c>
      <c r="D35" s="58">
        <v>87.496122255640103</v>
      </c>
      <c r="E35" s="58"/>
      <c r="F35" s="58"/>
      <c r="H35" s="59">
        <f t="shared" si="0"/>
        <v>0.94728805022851204</v>
      </c>
      <c r="I35" s="59">
        <f t="shared" si="1"/>
        <v>0.27532743679881172</v>
      </c>
      <c r="J35" s="59">
        <f t="shared" si="2"/>
        <v>1.3411949771487963E-2</v>
      </c>
      <c r="K35" s="60">
        <f t="shared" si="3"/>
        <v>0.87496122255640107</v>
      </c>
      <c r="L35" s="60">
        <f t="shared" si="4"/>
        <v>0.51487907148586731</v>
      </c>
      <c r="M35" s="60">
        <f t="shared" si="5"/>
        <v>8.5738777443598924E-2</v>
      </c>
      <c r="N35" s="60"/>
      <c r="O35" s="60"/>
      <c r="P35" s="60"/>
    </row>
    <row r="36" spans="1:16" x14ac:dyDescent="0.2">
      <c r="A36" s="58">
        <v>-663.84066539860203</v>
      </c>
      <c r="B36" s="58">
        <v>94.559789297272403</v>
      </c>
      <c r="C36" s="58">
        <v>-882.55830414965305</v>
      </c>
      <c r="D36" s="58">
        <v>85.807318760385797</v>
      </c>
      <c r="E36" s="58"/>
      <c r="F36" s="58"/>
      <c r="H36" s="59">
        <f t="shared" si="0"/>
        <v>0.94559789297272401</v>
      </c>
      <c r="I36" s="59">
        <f t="shared" si="1"/>
        <v>0.29164753874763422</v>
      </c>
      <c r="J36" s="59">
        <f t="shared" si="2"/>
        <v>1.5102107027275991E-2</v>
      </c>
      <c r="K36" s="60">
        <f t="shared" si="3"/>
        <v>0.85807318760385798</v>
      </c>
      <c r="L36" s="60">
        <f t="shared" si="4"/>
        <v>0.52777275067529761</v>
      </c>
      <c r="M36" s="60">
        <f t="shared" si="5"/>
        <v>0.10262681239614202</v>
      </c>
      <c r="N36" s="60"/>
      <c r="O36" s="60"/>
      <c r="P36" s="60"/>
    </row>
    <row r="37" spans="1:16" x14ac:dyDescent="0.2">
      <c r="A37" s="58">
        <v>-702.104987870684</v>
      </c>
      <c r="B37" s="58">
        <v>94.369062317840999</v>
      </c>
      <c r="C37" s="58">
        <v>-920.72576888690105</v>
      </c>
      <c r="D37" s="58">
        <v>83.901402726606406</v>
      </c>
      <c r="E37" s="58"/>
      <c r="F37" s="58"/>
      <c r="H37" s="59">
        <f t="shared" si="0"/>
        <v>0.94369062317841002</v>
      </c>
      <c r="I37" s="59">
        <f t="shared" si="1"/>
        <v>0.30783618288424536</v>
      </c>
      <c r="J37" s="59">
        <f t="shared" si="2"/>
        <v>1.7009376821589983E-2</v>
      </c>
      <c r="K37" s="60">
        <f t="shared" si="3"/>
        <v>0.83901402726606411</v>
      </c>
      <c r="L37" s="60">
        <f t="shared" si="4"/>
        <v>0.53836739018897783</v>
      </c>
      <c r="M37" s="60">
        <f t="shared" si="5"/>
        <v>0.12168597273393589</v>
      </c>
      <c r="N37" s="60"/>
      <c r="O37" s="60"/>
      <c r="P37" s="60"/>
    </row>
    <row r="38" spans="1:16" x14ac:dyDescent="0.2">
      <c r="A38" s="58">
        <v>-740.36747127185197</v>
      </c>
      <c r="B38" s="58">
        <v>94.145768457630894</v>
      </c>
      <c r="C38" s="58">
        <v>-958.88526431685295</v>
      </c>
      <c r="D38" s="58">
        <v>81.854363542785805</v>
      </c>
      <c r="E38" s="58"/>
      <c r="F38" s="58"/>
      <c r="H38" s="59">
        <f t="shared" si="0"/>
        <v>0.94145768457630896</v>
      </c>
      <c r="I38" s="59">
        <f t="shared" si="1"/>
        <v>0.32384418347196781</v>
      </c>
      <c r="J38" s="59">
        <f t="shared" si="2"/>
        <v>1.9242315423691037E-2</v>
      </c>
      <c r="K38" s="60">
        <f t="shared" si="3"/>
        <v>0.81854363542785802</v>
      </c>
      <c r="L38" s="60">
        <f t="shared" si="4"/>
        <v>0.54700047920598593</v>
      </c>
      <c r="M38" s="60">
        <f t="shared" si="5"/>
        <v>0.14215636457214198</v>
      </c>
      <c r="N38" s="60"/>
      <c r="O38" s="60"/>
      <c r="P38" s="60"/>
    </row>
    <row r="39" spans="1:16" x14ac:dyDescent="0.2">
      <c r="A39" s="58">
        <v>-778.62934164938099</v>
      </c>
      <c r="B39" s="58">
        <v>93.911618970494501</v>
      </c>
      <c r="C39" s="58">
        <v>-997.04108160497594</v>
      </c>
      <c r="D39" s="58">
        <v>79.7421905974076</v>
      </c>
      <c r="E39" s="58"/>
      <c r="F39" s="58"/>
      <c r="H39" s="59">
        <f t="shared" si="0"/>
        <v>0.93911618970494504</v>
      </c>
      <c r="I39" s="59">
        <f t="shared" si="1"/>
        <v>0.33973325501759533</v>
      </c>
      <c r="J39" s="59">
        <f t="shared" si="2"/>
        <v>2.1583810295054962E-2</v>
      </c>
      <c r="K39" s="60">
        <f t="shared" si="3"/>
        <v>0.79742190597407603</v>
      </c>
      <c r="L39" s="60">
        <f t="shared" si="4"/>
        <v>0.55409016462049432</v>
      </c>
      <c r="M39" s="60">
        <f t="shared" si="5"/>
        <v>0.16327809402592397</v>
      </c>
      <c r="N39" s="60"/>
      <c r="O39" s="60"/>
      <c r="P39" s="60"/>
    </row>
    <row r="40" spans="1:16" x14ac:dyDescent="0.2">
      <c r="A40" s="58">
        <v>-816.88814690872005</v>
      </c>
      <c r="B40" s="58">
        <v>93.623191348726806</v>
      </c>
      <c r="C40" s="58">
        <v>-1028.26158732466</v>
      </c>
      <c r="D40" s="58">
        <v>78.051409371130205</v>
      </c>
      <c r="E40" s="58"/>
      <c r="F40" s="58"/>
      <c r="H40" s="59">
        <f t="shared" si="0"/>
        <v>0.93623191348726809</v>
      </c>
      <c r="I40" s="59">
        <f t="shared" si="1"/>
        <v>0.3553317399203158</v>
      </c>
      <c r="J40" s="59">
        <f t="shared" si="2"/>
        <v>2.4468086512731912E-2</v>
      </c>
      <c r="K40" s="60">
        <f t="shared" si="3"/>
        <v>0.78051409371130209</v>
      </c>
      <c r="L40" s="60">
        <f t="shared" si="4"/>
        <v>0.55932417131297307</v>
      </c>
      <c r="M40" s="60">
        <f t="shared" si="5"/>
        <v>0.18018590628869791</v>
      </c>
      <c r="N40" s="60"/>
      <c r="O40" s="60"/>
      <c r="P40" s="60"/>
    </row>
    <row r="41" spans="1:16" x14ac:dyDescent="0.2">
      <c r="A41" s="58">
        <v>-855.14633914442004</v>
      </c>
      <c r="B41" s="58">
        <v>93.323908100032895</v>
      </c>
      <c r="C41" s="58">
        <v>-28.0161603633345</v>
      </c>
      <c r="D41" s="58">
        <v>96.087586980510906</v>
      </c>
      <c r="E41" s="58"/>
      <c r="F41" s="58"/>
      <c r="H41" s="59">
        <f t="shared" si="0"/>
        <v>0.93323908100032893</v>
      </c>
      <c r="I41" s="59">
        <f t="shared" si="1"/>
        <v>0.37078429028268828</v>
      </c>
      <c r="J41" s="59">
        <f t="shared" si="2"/>
        <v>2.7460918999671069E-2</v>
      </c>
      <c r="K41" s="60">
        <f t="shared" si="3"/>
        <v>0.96087586980510908</v>
      </c>
      <c r="L41" s="60">
        <f t="shared" si="4"/>
        <v>1.8760963045002035E-2</v>
      </c>
      <c r="M41" s="60">
        <f t="shared" si="5"/>
        <v>-1.7586980510908568E-4</v>
      </c>
      <c r="N41" s="60"/>
      <c r="O41" s="60"/>
      <c r="P41" s="60"/>
    </row>
    <row r="42" spans="1:16" x14ac:dyDescent="0.2">
      <c r="A42" s="58">
        <v>-893.40453138012003</v>
      </c>
      <c r="B42" s="58">
        <v>93.024624851338999</v>
      </c>
      <c r="C42" s="58">
        <v>-138.12185935376701</v>
      </c>
      <c r="D42" s="58">
        <v>95.876006602766907</v>
      </c>
      <c r="E42" s="58"/>
      <c r="F42" s="58"/>
      <c r="H42" s="61">
        <f t="shared" si="0"/>
        <v>0.93024624851338999</v>
      </c>
      <c r="I42" s="61">
        <f t="shared" si="1"/>
        <v>0.38613044476352726</v>
      </c>
      <c r="J42" s="61">
        <f t="shared" ref="J42:J58" si="9">0.9607-H42</f>
        <v>3.0453751486610003E-2</v>
      </c>
      <c r="K42" s="60">
        <f t="shared" si="3"/>
        <v>0.95876006602766906</v>
      </c>
      <c r="L42" s="60">
        <f t="shared" si="4"/>
        <v>9.2289348217208481E-2</v>
      </c>
      <c r="M42" s="60">
        <f>0.9607-K42</f>
        <v>1.9399339723309428E-3</v>
      </c>
      <c r="N42" s="60"/>
      <c r="O42" s="60"/>
      <c r="P42" s="60"/>
    </row>
    <row r="43" spans="1:16" x14ac:dyDescent="0.2">
      <c r="A43" s="58">
        <v>-931.65781942671504</v>
      </c>
      <c r="B43" s="58">
        <v>92.638496587235096</v>
      </c>
      <c r="C43" s="58">
        <v>-177.65091061640999</v>
      </c>
      <c r="D43" s="58">
        <v>95.869622712059098</v>
      </c>
      <c r="E43" s="58"/>
      <c r="F43" s="58"/>
      <c r="H43" s="61">
        <f t="shared" si="0"/>
        <v>0.92638496587235097</v>
      </c>
      <c r="I43" s="61">
        <f t="shared" si="1"/>
        <v>0.4009921758963842</v>
      </c>
      <c r="J43" s="61">
        <f t="shared" si="9"/>
        <v>3.4315034127649024E-2</v>
      </c>
      <c r="K43" s="60">
        <f t="shared" si="3"/>
        <v>0.95869622712059099</v>
      </c>
      <c r="L43" s="60">
        <f t="shared" si="4"/>
        <v>0.11869370387694884</v>
      </c>
      <c r="M43" s="60">
        <f t="shared" ref="M43:M47" si="10">0.9607-K43</f>
        <v>2.0037728794090048E-3</v>
      </c>
      <c r="N43" s="60"/>
      <c r="O43" s="60"/>
      <c r="P43" s="60"/>
    </row>
    <row r="44" spans="1:16" x14ac:dyDescent="0.2">
      <c r="A44" s="58">
        <v>-969.90988142603396</v>
      </c>
      <c r="B44" s="58">
        <v>92.230657069278706</v>
      </c>
      <c r="C44" s="58">
        <v>-214.35645821743501</v>
      </c>
      <c r="D44" s="58">
        <v>95.863694813544797</v>
      </c>
      <c r="E44" s="58"/>
      <c r="F44" s="58"/>
      <c r="H44" s="61">
        <f t="shared" si="0"/>
        <v>0.9223065706927871</v>
      </c>
      <c r="I44" s="61">
        <f t="shared" si="1"/>
        <v>0.4156182923872962</v>
      </c>
      <c r="J44" s="61">
        <f t="shared" si="9"/>
        <v>3.8393429307212901E-2</v>
      </c>
      <c r="K44" s="60">
        <f t="shared" si="3"/>
        <v>0.95863694813544797</v>
      </c>
      <c r="L44" s="60">
        <f t="shared" si="4"/>
        <v>0.14320888470136703</v>
      </c>
      <c r="M44" s="60">
        <f t="shared" si="10"/>
        <v>2.0630518645520235E-3</v>
      </c>
      <c r="N44" s="60"/>
      <c r="O44" s="60"/>
      <c r="P44" s="60"/>
    </row>
    <row r="45" spans="1:16" x14ac:dyDescent="0.2">
      <c r="A45" s="58">
        <v>-1008.15397411805</v>
      </c>
      <c r="B45" s="58">
        <v>91.681694401281007</v>
      </c>
      <c r="C45" s="58">
        <v>-245.40405468258299</v>
      </c>
      <c r="D45" s="58">
        <v>95.664882217216402</v>
      </c>
      <c r="E45" s="58"/>
      <c r="F45" s="58"/>
      <c r="H45" s="61">
        <f t="shared" si="0"/>
        <v>0.91681694401281011</v>
      </c>
      <c r="I45" s="61">
        <f t="shared" si="1"/>
        <v>0.42943502667027428</v>
      </c>
      <c r="J45" s="61">
        <f t="shared" si="9"/>
        <v>4.388305598718989E-2</v>
      </c>
      <c r="K45" s="60">
        <f t="shared" si="3"/>
        <v>0.95664882217216407</v>
      </c>
      <c r="L45" s="60">
        <f t="shared" si="4"/>
        <v>0.16361137758515118</v>
      </c>
      <c r="M45" s="60">
        <f t="shared" si="10"/>
        <v>4.0511778278359278E-3</v>
      </c>
      <c r="N45" s="60"/>
      <c r="O45" s="60"/>
      <c r="P45" s="60"/>
    </row>
    <row r="46" spans="1:16" x14ac:dyDescent="0.2">
      <c r="A46" s="58">
        <v>-1046.3962277391599</v>
      </c>
      <c r="B46" s="58">
        <v>91.100164852504506</v>
      </c>
      <c r="C46" s="58">
        <v>-56.273084604791499</v>
      </c>
      <c r="D46" s="58">
        <v>96.4706204229783</v>
      </c>
      <c r="E46" s="58"/>
      <c r="F46" s="58"/>
      <c r="H46" s="61">
        <f t="shared" si="0"/>
        <v>0.91100164852504506</v>
      </c>
      <c r="I46" s="61">
        <f t="shared" si="1"/>
        <v>0.44289756776749095</v>
      </c>
      <c r="J46" s="61">
        <f t="shared" si="9"/>
        <v>4.9698351474954938E-2</v>
      </c>
      <c r="K46" s="60">
        <f t="shared" si="3"/>
        <v>0.96470620422978304</v>
      </c>
      <c r="L46" s="60">
        <f t="shared" si="4"/>
        <v>3.7833369271189528E-2</v>
      </c>
      <c r="M46" s="60">
        <f t="shared" si="10"/>
        <v>-4.0062042297830391E-3</v>
      </c>
      <c r="N46" s="60"/>
      <c r="O46" s="60"/>
      <c r="P46" s="60"/>
    </row>
    <row r="47" spans="1:16" x14ac:dyDescent="0.2">
      <c r="A47" s="58">
        <v>-1084.6305120529701</v>
      </c>
      <c r="B47" s="58">
        <v>90.377512153686695</v>
      </c>
      <c r="C47" s="58">
        <v>-95.780248242149995</v>
      </c>
      <c r="D47" s="58">
        <v>96.076643167868895</v>
      </c>
      <c r="E47" s="58"/>
      <c r="F47" s="58"/>
      <c r="H47" s="61">
        <f t="shared" si="0"/>
        <v>0.9037751215368669</v>
      </c>
      <c r="I47" s="61">
        <f t="shared" si="1"/>
        <v>0.45543894715911687</v>
      </c>
      <c r="J47" s="61">
        <f t="shared" si="9"/>
        <v>5.69248784631331E-2</v>
      </c>
      <c r="K47" s="60">
        <f t="shared" si="3"/>
        <v>0.96076643167868891</v>
      </c>
      <c r="L47" s="60">
        <f t="shared" si="4"/>
        <v>6.4131737349320012E-2</v>
      </c>
      <c r="M47" s="60">
        <f t="shared" si="10"/>
        <v>-6.6431678688916307E-5</v>
      </c>
      <c r="N47" s="60"/>
      <c r="O47" s="60"/>
      <c r="P47" s="60"/>
    </row>
    <row r="48" spans="1:16" x14ac:dyDescent="0.2">
      <c r="A48" s="58">
        <v>-1122.8660224140599</v>
      </c>
      <c r="B48" s="58">
        <v>89.676570708721499</v>
      </c>
      <c r="C48" s="58"/>
      <c r="D48" s="58"/>
      <c r="E48" s="58"/>
      <c r="F48" s="58"/>
      <c r="H48" s="61">
        <f t="shared" si="0"/>
        <v>0.89676570708721504</v>
      </c>
      <c r="I48" s="61">
        <f t="shared" si="1"/>
        <v>0.46783735943015631</v>
      </c>
      <c r="J48" s="61">
        <f t="shared" si="9"/>
        <v>6.3934292912784962E-2</v>
      </c>
      <c r="K48" s="60"/>
      <c r="L48" s="60"/>
      <c r="M48" s="60"/>
      <c r="N48" s="60"/>
      <c r="O48" s="60"/>
      <c r="P48" s="60"/>
    </row>
    <row r="49" spans="1:16" x14ac:dyDescent="0.2">
      <c r="A49" s="58">
        <v>-1161.08743323147</v>
      </c>
      <c r="B49" s="58">
        <v>88.725949844452401</v>
      </c>
      <c r="C49" s="58"/>
      <c r="D49" s="58"/>
      <c r="E49" s="58"/>
      <c r="F49" s="58"/>
      <c r="H49" s="61">
        <f t="shared" si="0"/>
        <v>0.88725949844452401</v>
      </c>
      <c r="I49" s="61">
        <f t="shared" si="1"/>
        <v>0.47863400366300879</v>
      </c>
      <c r="J49" s="61">
        <f t="shared" si="9"/>
        <v>7.344050155547599E-2</v>
      </c>
      <c r="K49" s="60"/>
      <c r="L49" s="60"/>
      <c r="M49" s="60"/>
      <c r="N49" s="60"/>
      <c r="O49" s="60"/>
      <c r="P49" s="60"/>
    </row>
    <row r="50" spans="1:16" x14ac:dyDescent="0.2">
      <c r="A50" s="58">
        <v>-1199.30516590705</v>
      </c>
      <c r="B50" s="58">
        <v>87.710195218625799</v>
      </c>
      <c r="C50" s="58"/>
      <c r="D50" s="58"/>
      <c r="E50" s="58"/>
      <c r="F50" s="58"/>
      <c r="H50" s="61">
        <f t="shared" si="0"/>
        <v>0.87710195218625797</v>
      </c>
      <c r="I50" s="61">
        <f t="shared" si="1"/>
        <v>0.48872859410433517</v>
      </c>
      <c r="J50" s="61">
        <f t="shared" si="9"/>
        <v>8.3598047813742027E-2</v>
      </c>
      <c r="K50" s="60"/>
      <c r="L50" s="60"/>
      <c r="M50" s="60"/>
      <c r="N50" s="60"/>
      <c r="O50" s="60"/>
      <c r="P50" s="60"/>
    </row>
    <row r="51" spans="1:16" x14ac:dyDescent="0.2">
      <c r="A51" s="58">
        <v>-1237.5192204407999</v>
      </c>
      <c r="B51" s="58">
        <v>86.629306831241706</v>
      </c>
      <c r="C51" s="58"/>
      <c r="D51" s="58"/>
      <c r="E51" s="58"/>
      <c r="F51" s="58"/>
      <c r="H51" s="61">
        <f t="shared" si="0"/>
        <v>0.86629306831241704</v>
      </c>
      <c r="I51" s="61">
        <f t="shared" si="1"/>
        <v>0.49808648675762501</v>
      </c>
      <c r="J51" s="61">
        <f t="shared" si="9"/>
        <v>9.4406931687582962E-2</v>
      </c>
      <c r="K51" s="60"/>
      <c r="L51" s="60"/>
      <c r="M51" s="60"/>
      <c r="N51" s="60"/>
      <c r="O51" s="60"/>
      <c r="P51" s="60"/>
    </row>
    <row r="52" spans="1:16" x14ac:dyDescent="0.2">
      <c r="A52" s="58">
        <v>-1275.72530566725</v>
      </c>
      <c r="B52" s="58">
        <v>85.407295293816304</v>
      </c>
      <c r="C52" s="58"/>
      <c r="D52" s="58"/>
      <c r="E52" s="58"/>
      <c r="F52" s="58"/>
      <c r="H52" s="61">
        <f t="shared" si="0"/>
        <v>0.85407295293816299</v>
      </c>
      <c r="I52" s="61">
        <f t="shared" si="1"/>
        <v>0.50622094031681064</v>
      </c>
      <c r="J52" s="61">
        <f t="shared" si="9"/>
        <v>0.10662704706183701</v>
      </c>
      <c r="K52" s="60"/>
      <c r="L52" s="60"/>
      <c r="M52" s="60"/>
      <c r="N52" s="60"/>
      <c r="O52" s="60"/>
      <c r="P52" s="60"/>
    </row>
    <row r="53" spans="1:16" x14ac:dyDescent="0.2">
      <c r="A53" s="58">
        <v>-1313.9283257755101</v>
      </c>
      <c r="B53" s="58">
        <v>84.131005621759599</v>
      </c>
      <c r="C53" s="58"/>
      <c r="D53" s="58"/>
      <c r="E53" s="58"/>
      <c r="F53" s="58"/>
      <c r="H53" s="61">
        <f t="shared" si="0"/>
        <v>0.84131005621759603</v>
      </c>
      <c r="I53" s="61">
        <f t="shared" si="1"/>
        <v>0.51358901063162188</v>
      </c>
      <c r="J53" s="61">
        <f t="shared" si="9"/>
        <v>0.11938994378240397</v>
      </c>
      <c r="K53" s="60"/>
      <c r="L53" s="60"/>
      <c r="M53" s="60"/>
      <c r="N53" s="60"/>
      <c r="O53" s="60"/>
      <c r="P53" s="60"/>
    </row>
    <row r="54" spans="1:16" x14ac:dyDescent="0.2">
      <c r="A54" s="58">
        <v>-1352.1258286710299</v>
      </c>
      <c r="B54" s="58">
        <v>82.757015307366601</v>
      </c>
      <c r="C54" s="58"/>
      <c r="D54" s="58"/>
      <c r="E54" s="58"/>
      <c r="F54" s="58"/>
      <c r="H54" s="61">
        <f t="shared" si="0"/>
        <v>0.82757015307366599</v>
      </c>
      <c r="I54" s="61">
        <f t="shared" si="1"/>
        <v>0.51988812196851808</v>
      </c>
      <c r="J54" s="61">
        <f t="shared" si="9"/>
        <v>0.13312984692633401</v>
      </c>
      <c r="K54" s="60"/>
      <c r="L54" s="60"/>
      <c r="M54" s="60"/>
      <c r="N54" s="60"/>
      <c r="O54" s="60"/>
      <c r="P54" s="60"/>
    </row>
    <row r="55" spans="1:16" x14ac:dyDescent="0.2">
      <c r="A55" s="58">
        <v>-1390.3306878502101</v>
      </c>
      <c r="B55" s="58">
        <v>81.513292516088697</v>
      </c>
      <c r="C55" s="58"/>
      <c r="D55" s="58"/>
      <c r="E55" s="58"/>
      <c r="F55" s="58"/>
      <c r="H55" s="61">
        <f t="shared" si="0"/>
        <v>0.81513292516088698</v>
      </c>
      <c r="I55" s="61">
        <f t="shared" si="1"/>
        <v>0.52654380991188665</v>
      </c>
      <c r="J55" s="61">
        <f t="shared" si="9"/>
        <v>0.14556707483911302</v>
      </c>
      <c r="K55" s="60"/>
      <c r="L55" s="60"/>
      <c r="M55" s="60"/>
      <c r="N55" s="60"/>
      <c r="O55" s="60"/>
      <c r="P55" s="60"/>
    </row>
    <row r="56" spans="1:16" x14ac:dyDescent="0.2">
      <c r="A56" s="58">
        <v>-1428.5300298166501</v>
      </c>
      <c r="B56" s="58">
        <v>80.171869082474501</v>
      </c>
      <c r="C56" s="58"/>
      <c r="D56" s="58"/>
      <c r="E56" s="58"/>
      <c r="F56" s="58"/>
      <c r="H56" s="61">
        <f t="shared" si="0"/>
        <v>0.80171869082474501</v>
      </c>
      <c r="I56" s="61">
        <f t="shared" si="1"/>
        <v>0.53210746291493216</v>
      </c>
      <c r="J56" s="61">
        <f t="shared" si="9"/>
        <v>0.15898130917525499</v>
      </c>
      <c r="K56" s="60"/>
      <c r="L56" s="60"/>
      <c r="M56" s="60"/>
      <c r="N56" s="60"/>
      <c r="O56" s="60"/>
      <c r="P56" s="60"/>
    </row>
    <row r="57" spans="1:16" x14ac:dyDescent="0.2">
      <c r="A57" s="58">
        <v>-1466.7189503812299</v>
      </c>
      <c r="B57" s="58">
        <v>78.645899991114007</v>
      </c>
      <c r="C57" s="58"/>
      <c r="D57" s="58"/>
      <c r="E57" s="58"/>
      <c r="F57" s="58"/>
      <c r="H57" s="61">
        <f t="shared" si="0"/>
        <v>0.7864589999111401</v>
      </c>
      <c r="I57" s="61">
        <f t="shared" si="1"/>
        <v>0.53593356457098895</v>
      </c>
      <c r="J57" s="61">
        <f t="shared" si="9"/>
        <v>0.1742410000888599</v>
      </c>
      <c r="K57" s="60"/>
      <c r="L57" s="60"/>
      <c r="M57" s="60"/>
      <c r="N57" s="60"/>
      <c r="O57" s="60"/>
      <c r="P57" s="60"/>
    </row>
    <row r="58" spans="1:16" x14ac:dyDescent="0.2">
      <c r="A58" s="58">
        <v>-1499.6968635093899</v>
      </c>
      <c r="B58" s="58">
        <v>77.267324770760496</v>
      </c>
      <c r="C58" s="58"/>
      <c r="D58" s="58"/>
      <c r="E58" s="58"/>
      <c r="F58" s="58"/>
      <c r="H58" s="61">
        <f t="shared" si="0"/>
        <v>0.77267324770760493</v>
      </c>
      <c r="I58" s="61">
        <f t="shared" si="1"/>
        <v>0.53837802652041589</v>
      </c>
      <c r="J58" s="61">
        <f t="shared" si="9"/>
        <v>0.18802675229239507</v>
      </c>
      <c r="K58" s="60"/>
      <c r="L58" s="60"/>
      <c r="M58" s="60"/>
      <c r="N58" s="60"/>
      <c r="O58" s="60"/>
      <c r="P58" s="60"/>
    </row>
    <row r="62" spans="1:16" x14ac:dyDescent="0.2">
      <c r="J62" s="62"/>
      <c r="K62" s="48"/>
      <c r="L62" s="48"/>
      <c r="M62" s="48"/>
      <c r="N62" s="48"/>
      <c r="O62" s="48"/>
      <c r="P62" s="48"/>
    </row>
    <row r="63" spans="1:16" x14ac:dyDescent="0.2">
      <c r="H63" s="91" t="s">
        <v>121</v>
      </c>
      <c r="I63" s="91"/>
      <c r="J63" s="62"/>
      <c r="K63" s="48"/>
      <c r="L63" s="48"/>
      <c r="M63" s="48"/>
      <c r="N63" s="48"/>
      <c r="O63" s="48"/>
      <c r="P63" s="48"/>
    </row>
    <row r="64" spans="1:16" ht="17.25" x14ac:dyDescent="0.3">
      <c r="H64" s="63" t="s">
        <v>155</v>
      </c>
      <c r="I64" s="63" t="s">
        <v>154</v>
      </c>
      <c r="J64" s="48"/>
      <c r="K64" s="48"/>
      <c r="L64" s="48"/>
      <c r="M64" s="48"/>
      <c r="N64" s="48"/>
      <c r="O64" s="48"/>
      <c r="P64" s="48"/>
    </row>
    <row r="65" spans="8:16" x14ac:dyDescent="0.2">
      <c r="H65" s="64">
        <v>2.2997934048565084E-2</v>
      </c>
      <c r="I65" s="64">
        <f>0.9607-4.7306*H65^5.4936</f>
        <v>0.96069999527186412</v>
      </c>
      <c r="J65" s="48"/>
      <c r="K65" s="48"/>
      <c r="L65" s="48"/>
      <c r="M65" s="48"/>
      <c r="N65" s="48"/>
      <c r="O65" s="48"/>
      <c r="P65" s="48"/>
    </row>
    <row r="66" spans="8:16" x14ac:dyDescent="0.2">
      <c r="H66" s="64">
        <v>4.0069676396611777E-2</v>
      </c>
      <c r="I66" s="64">
        <f t="shared" ref="I66:I103" si="11">0.9607-4.7306*H66^5.4936</f>
        <v>0.96069990015063689</v>
      </c>
      <c r="J66" s="48"/>
      <c r="K66" s="48"/>
      <c r="L66" s="48"/>
      <c r="M66" s="48"/>
      <c r="N66" s="48"/>
      <c r="O66" s="48"/>
      <c r="P66" s="48"/>
    </row>
    <row r="67" spans="8:16" x14ac:dyDescent="0.2">
      <c r="H67" s="64">
        <v>5.7084370034302737E-2</v>
      </c>
      <c r="I67" s="64">
        <f t="shared" si="11"/>
        <v>0.96069930221892419</v>
      </c>
      <c r="J67" s="48"/>
      <c r="K67" s="48"/>
      <c r="L67" s="48"/>
      <c r="M67" s="48"/>
      <c r="N67" s="48"/>
      <c r="O67" s="48"/>
      <c r="P67" s="48"/>
    </row>
    <row r="68" spans="8:16" x14ac:dyDescent="0.2">
      <c r="H68" s="64">
        <v>7.4140086301005395E-2</v>
      </c>
      <c r="I68" s="64">
        <f t="shared" si="11"/>
        <v>0.96069706613674799</v>
      </c>
      <c r="J68" s="48"/>
      <c r="K68" s="48"/>
      <c r="L68" s="48"/>
      <c r="M68" s="48"/>
      <c r="N68" s="48"/>
      <c r="O68" s="48"/>
      <c r="P68" s="48"/>
    </row>
    <row r="69" spans="8:16" x14ac:dyDescent="0.2">
      <c r="H69" s="64">
        <v>9.1140638350711872E-2</v>
      </c>
      <c r="I69" s="64">
        <f t="shared" si="11"/>
        <v>0.96069088009249737</v>
      </c>
      <c r="J69" s="48"/>
      <c r="K69" s="48"/>
      <c r="L69" s="48"/>
      <c r="M69" s="48"/>
      <c r="N69" s="48"/>
      <c r="O69" s="48"/>
      <c r="P69" s="48"/>
    </row>
    <row r="70" spans="8:16" x14ac:dyDescent="0.2">
      <c r="H70" s="64">
        <v>0.1080445517892699</v>
      </c>
      <c r="I70" s="64">
        <f t="shared" si="11"/>
        <v>0.96067677707250532</v>
      </c>
      <c r="J70" s="48"/>
      <c r="K70" s="48"/>
      <c r="L70" s="48"/>
      <c r="M70" s="48"/>
      <c r="N70" s="48"/>
      <c r="O70" s="48"/>
      <c r="P70" s="48"/>
    </row>
    <row r="71" spans="8:16" x14ac:dyDescent="0.2">
      <c r="H71" s="64">
        <v>0.12497606826753388</v>
      </c>
      <c r="I71" s="64">
        <f t="shared" si="11"/>
        <v>0.96064832931097455</v>
      </c>
      <c r="J71" s="48"/>
      <c r="K71" s="48"/>
      <c r="L71" s="48"/>
      <c r="M71" s="48"/>
      <c r="N71" s="48"/>
      <c r="O71" s="48"/>
      <c r="P71" s="48"/>
    </row>
    <row r="72" spans="8:16" x14ac:dyDescent="0.2">
      <c r="H72" s="64">
        <v>0.14198052165390951</v>
      </c>
      <c r="I72" s="64">
        <f t="shared" si="11"/>
        <v>0.96059586416959553</v>
      </c>
      <c r="J72" s="48"/>
      <c r="K72" s="48"/>
      <c r="L72" s="48"/>
      <c r="M72" s="48"/>
      <c r="N72" s="48"/>
      <c r="O72" s="48"/>
      <c r="P72" s="48"/>
    </row>
    <row r="73" spans="8:16" x14ac:dyDescent="0.2">
      <c r="H73" s="64">
        <v>0.15874470475517963</v>
      </c>
      <c r="I73" s="64">
        <f t="shared" si="11"/>
        <v>0.96050774501333469</v>
      </c>
      <c r="J73" s="48"/>
      <c r="K73" s="48"/>
      <c r="L73" s="48"/>
      <c r="M73" s="48"/>
      <c r="N73" s="48"/>
      <c r="O73" s="48"/>
      <c r="P73" s="48"/>
    </row>
    <row r="74" spans="8:16" x14ac:dyDescent="0.2">
      <c r="H74" s="64">
        <v>0.17553747925232432</v>
      </c>
      <c r="I74" s="64">
        <f t="shared" si="11"/>
        <v>0.96036596922840622</v>
      </c>
      <c r="J74" s="48"/>
      <c r="K74" s="48"/>
      <c r="L74" s="48"/>
      <c r="M74" s="48"/>
      <c r="N74" s="48"/>
      <c r="O74" s="48"/>
      <c r="P74" s="48"/>
    </row>
    <row r="75" spans="8:16" x14ac:dyDescent="0.2">
      <c r="H75" s="64">
        <v>0.19240417629290971</v>
      </c>
      <c r="I75" s="64">
        <f t="shared" si="11"/>
        <v>0.96014706131596883</v>
      </c>
      <c r="J75" s="48"/>
      <c r="K75" s="48"/>
      <c r="L75" s="48"/>
      <c r="M75" s="48"/>
      <c r="N75" s="48"/>
      <c r="O75" s="48"/>
      <c r="P75" s="48"/>
    </row>
    <row r="76" spans="8:16" x14ac:dyDescent="0.2">
      <c r="H76" s="64">
        <v>0.20901220546271423</v>
      </c>
      <c r="I76" s="64">
        <f t="shared" si="11"/>
        <v>0.95982861276776754</v>
      </c>
      <c r="J76" s="48"/>
      <c r="K76" s="48"/>
      <c r="L76" s="48"/>
      <c r="M76" s="48"/>
      <c r="N76" s="48"/>
      <c r="O76" s="48"/>
      <c r="P76" s="48"/>
    </row>
    <row r="77" spans="8:16" x14ac:dyDescent="0.2">
      <c r="H77" s="64">
        <v>0.22582431925537669</v>
      </c>
      <c r="I77" s="64">
        <f t="shared" si="11"/>
        <v>0.95936712016249115</v>
      </c>
      <c r="J77" s="48"/>
      <c r="K77" s="48"/>
      <c r="L77" s="48"/>
      <c r="M77" s="48"/>
      <c r="N77" s="48"/>
      <c r="O77" s="48"/>
      <c r="P77" s="48"/>
    </row>
    <row r="78" spans="8:16" x14ac:dyDescent="0.2">
      <c r="H78" s="64">
        <v>0.24236713011424937</v>
      </c>
      <c r="I78" s="64">
        <f t="shared" si="11"/>
        <v>0.9587345542649145</v>
      </c>
      <c r="J78" s="48"/>
      <c r="K78" s="48"/>
      <c r="L78" s="48"/>
      <c r="M78" s="48"/>
      <c r="N78" s="48"/>
      <c r="O78" s="48"/>
      <c r="P78" s="48"/>
    </row>
    <row r="79" spans="8:16" x14ac:dyDescent="0.2">
      <c r="H79" s="64">
        <v>0.25891734586657894</v>
      </c>
      <c r="I79" s="64">
        <f t="shared" si="11"/>
        <v>0.95787474077490498</v>
      </c>
      <c r="J79" s="48"/>
      <c r="K79" s="48"/>
      <c r="L79" s="48"/>
      <c r="M79" s="48"/>
      <c r="N79" s="48"/>
      <c r="O79" s="48"/>
      <c r="P79" s="48"/>
    </row>
    <row r="80" spans="8:16" x14ac:dyDescent="0.2">
      <c r="H80" s="64">
        <v>0.27532743679881172</v>
      </c>
      <c r="I80" s="64">
        <f t="shared" si="11"/>
        <v>0.95674019869147686</v>
      </c>
      <c r="J80" s="48"/>
      <c r="K80" s="48"/>
      <c r="L80" s="48"/>
      <c r="M80" s="48"/>
      <c r="N80" s="48"/>
      <c r="O80" s="48"/>
      <c r="P80" s="48"/>
    </row>
    <row r="81" spans="8:16" x14ac:dyDescent="0.2">
      <c r="H81" s="64">
        <v>0.29164753874763422</v>
      </c>
      <c r="I81" s="64">
        <f t="shared" si="11"/>
        <v>0.9552667227022632</v>
      </c>
      <c r="J81" s="48"/>
      <c r="K81" s="48"/>
      <c r="L81" s="48"/>
      <c r="M81" s="48"/>
      <c r="N81" s="48"/>
      <c r="O81" s="48"/>
      <c r="P81" s="48"/>
    </row>
    <row r="82" spans="8:16" x14ac:dyDescent="0.2">
      <c r="H82" s="64">
        <v>0.30783618288424536</v>
      </c>
      <c r="I82" s="64">
        <f t="shared" si="11"/>
        <v>0.95338946534358604</v>
      </c>
      <c r="J82" s="48"/>
      <c r="K82" s="48"/>
      <c r="L82" s="48"/>
      <c r="M82" s="48"/>
      <c r="N82" s="48"/>
      <c r="O82" s="48"/>
      <c r="P82" s="48"/>
    </row>
    <row r="83" spans="8:16" x14ac:dyDescent="0.2">
      <c r="H83" s="64">
        <v>0.32384418347196781</v>
      </c>
      <c r="I83" s="64">
        <f t="shared" si="11"/>
        <v>0.9510417457754462</v>
      </c>
      <c r="J83" s="48"/>
      <c r="K83" s="48"/>
      <c r="L83" s="48"/>
      <c r="M83" s="48"/>
      <c r="N83" s="48"/>
      <c r="O83" s="48"/>
      <c r="P83" s="48"/>
    </row>
    <row r="84" spans="8:16" x14ac:dyDescent="0.2">
      <c r="H84" s="64">
        <v>0.33973325501759533</v>
      </c>
      <c r="I84" s="64">
        <f t="shared" si="11"/>
        <v>0.94813460125871862</v>
      </c>
      <c r="J84" s="48"/>
      <c r="K84" s="48"/>
      <c r="L84" s="48"/>
      <c r="M84" s="48"/>
      <c r="N84" s="48"/>
      <c r="O84" s="48"/>
      <c r="P84" s="48"/>
    </row>
    <row r="85" spans="8:16" x14ac:dyDescent="0.2">
      <c r="H85" s="64">
        <v>0.3553317399203158</v>
      </c>
      <c r="I85" s="64">
        <f t="shared" si="11"/>
        <v>0.94462025403007932</v>
      </c>
      <c r="J85" s="48"/>
      <c r="K85" s="48"/>
      <c r="L85" s="48"/>
      <c r="M85" s="48"/>
      <c r="N85" s="48"/>
      <c r="O85" s="48"/>
      <c r="P85" s="48"/>
    </row>
    <row r="86" spans="8:16" x14ac:dyDescent="0.2">
      <c r="H86" s="64">
        <v>0.37078429028268828</v>
      </c>
      <c r="I86" s="64">
        <f t="shared" si="11"/>
        <v>0.94038386265996798</v>
      </c>
      <c r="J86" s="48"/>
      <c r="K86" s="48"/>
      <c r="L86" s="48"/>
      <c r="M86" s="48"/>
      <c r="N86" s="48"/>
      <c r="O86" s="48"/>
      <c r="P86" s="48"/>
    </row>
    <row r="87" spans="8:16" x14ac:dyDescent="0.2">
      <c r="H87" s="64">
        <v>0.38613044476352726</v>
      </c>
      <c r="I87" s="64">
        <f t="shared" si="11"/>
        <v>0.93531376017433265</v>
      </c>
      <c r="J87" s="48"/>
      <c r="K87" s="48"/>
      <c r="L87" s="48"/>
      <c r="M87" s="48"/>
      <c r="N87" s="48"/>
      <c r="O87" s="48"/>
      <c r="P87" s="48"/>
    </row>
    <row r="88" spans="8:16" x14ac:dyDescent="0.2">
      <c r="H88" s="64">
        <v>0.4009921758963842</v>
      </c>
      <c r="I88" s="64">
        <f t="shared" si="11"/>
        <v>0.9294605340280836</v>
      </c>
      <c r="J88" s="48"/>
      <c r="K88" s="48"/>
      <c r="L88" s="48"/>
      <c r="M88" s="48"/>
      <c r="N88" s="48"/>
      <c r="O88" s="48"/>
      <c r="P88" s="48"/>
    </row>
    <row r="89" spans="8:16" x14ac:dyDescent="0.2">
      <c r="H89" s="64">
        <v>0.4156182923872962</v>
      </c>
      <c r="I89" s="64">
        <f t="shared" si="11"/>
        <v>0.92266554681116675</v>
      </c>
      <c r="J89" s="48"/>
      <c r="K89" s="48"/>
      <c r="L89" s="48"/>
      <c r="M89" s="48"/>
      <c r="N89" s="48"/>
      <c r="O89" s="48"/>
      <c r="P89" s="48"/>
    </row>
    <row r="90" spans="8:16" x14ac:dyDescent="0.2">
      <c r="H90" s="64">
        <v>0.42943502667027428</v>
      </c>
      <c r="I90" s="64">
        <f t="shared" si="11"/>
        <v>0.91518005393160451</v>
      </c>
      <c r="J90" s="48"/>
      <c r="K90" s="48"/>
      <c r="L90" s="48"/>
      <c r="M90" s="48"/>
      <c r="N90" s="48"/>
      <c r="O90" s="48"/>
      <c r="P90" s="48"/>
    </row>
    <row r="91" spans="8:16" x14ac:dyDescent="0.2">
      <c r="H91" s="64">
        <v>0.44289756776749095</v>
      </c>
      <c r="I91" s="64">
        <f t="shared" si="11"/>
        <v>0.90676781562690745</v>
      </c>
      <c r="J91" s="48"/>
      <c r="K91" s="48"/>
      <c r="L91" s="48"/>
      <c r="M91" s="48"/>
      <c r="N91" s="48"/>
      <c r="O91" s="48"/>
      <c r="P91" s="48"/>
    </row>
    <row r="92" spans="8:16" x14ac:dyDescent="0.2">
      <c r="H92" s="64">
        <v>0.45543894715911687</v>
      </c>
      <c r="I92" s="64">
        <f t="shared" si="11"/>
        <v>0.8978264196536544</v>
      </c>
      <c r="J92" s="48"/>
      <c r="K92" s="48"/>
      <c r="L92" s="48"/>
      <c r="M92" s="48"/>
      <c r="N92" s="48"/>
      <c r="O92" s="48"/>
      <c r="P92" s="48"/>
    </row>
    <row r="93" spans="8:16" x14ac:dyDescent="0.2">
      <c r="H93" s="64">
        <v>0.46783735943015631</v>
      </c>
      <c r="I93" s="64">
        <f t="shared" si="11"/>
        <v>0.88782986594798696</v>
      </c>
      <c r="J93" s="48"/>
      <c r="K93" s="48"/>
      <c r="L93" s="48"/>
      <c r="M93" s="48"/>
      <c r="N93" s="48"/>
      <c r="O93" s="48"/>
      <c r="P93" s="48"/>
    </row>
    <row r="94" spans="8:16" x14ac:dyDescent="0.2">
      <c r="H94" s="64">
        <v>0.47863400366300879</v>
      </c>
      <c r="I94" s="64">
        <f t="shared" si="11"/>
        <v>0.87809930065247099</v>
      </c>
      <c r="J94" s="48"/>
      <c r="K94" s="48"/>
      <c r="L94" s="48"/>
      <c r="M94" s="48"/>
      <c r="N94" s="48"/>
      <c r="O94" s="48"/>
      <c r="P94" s="48"/>
    </row>
    <row r="95" spans="8:16" x14ac:dyDescent="0.2">
      <c r="H95" s="64">
        <v>0.48872859410433517</v>
      </c>
      <c r="I95" s="64">
        <f t="shared" si="11"/>
        <v>0.86806420907654658</v>
      </c>
      <c r="J95" s="48"/>
      <c r="K95" s="48"/>
      <c r="L95" s="48"/>
      <c r="M95" s="48"/>
      <c r="N95" s="48"/>
      <c r="O95" s="48"/>
      <c r="P95" s="48"/>
    </row>
    <row r="96" spans="8:16" x14ac:dyDescent="0.2">
      <c r="H96" s="64">
        <v>0.49808648675762501</v>
      </c>
      <c r="I96" s="64">
        <f t="shared" si="11"/>
        <v>0.85789135070590561</v>
      </c>
      <c r="J96" s="48"/>
      <c r="K96" s="48"/>
      <c r="L96" s="48"/>
      <c r="M96" s="48"/>
      <c r="N96" s="48"/>
      <c r="O96" s="48"/>
      <c r="P96" s="48"/>
    </row>
    <row r="97" spans="8:16" x14ac:dyDescent="0.2">
      <c r="H97" s="64">
        <v>0.50622094031681064</v>
      </c>
      <c r="I97" s="64">
        <f t="shared" si="11"/>
        <v>0.84832258576955888</v>
      </c>
      <c r="J97" s="48"/>
      <c r="K97" s="48"/>
      <c r="L97" s="48"/>
      <c r="M97" s="48"/>
      <c r="N97" s="48"/>
      <c r="O97" s="48"/>
      <c r="P97" s="48"/>
    </row>
    <row r="98" spans="8:16" x14ac:dyDescent="0.2">
      <c r="H98" s="64">
        <v>0.51358901063162188</v>
      </c>
      <c r="I98" s="64">
        <f t="shared" si="11"/>
        <v>0.83903805353871075</v>
      </c>
      <c r="J98" s="48"/>
      <c r="K98" s="48"/>
      <c r="L98" s="48"/>
      <c r="M98" s="48"/>
      <c r="N98" s="48"/>
      <c r="O98" s="48"/>
      <c r="P98" s="48"/>
    </row>
    <row r="99" spans="8:16" x14ac:dyDescent="0.2">
      <c r="H99" s="64">
        <v>0.51988812196851808</v>
      </c>
      <c r="I99" s="64">
        <f t="shared" si="11"/>
        <v>0.83061152362625557</v>
      </c>
      <c r="J99" s="48"/>
      <c r="K99" s="48"/>
      <c r="L99" s="48"/>
      <c r="M99" s="48"/>
      <c r="N99" s="48"/>
      <c r="O99" s="48"/>
      <c r="P99" s="48"/>
    </row>
    <row r="100" spans="8:16" x14ac:dyDescent="0.2">
      <c r="H100" s="64">
        <v>0.52654380991188665</v>
      </c>
      <c r="I100" s="64">
        <f t="shared" si="11"/>
        <v>0.82119529340907471</v>
      </c>
      <c r="J100" s="48"/>
      <c r="K100" s="48"/>
      <c r="L100" s="48"/>
      <c r="M100" s="48"/>
      <c r="N100" s="48"/>
      <c r="O100" s="48"/>
      <c r="P100" s="48"/>
    </row>
    <row r="101" spans="8:16" x14ac:dyDescent="0.2">
      <c r="H101" s="64">
        <v>0.53210746291493216</v>
      </c>
      <c r="I101" s="64">
        <f t="shared" si="11"/>
        <v>0.81290278287272222</v>
      </c>
      <c r="J101" s="48"/>
      <c r="K101" s="48"/>
      <c r="L101" s="48"/>
      <c r="M101" s="48"/>
      <c r="N101" s="48"/>
      <c r="O101" s="48"/>
      <c r="P101" s="48"/>
    </row>
    <row r="102" spans="8:16" x14ac:dyDescent="0.2">
      <c r="H102" s="64">
        <v>0.53593356457098895</v>
      </c>
      <c r="I102" s="64">
        <f t="shared" si="11"/>
        <v>0.80696945006335929</v>
      </c>
      <c r="J102" s="48"/>
      <c r="K102" s="48"/>
      <c r="L102" s="48"/>
      <c r="M102" s="48"/>
      <c r="N102" s="48"/>
      <c r="O102" s="48"/>
      <c r="P102" s="48"/>
    </row>
    <row r="103" spans="8:16" x14ac:dyDescent="0.2">
      <c r="H103" s="64">
        <v>0.53837802652041589</v>
      </c>
      <c r="I103" s="64">
        <f t="shared" si="11"/>
        <v>0.80307773548823957</v>
      </c>
      <c r="J103" s="48"/>
      <c r="K103" s="48"/>
      <c r="L103" s="48"/>
      <c r="M103" s="48"/>
      <c r="N103" s="48"/>
      <c r="O103" s="48"/>
      <c r="P103" s="48"/>
    </row>
    <row r="104" spans="8:16" x14ac:dyDescent="0.2">
      <c r="K104" s="48"/>
      <c r="L104" s="48"/>
      <c r="M104" s="48"/>
      <c r="N104" s="48"/>
      <c r="O104" s="48"/>
      <c r="P104" s="48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Constants and assumptions</vt:lpstr>
      <vt:lpstr>Products</vt:lpstr>
      <vt:lpstr>Solvents</vt:lpstr>
      <vt:lpstr>Supporting electrolytes</vt:lpstr>
      <vt:lpstr>Utilities</vt:lpstr>
      <vt:lpstr>Kas Smith curvefit (copy)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2024-12-03T20:03:34Z</dcterms:modified>
</cp:coreProperties>
</file>