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1885" documentId="8_{31750E0B-A732-4503-8EA8-2753BAB2D178}" xr6:coauthVersionLast="47" xr6:coauthVersionMax="47" xr10:uidLastSave="{BC6EEBF0-38F0-4A4F-9250-E89348F173E4}"/>
  <bookViews>
    <workbookView xWindow="1080" yWindow="1080" windowWidth="21585" windowHeight="11295" activeTab="3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F3" i="9"/>
  <c r="I5" i="9"/>
  <c r="H5" i="9"/>
  <c r="I2" i="9"/>
  <c r="I4" i="9"/>
  <c r="H4" i="9"/>
  <c r="I3" i="9"/>
  <c r="H3" i="9"/>
  <c r="H2" i="9"/>
  <c r="F5" i="9"/>
  <c r="G5" i="9" s="1"/>
  <c r="F4" i="9"/>
  <c r="F2" i="9"/>
  <c r="G2" i="9"/>
  <c r="G4" i="9"/>
  <c r="J4" i="7"/>
  <c r="C11" i="3"/>
  <c r="G3" i="7"/>
  <c r="C8" i="2" l="1"/>
  <c r="B7" i="3"/>
  <c r="C7" i="2"/>
  <c r="C6" i="2"/>
  <c r="D2" i="10" l="1"/>
  <c r="I3" i="7"/>
  <c r="I4" i="7"/>
  <c r="C14" i="2"/>
  <c r="C5" i="2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tc={590A5A62-3982-41DC-A19D-6D062F91F28E}</author>
    <author>tc={ADC85B62-F8B0-4820-A968-870FAF95942C}</author>
  </authors>
  <commentList>
    <comment ref="C2" authorId="0" shapeId="0" xr:uid="{590A5A62-3982-41DC-A19D-6D062F91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  <comment ref="C3" authorId="1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tc={9C7BA66E-4710-4766-B736-DAB2C4C5EA8C}</author>
    <author>tc={38772031-2712-4E60-AF4C-BC7506EB126A}</author>
    <author>tc={19966830-0D20-46F0-AE3D-88797573DA5E}</author>
    <author>tc={61AD334A-127F-49E9-826D-132D83D54FFE}</author>
    <author>tc={CF7FF991-BD99-42BD-BE0C-DD9BF8B9A73E}</author>
    <author>tc={F3E0BD3F-9F26-4F73-B97C-92F5976365D6}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TBAClO4 in AC N on Ag - McGregor Resasco Nat Cat 2024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McGregor Resasco Nat Cat 2024</t>
      </text>
    </comment>
    <comment ref="L3" authorId="4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21 Dos Reis datapoints (top 50%)</t>
      </text>
    </comment>
    <comment ref="J4" authorId="5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6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7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4 Dos Reis datapoints (top 50%)</t>
      </text>
    </comment>
    <comment ref="F5" authorId="8" shapeId="0" xr:uid="{CF7FF991-BD99-42BD-BE0C-DD9BF8B9A73E}">
      <text>
        <t>[Threaded comment]
Your version of Excel allows you to read this threaded comment; however, any edits to it will get removed if the file is opened in a newer version of Excel. Learn more: https://go.microsoft.com/fwlink/?linkid=870924
Comment:
    Muller Stolten J CO2 Util 2025 
Reply:
    Should be able to just calculate from thermo of water condensation</t>
      </text>
    </comment>
    <comment ref="L5" authorId="9" shapeId="0" xr:uid="{F3E0BD3F-9F26-4F73-B97C-92F597636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4 Dos Reis datapoints (top 50%)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https://pubs.acs.org/doi/full/10.1021/ie0605377 38.08
Reply:
    1.69e-2
Reply:
    https://doi.org/10.1016/0022-0728(90)87217-8 60.7</t>
      </text>
    </comment>
    <comment ref="H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2009 Table 1.1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https://doi.org/10.1016/0378-3812(88)80106-7</t>
      </text>
    </comment>
    <comment ref="H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5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6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7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8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19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 in https://www.sciencedirect.com/science/article/pii/S0021961419306883#f0030
Reply:
    https://doi.org/10.1016/0022-0728(90)87217-8 101.6</t>
      </text>
    </comment>
    <comment ref="H4" authorId="20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4" authorId="21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3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4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5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6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7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https://doi.org/10.1016/0022-0728(90)87217-8 65.3</t>
      </text>
    </comment>
    <comment ref="H5" authorId="28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5" authorId="29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tc={07BD2C0B-3DD0-40BC-AD52-A79697FDE249}</author>
  </authors>
  <commentList>
    <comment ref="C2" authorId="0" shapeId="0" xr:uid="{07BD2C0B-3DD0-40BC-AD52-A79697FDE24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</commentList>
</comments>
</file>

<file path=xl/sharedStrings.xml><?xml version="1.0" encoding="utf-8"?>
<sst xmlns="http://schemas.openxmlformats.org/spreadsheetml/2006/main" count="246" uniqueCount="210">
  <si>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</si>
  <si>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</si>
  <si>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</si>
  <si>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</si>
  <si>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</si>
  <si>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</si>
  <si>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</si>
  <si>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</si>
  <si>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</si>
  <si>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</si>
  <si>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</si>
  <si>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</si>
  <si>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</si>
  <si>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</si>
  <si>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</si>
  <si>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</si>
  <si>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</si>
  <si>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</si>
  <si>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</si>
  <si>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</si>
  <si>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</si>
  <si>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</si>
  <si>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</si>
  <si>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</si>
  <si>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</si>
  <si>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</si>
  <si>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</si>
  <si>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</si>
  <si>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</si>
  <si>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</si>
  <si>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</si>
  <si>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</si>
  <si>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</si>
  <si>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</si>
  <si>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</si>
  <si>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</si>
  <si>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</si>
  <si>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</si>
  <si>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</si>
  <si>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</si>
  <si>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</si>
  <si>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</si>
  <si>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</si>
  <si>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</si>
  <si>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</si>
  <si>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</si>
  <si>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</si>
  <si>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</si>
  <si>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</si>
  <si>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</si>
  <si>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</si>
  <si>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</si>
  <si>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</si>
  <si>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</si>
  <si>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t>See References col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</si>
  <si>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</si>
  <si>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</si>
  <si>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</si>
  <si>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</si>
  <si>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References 2</t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</si>
  <si>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</si>
  <si>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</si>
  <si>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</si>
  <si>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</si>
  <si>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</si>
  <si>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</si>
  <si>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</si>
  <si>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</si>
  <si>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See References 2 col</t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</si>
  <si>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</si>
  <si>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</si>
  <si>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</si>
  <si>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</si>
  <si>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</si>
  <si>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</si>
  <si>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</si>
  <si>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</si>
  <si>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</si>
  <si>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</si>
  <si>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</si>
  <si>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</si>
  <si>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</si>
  <si>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</si>
  <si>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</si>
  <si>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</si>
  <si>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</si>
  <si>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</si>
  <si>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</si>
  <si>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</si>
  <si>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</si>
  <si>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</si>
  <si>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</si>
  <si>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</si>
  <si>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</si>
  <si>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</si>
  <si>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</si>
  <si>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</si>
  <si>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</si>
  <si>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</si>
  <si>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</si>
  <si>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</si>
  <si>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</si>
  <si>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</si>
  <si>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</si>
  <si>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</si>
  <si>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</si>
  <si>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</si>
  <si>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</si>
  <si>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</si>
  <si>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</si>
  <si>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</si>
  <si>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</si>
  <si>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</si>
  <si>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</si>
  <si>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</si>
  <si>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</si>
  <si>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</si>
  <si>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</si>
  <si>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</si>
  <si>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</si>
  <si>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</si>
  <si>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</si>
  <si>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</si>
  <si>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</si>
  <si>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</si>
  <si>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</si>
  <si>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</si>
  <si>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</si>
  <si>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</si>
  <si>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</si>
  <si>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</si>
  <si>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</si>
  <si>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</si>
  <si>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</si>
  <si>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</si>
  <si>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</si>
  <si>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</si>
  <si>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</si>
  <si>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</si>
  <si>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Izutsu (Wiley 2009)</t>
  </si>
  <si>
    <t>Electrolyzer assumption: Electrolyte thickness</t>
  </si>
  <si>
    <t>cm</t>
  </si>
  <si>
    <t>Hofsommer, Spurgeon (ACS Appl. Energy. Mat. 2023)</t>
  </si>
  <si>
    <t>electrolyte_thickness_cm</t>
  </si>
  <si>
    <t>Chemours 2024; Nafion N117 180 um</t>
  </si>
  <si>
    <t>Tried Pathania et al, but gives very high conductivity</t>
  </si>
  <si>
    <t>Acetonitrile</t>
  </si>
  <si>
    <t>Nafion membrane</t>
  </si>
  <si>
    <t>Sigma-Aldrich; TBA perchlorate</t>
  </si>
  <si>
    <t>TBA perchlorate</t>
  </si>
  <si>
    <t>Formic acid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</si>
  <si>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</si>
  <si>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</si>
  <si>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</si>
  <si>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</si>
  <si>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</si>
  <si>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</si>
  <si>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</si>
  <si>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</si>
  <si>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</si>
  <si>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</si>
  <si>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Reference viscosity (cP)</t>
  </si>
  <si>
    <t>Viscosity (cP)</t>
  </si>
  <si>
    <t>Conductivity (S/cm)</t>
  </si>
  <si>
    <t>Molar conductivity (S/cm.mol)</t>
  </si>
  <si>
    <t>Cost ($/kg supporting)</t>
  </si>
  <si>
    <t>Propylene carbonate</t>
  </si>
  <si>
    <t>DMSO</t>
  </si>
  <si>
    <t>TBA BF4</t>
  </si>
  <si>
    <t>TEA BF4</t>
  </si>
  <si>
    <t>Sigma-Aldrich; TBA BF4</t>
  </si>
  <si>
    <t>Sigma-Aldrich; TEA perchlorate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</si>
  <si>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</si>
  <si>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</si>
  <si>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</si>
  <si>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</si>
  <si>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</si>
  <si>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</si>
  <si>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</si>
  <si>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</si>
  <si>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</si>
  <si>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</si>
  <si>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</si>
  <si>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Boor, Ramdin (Ind. Eng. Chem. 2022)</t>
  </si>
  <si>
    <t>CEPCI 2021: 773.1
CEPCI 2024: ~800 (https://toweringskills.com/financial-analysis/cost-indices/)</t>
  </si>
  <si>
    <t>CEPCI 2020: 596.2
CEPCI 2024: ~800 (https://toweringskills.com/financial-analysis/cost-indices/)</t>
  </si>
  <si>
    <t>U.S. Energy Information Administration (2024 Jan - Jun average) - industrial retail; GREET (2022)</t>
  </si>
  <si>
    <t>George (Kirk-Othmer Encyclopedia 2001) adjusted by 1% inflation; but $0.1 (syngas?) in Guerra, Hodge (Joule, 2023)</t>
  </si>
  <si>
    <t>Optimal j @ 8.2 c/kWh, no tradeoff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</si>
  <si>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</si>
  <si>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</si>
  <si>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</si>
  <si>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References 3</t>
  </si>
  <si>
    <t>iMarc, June 2024</t>
  </si>
  <si>
    <t>Official Journal of the European Union 2018/931; BusinessAnalytiq, 2024 (accessed 2025)</t>
  </si>
  <si>
    <t>Business Analytiq, 2024 (accessed 2025)</t>
  </si>
  <si>
    <t>Dos Reis, Ribeiro Energy Tech. 2023</t>
  </si>
  <si>
    <r>
      <t>mol/s solvent per mol/s CO</t>
    </r>
    <r>
      <rPr>
        <vertAlign val="subscript"/>
        <sz val="11"/>
        <color theme="1"/>
        <rFont val="Arial Nova"/>
        <family val="2"/>
      </rPr>
      <t>2</t>
    </r>
  </si>
  <si>
    <t>Engineering Toolbox</t>
  </si>
  <si>
    <t>Muller Stolten J. CO2 Util. 2025</t>
  </si>
  <si>
    <t>Gennaro, Saveant (J. Chem. Soc. Faraday Trans. 1996)</t>
  </si>
  <si>
    <t>Boiling point (K)</t>
  </si>
  <si>
    <t>Solubility in water</t>
  </si>
  <si>
    <t>Vapor pressure (Pa)</t>
  </si>
  <si>
    <t>Miscible</t>
  </si>
  <si>
    <t>Others: THF, DME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</si>
  <si>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</si>
  <si>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Izutsu (Wiley 2009); CRC Handbook</t>
  </si>
  <si>
    <t>Soluble</t>
  </si>
  <si>
    <t>0.175; very soluble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</si>
</sst>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i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b/>
      <sz val="11"/>
      <color rgb="FFFF0000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0" fontId="7" fillId="0" borderId="0" xfId="0" applyFont="1"/>
    <xf numFmtId="0" fontId="2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1" fontId="7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9" fontId="7" fillId="3" borderId="0" xfId="2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2" fontId="21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3" fontId="22" fillId="3" borderId="0" xfId="0" applyNumberFormat="1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1" dataDxfId="50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49"/>
    <tableColumn id="5" xr3:uid="{447AB61C-D6A8-4C69-B914-F84CC2DD3D7F}" name="Variable name" dataDxfId="48"/>
    <tableColumn id="2" xr3:uid="{8D0B10A0-AAB3-497D-AACC-B47886E623F4}" name="Value" dataDxfId="47"/>
    <tableColumn id="3" xr3:uid="{13805BE1-5D36-4E51-B5A1-6DAB8482D1CA}" name="Unit" dataDxfId="46"/>
    <tableColumn id="4" xr3:uid="{D9E6851E-6681-4B84-8DD9-9DC84337FA8D}" name="References" dataDxfId="4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6" totalsRowShown="0" headerRowDxfId="44" dataDxfId="43">
  <autoFilter ref="A1:Q6" xr:uid="{89323130-A0D1-49F6-A5DF-27B490E4A7F3}"/>
  <tableColumns count="17">
    <tableColumn id="1" xr3:uid="{3C50D7C6-76ED-4D16-B177-C24A6EDEF5E8}" name="Product" dataDxfId="42"/>
    <tableColumn id="13" xr3:uid="{E3E543EF-1CAC-4E7C-917B-9F6A2A12C5A5}" name="Phase" dataDxfId="41"/>
    <tableColumn id="5" xr3:uid="{60087321-E31A-4465-97EA-5E82B4930DEF}" name="Molecular weight (g/mol)" dataDxfId="40"/>
    <tableColumn id="2" xr3:uid="{73F411CA-0C00-43A6-8E8A-2C96DEBEAE56}" name="n (mol e-/ mol product)" dataDxfId="39"/>
    <tableColumn id="12" xr3:uid="{35098869-B8D6-4322-9A6F-55D84BD00AAD}" name="z (mol CO2/ mol product)" dataDxfId="38"/>
    <tableColumn id="3" xr3:uid="{42FF57EE-C82B-4BEE-B6E3-5CDCD61D73F4}" name="LHV (kJ/kg product)" dataDxfId="37"/>
    <tableColumn id="14" xr3:uid="{E9D086E2-203C-4567-AACC-7D8FDCBCFD52}" name="Cost ($/kg product)" dataDxfId="36"/>
    <tableColumn id="6" xr3:uid="{F6536296-A5EF-4707-BAA4-8ED36A0299FD}" name="Standard potential, pH = 0 (V vs SHE)" dataDxfId="35"/>
    <tableColumn id="9" xr3:uid="{44F64A4D-679B-4F83-A0F1-9FD50BE9A102}" name="Reference overpotential (V)" dataDxfId="34"/>
    <tableColumn id="8" xr3:uid="{63FE646D-E5BD-46A5-B63F-54D7C89DFC20}" name="Tafel slope (mV/dec)" dataDxfId="33"/>
    <tableColumn id="7" xr3:uid="{8762D60F-6494-4D48-BF71-09EE6526135E}" name="Reference current density (mA/cm2)" dataDxfId="32"/>
    <tableColumn id="15" xr3:uid="{C96EBEF2-D837-4395-8D46-7E2BC536E261}" name="FECO2R at SPC = 0" dataDxfId="31"/>
    <tableColumn id="16" xr3:uid="{F3E3F633-1F65-481C-8C36-D0FBD783D2AB}" name="Chosen SPC, no tradeoff" dataDxfId="30"/>
    <tableColumn id="17" xr3:uid="{06806002-8BCC-442F-99A4-15A00506143C}" name="Optimal j @ 8.2 c/kWh, no tradeoff" dataDxfId="29"/>
    <tableColumn id="4" xr3:uid="{EA53ED90-0A02-4FC0-8D2F-B62ACD3411A0}" name="References" dataDxfId="28"/>
    <tableColumn id="10" xr3:uid="{15AF80F1-11B7-4792-895F-6EC0B2B7A7A4}" name="References 2" dataDxfId="27"/>
    <tableColumn id="11" xr3:uid="{F302EFF0-A13D-4A4C-8A0B-F721AD1E47B9}" name="References 3" dataDxfId="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K5" totalsRowShown="0" headerRowDxfId="25" dataDxfId="24">
  <autoFilter ref="A1:K5" xr:uid="{FDE89AE4-9617-4085-AD63-8D726E2ECE27}"/>
  <tableColumns count="11">
    <tableColumn id="1" xr3:uid="{996983E7-48A1-4F2C-AAE8-BB6499F82011}" name="Solvent" dataDxfId="23"/>
    <tableColumn id="5" xr3:uid="{7587D408-6B96-4220-A9BE-2B71A4248C30}" name="Molecular weight (g/mol)" dataDxfId="22"/>
    <tableColumn id="14" xr3:uid="{8CB95F86-8F61-4051-8BEA-3EA0B1243627}" name="Cost ($/kg solvent)" dataDxfId="21"/>
    <tableColumn id="3" xr3:uid="{CCFBA968-B535-4D6B-82F9-71090461EE43}" name="Density (kg/m3)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2" xr3:uid="{4B98493F-7EF6-4DC3-A55A-0A71F419BBB2}" name="CO2 solubility, 10 bar (mol CO2/ mol solvent)" dataDxfId="18"/>
    <tableColumn id="6" xr3:uid="{1008D39B-F74C-44B5-9C39-9094D52EB44D}" name="Boiling point (K)" dataDxfId="17"/>
    <tableColumn id="9" xr3:uid="{4E983CB5-D8FE-442A-8A07-6298EE4689D9}" name="Vapor pressure (Pa)" dataDxfId="16"/>
    <tableColumn id="8" xr3:uid="{57ADEF7D-1DC8-4D29-B0B1-B07EDD74B7FC}" name="Solubility in water" dataDxfId="15"/>
    <tableColumn id="7" xr3:uid="{A94104E3-BA24-4CBD-8D8E-9581768AC69A}" name="Referenc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H5" totalsRowShown="0" headerRowDxfId="14" dataDxfId="13">
  <autoFilter ref="A1:H5" xr:uid="{0BE243CA-C135-4CB6-B37F-4749B7F8C437}"/>
  <tableColumns count="8">
    <tableColumn id="1" xr3:uid="{5E12D873-28F4-4BAA-A124-01ED2F10306F}" name="Supporting electrolyte" dataDxfId="12"/>
    <tableColumn id="5" xr3:uid="{8BFB1102-BA9E-4FA2-8287-970DFEAD7F45}" name="Molecular weight (g/mol)" dataDxfId="11"/>
    <tableColumn id="14" xr3:uid="{40345891-0EC3-4D4A-9A2E-09812C6C59BF}" name="Cost ($/kg supporting)" dataDxfId="10"/>
    <tableColumn id="3" xr3:uid="{580C116E-F5E0-41C5-8884-D2C8E1385F89}" name="Conductivity (S/cm)"/>
    <tableColumn id="6" xr3:uid="{C9659692-EF7D-4190-B767-6AC28EF23541}" name="Reference viscosity (cP)"/>
    <tableColumn id="4" xr3:uid="{F0A415E1-CFAE-4B45-AF57-6D3EEBC72369}" name="Molar conductivity (S/cm.mol)" dataDxfId="9"/>
    <tableColumn id="2" xr3:uid="{BF9F5B6E-2598-43D5-ABA7-189814842EF4}" name="References" dataDxfId="8"/>
    <tableColumn id="10" xr3:uid="{0EA10F76-7695-4288-8BC9-D38255B25BBB}" name="References 2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1-15T15:42:52.81" personId="{97EB442A-BA5A-4BA8-A59A-7061902B9186}" id="{590A5A62-3982-41DC-A19D-6D062F91F28E}">
    <text>Based on Dos Reis data</text>
  </threadedComment>
  <threadedComment ref="C3" dT="2025-01-15T15:42:59.74" personId="{97EB442A-BA5A-4BA8-A59A-7061902B9186}" id="{ADC85B62-F8B0-4820-A968-870FAF95942C}">
    <text>Based on Dos Reis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</text>
  </threadedComment>
  <threadedComment ref="F3" dT="2025-01-15T16:01:25.64" personId="{97EB442A-BA5A-4BA8-A59A-7061902B9186}" id="{70A0C8CB-3A8C-48E4-A4A0-92D06DADCA1C}">
    <text>Engineering Toolbox</text>
  </threadedComment>
  <threadedComment ref="I3" dT="2024-11-11T19:46:16.62" personId="{97EB442A-BA5A-4BA8-A59A-7061902B9186}" id="{E6E48448-0E21-41A5-B06E-F65140C42E87}">
    <text>TBAClO4 in AC N on Ag - McGregor Resasco Nat Cat 2024</text>
  </threadedComment>
  <threadedComment ref="J3" dT="2024-11-11T16:47:41.07" personId="{97EB442A-BA5A-4BA8-A59A-7061902B9186}" id="{D9B01A9E-9FFA-448D-A0A9-79E915973C3A}">
    <text>From McGregor Resasco Nat Cat 2024</text>
  </threadedComment>
  <threadedComment ref="L3" dT="2024-11-11T19:54:36.26" personId="{97EB442A-BA5A-4BA8-A59A-7061902B9186}" id="{9C7BA66E-4710-4766-B736-DAB2C4C5EA8C}">
    <text>Average for top 21 Dos Reis datapoints (top 50%)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4 Dos Reis datapoints (top 50%)</text>
  </threadedComment>
  <threadedComment ref="F5" dT="2025-01-15T16:01:46.09" personId="{97EB442A-BA5A-4BA8-A59A-7061902B9186}" id="{CF7FF991-BD99-42BD-BE0C-DD9BF8B9A73E}">
    <text xml:space="preserve">Muller Stolten J CO2 Util 2025 </text>
  </threadedComment>
  <threadedComment ref="F5" dT="2025-01-15T16:03:08.37" personId="{97EB442A-BA5A-4BA8-A59A-7061902B9186}" id="{C95B6A2E-2D6E-406A-A2F3-732B8AD3A208}" parentId="{CF7FF991-BD99-42BD-BE0C-DD9BF8B9A73E}">
    <text>Should be able to just calculate from thermo of water condensation</text>
  </threadedComment>
  <threadedComment ref="L5" dT="2025-01-15T15:37:52.15" personId="{97EB442A-BA5A-4BA8-A59A-7061902B9186}" id="{F3E0BD3F-9F26-4F73-B97C-92F5976365D6}">
    <text>Average for top 4 Dos Reis datapoints (top 50%)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https://pubs.acs.org/doi/full/10.1021/ie0605377 38.08</text>
    <extLst>
      <x:ext xmlns:xltc2="http://schemas.microsoft.com/office/spreadsheetml/2020/threadedcomments2" uri="{F7C98A9C-CBB3-438F-8F68-D28B6AF4A901}">
        <xltc2:checksum>3585674878</xltc2:checksum>
        <xltc2:hyperlink startIndex="0" length="47" url="https://pubs.acs.org/doi/full/10.1021/ie0605377"/>
      </x:ext>
    </extLst>
  </threadedComment>
  <threadedComment ref="F2" dT="2025-01-20T20:55:20.29" personId="{97EB442A-BA5A-4BA8-A59A-7061902B9186}" id="{9F5CEB19-8287-4C89-A39A-5BA5896DE5F1}" parentId="{1F00EE09-7981-4B53-A2FE-8E9564200CBF}">
    <text>1.69e-2</text>
  </threadedComment>
  <threadedComment ref="F2" dT="2025-01-20T21:02:24.67" personId="{97EB442A-BA5A-4BA8-A59A-7061902B9186}" id="{2486258E-A13A-403E-84DB-92FFF1C953B4}" parentId="{1F00EE09-7981-4B53-A2FE-8E9564200CBF}">
    <text>https://doi.org/10.1016/0022-0728(90)87217-8 60.7</text>
    <extLst>
      <x:ext xmlns:xltc2="http://schemas.microsoft.com/office/spreadsheetml/2020/threadedcomments2" uri="{F7C98A9C-CBB3-438F-8F68-D28B6AF4A901}">
        <xltc2:checksum>671092016</xltc2:checksum>
        <xltc2:hyperlink startIndex="0" length="44" url="https://doi.org/10.1016/0022-0728(90)87217-8"/>
      </x:ext>
    </extLst>
  </threadedComment>
  <threadedComment ref="H2" dT="2025-01-20T21:27:20.62" personId="{97EB442A-BA5A-4BA8-A59A-7061902B9186}" id="{CCFAFA67-1AB3-4E10-B472-4734839B5FB8}">
    <text>CRC Handbook of Chem and Phys 105th Ed.</text>
  </threadedComment>
  <threadedComment ref="I2" dT="2025-01-20T21:27:35.11" personId="{97EB442A-BA5A-4BA8-A59A-7061902B9186}" id="{7E768D53-988A-46AE-8800-331D2B19C4CA}">
    <text>CRC Handbook of Chem and Phys 105th Ed.</text>
  </threadedComment>
  <threadedComment ref="J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2009 Table 1.1</text>
  </threadedComment>
  <threadedComment ref="F3" dT="2025-01-20T22:11:26.46" personId="{97EB442A-BA5A-4BA8-A59A-7061902B9186}" id="{44C8D15E-D18E-42F7-B8B2-A65CC53CBB8C}">
    <text>https://doi.org/10.1016/0378-3812(88)80106-7</text>
    <extLst>
      <x:ext xmlns:xltc2="http://schemas.microsoft.com/office/spreadsheetml/2020/threadedcomments2" uri="{F7C98A9C-CBB3-438F-8F68-D28B6AF4A901}">
        <xltc2:checksum>3444867718</xltc2:checksum>
        <xltc2:hyperlink startIndex="0" length="44" url="https://doi.org/10.1016/0378-3812(88)80106-7"/>
      </x:ext>
    </extLst>
  </threadedComment>
  <threadedComment ref="H3" dT="2025-01-20T21:27:23.98" personId="{97EB442A-BA5A-4BA8-A59A-7061902B9186}" id="{8C14FDD1-22B7-4F70-B01E-C665917CE3E4}">
    <text>CRC Handbook of Chem and Phys 105th Ed.</text>
  </threadedComment>
  <threadedComment ref="I3" dT="2025-01-20T21:27:38.80" personId="{97EB442A-BA5A-4BA8-A59A-7061902B9186}" id="{0182AE5B-5F63-4940-956C-D441191E1036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Table 3 in https://www.sciencedirect.com/science/article/pii/S0021961419306883#f0030</text>
    <extLst>
      <x:ext xmlns:xltc2="http://schemas.microsoft.com/office/spreadsheetml/2020/threadedcomments2" uri="{F7C98A9C-CBB3-438F-8F68-D28B6AF4A901}">
        <xltc2:checksum>1363581806</xltc2:checksum>
        <xltc2:hyperlink startIndex="11" length="73" url="https://www.sciencedirect.com/science/article/pii/S0021961419306883#f0030"/>
      </x:ext>
    </extLst>
  </threadedComment>
  <threadedComment ref="F4" dT="2025-01-20T21:03:59.74" personId="{97EB442A-BA5A-4BA8-A59A-7061902B9186}" id="{ED490485-EB49-40FD-819B-2FFEDC862A79}" parentId="{A557D283-8D16-4ED2-AC97-8D87D241B088}">
    <text>https://doi.org/10.1016/0022-0728(90)87217-8 101.6</text>
    <extLst>
      <x:ext xmlns:xltc2="http://schemas.microsoft.com/office/spreadsheetml/2020/threadedcomments2" uri="{F7C98A9C-CBB3-438F-8F68-D28B6AF4A901}">
        <xltc2:checksum>4078687797</xltc2:checksum>
        <xltc2:hyperlink startIndex="0" length="44" url="https://doi.org/10.1016/0022-0728(90)87217-8"/>
      </x:ext>
    </extLst>
  </threadedComment>
  <threadedComment ref="H4" dT="2025-01-20T21:27:27.28" personId="{97EB442A-BA5A-4BA8-A59A-7061902B9186}" id="{1983A994-3FCC-4917-A080-32AC954B27A3}">
    <text>CRC Handbook of Chem and Phys 105th Ed.</text>
  </threadedComment>
  <threadedComment ref="I4" dT="2025-01-20T21:27:42.09" personId="{97EB442A-BA5A-4BA8-A59A-7061902B9186}" id="{F163D6D5-0931-443B-A93F-1C0E825E55FE}">
    <text>CRC Handbook of Chem and Phys 105th Ed.</text>
  </threadedComment>
  <threadedComment ref="J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https://doi.org/10.1016/0022-0728(90)87217-8 65.3</text>
    <extLst>
      <x:ext xmlns:xltc2="http://schemas.microsoft.com/office/spreadsheetml/2020/threadedcomments2" uri="{F7C98A9C-CBB3-438F-8F68-D28B6AF4A901}">
        <xltc2:checksum>693612592</xltc2:checksum>
        <xltc2:hyperlink startIndex="0" length="44" url="https://doi.org/10.1016/0022-0728(90)87217-8"/>
      </x:ext>
    </extLst>
  </threadedComment>
  <threadedComment ref="H5" dT="2025-01-20T21:27:30.00" personId="{97EB442A-BA5A-4BA8-A59A-7061902B9186}" id="{4E6C45D9-A547-4A85-8E31-46455E39B2F7}">
    <text>CRC Handbook of Chem and Phys 105th Ed.</text>
  </threadedComment>
  <threadedComment ref="I5" dT="2025-01-20T21:27:46.12" personId="{97EB442A-BA5A-4BA8-A59A-7061902B9186}" id="{C9E7B65A-8DF8-424A-AFB0-85F34FB8C5A3}">
    <text>CRC Handbook of Chem and Phys 105th Ed.</text>
  </threadedComment>
  <threadedComment ref="J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" dT="2024-11-11T22:11:30.12" personId="{97EB442A-BA5A-4BA8-A59A-7061902B9186}" id="{07BD2C0B-3DD0-40BC-AD52-A79697FDE249}">
    <text>From Chen Hallett Green Chem 2014</text>
  </threadedComment>
  <threadedComment ref="C2" dT="2025-01-21T21:36:02.14" personId="{97EB442A-BA5A-4BA8-A59A-7061902B9186}" id="{D1FD7102-0BB2-45B8-8328-65159D4EFE0F}" parentId="{07BD2C0B-3DD0-40BC-AD52-A79697FDE249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pubs.acs.org/doi/10.1021/acssuschemeng.3c04373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hyperlink" Target="http://www.doi.org/10.1002/ente.202201367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hyperlink" Target="http://www.doi.org/10.1002/ente.202201367" TargetMode="External"/><Relationship Id="rId10" Type="http://schemas.openxmlformats.org/officeDocument/2006/relationships/hyperlink" Target="https://pubs.acs.org/doi/10.1021/acs.iecr.2c02647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sinessanalytiq.com/procurementanalytics/index/oxalic-acid-price-index/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pubs.acs.org/doi/10.1021/acs.chemrev.1c00901?ref=PDF" TargetMode="External"/><Relationship Id="rId7" Type="http://schemas.openxmlformats.org/officeDocument/2006/relationships/hyperlink" Target="https://eur-lex.europa.eu/eli/reg_impl/2018/931/oj/eng/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engineeringtoolbox.com/heating-values-fuel-gases-d_823.html" TargetMode="External"/><Relationship Id="rId16" Type="http://schemas.microsoft.com/office/2017/10/relationships/threadedComment" Target="../threadedComments/threadedComment2.xm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://pubs.acs.org/action/showCitFormats?doi=10.1021/acs.iecr.7b03514" TargetMode="External"/><Relationship Id="rId11" Type="http://schemas.openxmlformats.org/officeDocument/2006/relationships/hyperlink" Target="https://doi.org/10.1039/FT9969203963" TargetMode="External"/><Relationship Id="rId5" Type="http://schemas.openxmlformats.org/officeDocument/2006/relationships/hyperlink" Target="https://www.nature.com/articles/s41893-021-00739-x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doi.org/10.1016/j.jcou.2025.103019" TargetMode="External"/><Relationship Id="rId4" Type="http://schemas.openxmlformats.org/officeDocument/2006/relationships/hyperlink" Target="https://www.nature.com/articles/s41893-021-00739-x" TargetMode="External"/><Relationship Id="rId9" Type="http://schemas.openxmlformats.org/officeDocument/2006/relationships/hyperlink" Target="https://www.imarcgroup.com/formic-acid-pricing-report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onlinelibrary.wiley.com/doi/book/10.1002/9783527629152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onlinelibrary.wiley.com/doi/book/10.1002/9783527629152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onlinelibrary.wiley.com/doi/book/10.1002/9783527629152" TargetMode="External"/><Relationship Id="rId9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4.xml"/><Relationship Id="rId3" Type="http://schemas.openxmlformats.org/officeDocument/2006/relationships/hyperlink" Target="https://www.sigmaaldrich.com/US/en/product/sial/86896" TargetMode="External"/><Relationship Id="rId7" Type="http://schemas.openxmlformats.org/officeDocument/2006/relationships/comments" Target="../comments4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www.sigmaaldrich.com/US/en/product/aldrich/86885" TargetMode="External"/><Relationship Id="rId6" Type="http://schemas.openxmlformats.org/officeDocument/2006/relationships/table" Target="../tables/table4.xml"/><Relationship Id="rId5" Type="http://schemas.openxmlformats.org/officeDocument/2006/relationships/vmlDrawing" Target="../drawings/vmlDrawing4.vml"/><Relationship Id="rId4" Type="http://schemas.openxmlformats.org/officeDocument/2006/relationships/hyperlink" Target="https://www.sigmaaldrich.com/US/en/product/aldrich/24214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zoomScaleNormal="100" workbookViewId="0">
      <selection activeCell="C7" sqref="C7"/>
    </sheetView>
  </sheetViews>
  <sheetFormatPr defaultColWidth="9.140625" defaultRowHeight="14.25" x14ac:dyDescent="0.2"/>
  <cols>
    <col min="1" max="1" width="25.7109375" style="14" customWidth="1"/>
    <col min="2" max="2" width="27.28515625" style="4" customWidth="1"/>
    <col min="3" max="5" width="21.85546875" style="4" customWidth="1"/>
    <col min="6" max="6" width="29" style="4" customWidth="1"/>
    <col min="7" max="16384" width="9.140625" style="4"/>
  </cols>
  <sheetData>
    <row r="1" spans="1:6" x14ac:dyDescent="0.2">
      <c r="A1" s="7" t="s">
        <v>6</v>
      </c>
      <c r="B1" s="7" t="s">
        <v>31</v>
      </c>
      <c r="C1" s="7" t="s">
        <v>7</v>
      </c>
      <c r="D1" s="7" t="s">
        <v>8</v>
      </c>
      <c r="E1" s="12" t="s">
        <v>23</v>
      </c>
      <c r="F1" s="7"/>
    </row>
    <row r="2" spans="1:6" ht="28.5" x14ac:dyDescent="0.2">
      <c r="A2" s="6" t="s">
        <v>154</v>
      </c>
      <c r="B2" s="6" t="s">
        <v>157</v>
      </c>
      <c r="C2" s="27">
        <v>1</v>
      </c>
      <c r="D2" s="6" t="s">
        <v>74</v>
      </c>
      <c r="E2" s="22" t="s">
        <v>196</v>
      </c>
      <c r="F2" s="5"/>
    </row>
    <row r="3" spans="1:6" ht="28.5" x14ac:dyDescent="0.2">
      <c r="A3" s="6" t="s">
        <v>155</v>
      </c>
      <c r="B3" s="6" t="s">
        <v>156</v>
      </c>
      <c r="C3" s="27">
        <v>0.5</v>
      </c>
      <c r="D3" s="6" t="s">
        <v>74</v>
      </c>
      <c r="E3" s="22" t="s">
        <v>196</v>
      </c>
      <c r="F3" s="5"/>
    </row>
    <row r="4" spans="1:6" ht="71.25" x14ac:dyDescent="0.2">
      <c r="A4" s="5" t="s">
        <v>83</v>
      </c>
      <c r="B4" s="6" t="s">
        <v>66</v>
      </c>
      <c r="C4" s="9">
        <v>75</v>
      </c>
      <c r="D4" s="5" t="s">
        <v>67</v>
      </c>
      <c r="E4" s="22" t="s">
        <v>126</v>
      </c>
      <c r="F4" s="5" t="s">
        <v>125</v>
      </c>
    </row>
    <row r="5" spans="1:6" ht="42.75" x14ac:dyDescent="0.2">
      <c r="A5" s="5" t="s">
        <v>98</v>
      </c>
      <c r="B5" s="6" t="s">
        <v>115</v>
      </c>
      <c r="C5" s="46">
        <f>0.0145</f>
        <v>1.4500000000000001E-2</v>
      </c>
      <c r="D5" s="5" t="s">
        <v>112</v>
      </c>
      <c r="E5" s="22" t="s">
        <v>117</v>
      </c>
      <c r="F5" s="5" t="s">
        <v>116</v>
      </c>
    </row>
    <row r="6" spans="1:6" ht="57" x14ac:dyDescent="0.2">
      <c r="A6" s="5" t="s">
        <v>118</v>
      </c>
      <c r="B6" s="6" t="s">
        <v>119</v>
      </c>
      <c r="C6" s="23">
        <f>5000*800/773.1</f>
        <v>5173.9749062217043</v>
      </c>
      <c r="D6" s="5" t="s">
        <v>120</v>
      </c>
      <c r="E6" s="22" t="s">
        <v>127</v>
      </c>
      <c r="F6" s="5" t="s">
        <v>184</v>
      </c>
    </row>
    <row r="7" spans="1:6" ht="57" x14ac:dyDescent="0.2">
      <c r="A7" s="40" t="s">
        <v>176</v>
      </c>
      <c r="B7" s="38" t="s">
        <v>180</v>
      </c>
      <c r="C7" s="63">
        <f>36703.01902*800/596.2</f>
        <v>49249.27074136195</v>
      </c>
      <c r="D7" s="40" t="s">
        <v>179</v>
      </c>
      <c r="E7" s="42" t="s">
        <v>183</v>
      </c>
      <c r="F7" s="5" t="s">
        <v>185</v>
      </c>
    </row>
    <row r="8" spans="1:6" ht="57" x14ac:dyDescent="0.2">
      <c r="A8" s="5" t="s">
        <v>175</v>
      </c>
      <c r="B8" s="6" t="s">
        <v>177</v>
      </c>
      <c r="C8" s="23">
        <f>1989043*800/596.2</f>
        <v>2668960.7514256961</v>
      </c>
      <c r="D8" s="5" t="s">
        <v>178</v>
      </c>
      <c r="E8" s="22" t="s">
        <v>19</v>
      </c>
      <c r="F8" s="5" t="s">
        <v>185</v>
      </c>
    </row>
    <row r="9" spans="1:6" ht="28.5" x14ac:dyDescent="0.2">
      <c r="A9" s="5" t="s">
        <v>85</v>
      </c>
      <c r="B9" s="5" t="s">
        <v>32</v>
      </c>
      <c r="C9" s="9">
        <v>0</v>
      </c>
      <c r="D9" s="5" t="s">
        <v>16</v>
      </c>
      <c r="E9" s="5" t="s">
        <v>147</v>
      </c>
      <c r="F9" s="5"/>
    </row>
    <row r="10" spans="1:6" ht="28.5" x14ac:dyDescent="0.2">
      <c r="A10" s="5" t="s">
        <v>152</v>
      </c>
      <c r="B10" s="5" t="s">
        <v>153</v>
      </c>
      <c r="C10" s="8">
        <v>1000</v>
      </c>
      <c r="D10" s="5" t="s">
        <v>46</v>
      </c>
      <c r="E10" s="5"/>
      <c r="F10" s="5"/>
    </row>
    <row r="11" spans="1:6" ht="42.75" x14ac:dyDescent="0.2">
      <c r="A11" s="6" t="s">
        <v>82</v>
      </c>
      <c r="B11" s="6" t="s">
        <v>77</v>
      </c>
      <c r="C11" s="11">
        <v>0.9</v>
      </c>
      <c r="D11" s="6"/>
      <c r="E11" s="22" t="s">
        <v>78</v>
      </c>
      <c r="F11" s="5"/>
    </row>
    <row r="12" spans="1:6" ht="28.5" x14ac:dyDescent="0.2">
      <c r="A12" s="40" t="s">
        <v>95</v>
      </c>
      <c r="B12" s="40" t="s">
        <v>173</v>
      </c>
      <c r="C12" s="62">
        <v>0.3</v>
      </c>
      <c r="D12" s="40"/>
      <c r="E12" s="42"/>
      <c r="F12" s="5"/>
    </row>
    <row r="13" spans="1:6" ht="28.5" x14ac:dyDescent="0.2">
      <c r="A13" s="6" t="s">
        <v>95</v>
      </c>
      <c r="B13" s="6" t="s">
        <v>64</v>
      </c>
      <c r="C13" s="11">
        <v>7.0000000000000007E-2</v>
      </c>
      <c r="D13" s="6"/>
      <c r="E13" s="22" t="s">
        <v>22</v>
      </c>
    </row>
    <row r="14" spans="1:6" ht="42.75" x14ac:dyDescent="0.2">
      <c r="A14" s="6" t="s">
        <v>140</v>
      </c>
      <c r="B14" s="6" t="s">
        <v>143</v>
      </c>
      <c r="C14" s="10">
        <f>0.8/10</f>
        <v>0.08</v>
      </c>
      <c r="D14" s="6" t="s">
        <v>141</v>
      </c>
      <c r="E14" s="22" t="s">
        <v>142</v>
      </c>
    </row>
    <row r="15" spans="1:6" ht="42.75" x14ac:dyDescent="0.2">
      <c r="A15" s="6" t="s">
        <v>137</v>
      </c>
      <c r="B15" s="6" t="s">
        <v>138</v>
      </c>
      <c r="C15" s="10">
        <v>0.22</v>
      </c>
      <c r="D15" s="6" t="s">
        <v>21</v>
      </c>
      <c r="E15" s="22" t="s">
        <v>144</v>
      </c>
    </row>
    <row r="16" spans="1:6" ht="42.75" x14ac:dyDescent="0.2">
      <c r="A16" s="6" t="s">
        <v>80</v>
      </c>
      <c r="B16" s="6" t="s">
        <v>33</v>
      </c>
      <c r="C16" s="10">
        <v>1.23</v>
      </c>
      <c r="D16" s="6" t="s">
        <v>53</v>
      </c>
      <c r="E16" s="22" t="s">
        <v>18</v>
      </c>
    </row>
    <row r="17" spans="1:6" ht="15.75" x14ac:dyDescent="0.2">
      <c r="A17" s="5" t="s">
        <v>86</v>
      </c>
      <c r="B17" s="5" t="s">
        <v>11</v>
      </c>
      <c r="C17" s="8">
        <v>96485.33212331</v>
      </c>
      <c r="D17" s="5" t="s">
        <v>12</v>
      </c>
      <c r="E17" s="5"/>
      <c r="F17" s="5"/>
    </row>
    <row r="18" spans="1:6" x14ac:dyDescent="0.2">
      <c r="A18" s="5" t="s">
        <v>136</v>
      </c>
      <c r="B18" s="5" t="s">
        <v>9</v>
      </c>
      <c r="C18" s="5">
        <v>8.3144720000000003</v>
      </c>
      <c r="D18" s="5" t="s">
        <v>10</v>
      </c>
      <c r="E18" s="5"/>
      <c r="F18" s="5"/>
    </row>
    <row r="19" spans="1:6" ht="17.25" x14ac:dyDescent="0.2">
      <c r="A19" s="5" t="s">
        <v>84</v>
      </c>
      <c r="B19" s="5" t="s">
        <v>42</v>
      </c>
      <c r="C19" s="9">
        <v>44.009500000000003</v>
      </c>
      <c r="D19" s="5" t="s">
        <v>28</v>
      </c>
      <c r="E19" s="5"/>
      <c r="F19" s="5"/>
    </row>
    <row r="20" spans="1:6" ht="17.25" x14ac:dyDescent="0.2">
      <c r="A20" s="6" t="s">
        <v>93</v>
      </c>
      <c r="B20" s="6" t="s">
        <v>71</v>
      </c>
      <c r="C20" s="9">
        <v>138.2055</v>
      </c>
      <c r="D20" s="5" t="s">
        <v>28</v>
      </c>
      <c r="E20" s="5"/>
      <c r="F20" s="5"/>
    </row>
    <row r="21" spans="1:6" ht="17.25" x14ac:dyDescent="0.2">
      <c r="A21" s="5" t="s">
        <v>91</v>
      </c>
      <c r="B21" s="6" t="s">
        <v>45</v>
      </c>
      <c r="C21" s="9">
        <v>31.998799999999999</v>
      </c>
      <c r="D21" s="5" t="s">
        <v>28</v>
      </c>
      <c r="E21" s="5"/>
      <c r="F21" s="5"/>
    </row>
    <row r="22" spans="1:6" x14ac:dyDescent="0.2">
      <c r="A22" s="5" t="s">
        <v>100</v>
      </c>
      <c r="B22" s="5" t="s">
        <v>43</v>
      </c>
      <c r="C22" s="9">
        <v>18.015799999999999</v>
      </c>
      <c r="D22" s="5" t="s">
        <v>28</v>
      </c>
      <c r="E22" s="5"/>
      <c r="F22" s="5"/>
    </row>
    <row r="23" spans="1:6" x14ac:dyDescent="0.2">
      <c r="A23" s="5" t="s">
        <v>92</v>
      </c>
      <c r="B23" s="5" t="s">
        <v>14</v>
      </c>
      <c r="C23" s="8">
        <v>101325</v>
      </c>
      <c r="D23" s="5" t="s">
        <v>15</v>
      </c>
      <c r="E23" s="5"/>
      <c r="F23" s="5"/>
    </row>
    <row r="24" spans="1:6" ht="28.5" x14ac:dyDescent="0.2">
      <c r="A24" s="5" t="s">
        <v>105</v>
      </c>
      <c r="B24" s="5" t="s">
        <v>106</v>
      </c>
      <c r="C24" s="11">
        <f>350/365</f>
        <v>0.95890410958904104</v>
      </c>
      <c r="D24" s="5"/>
      <c r="E24" s="5"/>
      <c r="F24" s="5"/>
    </row>
    <row r="25" spans="1:6" ht="28.5" x14ac:dyDescent="0.2">
      <c r="A25" s="5" t="s">
        <v>110</v>
      </c>
      <c r="B25" s="5" t="s">
        <v>111</v>
      </c>
      <c r="C25" s="27">
        <v>0</v>
      </c>
      <c r="D25" s="5"/>
      <c r="E25" s="5"/>
      <c r="F25" s="5"/>
    </row>
    <row r="26" spans="1:6" ht="28.5" x14ac:dyDescent="0.2">
      <c r="A26" s="5" t="s">
        <v>107</v>
      </c>
      <c r="B26" s="5" t="s">
        <v>108</v>
      </c>
      <c r="C26" s="30">
        <v>10</v>
      </c>
      <c r="D26" s="5" t="s">
        <v>109</v>
      </c>
      <c r="E26" s="5"/>
      <c r="F26" s="5"/>
    </row>
    <row r="27" spans="1:6" ht="28.5" x14ac:dyDescent="0.2">
      <c r="A27" s="5" t="s">
        <v>102</v>
      </c>
      <c r="B27" s="5" t="s">
        <v>103</v>
      </c>
      <c r="C27" s="29">
        <v>2500</v>
      </c>
      <c r="D27" s="5" t="s">
        <v>104</v>
      </c>
      <c r="E27" s="5"/>
      <c r="F27" s="5"/>
    </row>
    <row r="28" spans="1:6" ht="28.5" x14ac:dyDescent="0.2">
      <c r="A28" s="5" t="s">
        <v>123</v>
      </c>
      <c r="B28" s="6" t="s">
        <v>124</v>
      </c>
      <c r="C28" s="29">
        <v>1</v>
      </c>
      <c r="D28" s="5" t="s">
        <v>109</v>
      </c>
      <c r="E28" s="5"/>
      <c r="F28" s="5"/>
    </row>
    <row r="29" spans="1:6" ht="42.75" x14ac:dyDescent="0.2">
      <c r="A29" s="6" t="s">
        <v>101</v>
      </c>
      <c r="B29" s="6" t="s">
        <v>73</v>
      </c>
      <c r="C29" s="11">
        <v>0.05</v>
      </c>
      <c r="D29" s="6"/>
      <c r="E29" s="22"/>
      <c r="F29" s="5"/>
    </row>
    <row r="30" spans="1:6" ht="31.5" x14ac:dyDescent="0.2">
      <c r="A30" s="38" t="s">
        <v>181</v>
      </c>
      <c r="B30" s="38" t="s">
        <v>182</v>
      </c>
      <c r="C30" s="53">
        <v>500</v>
      </c>
      <c r="D30" s="38" t="s">
        <v>197</v>
      </c>
      <c r="E30" s="42"/>
      <c r="F30" s="5"/>
    </row>
    <row r="31" spans="1:6" ht="28.5" x14ac:dyDescent="0.2">
      <c r="A31" s="6" t="s">
        <v>99</v>
      </c>
      <c r="B31" s="6" t="s">
        <v>72</v>
      </c>
      <c r="C31" s="27">
        <v>2500</v>
      </c>
      <c r="D31" s="6" t="s">
        <v>114</v>
      </c>
      <c r="E31" s="22"/>
      <c r="F31" s="5"/>
    </row>
    <row r="32" spans="1:6" ht="28.5" x14ac:dyDescent="0.2">
      <c r="A32" s="6" t="s">
        <v>94</v>
      </c>
      <c r="B32" s="6" t="s">
        <v>36</v>
      </c>
      <c r="C32" s="6">
        <v>10</v>
      </c>
      <c r="D32" s="6" t="s">
        <v>20</v>
      </c>
      <c r="E32" s="22" t="s">
        <v>19</v>
      </c>
      <c r="F32" s="5"/>
    </row>
    <row r="33" spans="1:6" ht="28.5" x14ac:dyDescent="0.2">
      <c r="A33" s="6" t="s">
        <v>81</v>
      </c>
      <c r="B33" s="6" t="s">
        <v>34</v>
      </c>
      <c r="C33" s="6">
        <v>0.247</v>
      </c>
      <c r="D33" s="6" t="s">
        <v>17</v>
      </c>
      <c r="E33" s="22" t="s">
        <v>19</v>
      </c>
      <c r="F33" s="5"/>
    </row>
    <row r="34" spans="1:6" ht="28.5" x14ac:dyDescent="0.2">
      <c r="A34" s="6" t="s">
        <v>79</v>
      </c>
      <c r="B34" s="6" t="s">
        <v>35</v>
      </c>
      <c r="C34" s="6">
        <f>0.041*1000</f>
        <v>41</v>
      </c>
      <c r="D34" s="6" t="s">
        <v>122</v>
      </c>
      <c r="E34" s="22" t="s">
        <v>19</v>
      </c>
      <c r="F34" s="5"/>
    </row>
    <row r="35" spans="1:6" ht="28.5" x14ac:dyDescent="0.2">
      <c r="A35" s="6" t="s">
        <v>96</v>
      </c>
      <c r="B35" s="6" t="s">
        <v>37</v>
      </c>
      <c r="C35" s="10">
        <v>313.14999999999998</v>
      </c>
      <c r="D35" s="6" t="s">
        <v>13</v>
      </c>
      <c r="E35" s="22" t="s">
        <v>22</v>
      </c>
      <c r="F35" s="5"/>
    </row>
    <row r="36" spans="1:6" x14ac:dyDescent="0.2">
      <c r="A36" s="5" t="s">
        <v>97</v>
      </c>
      <c r="B36" s="5" t="s">
        <v>121</v>
      </c>
      <c r="C36" s="10">
        <v>313.14999999999998</v>
      </c>
      <c r="D36" s="5" t="s">
        <v>13</v>
      </c>
      <c r="E36" s="5"/>
      <c r="F36" s="5"/>
    </row>
    <row r="37" spans="1:6" ht="15" x14ac:dyDescent="0.2">
      <c r="A37" s="15" t="s">
        <v>87</v>
      </c>
      <c r="B37" s="6" t="s">
        <v>38</v>
      </c>
      <c r="C37" s="15">
        <v>273.14999999999998</v>
      </c>
      <c r="D37" s="15" t="s">
        <v>13</v>
      </c>
      <c r="E37" s="5"/>
      <c r="F37" s="5"/>
    </row>
    <row r="38" spans="1:6" ht="28.5" x14ac:dyDescent="0.2">
      <c r="A38" s="5" t="s">
        <v>88</v>
      </c>
      <c r="B38" s="6" t="s">
        <v>39</v>
      </c>
      <c r="C38" s="8">
        <f>3600</f>
        <v>3600</v>
      </c>
      <c r="D38" s="5" t="s">
        <v>26</v>
      </c>
      <c r="E38" s="5"/>
      <c r="F38" s="5"/>
    </row>
    <row r="39" spans="1:6" ht="28.5" x14ac:dyDescent="0.2">
      <c r="A39" s="5" t="s">
        <v>89</v>
      </c>
      <c r="B39" s="6" t="s">
        <v>41</v>
      </c>
      <c r="C39" s="8">
        <f>1055870</f>
        <v>1055870</v>
      </c>
      <c r="D39" s="5" t="s">
        <v>27</v>
      </c>
      <c r="E39" s="5"/>
      <c r="F39" s="5"/>
    </row>
    <row r="40" spans="1:6" ht="28.5" x14ac:dyDescent="0.2">
      <c r="A40" s="5" t="s">
        <v>90</v>
      </c>
      <c r="B40" s="6" t="s">
        <v>40</v>
      </c>
      <c r="C40" s="8">
        <f>kJ_per_mmBtu/kJ_per_kWh</f>
        <v>293.29722222222222</v>
      </c>
      <c r="D40" s="5" t="s">
        <v>30</v>
      </c>
      <c r="E40" s="5"/>
      <c r="F40" s="5"/>
    </row>
    <row r="41" spans="1:6" x14ac:dyDescent="0.2">
      <c r="A41" s="4"/>
      <c r="F41" s="5"/>
    </row>
    <row r="42" spans="1:6" x14ac:dyDescent="0.2">
      <c r="A42" s="4"/>
    </row>
    <row r="43" spans="1:6" x14ac:dyDescent="0.2">
      <c r="A43" s="4"/>
    </row>
    <row r="44" spans="1:6" x14ac:dyDescent="0.2">
      <c r="A44" s="4"/>
    </row>
    <row r="45" spans="1:6" x14ac:dyDescent="0.2">
      <c r="A45" s="4"/>
    </row>
    <row r="46" spans="1:6" x14ac:dyDescent="0.2">
      <c r="A46" s="4"/>
    </row>
    <row r="47" spans="1:6" x14ac:dyDescent="0.2">
      <c r="A47" s="4"/>
    </row>
    <row r="48" spans="1:6" x14ac:dyDescent="0.2">
      <c r="A48" s="4"/>
    </row>
    <row r="49" spans="1:4" x14ac:dyDescent="0.2">
      <c r="A49" s="4"/>
    </row>
    <row r="50" spans="1:4" x14ac:dyDescent="0.2">
      <c r="A50" s="5"/>
      <c r="B50" s="8"/>
      <c r="C50" s="5"/>
      <c r="D50" s="5"/>
    </row>
    <row r="51" spans="1:4" x14ac:dyDescent="0.2">
      <c r="A51" s="5"/>
      <c r="B51" s="9"/>
      <c r="C51" s="5"/>
      <c r="D51" s="5"/>
    </row>
    <row r="52" spans="1:4" x14ac:dyDescent="0.2">
      <c r="B52" s="6"/>
      <c r="C52" s="6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  <hyperlink ref="E2" r:id="rId15" xr:uid="{26B26E54-2613-4497-A963-C82743557691}"/>
    <hyperlink ref="E3" r:id="rId16" xr:uid="{FB4BED79-7445-417D-831C-1C09FBC73867}"/>
  </hyperlinks>
  <pageMargins left="0.7" right="0.7" top="0.75" bottom="0.75" header="0.3" footer="0.3"/>
  <pageSetup orientation="portrait" r:id="rId17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6"/>
  <sheetViews>
    <sheetView zoomScaleNormal="100" workbookViewId="0">
      <pane xSplit="1" topLeftCell="B1" activePane="topRight" state="frozen"/>
      <selection pane="topRight" activeCell="K5" sqref="K5"/>
    </sheetView>
  </sheetViews>
  <sheetFormatPr defaultColWidth="9.140625" defaultRowHeight="14.25" x14ac:dyDescent="0.2"/>
  <cols>
    <col min="1" max="1" width="13" style="4" bestFit="1" customWidth="1"/>
    <col min="2" max="2" width="13" style="4" customWidth="1"/>
    <col min="3" max="3" width="15" style="4" bestFit="1" customWidth="1"/>
    <col min="4" max="4" width="18.7109375" style="4" bestFit="1" customWidth="1"/>
    <col min="5" max="5" width="18.7109375" style="4" customWidth="1"/>
    <col min="6" max="6" width="15.7109375" style="4" bestFit="1" customWidth="1"/>
    <col min="7" max="7" width="15.7109375" style="35" customWidth="1"/>
    <col min="8" max="8" width="17.7109375" style="4" bestFit="1" customWidth="1"/>
    <col min="9" max="9" width="16.42578125" style="4" bestFit="1" customWidth="1"/>
    <col min="10" max="10" width="13.28515625" style="4" bestFit="1" customWidth="1"/>
    <col min="11" max="11" width="15.140625" style="4" bestFit="1" customWidth="1"/>
    <col min="12" max="14" width="15.140625" style="4" customWidth="1"/>
    <col min="15" max="15" width="15.7109375" style="4" customWidth="1"/>
    <col min="16" max="16" width="23.140625" style="36" bestFit="1" customWidth="1"/>
    <col min="17" max="17" width="19.7109375" style="4" bestFit="1" customWidth="1"/>
    <col min="18" max="16384" width="9.140625" style="4"/>
  </cols>
  <sheetData>
    <row r="1" spans="1:17" ht="58.5" x14ac:dyDescent="0.2">
      <c r="A1" s="7" t="s">
        <v>48</v>
      </c>
      <c r="B1" s="7" t="s">
        <v>61</v>
      </c>
      <c r="C1" s="7" t="s">
        <v>49</v>
      </c>
      <c r="D1" s="7" t="s">
        <v>56</v>
      </c>
      <c r="E1" s="7" t="s">
        <v>57</v>
      </c>
      <c r="F1" s="7" t="s">
        <v>50</v>
      </c>
      <c r="G1" s="26" t="s">
        <v>65</v>
      </c>
      <c r="H1" s="7" t="s">
        <v>60</v>
      </c>
      <c r="I1" s="7" t="s">
        <v>51</v>
      </c>
      <c r="J1" s="7" t="s">
        <v>52</v>
      </c>
      <c r="K1" s="7" t="s">
        <v>58</v>
      </c>
      <c r="L1" s="7" t="s">
        <v>70</v>
      </c>
      <c r="M1" s="7" t="s">
        <v>189</v>
      </c>
      <c r="N1" s="7" t="s">
        <v>188</v>
      </c>
      <c r="O1" s="12" t="s">
        <v>23</v>
      </c>
      <c r="P1" s="12" t="s">
        <v>59</v>
      </c>
      <c r="Q1" s="12" t="s">
        <v>192</v>
      </c>
    </row>
    <row r="2" spans="1:17" ht="17.25" x14ac:dyDescent="0.2">
      <c r="A2" s="5" t="s">
        <v>55</v>
      </c>
      <c r="B2" s="5" t="s">
        <v>62</v>
      </c>
      <c r="C2" s="9">
        <f>1.007947*2</f>
        <v>2.0158939999999999</v>
      </c>
      <c r="D2" s="5">
        <v>2</v>
      </c>
      <c r="E2" s="5">
        <v>0</v>
      </c>
      <c r="F2" s="23">
        <v>120087</v>
      </c>
      <c r="G2" s="9">
        <v>2</v>
      </c>
      <c r="H2" s="5">
        <v>0</v>
      </c>
      <c r="I2" s="6"/>
      <c r="J2" s="6"/>
      <c r="K2" s="6"/>
      <c r="L2" s="6"/>
      <c r="M2" s="6"/>
      <c r="N2" s="6"/>
      <c r="O2" s="5"/>
      <c r="P2" s="5"/>
      <c r="Q2" s="5"/>
    </row>
    <row r="3" spans="1:17" ht="85.5" x14ac:dyDescent="0.2">
      <c r="A3" s="5" t="s">
        <v>47</v>
      </c>
      <c r="B3" s="5" t="s">
        <v>62</v>
      </c>
      <c r="C3" s="9">
        <v>28.010100000000001</v>
      </c>
      <c r="D3" s="5">
        <v>2</v>
      </c>
      <c r="E3" s="5">
        <v>1</v>
      </c>
      <c r="F3" s="23">
        <v>10160</v>
      </c>
      <c r="G3" s="9">
        <f>0.6*(1.015^(2024-2001))</f>
        <v>0.84502629276592345</v>
      </c>
      <c r="H3" s="10">
        <v>-0.06</v>
      </c>
      <c r="I3" s="67">
        <f>-2.35-0.197-Products[[#This Row],[Standard potential, pH = 0 (V vs SHE)]]</f>
        <v>-2.4870000000000001</v>
      </c>
      <c r="J3" s="40">
        <v>-182</v>
      </c>
      <c r="K3" s="67">
        <v>1</v>
      </c>
      <c r="L3" s="10">
        <v>0.9</v>
      </c>
      <c r="M3" s="65">
        <v>0.66700000000000004</v>
      </c>
      <c r="N3" s="68">
        <v>312.39999999999998</v>
      </c>
      <c r="O3" s="22" t="s">
        <v>19</v>
      </c>
      <c r="P3" s="33" t="s">
        <v>187</v>
      </c>
      <c r="Q3" s="5"/>
    </row>
    <row r="4" spans="1:17" ht="71.25" x14ac:dyDescent="0.2">
      <c r="A4" s="5" t="s">
        <v>172</v>
      </c>
      <c r="B4" s="6" t="s">
        <v>151</v>
      </c>
      <c r="C4" s="10">
        <v>90.03</v>
      </c>
      <c r="D4" s="5">
        <v>2</v>
      </c>
      <c r="E4" s="5">
        <v>2</v>
      </c>
      <c r="F4" s="66">
        <v>10000</v>
      </c>
      <c r="G4" s="9">
        <v>0.7</v>
      </c>
      <c r="H4" s="10">
        <v>-0.51</v>
      </c>
      <c r="I4" s="67">
        <f>-1.8+0.197-Products[[#This Row],[Standard potential, pH = 0 (V vs SHE)]]</f>
        <v>-1.093</v>
      </c>
      <c r="J4" s="40">
        <f>0.2*1000/(3.2-5.2)</f>
        <v>-100</v>
      </c>
      <c r="K4" s="67">
        <v>5.6</v>
      </c>
      <c r="L4" s="6">
        <v>0.7</v>
      </c>
      <c r="M4" s="65">
        <v>0.66700000000000004</v>
      </c>
      <c r="N4" s="68">
        <v>314</v>
      </c>
      <c r="O4" s="22" t="s">
        <v>200</v>
      </c>
      <c r="P4" s="33" t="s">
        <v>194</v>
      </c>
      <c r="Q4" s="22" t="s">
        <v>195</v>
      </c>
    </row>
    <row r="5" spans="1:17" s="34" customFormat="1" ht="28.5" x14ac:dyDescent="0.2">
      <c r="A5" s="6" t="s">
        <v>150</v>
      </c>
      <c r="B5" s="5" t="s">
        <v>151</v>
      </c>
      <c r="C5" s="9">
        <v>46.024999999999999</v>
      </c>
      <c r="D5" s="5">
        <v>2</v>
      </c>
      <c r="E5" s="5">
        <v>1</v>
      </c>
      <c r="F5" s="63">
        <v>5400</v>
      </c>
      <c r="G5" s="9">
        <v>0.83</v>
      </c>
      <c r="H5" s="10">
        <v>-7.0000000000000007E-2</v>
      </c>
      <c r="I5" s="67"/>
      <c r="J5" s="67"/>
      <c r="K5" s="67"/>
      <c r="L5" s="6">
        <v>0.74</v>
      </c>
      <c r="M5" s="65">
        <v>0.66700000000000004</v>
      </c>
      <c r="N5" s="44"/>
      <c r="O5" s="22" t="s">
        <v>19</v>
      </c>
      <c r="P5" s="33" t="s">
        <v>193</v>
      </c>
      <c r="Q5" s="22" t="s">
        <v>199</v>
      </c>
    </row>
    <row r="6" spans="1:17" ht="42.75" x14ac:dyDescent="0.2">
      <c r="A6" s="24" t="s">
        <v>23</v>
      </c>
      <c r="B6" s="25" t="s">
        <v>63</v>
      </c>
      <c r="C6" s="25" t="s">
        <v>63</v>
      </c>
      <c r="D6" s="22" t="s">
        <v>128</v>
      </c>
      <c r="E6" s="25" t="s">
        <v>63</v>
      </c>
      <c r="F6" s="22" t="s">
        <v>198</v>
      </c>
      <c r="G6" s="25" t="s">
        <v>68</v>
      </c>
      <c r="H6" s="22" t="s">
        <v>129</v>
      </c>
      <c r="I6" s="25" t="s">
        <v>54</v>
      </c>
      <c r="J6" s="25" t="s">
        <v>54</v>
      </c>
      <c r="K6" s="25" t="s">
        <v>54</v>
      </c>
      <c r="L6" s="25"/>
      <c r="M6" s="25"/>
      <c r="N6" s="51"/>
      <c r="O6" s="24"/>
      <c r="P6" s="24"/>
      <c r="Q6" s="5"/>
    </row>
  </sheetData>
  <phoneticPr fontId="18" type="noConversion"/>
  <hyperlinks>
    <hyperlink ref="D6" r:id="rId1" display="Nitopi Jaramillo Chem Rev 2019" xr:uid="{A6CEC16A-5A29-4C4B-B6DC-2F13839F3E5E}"/>
    <hyperlink ref="F6" r:id="rId2" xr:uid="{0D86F13D-1D29-453A-84F4-38B2E4DB70A8}"/>
    <hyperlink ref="H6" r:id="rId3" display="Bui Weber Chem Rev 2022" xr:uid="{D54C8481-3AD6-4B97-878B-D2C90AD4D097}"/>
    <hyperlink ref="O5" r:id="rId4" xr:uid="{8DCF1B3E-E4C0-4519-B0A4-B9CFE6918586}"/>
    <hyperlink ref="O3" r:id="rId5" xr:uid="{A4F65FF6-C6EC-40B1-9701-93F5858A18BD}"/>
    <hyperlink ref="P3" r:id="rId6" display="Jouny, Jiao I&amp;EC 2018" xr:uid="{055CF2D0-A5B8-4CD1-86AB-6306FD0BDCB1}"/>
    <hyperlink ref="P4" r:id="rId7" display="Official Journal of the European Union 2018/931; BusinessAnalytiq" xr:uid="{EE1F26C5-F40D-4FF5-8A7F-D7509C148F0D}"/>
    <hyperlink ref="Q4" r:id="rId8" display="Business Analytiq (accessed 2024)" xr:uid="{42FBBE18-D944-424A-B062-2455F7054E13}"/>
    <hyperlink ref="P5" r:id="rId9" xr:uid="{D048CC37-2D11-4A65-9080-6BC0AFBCF8DF}"/>
    <hyperlink ref="Q5" r:id="rId10" xr:uid="{16A2176F-1FEA-47A1-ACB0-305BD770F6C4}"/>
    <hyperlink ref="O4" r:id="rId11" display="Gennaro, Saveant (Faraday Trans. 1996)" xr:uid="{7978DE13-367D-4230-95ED-F9E3350D0932}"/>
  </hyperlinks>
  <pageMargins left="0.7" right="0.7" top="0.75" bottom="0.75" header="0.3" footer="0.3"/>
  <pageSetup orientation="portrait" r:id="rId12"/>
  <legacyDrawing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K7"/>
  <sheetViews>
    <sheetView zoomScaleNormal="100" workbookViewId="0">
      <selection activeCell="C5" sqref="C5"/>
    </sheetView>
  </sheetViews>
  <sheetFormatPr defaultRowHeight="15" x14ac:dyDescent="0.25"/>
  <cols>
    <col min="1" max="1" width="13.5703125" bestFit="1" customWidth="1"/>
    <col min="2" max="2" width="15.85546875" bestFit="1" customWidth="1"/>
    <col min="3" max="3" width="16.140625" bestFit="1" customWidth="1"/>
    <col min="4" max="4" width="13.5703125" bestFit="1" customWidth="1"/>
    <col min="5" max="5" width="15" bestFit="1" customWidth="1"/>
    <col min="6" max="6" width="15" customWidth="1"/>
    <col min="7" max="10" width="16.42578125" customWidth="1"/>
    <col min="11" max="11" width="17.5703125" bestFit="1" customWidth="1"/>
  </cols>
  <sheetData>
    <row r="1" spans="1:11" ht="74.25" x14ac:dyDescent="0.25">
      <c r="A1" s="49" t="s">
        <v>158</v>
      </c>
      <c r="B1" s="7" t="s">
        <v>49</v>
      </c>
      <c r="C1" s="26" t="s">
        <v>159</v>
      </c>
      <c r="D1" s="5" t="s">
        <v>191</v>
      </c>
      <c r="E1" s="6" t="s">
        <v>162</v>
      </c>
      <c r="F1" s="6" t="s">
        <v>206</v>
      </c>
      <c r="G1" s="6" t="s">
        <v>174</v>
      </c>
      <c r="H1" s="6" t="s">
        <v>201</v>
      </c>
      <c r="I1" s="6" t="s">
        <v>203</v>
      </c>
      <c r="J1" s="6" t="s">
        <v>202</v>
      </c>
      <c r="K1" s="6" t="s">
        <v>23</v>
      </c>
    </row>
    <row r="2" spans="1:11" ht="42.75" x14ac:dyDescent="0.25">
      <c r="A2" s="47" t="s">
        <v>146</v>
      </c>
      <c r="B2" s="9">
        <v>41.052</v>
      </c>
      <c r="C2" s="9">
        <v>2.7</v>
      </c>
      <c r="D2" s="8">
        <v>782.5</v>
      </c>
      <c r="E2" s="10">
        <v>0.36899999999999999</v>
      </c>
      <c r="F2" s="10">
        <f>1/60.7</f>
        <v>1.6474464579901153E-2</v>
      </c>
      <c r="G2" s="10">
        <f>Products6[[#This Row],[Henry''s constant at 298K, CO2 (mole fraction/atm)]]*9.8692/(1-Products6[[#This Row],[Henry''s constant at 298K, CO2 (mole fraction/atm)]]*9.8692)</f>
        <v>0.19415787278579127</v>
      </c>
      <c r="H2" s="10">
        <f>273.15+81.6</f>
        <v>354.75</v>
      </c>
      <c r="I2" s="8">
        <f>11.9*1000</f>
        <v>11900</v>
      </c>
      <c r="J2" s="8" t="s">
        <v>204</v>
      </c>
      <c r="K2" s="42" t="s">
        <v>207</v>
      </c>
    </row>
    <row r="3" spans="1:11" ht="42.75" x14ac:dyDescent="0.25">
      <c r="A3" s="47" t="s">
        <v>166</v>
      </c>
      <c r="B3" s="9">
        <v>102.089</v>
      </c>
      <c r="C3" s="9">
        <v>0.90700000000000003</v>
      </c>
      <c r="D3" s="8">
        <v>1204.7</v>
      </c>
      <c r="E3" s="10">
        <v>2.5299999999999998</v>
      </c>
      <c r="F3" s="10">
        <f>1/82.1</f>
        <v>1.2180267965895251E-2</v>
      </c>
      <c r="G3" s="10">
        <f>Products6[[#This Row],[Henry''s constant at 298K, CO2 (mole fraction/atm)]]*9.8692/(1-Products6[[#This Row],[Henry''s constant at 298K, CO2 (mole fraction/atm)]]*9.8692)</f>
        <v>0.13663423359564064</v>
      </c>
      <c r="H3" s="10">
        <f>273.15+241.6</f>
        <v>514.75</v>
      </c>
      <c r="I3" s="8">
        <f>0.05*1000</f>
        <v>50</v>
      </c>
      <c r="J3" s="64" t="s">
        <v>209</v>
      </c>
      <c r="K3" s="42" t="s">
        <v>207</v>
      </c>
    </row>
    <row r="4" spans="1:11" ht="42.75" x14ac:dyDescent="0.25">
      <c r="A4" s="54" t="s">
        <v>167</v>
      </c>
      <c r="B4" s="9">
        <v>78.132999999999996</v>
      </c>
      <c r="C4" s="9">
        <v>2.66</v>
      </c>
      <c r="D4" s="8">
        <v>1101</v>
      </c>
      <c r="E4" s="10">
        <v>1.9870000000000001</v>
      </c>
      <c r="F4" s="10">
        <f>1/101.6</f>
        <v>9.8425196850393699E-3</v>
      </c>
      <c r="G4" s="10">
        <f>Products6[[#This Row],[Henry''s constant at 298K, CO2 (mole fraction/atm)]]*9.8692/(1-Products6[[#This Row],[Henry''s constant at 298K, CO2 (mole fraction/atm)]]*9.8692)</f>
        <v>0.10758872701426347</v>
      </c>
      <c r="H4" s="10">
        <f>273.15+191.9</f>
        <v>465.04999999999995</v>
      </c>
      <c r="I4" s="8">
        <f>0.084*1000</f>
        <v>84</v>
      </c>
      <c r="J4" s="8" t="s">
        <v>208</v>
      </c>
      <c r="K4" s="42" t="s">
        <v>207</v>
      </c>
    </row>
    <row r="5" spans="1:11" ht="42.75" x14ac:dyDescent="0.25">
      <c r="A5" s="54" t="s">
        <v>190</v>
      </c>
      <c r="B5" s="9">
        <v>73.093999999999994</v>
      </c>
      <c r="C5" s="9">
        <v>1</v>
      </c>
      <c r="D5" s="8">
        <v>944.5</v>
      </c>
      <c r="E5" s="10">
        <v>0.79400000000000004</v>
      </c>
      <c r="F5" s="10">
        <f>1/65.3</f>
        <v>1.5313935681470138E-2</v>
      </c>
      <c r="G5" s="10">
        <f>Products6[[#This Row],[Henry''s constant at 298K, CO2 (mole fraction/atm)]]*9.8692/(1-Products6[[#This Row],[Henry''s constant at 298K, CO2 (mole fraction/atm)]]*9.8692)</f>
        <v>0.17804541879244029</v>
      </c>
      <c r="H5" s="10">
        <f>273.15+152.8</f>
        <v>425.95</v>
      </c>
      <c r="I5" s="8">
        <f>0.439*1000</f>
        <v>439</v>
      </c>
      <c r="J5" s="8" t="s">
        <v>204</v>
      </c>
      <c r="K5" s="42" t="s">
        <v>207</v>
      </c>
    </row>
    <row r="7" spans="1:11" ht="28.5" x14ac:dyDescent="0.25">
      <c r="A7" s="69" t="s">
        <v>205</v>
      </c>
    </row>
  </sheetData>
  <phoneticPr fontId="18" type="noConversion"/>
  <hyperlinks>
    <hyperlink ref="K2" r:id="rId1" display="Izutsu (Wiley 2009)" xr:uid="{3CE65C60-DA75-4595-8CAA-88F2C9A358C9}"/>
    <hyperlink ref="K3" r:id="rId2" display="Izutsu (Wiley 2009)" xr:uid="{6B0DA7F9-0782-4596-8B42-F9EBE5175294}"/>
    <hyperlink ref="K4" r:id="rId3" display="Izutsu (Wiley 2009)" xr:uid="{55B29BD6-B10F-4DCF-93BE-7B2953D8D605}"/>
    <hyperlink ref="K5" r:id="rId4" display="Izutsu (Wiley 2009)" xr:uid="{A3AEBAE1-B668-4BB3-9056-8F0FA6D1359D}"/>
  </hyperlinks>
  <pageMargins left="0.7" right="0.7" top="0.75" bottom="0.75" header="0.3" footer="0.3"/>
  <pageSetup orientation="portrait" r:id="rId5"/>
  <legacy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I5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17.140625" bestFit="1" customWidth="1"/>
    <col min="2" max="2" width="20.42578125" bestFit="1" customWidth="1"/>
    <col min="3" max="3" width="16.140625" bestFit="1" customWidth="1"/>
    <col min="4" max="4" width="18.28515625" bestFit="1" customWidth="1"/>
    <col min="5" max="5" width="17.5703125" customWidth="1"/>
    <col min="6" max="6" width="19.5703125" bestFit="1" customWidth="1"/>
    <col min="7" max="7" width="12.7109375" bestFit="1" customWidth="1"/>
    <col min="8" max="8" width="28.5703125" customWidth="1"/>
    <col min="9" max="9" width="22.5703125" customWidth="1"/>
  </cols>
  <sheetData>
    <row r="1" spans="1:9" ht="28.5" x14ac:dyDescent="0.25">
      <c r="A1" s="49" t="s">
        <v>160</v>
      </c>
      <c r="B1" s="7" t="s">
        <v>49</v>
      </c>
      <c r="C1" s="26" t="s">
        <v>165</v>
      </c>
      <c r="D1" s="6" t="s">
        <v>163</v>
      </c>
      <c r="E1" s="38" t="s">
        <v>161</v>
      </c>
      <c r="F1" s="38" t="s">
        <v>164</v>
      </c>
      <c r="G1" s="6" t="s">
        <v>23</v>
      </c>
      <c r="H1" s="12" t="s">
        <v>59</v>
      </c>
    </row>
    <row r="2" spans="1:9" ht="57" x14ac:dyDescent="0.25">
      <c r="A2" s="47" t="s">
        <v>149</v>
      </c>
      <c r="B2" s="9">
        <v>341.91</v>
      </c>
      <c r="C2" s="9">
        <v>10</v>
      </c>
      <c r="D2" s="52">
        <f>0.75/100</f>
        <v>7.4999999999999997E-3</v>
      </c>
      <c r="E2" s="39">
        <v>0.89</v>
      </c>
      <c r="F2" s="41">
        <v>6E-10</v>
      </c>
      <c r="G2" s="42" t="s">
        <v>148</v>
      </c>
      <c r="H2" s="42" t="s">
        <v>139</v>
      </c>
      <c r="I2" s="40" t="s">
        <v>145</v>
      </c>
    </row>
    <row r="3" spans="1:9" ht="42.75" x14ac:dyDescent="0.25">
      <c r="A3" s="48" t="s">
        <v>168</v>
      </c>
      <c r="B3" s="9">
        <v>329.27</v>
      </c>
      <c r="C3" s="9">
        <v>10</v>
      </c>
      <c r="D3" s="43">
        <v>0.01</v>
      </c>
      <c r="E3" s="40"/>
      <c r="F3" s="45"/>
      <c r="G3" s="42" t="s">
        <v>170</v>
      </c>
      <c r="H3" s="45"/>
      <c r="I3" s="37"/>
    </row>
    <row r="4" spans="1:9" ht="57" x14ac:dyDescent="0.25">
      <c r="A4" s="48" t="s">
        <v>169</v>
      </c>
      <c r="B4" s="9">
        <v>217.06</v>
      </c>
      <c r="C4" s="9">
        <v>10</v>
      </c>
      <c r="D4" s="43">
        <v>0.01</v>
      </c>
      <c r="E4" s="38"/>
      <c r="F4" s="45"/>
      <c r="G4" s="42" t="s">
        <v>171</v>
      </c>
      <c r="H4" s="45"/>
      <c r="I4" s="37"/>
    </row>
    <row r="5" spans="1:9" x14ac:dyDescent="0.25">
      <c r="A5" s="47"/>
      <c r="B5" s="50"/>
      <c r="C5" s="50"/>
      <c r="D5" s="37"/>
      <c r="E5" s="24"/>
      <c r="F5" s="37"/>
      <c r="G5" s="5"/>
      <c r="H5" s="37"/>
      <c r="I5" s="37"/>
    </row>
  </sheetData>
  <phoneticPr fontId="18" type="noConversion"/>
  <hyperlinks>
    <hyperlink ref="G2" r:id="rId1" display="Sigma-Aldrich; acetonitrile" xr:uid="{57133E53-0E09-45A4-B177-CDDD279FC5F5}"/>
    <hyperlink ref="H2" r:id="rId2" xr:uid="{C39A51B0-B47C-49B0-B277-5D1A3A5EC524}"/>
    <hyperlink ref="G3" r:id="rId3" xr:uid="{D4570DF9-3F93-4759-8735-C33384FE78FD}"/>
    <hyperlink ref="G4" r:id="rId4" xr:uid="{6DA15248-3C49-4A1E-B665-5E2480210A1D}"/>
  </hyperlinks>
  <pageMargins left="0.7" right="0.7" top="0.75" bottom="0.75" header="0.3" footer="0.3"/>
  <legacyDrawing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selection activeCell="E5" sqref="E5"/>
    </sheetView>
  </sheetViews>
  <sheetFormatPr defaultColWidth="9.140625" defaultRowHeight="15" x14ac:dyDescent="0.25"/>
  <cols>
    <col min="1" max="1" width="28.28515625" style="13" bestFit="1" customWidth="1"/>
    <col min="2" max="2" width="19.5703125" style="57" bestFit="1" customWidth="1"/>
    <col min="3" max="3" width="23.7109375" style="57" bestFit="1" customWidth="1"/>
    <col min="4" max="4" width="23.5703125" style="3" bestFit="1" customWidth="1"/>
    <col min="5" max="5" width="22.7109375" style="3" bestFit="1" customWidth="1"/>
    <col min="6" max="6" width="12.140625" style="3" customWidth="1"/>
    <col min="7" max="16384" width="9.140625" style="3"/>
  </cols>
  <sheetData>
    <row r="1" spans="1:6" s="2" customFormat="1" ht="34.5" x14ac:dyDescent="0.25">
      <c r="A1" s="21" t="s">
        <v>0</v>
      </c>
      <c r="B1" s="55" t="s">
        <v>4</v>
      </c>
      <c r="C1" s="56" t="s">
        <v>29</v>
      </c>
      <c r="D1" s="1" t="s">
        <v>23</v>
      </c>
    </row>
    <row r="2" spans="1:6" x14ac:dyDescent="0.25">
      <c r="A2" s="16"/>
      <c r="B2" s="58"/>
      <c r="C2" s="59"/>
      <c r="D2" s="20"/>
    </row>
    <row r="3" spans="1:6" ht="75" customHeight="1" x14ac:dyDescent="0.25">
      <c r="A3" s="17" t="s">
        <v>5</v>
      </c>
      <c r="B3" s="58">
        <v>2.4E-2</v>
      </c>
      <c r="C3" s="59">
        <v>50</v>
      </c>
      <c r="D3" s="28" t="s">
        <v>130</v>
      </c>
      <c r="E3" s="71" t="s">
        <v>132</v>
      </c>
      <c r="F3" s="70" t="s">
        <v>133</v>
      </c>
    </row>
    <row r="4" spans="1:6" ht="28.5" x14ac:dyDescent="0.25">
      <c r="A4" s="17" t="s">
        <v>76</v>
      </c>
      <c r="B4" s="58">
        <v>2.4E-2</v>
      </c>
      <c r="C4" s="59">
        <v>20</v>
      </c>
      <c r="D4" s="28" t="s">
        <v>130</v>
      </c>
      <c r="E4" s="71"/>
      <c r="F4" s="70"/>
    </row>
    <row r="5" spans="1:6" ht="28.5" x14ac:dyDescent="0.25">
      <c r="A5" s="17" t="s">
        <v>75</v>
      </c>
      <c r="B5" s="58">
        <v>4.2000000000000003E-2</v>
      </c>
      <c r="C5" s="59"/>
      <c r="D5" s="28" t="s">
        <v>131</v>
      </c>
    </row>
    <row r="6" spans="1:6" ht="57" x14ac:dyDescent="0.25">
      <c r="A6" s="17" t="s">
        <v>2</v>
      </c>
      <c r="B6" s="58">
        <f>16.05/100</f>
        <v>0.1605</v>
      </c>
      <c r="C6" s="59">
        <v>230.93061430996579</v>
      </c>
      <c r="D6" s="28" t="s">
        <v>134</v>
      </c>
    </row>
    <row r="7" spans="1:6" ht="71.25" x14ac:dyDescent="0.25">
      <c r="A7" s="17" t="s">
        <v>1</v>
      </c>
      <c r="B7" s="58">
        <f>8.19/100</f>
        <v>8.1900000000000001E-2</v>
      </c>
      <c r="C7" s="59">
        <v>414.10433834299573</v>
      </c>
      <c r="D7" s="28" t="s">
        <v>186</v>
      </c>
    </row>
    <row r="8" spans="1:6" ht="71.25" x14ac:dyDescent="0.25">
      <c r="A8" s="17" t="s">
        <v>3</v>
      </c>
      <c r="B8" s="58">
        <f>2.22/kWh_per_mmBtu</f>
        <v>7.5691136219420956E-3</v>
      </c>
      <c r="C8" s="59">
        <f>70.66/1000*kJ_per_kWh</f>
        <v>254.376</v>
      </c>
      <c r="D8" s="18" t="s">
        <v>135</v>
      </c>
    </row>
    <row r="9" spans="1:6" ht="28.5" x14ac:dyDescent="0.25">
      <c r="A9" s="17" t="s">
        <v>44</v>
      </c>
      <c r="B9" s="58">
        <v>0.03</v>
      </c>
      <c r="C9" s="60"/>
      <c r="D9" s="32" t="s">
        <v>19</v>
      </c>
    </row>
    <row r="10" spans="1:6" x14ac:dyDescent="0.25">
      <c r="A10" s="17"/>
      <c r="B10" s="58"/>
      <c r="C10" s="60"/>
      <c r="D10" s="31"/>
    </row>
    <row r="11" spans="1:6" x14ac:dyDescent="0.25">
      <c r="A11" s="17" t="s">
        <v>24</v>
      </c>
      <c r="B11" s="58">
        <f>B7</f>
        <v>8.1900000000000001E-2</v>
      </c>
      <c r="C11" s="60">
        <f>C7</f>
        <v>414.10433834299573</v>
      </c>
      <c r="D11" s="31"/>
    </row>
    <row r="12" spans="1:6" x14ac:dyDescent="0.25">
      <c r="A12" s="19" t="s">
        <v>25</v>
      </c>
      <c r="B12" s="61">
        <f>B8</f>
        <v>7.5691136219420956E-3</v>
      </c>
      <c r="C12" s="60">
        <f>C8</f>
        <v>254.376</v>
      </c>
      <c r="D12" s="31"/>
    </row>
    <row r="13" spans="1:6" x14ac:dyDescent="0.25">
      <c r="A13" s="19"/>
      <c r="B13" s="61"/>
      <c r="C13" s="60"/>
      <c r="D13" s="31"/>
    </row>
    <row r="14" spans="1:6" x14ac:dyDescent="0.25">
      <c r="A14" s="17" t="s">
        <v>69</v>
      </c>
      <c r="B14" s="58">
        <v>200</v>
      </c>
      <c r="C14" s="60"/>
      <c r="D14" s="32" t="s">
        <v>113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2025-01-21T22:26:40Z</dcterms:modified>
</cp:coreProperties>
</file>