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shashwati_dacunha_austin_utexas_edu/Documents/RCL Code/TEA/Non-aqueous/"/>
    </mc:Choice>
  </mc:AlternateContent>
  <xr:revisionPtr revIDLastSave="2065" documentId="8_{31750E0B-A732-4503-8EA8-2753BAB2D178}" xr6:coauthVersionLast="47" xr6:coauthVersionMax="47" xr10:uidLastSave="{5F6427A4-2FA9-4A2B-9296-5CAB2FCB92C5}"/>
  <bookViews>
    <workbookView xWindow="2265" yWindow="2595" windowWidth="21600" windowHeight="11235" activeTab="2" xr2:uid="{A43CA30C-0C57-4CA9-B7DA-D833452F41BC}"/>
  </bookViews>
  <sheets>
    <sheet name="Constants and assumptions" sheetId="2" r:id="rId1"/>
    <sheet name="Products" sheetId="7" r:id="rId2"/>
    <sheet name="Solvents" sheetId="9" r:id="rId3"/>
    <sheet name="Supporting electrolytes" sheetId="10" r:id="rId4"/>
    <sheet name="Utilities" sheetId="3" r:id="rId5"/>
  </sheets>
  <definedNames>
    <definedName name="CO2_elec">Utilities!$C$11</definedName>
    <definedName name="CO2_heat">Utilities!$C$12</definedName>
    <definedName name="cost_elec">Utilities!$B$11</definedName>
    <definedName name="cost_heat">Utilities!$B$12</definedName>
    <definedName name="crossover_acid">'Constants and assumptions'!#REF!</definedName>
    <definedName name="crossover_alkaline">'Constants and assumptions'!#REF!</definedName>
    <definedName name="crossover_neutral">'Constants and assumptions'!$C$9</definedName>
    <definedName name="F">'Constants and assumptions'!$C$17</definedName>
    <definedName name="K_to_C">'Constants and assumptions'!$C$37</definedName>
    <definedName name="kJ_per_kWh">'Constants and assumptions'!$C$38</definedName>
    <definedName name="kJ_per_mmBtu">'Constants and assumptions'!$C$39</definedName>
    <definedName name="kWh_per_mmBtu">'Constants and assumptions'!$C$40</definedName>
    <definedName name="mol_s_per_mA">#REF!</definedName>
    <definedName name="mol_s_per_sccm">#REF!</definedName>
    <definedName name="MW_CO">Products!$C$3</definedName>
    <definedName name="P">'Constants and assumptions'!$C$23</definedName>
    <definedName name="R_">'Constants and assumptions'!$C$18</definedName>
    <definedName name="separation_efficiency">'Constants and assumptions'!$C$13</definedName>
    <definedName name="T">'Constants and assumptions'!$C$36</definedName>
    <definedName name="T_sep">'Constants and assumptions'!$C$35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D5" i="10"/>
  <c r="D4" i="10"/>
  <c r="D3" i="10"/>
  <c r="G5" i="9"/>
  <c r="G4" i="9"/>
  <c r="G3" i="9"/>
  <c r="D2" i="10"/>
  <c r="F3" i="9" l="1"/>
  <c r="H3" i="9" s="1"/>
  <c r="J5" i="9"/>
  <c r="I5" i="9"/>
  <c r="J2" i="9"/>
  <c r="J4" i="9"/>
  <c r="I4" i="9"/>
  <c r="J3" i="9"/>
  <c r="I3" i="9"/>
  <c r="I2" i="9"/>
  <c r="F5" i="9"/>
  <c r="H5" i="9" s="1"/>
  <c r="F4" i="9"/>
  <c r="H4" i="9" s="1"/>
  <c r="F2" i="9"/>
  <c r="H2" i="9" s="1"/>
  <c r="C7" i="2" s="1"/>
  <c r="J4" i="7"/>
  <c r="C11" i="3"/>
  <c r="G3" i="7"/>
  <c r="B7" i="3" l="1"/>
  <c r="C6" i="2"/>
  <c r="I3" i="7" l="1"/>
  <c r="I4" i="7"/>
  <c r="C14" i="2"/>
  <c r="C5" i="2"/>
  <c r="C24" i="2"/>
  <c r="C34" i="2"/>
  <c r="C38" i="2"/>
  <c r="C39" i="2"/>
  <c r="B6" i="3"/>
  <c r="C40" i="2" l="1"/>
  <c r="B11" i="3"/>
  <c r="C2" i="7" l="1"/>
  <c r="C8" i="3" l="1"/>
  <c r="C12" i="3" l="1"/>
  <c r="B8" i="3" l="1"/>
  <c r="B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tc={590A5A62-3982-41DC-A19D-6D062F91F28E}</author>
    <author>tc={ADC85B62-F8B0-4820-A968-870FAF95942C}</author>
  </authors>
  <commentList>
    <comment ref="C2" authorId="0" shapeId="0" xr:uid="{590A5A62-3982-41DC-A19D-6D062F91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Dos Reis data</t>
      </text>
    </comment>
    <comment ref="C3" authorId="1" shapeId="0" xr:uid="{ADC85B62-F8B0-4820-A968-870FAF95942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Averaged from literature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tc={4BADFAB7-76AF-444F-91EF-5DC354E714D4}</author>
    <author>tc={70A0C8CB-3A8C-48E4-A4A0-92D06DADCA1C}</author>
    <author>tc={E6E48448-0E21-41A5-B06E-F65140C42E87}</author>
    <author>tc={D9B01A9E-9FFA-448D-A0A9-79E915973C3A}</author>
    <author>tc={9C7BA66E-4710-4766-B736-DAB2C4C5EA8C}</author>
    <author>tc={F0232A46-C9BF-49E2-A4AA-DE559C7A6D71}</author>
    <author>tc={38772031-2712-4E60-AF4C-BC7506EB126A}</author>
    <author>tc={19966830-0D20-46F0-AE3D-88797573DA5E}</author>
    <author>tc={61AD334A-127F-49E9-826D-132D83D54FFE}</author>
    <author>tc={D3F419E4-0AC2-42D8-AE74-03450151D28F}</author>
    <author>tc={CF7FF991-BD99-42BD-BE0C-DD9BF8B9A73E}</author>
    <author>tc={F3E0BD3F-9F26-4F73-B97C-92F5976365D6}</author>
  </authors>
  <commentList>
    <comment ref="F2" authorId="0" shapeId="0" xr:uid="{4BADFAB7-76AF-444F-91EF-5DC354E714D4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</t>
      </text>
    </comment>
    <comment ref="F3" authorId="1" shapeId="0" xr:uid="{70A0C8CB-3A8C-48E4-A4A0-92D06DAD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</t>
      </text>
    </comment>
    <comment ref="I3" authorId="2" shapeId="0" xr:uid="{E6E48448-0E21-41A5-B06E-F65140C42E87}">
      <text>
        <t>[Threaded comment]
Your version of Excel allows you to read this threaded comment; however, any edits to it will get removed if the file is opened in a newer version of Excel. Learn more: https://go.microsoft.com/fwlink/?linkid=870924
Comment:
    TBAClO4 in AC N on Ag - McGregor Resasco Nat Cat 2024</t>
      </text>
    </comment>
    <comment ref="J3" authorId="3" shapeId="0" xr:uid="{D9B01A9E-9FFA-448D-A0A9-79E915973C3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McGregor Resasco Nat Cat 2024</t>
      </text>
    </comment>
    <comment ref="L3" authorId="4" shapeId="0" xr:uid="{9C7BA66E-4710-4766-B736-DAB2C4C5EA8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25 datapoints making CO</t>
      </text>
    </comment>
    <comment ref="N3" authorId="5" shapeId="0" xr:uid="{F0232A46-C9BF-49E2-A4AA-DE559C7A6D71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DMF</t>
      </text>
    </comment>
    <comment ref="J4" authorId="6" shapeId="0" xr:uid="{38772031-2712-4E60-AF4C-BC7506EB126A}">
      <text>
        <t>[Threaded comment]
Your version of Excel allows you to read this threaded comment; however, any edits to it will get removed if the file is opened in a newer version of Excel. Learn more: https://go.microsoft.com/fwlink/?linkid=870924
Comment:
    Saveant - RT over Hg in ACN</t>
      </text>
    </comment>
    <comment ref="K4" authorId="7" shapeId="0" xr:uid="{19966830-0D20-46F0-AE3D-88797573DA5E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Applied Electrochem 1981
Reply:
    DMF, 0.2 M TEACl, Pb vs Al, undivided cell</t>
      </text>
    </comment>
    <comment ref="L4" authorId="8" shapeId="0" xr:uid="{61AD334A-127F-49E9-826D-132D83D54FFE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50 datapoints making any oxalates or OA</t>
      </text>
    </comment>
    <comment ref="N4" authorId="9" shapeId="0" xr:uid="{D3F419E4-0AC2-42D8-AE74-03450151D28F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DMSO</t>
      </text>
    </comment>
    <comment ref="F5" authorId="10" shapeId="0" xr:uid="{CF7FF991-BD99-42BD-BE0C-DD9BF8B9A73E}">
      <text>
        <t>[Threaded comment]
Your version of Excel allows you to read this threaded comment; however, any edits to it will get removed if the file is opened in a newer version of Excel. Learn more: https://go.microsoft.com/fwlink/?linkid=870924
Comment:
    Muller Stolten J CO2 Util 2025 
Reply:
    Should be able to just calculate from thermo of water condensation</t>
      </text>
    </comment>
    <comment ref="L5" authorId="11" shapeId="0" xr:uid="{F3E0BD3F-9F26-4F73-B97C-92F5976365D6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5 datapoints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tc={E5AC3F3D-5F46-4C07-9B89-304D65BB0E75}</author>
    <author>tc={ECC5778C-B306-4101-9455-D2B811F9E1B3}</author>
    <author>tc={F67C249D-9E0C-448B-A8C7-01734972A047}</author>
    <author>tc={1A47F35F-C8C5-428F-B841-B07DB6CB6586}</author>
    <author>tc={1F00EE09-7981-4B53-A2FE-8E9564200CBF}</author>
    <author>tc={CCFAFA67-1AB3-4E10-B472-4734839B5FB8}</author>
    <author>tc={7E768D53-988A-46AE-8800-331D2B19C4CA}</author>
    <author>tc={F72D791D-203F-48D2-BBE6-FB8C410089E4}</author>
    <author>tc={46705330-D6EB-4863-A1A8-B104F2E8D6B3}</author>
    <author>tc={168996AD-382A-4647-91D8-9337C1109D7E}</author>
    <author>tc={64FBC311-9AC9-4A86-9F4C-B513D1E820CD}</author>
    <author>tc={03642210-2394-46F4-A4C6-05E5974668C8}</author>
    <author>tc={44C8D15E-D18E-42F7-B8B2-A65CC53CBB8C}</author>
    <author>tc={8C14FDD1-22B7-4F70-B01E-C665917CE3E4}</author>
    <author>tc={0182AE5B-5F63-4940-956C-D441191E1036}</author>
    <author>tc={DD06A995-3E0B-473D-8CCE-79C9FDD92985}</author>
    <author>tc={BF97B819-C241-44FC-AA8D-937FDD0CF315}</author>
    <author>tc={24A6F79D-F1B1-486E-8E16-0DF2EB3ECD76}</author>
    <author>tc={3E35980D-20DB-4345-B9FE-BEA0317F7EBB}</author>
    <author>tc={A557D283-8D16-4ED2-AC97-8D87D241B088}</author>
    <author>tc={1983A994-3FCC-4917-A080-32AC954B27A3}</author>
    <author>tc={F163D6D5-0931-443B-A93F-1C0E825E55FE}</author>
    <author>tc={5EA6F35C-447A-4F92-B17C-594D64D62197}</author>
    <author>tc={918158CC-13D0-4406-9FA6-83AE98F2FB61}</author>
    <author>tc={5D6620EE-D7DA-4BD1-9DEC-F1DFA3B16F63}</author>
    <author>tc={7EC05627-69D0-4FD7-BD41-0D34F6398A4A}</author>
    <author>tc={86D5D7AE-BF34-4CC2-BAB5-EB71EAF53309}</author>
    <author>tc={3A5F5CB1-C285-495B-87E8-AE2A789DD37B}</author>
    <author>tc={4E6C45D9-A547-4A85-8E31-46455E39B2F7}</author>
    <author>tc={C9E7B65A-8DF8-424A-AFB0-85F34FB8C5A3}</author>
    <author>tc={699871B5-28D8-4F74-810A-11C06F2FFAC4}</author>
  </authors>
  <commentList>
    <comment ref="B2" authorId="0" shapeId="0" xr:uid="{E5AC3F3D-5F46-4C07-9B89-304D65BB0E7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2" authorId="1" shapeId="0" xr:uid="{ECC5778C-B306-4101-9455-D2B811F9E1B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https://www.intratec.us/chemical-markets/acetonitrile-price</t>
      </text>
    </comment>
    <comment ref="D2" authorId="2" shapeId="0" xr:uid="{F67C249D-9E0C-448B-A8C7-01734972A04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2" authorId="3" shapeId="0" xr:uid="{1A47F35F-C8C5-428F-B841-B07DB6CB658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2" authorId="4" shapeId="0" xr:uid="{1F00EE09-7981-4B53-A2FE-8E9564200CB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https://pubs.acs.org/doi/full/10.1021/ie0605377 38.08
Reply:
    1.69e-2
Reply:
    https://doi.org/10.1016/0022-0728(90)87217-8 60.7</t>
      </text>
    </comment>
    <comment ref="I2" authorId="5" shapeId="0" xr:uid="{CCFAFA67-1AB3-4E10-B472-4734839B5FB8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2" authorId="6" shapeId="0" xr:uid="{7E768D53-988A-46AE-8800-331D2B19C4C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2" authorId="7" shapeId="0" xr:uid="{F72D791D-203F-48D2-BBE6-FB8C410089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3" authorId="8" shapeId="0" xr:uid="{46705330-D6EB-4863-A1A8-B104F2E8D6B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3" authorId="9" shapeId="0" xr:uid="{168996AD-382A-4647-91D8-9337C1109D7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https://www.imarcgroup.com/propylene-carbonate-pricing-report</t>
      </text>
    </comment>
    <comment ref="D3" authorId="10" shapeId="0" xr:uid="{64FBC311-9AC9-4A86-9F4C-B513D1E820CD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3" authorId="11" shapeId="0" xr:uid="{03642210-2394-46F4-A4C6-05E5974668C8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 2009 Table 1.1</t>
      </text>
    </comment>
    <comment ref="F3" authorId="12" shapeId="0" xr:uid="{44C8D15E-D18E-42F7-B8B2-A65CC53CBB8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https://doi.org/10.1016/0378-3812(88)80106-7</t>
      </text>
    </comment>
    <comment ref="I3" authorId="13" shapeId="0" xr:uid="{8C14FDD1-22B7-4F70-B01E-C665917CE3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3" authorId="14" shapeId="0" xr:uid="{0182AE5B-5F63-4940-956C-D441191E103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4" authorId="15" shapeId="0" xr:uid="{DD06A995-3E0B-473D-8CCE-79C9FDD9298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4" authorId="16" shapeId="0" xr:uid="{BF97B819-C241-44FC-AA8D-937FDD0CF3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https://www.imarcgroup.com/dimethyl-sulfoxide-pricing-report
</t>
      </text>
    </comment>
    <comment ref="D4" authorId="17" shapeId="0" xr:uid="{24A6F79D-F1B1-486E-8E16-0DF2EB3ECD7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4" authorId="18" shapeId="0" xr:uid="{3E35980D-20DB-4345-B9FE-BEA0317F7EBB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4" authorId="19" shapeId="0" xr:uid="{A557D283-8D16-4ED2-AC97-8D87D241B088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3 in https://www.sciencedirect.com/science/article/pii/S0021961419306883#f0030
Reply:
    https://doi.org/10.1016/0022-0728(90)87217-8 101.6</t>
      </text>
    </comment>
    <comment ref="I4" authorId="20" shapeId="0" xr:uid="{1983A994-3FCC-4917-A080-32AC954B27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4" authorId="21" shapeId="0" xr:uid="{F163D6D5-0931-443B-A93F-1C0E825E55F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4" authorId="22" shapeId="0" xr:uid="{5EA6F35C-447A-4F92-B17C-594D64D6219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5" authorId="23" shapeId="0" xr:uid="{918158CC-13D0-4406-9FA6-83AE98F2FB61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5" authorId="24" shapeId="0" xr:uid="{5D6620EE-D7DA-4BD1-9DEC-F1DFA3B16F6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https://businessanalytiq.com/procurementanalytics/index/dimethylformamide-dmf-price-index/
Reply:
    https://www.procurementresource.com/resource-center/dmf-dimethylformamide-price-trends
Reply:
    Averaged the above roughly</t>
      </text>
    </comment>
    <comment ref="D5" authorId="25" shapeId="0" xr:uid="{7EC05627-69D0-4FD7-BD41-0D34F6398A4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5" authorId="26" shapeId="0" xr:uid="{86D5D7AE-BF34-4CC2-BAB5-EB71EAF53309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5" authorId="27" shapeId="0" xr:uid="{3A5F5CB1-C285-495B-87E8-AE2A789DD37B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https://doi.org/10.1016/0022-0728(90)87217-8 65.3</t>
      </text>
    </comment>
    <comment ref="I5" authorId="28" shapeId="0" xr:uid="{4E6C45D9-A547-4A85-8E31-46455E39B2F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5" authorId="29" shapeId="0" xr:uid="{C9E7B65A-8DF8-424A-AFB0-85F34FB8C5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5" authorId="30" shapeId="0" xr:uid="{699871B5-28D8-4F74-810A-11C06F2FFAC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tc={07BD2C0B-3DD0-40BC-AD52-A79697FDE249}</author>
    <author>tc={12C0EC02-9084-4697-8B56-C3293339F20B}</author>
    <author>tc={18ECACC2-E30B-407C-B2EF-2D02470F19E2}</author>
    <author>tc={224EC866-413C-4C24-91AC-D4B821D21361}</author>
    <author>tc={2EA54DCB-79E7-4A67-94B1-01E68FDD14D9}</author>
    <author>tc={24EDBDE4-89F6-4893-A249-65F70D6F4EB5}</author>
    <author>tc={FE69842F-8058-427E-A379-A3530412D42F}</author>
    <author>tc={D8A725FE-F27F-4CE0-B881-3504A580D1E3}</author>
  </authors>
  <commentList>
    <comment ref="C2" authorId="0" shapeId="0" xr:uid="{07BD2C0B-3DD0-40BC-AD52-A79697FDE24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Chen Hallett Green Chem 2014
Reply:
    https://pubs.acs.org/doi/10.1021/acssuschemeng.0c03061 $10-40 / kg IL (AHAs)</t>
      </text>
    </comment>
    <comment ref="D2" authorId="1" shapeId="0" xr:uid="{12C0EC02-9084-4697-8B56-C3293339F20B}">
      <text>
        <t>[Threaded comment]
Your version of Excel allows you to read this threaded comment; however, any edits to it will get removed if the file is opened in a newer version of Excel. Learn more: https://go.microsoft.com/fwlink/?linkid=870924
Comment:
    Darling Brushett Energy Env Sci 2014, 0.1 M, averaging all solvents</t>
      </text>
    </comment>
    <comment ref="C3" authorId="2" shapeId="0" xr:uid="{18ECACC2-E30B-407C-B2EF-2D02470F19E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Chen Hallett Green Chem 2014
Reply:
    https://pubs.acs.org/doi/10.1021/acssuschemeng.0c03061 $10-40 / kg IL (AHAs)</t>
      </text>
    </comment>
    <comment ref="D3" authorId="3" shapeId="0" xr:uid="{224EC866-413C-4C24-91AC-D4B821D2136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https://www.emerson.com/documents/automation/manual-conductance-data-for-commonly-used-chemicals-rosemount-en-68896.pdf - Pr4NClO4 in ACN
Reply:
    Factor of ⅗ to correct for multiple solvents being averaged</t>
      </text>
    </comment>
    <comment ref="C4" authorId="4" shapeId="0" xr:uid="{2EA54DCB-79E7-4A67-94B1-01E68FDD14D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Chen Hallett Green Chem 2014
Reply:
    https://pubs.acs.org/doi/10.1021/acssuschemeng.0c03061 $10-40 / kg IL (AHAs)</t>
      </text>
    </comment>
    <comment ref="D4" authorId="5" shapeId="0" xr:uid="{24EDBDE4-89F6-4893-A249-65F70D6F4EB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https://www.emerson.com/documents/automation/manual-conductance-data-for-commonly-used-chemicals-rosemount-en-68896.pdf - Pr4NClO4 in ACN
Reply:
    Factor of ⅗ to correct for multiple solvents being averaged</t>
      </text>
    </comment>
    <comment ref="C5" authorId="6" shapeId="0" xr:uid="{FE69842F-8058-427E-A379-A3530412D42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Chen Hallett Green Chem 2014
Reply:
    https://pubs.acs.org/doi/10.1021/acssuschemeng.0c03061 $10-40 / kg IL (AHAs)</t>
      </text>
    </comment>
    <comment ref="D5" authorId="7" shapeId="0" xr:uid="{D8A725FE-F27F-4CE0-B881-3504A580D1E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https://www.emerson.com/documents/automation/manual-conductance-data-for-commonly-used-chemicals-rosemount-en-68896.pdf - Pr4NI in ACN
Reply:
    Factor of ⅗ to correct for multiple solvents being averaged</t>
      </text>
    </comment>
  </commentList>
</comments>
</file>

<file path=xl/sharedStrings.xml><?xml version="1.0" encoding="utf-8"?>
<sst xmlns="http://schemas.openxmlformats.org/spreadsheetml/2006/main" count="241" uniqueCount="208">
  <si>
    <t>Utility</t>
  </si>
  <si>
    <t>Electricity - current US mix</t>
  </si>
  <si>
    <t>Electricity - current California mix</t>
  </si>
  <si>
    <t>Heat - NG</t>
  </si>
  <si>
    <t>Cost ($/kWh)</t>
  </si>
  <si>
    <t>Electricity - solar</t>
  </si>
  <si>
    <t>Name</t>
  </si>
  <si>
    <t>Value</t>
  </si>
  <si>
    <t>Unit</t>
  </si>
  <si>
    <t>R</t>
  </si>
  <si>
    <t>J/mol.K</t>
  </si>
  <si>
    <t>F</t>
  </si>
  <si>
    <r>
      <t>C/mol e</t>
    </r>
    <r>
      <rPr>
        <vertAlign val="superscript"/>
        <sz val="11"/>
        <rFont val="Arial Nova"/>
        <family val="2"/>
      </rPr>
      <t>-</t>
    </r>
  </si>
  <si>
    <t>K</t>
  </si>
  <si>
    <t>P</t>
  </si>
  <si>
    <t>Pa</t>
  </si>
  <si>
    <r>
      <t>mol CO</t>
    </r>
    <r>
      <rPr>
        <vertAlign val="subscript"/>
        <sz val="11"/>
        <rFont val="Arial Nova"/>
        <family val="2"/>
      </rPr>
      <t>2</t>
    </r>
    <r>
      <rPr>
        <sz val="11"/>
        <rFont val="Arial Nova"/>
        <family val="2"/>
      </rPr>
      <t>/mol e</t>
    </r>
    <r>
      <rPr>
        <vertAlign val="superscript"/>
        <sz val="11"/>
        <rFont val="Arial Nova"/>
        <family val="2"/>
      </rPr>
      <t>-</t>
    </r>
  </si>
  <si>
    <t>V</t>
  </si>
  <si>
    <t>Weng, Weber (Energy Environ. Sci. 2019)</t>
  </si>
  <si>
    <t>Shin, Jiao (Nat. Sust. 2021)</t>
  </si>
  <si>
    <r>
      <t>mA/cm</t>
    </r>
    <r>
      <rPr>
        <vertAlign val="superscript"/>
        <sz val="11"/>
        <color theme="1"/>
        <rFont val="Arial Nova"/>
        <family val="2"/>
      </rPr>
      <t>2</t>
    </r>
  </si>
  <si>
    <r>
      <t>Ω.cm</t>
    </r>
    <r>
      <rPr>
        <vertAlign val="superscript"/>
        <sz val="11"/>
        <color theme="1"/>
        <rFont val="Arial Nova"/>
        <family val="2"/>
      </rPr>
      <t>2</t>
    </r>
  </si>
  <si>
    <t>Moore, Hahn (Joule 2023)</t>
  </si>
  <si>
    <t>References</t>
  </si>
  <si>
    <t>Electric utility chosen</t>
  </si>
  <si>
    <t>Heat utility chosen</t>
  </si>
  <si>
    <t>kJ/kWh</t>
  </si>
  <si>
    <t>kJ/mmBtu</t>
  </si>
  <si>
    <t>g/mol</t>
  </si>
  <si>
    <r>
      <t>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 xml:space="preserve"> emissions (g 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>/kWh)</t>
    </r>
  </si>
  <si>
    <t>kWh/mmBtu</t>
  </si>
  <si>
    <t>Variable name</t>
  </si>
  <si>
    <t>crossover_neutral</t>
  </si>
  <si>
    <t>an_E_eqm</t>
  </si>
  <si>
    <t>an_eta_ref</t>
  </si>
  <si>
    <t>an_Tafel_slope</t>
  </si>
  <si>
    <t>an_j_ref</t>
  </si>
  <si>
    <t>T_sep</t>
  </si>
  <si>
    <t>K_to_C</t>
  </si>
  <si>
    <t>kJ_per_kWh</t>
  </si>
  <si>
    <t>kWh_per_mmBtu</t>
  </si>
  <si>
    <t>kJ_per_mmBtu</t>
  </si>
  <si>
    <t>MW_CO2</t>
  </si>
  <si>
    <t>MW_H2O</t>
  </si>
  <si>
    <t>Shin, Jiao assumption</t>
  </si>
  <si>
    <t>MW_O2</t>
  </si>
  <si>
    <r>
      <t>kg/m</t>
    </r>
    <r>
      <rPr>
        <vertAlign val="superscript"/>
        <sz val="11"/>
        <rFont val="Arial Nova"/>
        <family val="2"/>
      </rPr>
      <t>3</t>
    </r>
  </si>
  <si>
    <t>CO</t>
  </si>
  <si>
    <t>Product</t>
  </si>
  <si>
    <t>Molecular weight (g/mol)</t>
  </si>
  <si>
    <t>LHV (kJ/kg product)</t>
  </si>
  <si>
    <t>Reference overpotential (V)</t>
  </si>
  <si>
    <t>Tafel slope (mV/dec)</t>
  </si>
  <si>
    <t>V vs RHE</t>
  </si>
  <si>
    <t>See References col</t>
  </si>
  <si>
    <r>
      <t>H</t>
    </r>
    <r>
      <rPr>
        <vertAlign val="subscript"/>
        <sz val="11"/>
        <rFont val="Arial Nova"/>
        <family val="2"/>
      </rPr>
      <t>2</t>
    </r>
  </si>
  <si>
    <r>
      <t>n (mol e</t>
    </r>
    <r>
      <rPr>
        <b/>
        <vertAlign val="superscript"/>
        <sz val="11"/>
        <rFont val="Arial Nova"/>
        <family val="2"/>
      </rPr>
      <t>-</t>
    </r>
    <r>
      <rPr>
        <b/>
        <sz val="11"/>
        <rFont val="Arial Nova"/>
        <family val="2"/>
      </rPr>
      <t>/ mol product)</t>
    </r>
  </si>
  <si>
    <r>
      <t>z (mol CO</t>
    </r>
    <r>
      <rPr>
        <b/>
        <vertAlign val="subscript"/>
        <sz val="11"/>
        <rFont val="Arial Nova"/>
        <family val="2"/>
      </rPr>
      <t>2</t>
    </r>
    <r>
      <rPr>
        <b/>
        <sz val="11"/>
        <rFont val="Arial Nova"/>
        <family val="2"/>
      </rPr>
      <t>/ mol product)</t>
    </r>
  </si>
  <si>
    <r>
      <t>Reference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</si>
  <si>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>References 2</t>
  </si>
  <si>
    <t>Standard potential, pH = 0 (V vs SHE)</t>
  </si>
  <si>
    <t>Phase</t>
  </si>
  <si>
    <t>gas</t>
  </si>
  <si>
    <t>-</t>
  </si>
  <si>
    <t>PSA_second_law_efficiency</t>
  </si>
  <si>
    <t>Cost ($/kg product)</t>
  </si>
  <si>
    <t>CO2_cost_USD_tCO2</t>
  </si>
  <si>
    <r>
      <t>$/t CO</t>
    </r>
    <r>
      <rPr>
        <vertAlign val="subscript"/>
        <sz val="11"/>
        <rFont val="Arial Nova"/>
        <family val="2"/>
      </rPr>
      <t>2</t>
    </r>
  </si>
  <si>
    <t>See References 2 col</t>
  </si>
  <si>
    <t>Battery storage</t>
  </si>
  <si>
    <r>
      <t>FE</t>
    </r>
    <r>
      <rPr>
        <b/>
        <vertAlign val="subscript"/>
        <sz val="11"/>
        <rFont val="Arial Nova"/>
        <family val="2"/>
      </rPr>
      <t>CO2R</t>
    </r>
    <r>
      <rPr>
        <b/>
        <sz val="11"/>
        <rFont val="Arial Nova"/>
        <family val="2"/>
      </rPr>
      <t xml:space="preserve"> at SPC = 0</t>
    </r>
  </si>
  <si>
    <t>MW_K2CO3</t>
  </si>
  <si>
    <t>excess_water_ratio</t>
  </si>
  <si>
    <t>cathode_outlet_humidity</t>
  </si>
  <si>
    <t>M</t>
  </si>
  <si>
    <t>Electricity - wind + storage</t>
  </si>
  <si>
    <t>Electricity - onshore wind</t>
  </si>
  <si>
    <t>carbon_capture_efficiency</t>
  </si>
  <si>
    <t>Brandl, Mac Dowell (Int. J. Greenhouse Gas Control 2021)</t>
  </si>
  <si>
    <t>Tafel slope: anode</t>
  </si>
  <si>
    <t>Equilibrium potential: OER</t>
  </si>
  <si>
    <t>Reference overpotential: OER</t>
  </si>
  <si>
    <t>Efficiency: carbon capture</t>
  </si>
  <si>
    <r>
      <t>Cost: CO</t>
    </r>
    <r>
      <rPr>
        <vertAlign val="subscript"/>
        <sz val="11"/>
        <rFont val="Arial Nova"/>
        <family val="2"/>
      </rPr>
      <t>2</t>
    </r>
  </si>
  <si>
    <r>
      <t>Molar mass: CO</t>
    </r>
    <r>
      <rPr>
        <vertAlign val="subscript"/>
        <sz val="11"/>
        <rFont val="Arial Nova"/>
        <family val="2"/>
      </rPr>
      <t>2</t>
    </r>
  </si>
  <si>
    <t>Crossover: neutral electrolyte</t>
  </si>
  <si>
    <t>Faraday's constant</t>
  </si>
  <si>
    <r>
      <t xml:space="preserve">Unit conversion: K to </t>
    </r>
    <r>
      <rPr>
        <sz val="11"/>
        <color theme="1"/>
        <rFont val="Calibri"/>
        <family val="2"/>
        <scheme val="minor"/>
      </rPr>
      <t>°C</t>
    </r>
  </si>
  <si>
    <t>Unit conversion: kWh to kJ</t>
  </si>
  <si>
    <t>Unit conversion: mmBtu to kJ</t>
  </si>
  <si>
    <t>Unit conversion: mmBtu to kWh</t>
  </si>
  <si>
    <r>
      <t>Molar mass: O</t>
    </r>
    <r>
      <rPr>
        <vertAlign val="subscript"/>
        <sz val="11"/>
        <rFont val="Arial Nova"/>
        <family val="2"/>
      </rPr>
      <t>2</t>
    </r>
  </si>
  <si>
    <t>Pressure</t>
  </si>
  <si>
    <r>
      <t>Molar mass: K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CO</t>
    </r>
    <r>
      <rPr>
        <vertAlign val="subscript"/>
        <sz val="11"/>
        <color theme="1"/>
        <rFont val="Arial Nova"/>
        <family val="2"/>
      </rPr>
      <t>3</t>
    </r>
  </si>
  <si>
    <t>Reference current density: OER</t>
  </si>
  <si>
    <t>Efficiency: separations (second-law)</t>
  </si>
  <si>
    <t>Temperature: separations</t>
  </si>
  <si>
    <t>Temperature: streams</t>
  </si>
  <si>
    <t>Cost: DI water</t>
  </si>
  <si>
    <t>Ratio: Water feed vs product rate</t>
  </si>
  <si>
    <t>Molar mass: water</t>
  </si>
  <si>
    <t>Ratio: Mole fraction of water in cathode outlet gas</t>
  </si>
  <si>
    <t>Process assumption: production basis</t>
  </si>
  <si>
    <t>product_rate_kg_day</t>
  </si>
  <si>
    <t>kg/day</t>
  </si>
  <si>
    <t>Process assumption: capacity factor</t>
  </si>
  <si>
    <t>capacity_factor</t>
  </si>
  <si>
    <t>Process assumption: plant lifetime</t>
  </si>
  <si>
    <t>lifetime_years</t>
  </si>
  <si>
    <t>years</t>
  </si>
  <si>
    <t>Process assumption: default battery capacity</t>
  </si>
  <si>
    <t>battery_capacity</t>
  </si>
  <si>
    <t>$/kg</t>
  </si>
  <si>
    <t>NREL 2021</t>
  </si>
  <si>
    <t>mol/s water per mol/s oxygen</t>
  </si>
  <si>
    <t>water_cost_USD_kg</t>
  </si>
  <si>
    <t>Seider et al 2017: $0.27/m3 for process water = $0.00027/kg</t>
  </si>
  <si>
    <t>Alerte, Sargent (ACS Sust. Chem. Eng. 2023): $14.5/tonne DI</t>
  </si>
  <si>
    <t>Cost: Electrolyzer</t>
  </si>
  <si>
    <t>electrolyzer_capex_USD_m2</t>
  </si>
  <si>
    <r>
      <t>$/m</t>
    </r>
    <r>
      <rPr>
        <vertAlign val="superscript"/>
        <sz val="11"/>
        <rFont val="Arial Nova"/>
        <family val="2"/>
      </rPr>
      <t>2</t>
    </r>
  </si>
  <si>
    <t>T_streams</t>
  </si>
  <si>
    <t>mV/dec</t>
  </si>
  <si>
    <t>Process assumption: stack lifetime</t>
  </si>
  <si>
    <t>stack_lifetime_years</t>
  </si>
  <si>
    <t>Average for power generation; assumes zero transportation cost but has some buffer since transport is $2-14/t CO2</t>
  </si>
  <si>
    <t>Baylin-Stern, Berghout (IEA, 2021)</t>
  </si>
  <si>
    <t>Badgett, Cortright (J. Cleaner Prod. 2022)</t>
  </si>
  <si>
    <t>Nitopi, Jaramillo (Chem. Rev. 2019)</t>
  </si>
  <si>
    <t>Bui, Weber (Chem. Rev. 2022)</t>
  </si>
  <si>
    <t>Lazard (April 2023); NREL (2021)</t>
  </si>
  <si>
    <t>Lazard (April 2023); GREET (2022)</t>
  </si>
  <si>
    <t>https://www.nrel.gov/analysis/life-cycle-assessment.html</t>
  </si>
  <si>
    <t>75th percentile, harmonized</t>
  </si>
  <si>
    <t>U.S. Energy Information Administration (April 2023) - industrial retail; GREET (2022)</t>
  </si>
  <si>
    <t>Henry Hub (via U.S. Energy Information Administration, April 2023); Chen, Allen (Procedia CIRP, 2019)</t>
  </si>
  <si>
    <t>Gas constant</t>
  </si>
  <si>
    <t>Electrolyzer assumption: Membrane ohmic resistance</t>
  </si>
  <si>
    <t>R_membrane_ohmcm2</t>
  </si>
  <si>
    <t>Electrolyzer assumption: Electrolyte thickness</t>
  </si>
  <si>
    <t>cm</t>
  </si>
  <si>
    <t>Hofsommer, Spurgeon (ACS Appl. Energy. Mat. 2023)</t>
  </si>
  <si>
    <t>electrolyte_thickness_cm</t>
  </si>
  <si>
    <t>Chemours 2024; Nafion N117 180 um</t>
  </si>
  <si>
    <t>Tried Pathania et al, but gives very high conductivity</t>
  </si>
  <si>
    <t>Acetonitrile</t>
  </si>
  <si>
    <t>Nafion membrane</t>
  </si>
  <si>
    <t>Formic acid</t>
  </si>
  <si>
    <t>liquid</t>
  </si>
  <si>
    <t>Density: aqueous solutions</t>
  </si>
  <si>
    <t>water_density_kg_m3</t>
  </si>
  <si>
    <t>Concentration: anolyte supporting electrolyte</t>
  </si>
  <si>
    <t>Concentration: catholyte supporting electrolyte</t>
  </si>
  <si>
    <t>catholyte_conc_M</t>
  </si>
  <si>
    <t>anolyte_conc_M</t>
  </si>
  <si>
    <t>Solvent</t>
  </si>
  <si>
    <t>Cost ($/kg solvent)</t>
  </si>
  <si>
    <t>Supporting electrolyte</t>
  </si>
  <si>
    <t>Viscosity (cP)</t>
  </si>
  <si>
    <t>Cost ($/kg supporting)</t>
  </si>
  <si>
    <t>Propylene carbonate</t>
  </si>
  <si>
    <t>DMSO</t>
  </si>
  <si>
    <t>Oxalic acid</t>
  </si>
  <si>
    <t>LL_second_law_efficiency</t>
  </si>
  <si>
    <r>
      <t>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solubility, 10 bar (mol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 mol solvent)</t>
    </r>
  </si>
  <si>
    <t>Cost: PSA</t>
  </si>
  <si>
    <t>Cost: L/L</t>
  </si>
  <si>
    <t>PSA_capex_USD_1000m3_hr</t>
  </si>
  <si>
    <r>
      <t>$/(1000 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/hr)</t>
    </r>
  </si>
  <si>
    <t>$/(1000 mol/hr)</t>
  </si>
  <si>
    <t>LL_capex_USD_1000mol_hr</t>
  </si>
  <si>
    <t>Ratio: Solvent feed vs product rate</t>
  </si>
  <si>
    <t>excess_solvent_ratio</t>
  </si>
  <si>
    <t>CEPCI 2021: 773.1
CEPCI 2024: ~800 (https://toweringskills.com/financial-analysis/cost-indices/)</t>
  </si>
  <si>
    <t>CEPCI 2020: 596.2
CEPCI 2024: ~800 (https://toweringskills.com/financial-analysis/cost-indices/)</t>
  </si>
  <si>
    <t>U.S. Energy Information Administration (2024 Jan - Jun average) - industrial retail; GREET (2022)</t>
  </si>
  <si>
    <t>George (Kirk-Othmer Encyclopedia 2001) adjusted by 1% inflation; but $0.1 (syngas?) in Guerra, Hodge (Joule, 2023)</t>
  </si>
  <si>
    <t>Chosen SPC, no tradeoff</t>
  </si>
  <si>
    <t>DMF</t>
  </si>
  <si>
    <r>
      <t>Density (kg/m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)</t>
    </r>
  </si>
  <si>
    <t>References 3</t>
  </si>
  <si>
    <t>iMarc, June 2024</t>
  </si>
  <si>
    <t>Official Journal of the European Union 2018/931; BusinessAnalytiq, 2024 (accessed 2025)</t>
  </si>
  <si>
    <t>Business Analytiq, 2024 (accessed 2025)</t>
  </si>
  <si>
    <r>
      <t>mol/s solvent per mol/s CO</t>
    </r>
    <r>
      <rPr>
        <vertAlign val="subscript"/>
        <sz val="11"/>
        <color theme="1"/>
        <rFont val="Arial Nova"/>
        <family val="2"/>
      </rPr>
      <t>2</t>
    </r>
  </si>
  <si>
    <t>Engineering Toolbox</t>
  </si>
  <si>
    <t>Muller Stolten J. CO2 Util. 2025</t>
  </si>
  <si>
    <t>Gennaro, Saveant (J. Chem. Soc. Faraday Trans. 1996)</t>
  </si>
  <si>
    <t>Boiling point (K)</t>
  </si>
  <si>
    <t>Solubility in water</t>
  </si>
  <si>
    <t>Vapor pressure (Pa)</t>
  </si>
  <si>
    <t>Miscible</t>
  </si>
  <si>
    <r>
      <t>Henry's constant at 298K,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(mole fraction/atm)</t>
    </r>
  </si>
  <si>
    <t>Izutsu (Wiley 2009); CRC Handbook</t>
  </si>
  <si>
    <t>Soluble</t>
  </si>
  <si>
    <t>0.175; very soluble</t>
  </si>
  <si>
    <t>Solvent loss fraction ((mol/s offgas)/ (mol/s solvent))</t>
  </si>
  <si>
    <t>TEACl</t>
  </si>
  <si>
    <t>Others: THF, DME, acetone, sulfolane</t>
  </si>
  <si>
    <t>TBAClO$_4$</t>
  </si>
  <si>
    <t>TEAClO$_4$</t>
  </si>
  <si>
    <t>TBABF$_4$</t>
  </si>
  <si>
    <t>Rantakyla, 2004</t>
  </si>
  <si>
    <t>Base case assumes mol/h of acetonitrile
CEPCI 2004: 444.2
CEPCI 2024: ~800 (https://toweringskills.com/financial-analysis/cost-indices/)</t>
  </si>
  <si>
    <t>Conductivity in ACN, 0.3 M (S/cm)</t>
  </si>
  <si>
    <t>Conductivity factor relative to ACN</t>
  </si>
  <si>
    <t>JM's estimate: 0.010 - 0.020 S/cm</t>
  </si>
  <si>
    <t>Optimal j @ 8.2 c/kWh, no tradeoff (mA/cm2)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</si>
</sst>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vertAlign val="subscript"/>
      <sz val="11"/>
      <color theme="1"/>
      <name val="Arial Nova"/>
      <family val="2"/>
    </font>
    <font>
      <b/>
      <sz val="11"/>
      <name val="Arial Nova"/>
      <family val="2"/>
    </font>
    <font>
      <sz val="11"/>
      <name val="Arial Nova"/>
      <family val="2"/>
    </font>
    <font>
      <vertAlign val="superscript"/>
      <sz val="11"/>
      <name val="Arial Nova"/>
      <family val="2"/>
    </font>
    <font>
      <vertAlign val="subscript"/>
      <sz val="11"/>
      <name val="Arial Nova"/>
      <family val="2"/>
    </font>
    <font>
      <vertAlign val="superscript"/>
      <sz val="11"/>
      <color theme="1"/>
      <name val="Arial Nova"/>
      <family val="2"/>
    </font>
    <font>
      <vertAlign val="subscript"/>
      <sz val="11"/>
      <color theme="1"/>
      <name val="Arial Nova"/>
      <family val="2"/>
    </font>
    <font>
      <i/>
      <sz val="11"/>
      <color theme="1"/>
      <name val="Arial Nova"/>
      <family val="2"/>
    </font>
    <font>
      <u/>
      <sz val="11"/>
      <name val="Arial Nova"/>
      <family val="2"/>
    </font>
    <font>
      <i/>
      <sz val="11"/>
      <name val="Arial Nova"/>
      <family val="2"/>
    </font>
    <font>
      <b/>
      <vertAlign val="superscript"/>
      <sz val="11"/>
      <name val="Arial Nova"/>
      <family val="2"/>
    </font>
    <font>
      <b/>
      <vertAlign val="subscript"/>
      <sz val="11"/>
      <name val="Arial Nov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 Nova"/>
      <family val="2"/>
    </font>
    <font>
      <u/>
      <sz val="11"/>
      <color theme="10"/>
      <name val="Arial Nova"/>
      <family val="2"/>
    </font>
    <font>
      <sz val="11"/>
      <color rgb="FFFF0000"/>
      <name val="Arial Nova"/>
      <family val="2"/>
    </font>
    <font>
      <b/>
      <sz val="11"/>
      <color rgb="FFFF0000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1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9" fontId="4" fillId="0" borderId="0" xfId="2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4" fillId="0" borderId="0" xfId="2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4" fillId="0" borderId="0" xfId="2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3" applyFont="1" applyAlignment="1">
      <alignment horizontal="center" vertical="center" wrapText="1"/>
    </xf>
    <xf numFmtId="0" fontId="12" fillId="0" borderId="0" xfId="0" applyFont="1"/>
    <xf numFmtId="2" fontId="4" fillId="0" borderId="0" xfId="0" applyNumberFormat="1" applyFont="1"/>
    <xf numFmtId="0" fontId="7" fillId="0" borderId="0" xfId="0" applyFont="1"/>
    <xf numFmtId="0" fontId="4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165" fontId="21" fillId="3" borderId="0" xfId="0" applyNumberFormat="1" applyFont="1" applyFill="1" applyAlignment="1">
      <alignment horizontal="center" vertical="center" wrapText="1"/>
    </xf>
    <xf numFmtId="1" fontId="21" fillId="3" borderId="0" xfId="0" applyNumberFormat="1" applyFont="1" applyFill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1" fontId="21" fillId="0" borderId="0" xfId="0" applyNumberFormat="1" applyFont="1" applyAlignment="1">
      <alignment horizontal="center" vertical="center" wrapText="1"/>
    </xf>
    <xf numFmtId="2" fontId="4" fillId="3" borderId="0" xfId="2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4" fillId="0" borderId="8" xfId="1" applyNumberFormat="1" applyFont="1" applyBorder="1" applyAlignment="1">
      <alignment horizontal="center" vertical="center" wrapText="1"/>
    </xf>
    <xf numFmtId="9" fontId="7" fillId="3" borderId="0" xfId="2" applyFont="1" applyFill="1" applyBorder="1" applyAlignment="1">
      <alignment horizontal="center" vertical="center" wrapText="1"/>
    </xf>
    <xf numFmtId="3" fontId="7" fillId="3" borderId="0" xfId="0" applyNumberFormat="1" applyFont="1" applyFill="1" applyAlignment="1">
      <alignment horizontal="center" vertical="center" wrapText="1"/>
    </xf>
    <xf numFmtId="2" fontId="21" fillId="3" borderId="0" xfId="0" applyNumberFormat="1" applyFont="1" applyFill="1" applyAlignment="1">
      <alignment horizontal="center" vertical="center" wrapText="1"/>
    </xf>
    <xf numFmtId="165" fontId="4" fillId="3" borderId="0" xfId="0" applyNumberFormat="1" applyFont="1" applyFill="1" applyAlignment="1">
      <alignment horizontal="center" vertical="center" wrapText="1"/>
    </xf>
    <xf numFmtId="3" fontId="22" fillId="3" borderId="0" xfId="0" applyNumberFormat="1" applyFont="1" applyFill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1" fontId="7" fillId="3" borderId="0" xfId="0" applyNumberFormat="1" applyFont="1" applyFill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1" fontId="21" fillId="3" borderId="0" xfId="0" applyNumberFormat="1" applyFont="1" applyFill="1" applyAlignment="1">
      <alignment horizontal="center" vertical="center" wrapText="1"/>
    </xf>
    <xf numFmtId="2" fontId="0" fillId="0" borderId="0" xfId="0" applyNumberFormat="1"/>
    <xf numFmtId="0" fontId="2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0" fillId="0" borderId="0" xfId="3" applyFont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15" formatCode="0.00E+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93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 Cunha, Shashwati C" id="{97EB442A-BA5A-4BA8-A59A-7061902B9186}" userId="S::shashwati.dacunha@austin.utexas.edu::3aeab326-ac30-46a2-93c7-beabe1f2d69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3E0AF-4F91-4E0C-A0FD-4101785DA193}" name="Constants" displayName="Constants" ref="A1:E40" totalsRowShown="0" headerRowDxfId="53" dataDxfId="52">
  <autoFilter ref="A1:E40" xr:uid="{4573E0AF-4F91-4E0C-A0FD-4101785DA193}"/>
  <sortState xmlns:xlrd2="http://schemas.microsoft.com/office/spreadsheetml/2017/richdata2" ref="A2:E40">
    <sortCondition ref="A1:A40"/>
  </sortState>
  <tableColumns count="5">
    <tableColumn id="1" xr3:uid="{0CD981D8-5D27-4DEC-AB19-B4CDEDE4E307}" name="Name" dataDxfId="51"/>
    <tableColumn id="5" xr3:uid="{447AB61C-D6A8-4C69-B914-F84CC2DD3D7F}" name="Variable name" dataDxfId="50"/>
    <tableColumn id="2" xr3:uid="{8D0B10A0-AAB3-497D-AACC-B47886E623F4}" name="Value" dataDxfId="49"/>
    <tableColumn id="3" xr3:uid="{13805BE1-5D36-4E51-B5A1-6DAB8482D1CA}" name="Unit" dataDxfId="48"/>
    <tableColumn id="4" xr3:uid="{D9E6851E-6681-4B84-8DD9-9DC84337FA8D}" name="References" dataDxfId="4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23130-A0D1-49F6-A5DF-27B490E4A7F3}" name="Products" displayName="Products" ref="A1:Q6" totalsRowShown="0" headerRowDxfId="46" dataDxfId="45">
  <autoFilter ref="A1:Q6" xr:uid="{89323130-A0D1-49F6-A5DF-27B490E4A7F3}"/>
  <tableColumns count="17">
    <tableColumn id="1" xr3:uid="{3C50D7C6-76ED-4D16-B177-C24A6EDEF5E8}" name="Product" dataDxfId="44"/>
    <tableColumn id="13" xr3:uid="{E3E543EF-1CAC-4E7C-917B-9F6A2A12C5A5}" name="Phase" dataDxfId="43"/>
    <tableColumn id="5" xr3:uid="{60087321-E31A-4465-97EA-5E82B4930DEF}" name="Molecular weight (g/mol)" dataDxfId="42"/>
    <tableColumn id="2" xr3:uid="{73F411CA-0C00-43A6-8E8A-2C96DEBEAE56}" name="n (mol e-/ mol product)" dataDxfId="41"/>
    <tableColumn id="12" xr3:uid="{35098869-B8D6-4322-9A6F-55D84BD00AAD}" name="z (mol CO2/ mol product)" dataDxfId="40"/>
    <tableColumn id="3" xr3:uid="{42FF57EE-C82B-4BEE-B6E3-5CDCD61D73F4}" name="LHV (kJ/kg product)" dataDxfId="39"/>
    <tableColumn id="14" xr3:uid="{E9D086E2-203C-4567-AACC-7D8FDCBCFD52}" name="Cost ($/kg product)" dataDxfId="38"/>
    <tableColumn id="6" xr3:uid="{F6536296-A5EF-4707-BAA4-8ED36A0299FD}" name="Standard potential, pH = 0 (V vs SHE)" dataDxfId="37"/>
    <tableColumn id="9" xr3:uid="{44F64A4D-679B-4F83-A0F1-9FD50BE9A102}" name="Reference overpotential (V)" dataDxfId="36"/>
    <tableColumn id="8" xr3:uid="{63FE646D-E5BD-46A5-B63F-54D7C89DFC20}" name="Tafel slope (mV/dec)" dataDxfId="35"/>
    <tableColumn id="7" xr3:uid="{8762D60F-6494-4D48-BF71-09EE6526135E}" name="Reference current density (mA/cm2)" dataDxfId="34"/>
    <tableColumn id="15" xr3:uid="{C96EBEF2-D837-4395-8D46-7E2BC536E261}" name="FECO2R at SPC = 0" dataDxfId="33"/>
    <tableColumn id="16" xr3:uid="{F3E3F633-1F65-481C-8C36-D0FBD783D2AB}" name="Chosen SPC, no tradeoff" dataDxfId="32"/>
    <tableColumn id="17" xr3:uid="{06806002-8BCC-442F-99A4-15A00506143C}" name="Optimal j @ 8.2 c/kWh, no tradeoff (mA/cm2)" dataDxfId="31"/>
    <tableColumn id="4" xr3:uid="{EA53ED90-0A02-4FC0-8D2F-B62ACD3411A0}" name="References" dataDxfId="30"/>
    <tableColumn id="10" xr3:uid="{15AF80F1-11B7-4792-895F-6EC0B2B7A7A4}" name="References 2" dataDxfId="29"/>
    <tableColumn id="11" xr3:uid="{F302EFF0-A13D-4A4C-8A0B-F721AD1E47B9}" name="References 3" dataDxfId="2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E89AE4-9617-4085-AD63-8D726E2ECE27}" name="Products6" displayName="Products6" ref="A1:M5" totalsRowShown="0" headerRowDxfId="27" dataDxfId="26">
  <autoFilter ref="A1:M5" xr:uid="{FDE89AE4-9617-4085-AD63-8D726E2ECE27}"/>
  <tableColumns count="13">
    <tableColumn id="1" xr3:uid="{996983E7-48A1-4F2C-AAE8-BB6499F82011}" name="Solvent" dataDxfId="25"/>
    <tableColumn id="5" xr3:uid="{7587D408-6B96-4220-A9BE-2B71A4248C30}" name="Molecular weight (g/mol)" dataDxfId="24"/>
    <tableColumn id="14" xr3:uid="{8CB95F86-8F61-4051-8BEA-3EA0B1243627}" name="Cost ($/kg solvent)" dataDxfId="23"/>
    <tableColumn id="3" xr3:uid="{CCFBA968-B535-4D6B-82F9-71090461EE43}" name="Density (kg/m3)" dataDxfId="22"/>
    <tableColumn id="4" xr3:uid="{6DE0BEDB-FDAC-4FA2-8AC5-B102FC6EEC22}" name="Viscosity (cP)" dataDxfId="21"/>
    <tableColumn id="11" xr3:uid="{7E968132-802A-4590-8623-AF835C5600CC}" name="Henry's constant at 298K, CO2 (mole fraction/atm)" dataDxfId="20"/>
    <tableColumn id="12" xr3:uid="{C14326B4-157A-4FBF-9FD5-58F36F9782B3}" name="Conductivity factor relative to ACN" dataDxfId="19"/>
    <tableColumn id="2" xr3:uid="{4B98493F-7EF6-4DC3-A55A-0A71F419BBB2}" name="CO2 solubility, 10 bar (mol CO2/ mol solvent)" dataDxfId="18"/>
    <tableColumn id="6" xr3:uid="{1008D39B-F74C-44B5-9C39-9094D52EB44D}" name="Boiling point (K)" dataDxfId="17"/>
    <tableColumn id="9" xr3:uid="{4E983CB5-D8FE-442A-8A07-6298EE4689D9}" name="Vapor pressure (Pa)" dataDxfId="16"/>
    <tableColumn id="10" xr3:uid="{57E55551-0CF1-45DA-9F74-4502CD642FB0}" name="Solvent loss fraction ((mol/s offgas)/ (mol/s solvent))" dataDxfId="15"/>
    <tableColumn id="8" xr3:uid="{57ADEF7D-1DC8-4D29-B0B1-B07EDD74B7FC}" name="Solubility in water" dataDxfId="14"/>
    <tableColumn id="7" xr3:uid="{A94104E3-BA24-4CBD-8D8E-9581768AC69A}" name="Referenc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E243CA-C135-4CB6-B37F-4749B7F8C437}" name="Products67" displayName="Products67" ref="A1:E5" totalsRowShown="0" headerRowDxfId="13" dataDxfId="12">
  <autoFilter ref="A1:E5" xr:uid="{0BE243CA-C135-4CB6-B37F-4749B7F8C437}"/>
  <tableColumns count="5">
    <tableColumn id="1" xr3:uid="{5E12D873-28F4-4BAA-A124-01ED2F10306F}" name="Supporting electrolyte" dataDxfId="11"/>
    <tableColumn id="5" xr3:uid="{8BFB1102-BA9E-4FA2-8287-970DFEAD7F45}" name="Molecular weight (g/mol)" dataDxfId="10"/>
    <tableColumn id="14" xr3:uid="{40345891-0EC3-4D4A-9A2E-09812C6C59BF}" name="Cost ($/kg supporting)" dataDxfId="9"/>
    <tableColumn id="3" xr3:uid="{580C116E-F5E0-41C5-8884-D2C8E1385F89}" name="Conductivity in ACN, 0.3 M (S/cm)" dataDxfId="8"/>
    <tableColumn id="2" xr3:uid="{BF9F5B6E-2598-43D5-ABA7-189814842EF4}" name="References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0A0C8F-F9A6-4BD9-BE38-37BCD437C167}" name="Utility_sources" displayName="Utility_sources" ref="A1:D14" totalsRowShown="0" headerRowBorderDxfId="6" tableBorderDxfId="5" totalsRowBorderDxfId="4">
  <autoFilter ref="A1:D14" xr:uid="{F90A0C8F-F9A6-4BD9-BE38-37BCD437C167}"/>
  <tableColumns count="4">
    <tableColumn id="1" xr3:uid="{019A737E-EC43-437D-A256-C18EEEE61274}" name="Utility" dataDxfId="3"/>
    <tableColumn id="2" xr3:uid="{339E3BF5-AD63-4805-BC84-16828025960D}" name="Cost ($/kWh)" dataDxfId="2" dataCellStyle="Currency"/>
    <tableColumn id="3" xr3:uid="{5BD4A003-8709-44FE-A299-AB3C44A1C92B}" name="CO2 emissions (g CO2/kWh)" dataDxfId="1"/>
    <tableColumn id="4" xr3:uid="{106C8FDA-1A54-408F-9E45-6177A2EA926F}" name="Referenc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5-01-15T15:42:52.81" personId="{97EB442A-BA5A-4BA8-A59A-7061902B9186}" id="{590A5A62-3982-41DC-A19D-6D062F91F28E}">
    <text>Based on Dos Reis data</text>
  </threadedComment>
  <threadedComment ref="C3" dT="2025-01-15T15:42:59.74" personId="{97EB442A-BA5A-4BA8-A59A-7061902B9186}" id="{ADC85B62-F8B0-4820-A968-870FAF95942C}">
    <text>Averaged from literature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5-01-15T16:01:17.56" personId="{97EB442A-BA5A-4BA8-A59A-7061902B9186}" id="{4BADFAB7-76AF-444F-91EF-5DC354E714D4}">
    <text>Engineering Toolbox</text>
  </threadedComment>
  <threadedComment ref="F3" dT="2025-01-15T16:01:25.64" personId="{97EB442A-BA5A-4BA8-A59A-7061902B9186}" id="{70A0C8CB-3A8C-48E4-A4A0-92D06DADCA1C}">
    <text>Engineering Toolbox</text>
  </threadedComment>
  <threadedComment ref="I3" dT="2024-11-11T19:46:16.62" personId="{97EB442A-BA5A-4BA8-A59A-7061902B9186}" id="{E6E48448-0E21-41A5-B06E-F65140C42E87}">
    <text>TBAClO4 in AC N on Ag - McGregor Resasco Nat Cat 2024</text>
  </threadedComment>
  <threadedComment ref="J3" dT="2024-11-11T16:47:41.07" personId="{97EB442A-BA5A-4BA8-A59A-7061902B9186}" id="{D9B01A9E-9FFA-448D-A0A9-79E915973C3A}">
    <text>From McGregor Resasco Nat Cat 2024</text>
  </threadedComment>
  <threadedComment ref="L3" dT="2024-11-11T19:54:36.26" personId="{97EB442A-BA5A-4BA8-A59A-7061902B9186}" id="{9C7BA66E-4710-4766-B736-DAB2C4C5EA8C}">
    <text>Average for top 25 datapoints making CO</text>
  </threadedComment>
  <threadedComment ref="N3" dT="2025-02-07T23:53:30.60" personId="{97EB442A-BA5A-4BA8-A59A-7061902B9186}" id="{F0232A46-C9BF-49E2-A4AA-DE559C7A6D71}">
    <text>In DMF</text>
  </threadedComment>
  <threadedComment ref="J4" dT="2025-01-15T16:47:50.62" personId="{97EB442A-BA5A-4BA8-A59A-7061902B9186}" id="{38772031-2712-4E60-AF4C-BC7506EB126A}">
    <text>Saveant - RT over Hg in ACN</text>
  </threadedComment>
  <threadedComment ref="K4" dT="2024-11-11T19:30:39.97" personId="{97EB442A-BA5A-4BA8-A59A-7061902B9186}" id="{19966830-0D20-46F0-AE3D-88797573DA5E}">
    <text>Fischer Heitz J Applied Electrochem 1981</text>
  </threadedComment>
  <threadedComment ref="K4" dT="2024-11-11T19:31:14.43" personId="{97EB442A-BA5A-4BA8-A59A-7061902B9186}" id="{8FF508C9-FAC4-4AF1-AB3C-F8E3DAC447F3}" parentId="{19966830-0D20-46F0-AE3D-88797573DA5E}">
    <text>DMF, 0.2 M TEACl, Pb vs Al, undivided cell</text>
  </threadedComment>
  <threadedComment ref="L4" dT="2025-01-15T15:40:12.85" personId="{97EB442A-BA5A-4BA8-A59A-7061902B9186}" id="{61AD334A-127F-49E9-826D-132D83D54FFE}">
    <text>Average for top 50 datapoints making any oxalates or OA</text>
  </threadedComment>
  <threadedComment ref="N4" dT="2025-02-07T23:53:39.13" personId="{97EB442A-BA5A-4BA8-A59A-7061902B9186}" id="{D3F419E4-0AC2-42D8-AE74-03450151D28F}">
    <text>In DMSO</text>
  </threadedComment>
  <threadedComment ref="F5" dT="2025-01-15T16:01:46.09" personId="{97EB442A-BA5A-4BA8-A59A-7061902B9186}" id="{CF7FF991-BD99-42BD-BE0C-DD9BF8B9A73E}">
    <text xml:space="preserve">Muller Stolten J CO2 Util 2025 </text>
  </threadedComment>
  <threadedComment ref="F5" dT="2025-01-15T16:03:08.37" personId="{97EB442A-BA5A-4BA8-A59A-7061902B9186}" id="{C95B6A2E-2D6E-406A-A2F3-732B8AD3A208}" parentId="{CF7FF991-BD99-42BD-BE0C-DD9BF8B9A73E}">
    <text>Should be able to just calculate from thermo of water condensation</text>
  </threadedComment>
  <threadedComment ref="L5" dT="2025-01-15T15:37:52.15" personId="{97EB442A-BA5A-4BA8-A59A-7061902B9186}" id="{F3E0BD3F-9F26-4F73-B97C-92F5976365D6}">
    <text>Average for top 5 datapoints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5-01-20T21:26:15.43" personId="{97EB442A-BA5A-4BA8-A59A-7061902B9186}" id="{E5AC3F3D-5F46-4C07-9B89-304D65BB0E75}">
    <text>CRC Handbook of Chem and Phys 105th Ed.</text>
  </threadedComment>
  <threadedComment ref="C2" dT="2024-12-03T18:32:44.07" personId="{97EB442A-BA5A-4BA8-A59A-7061902B9186}" id="{ECC5778C-B306-4101-9455-D2B811F9E1B3}">
    <text>https://www.intratec.us/chemical-markets/acetonitrile-price</text>
    <extLst>
      <x:ext xmlns:xltc2="http://schemas.microsoft.com/office/spreadsheetml/2020/threadedcomments2" uri="{F7C98A9C-CBB3-438F-8F68-D28B6AF4A901}">
        <xltc2:checksum>3329351198</xltc2:checksum>
        <xltc2:hyperlink startIndex="0" length="59" url="https://www.intratec.us/chemical-markets/acetonitrile-price"/>
      </x:ext>
    </extLst>
  </threadedComment>
  <threadedComment ref="D2" dT="2025-01-20T21:26:36.33" personId="{97EB442A-BA5A-4BA8-A59A-7061902B9186}" id="{F67C249D-9E0C-448B-A8C7-01734972A047}">
    <text>CRC Handbook of Chem and Phys 105th Ed.</text>
  </threadedComment>
  <threadedComment ref="E2" dT="2025-01-20T21:27:04.25" personId="{97EB442A-BA5A-4BA8-A59A-7061902B9186}" id="{1A47F35F-C8C5-428F-B841-B07DB6CB6586}">
    <text>CRC Handbook of Chem and Phys 105th Ed.</text>
  </threadedComment>
  <threadedComment ref="F2" dT="2025-01-20T20:55:14.09" personId="{97EB442A-BA5A-4BA8-A59A-7061902B9186}" id="{1F00EE09-7981-4B53-A2FE-8E9564200CBF}">
    <text>https://pubs.acs.org/doi/full/10.1021/ie0605377 38.08</text>
    <extLst>
      <x:ext xmlns:xltc2="http://schemas.microsoft.com/office/spreadsheetml/2020/threadedcomments2" uri="{F7C98A9C-CBB3-438F-8F68-D28B6AF4A901}">
        <xltc2:checksum>3585674878</xltc2:checksum>
        <xltc2:hyperlink startIndex="0" length="47" url="https://pubs.acs.org/doi/full/10.1021/ie0605377"/>
      </x:ext>
    </extLst>
  </threadedComment>
  <threadedComment ref="F2" dT="2025-01-20T20:55:20.29" personId="{97EB442A-BA5A-4BA8-A59A-7061902B9186}" id="{9F5CEB19-8287-4C89-A39A-5BA5896DE5F1}" parentId="{1F00EE09-7981-4B53-A2FE-8E9564200CBF}">
    <text>1.69e-2</text>
  </threadedComment>
  <threadedComment ref="F2" dT="2025-01-20T21:02:24.67" personId="{97EB442A-BA5A-4BA8-A59A-7061902B9186}" id="{2486258E-A13A-403E-84DB-92FFF1C953B4}" parentId="{1F00EE09-7981-4B53-A2FE-8E9564200CBF}">
    <text>https://doi.org/10.1016/0022-0728(90)87217-8 60.7</text>
    <extLst>
      <x:ext xmlns:xltc2="http://schemas.microsoft.com/office/spreadsheetml/2020/threadedcomments2" uri="{F7C98A9C-CBB3-438F-8F68-D28B6AF4A901}">
        <xltc2:checksum>671092016</xltc2:checksum>
        <xltc2:hyperlink startIndex="0" length="44" url="https://doi.org/10.1016/0022-0728(90)87217-8"/>
      </x:ext>
    </extLst>
  </threadedComment>
  <threadedComment ref="I2" dT="2025-01-20T21:27:20.62" personId="{97EB442A-BA5A-4BA8-A59A-7061902B9186}" id="{CCFAFA67-1AB3-4E10-B472-4734839B5FB8}">
    <text>CRC Handbook of Chem and Phys 105th Ed.</text>
  </threadedComment>
  <threadedComment ref="J2" dT="2025-01-20T21:27:35.11" personId="{97EB442A-BA5A-4BA8-A59A-7061902B9186}" id="{7E768D53-988A-46AE-8800-331D2B19C4CA}">
    <text>CRC Handbook of Chem and Phys 105th Ed.</text>
  </threadedComment>
  <threadedComment ref="L2" dT="2025-01-20T21:27:50.71" personId="{97EB442A-BA5A-4BA8-A59A-7061902B9186}" id="{F72D791D-203F-48D2-BBE6-FB8C410089E4}">
    <text>CRC Handbook of Chem and Phys 105th Ed.</text>
  </threadedComment>
  <threadedComment ref="B3" dT="2025-01-20T21:26:20.62" personId="{97EB442A-BA5A-4BA8-A59A-7061902B9186}" id="{46705330-D6EB-4863-A1A8-B104F2E8D6B3}">
    <text>CRC Handbook of Chem and Phys 105th Ed.</text>
  </threadedComment>
  <threadedComment ref="C3" dT="2024-12-03T18:30:41.82" personId="{97EB442A-BA5A-4BA8-A59A-7061902B9186}" id="{168996AD-382A-4647-91D8-9337C1109D7E}">
    <text>https://www.imarcgroup.com/propylene-carbonate-pricing-report</text>
    <extLst>
      <x:ext xmlns:xltc2="http://schemas.microsoft.com/office/spreadsheetml/2020/threadedcomments2" uri="{F7C98A9C-CBB3-438F-8F68-D28B6AF4A901}">
        <xltc2:checksum>2517436472</xltc2:checksum>
        <xltc2:hyperlink startIndex="0" length="61" url="https://www.imarcgroup.com/propylene-carbonate-pricing-report"/>
      </x:ext>
    </extLst>
  </threadedComment>
  <threadedComment ref="D3" dT="2025-01-20T21:26:41.18" personId="{97EB442A-BA5A-4BA8-A59A-7061902B9186}" id="{64FBC311-9AC9-4A86-9F4C-B513D1E820CD}">
    <text>CRC Handbook of Chem and Phys 105th Ed.</text>
  </threadedComment>
  <threadedComment ref="E3" dT="2025-01-20T21:31:52.60" personId="{97EB442A-BA5A-4BA8-A59A-7061902B9186}" id="{03642210-2394-46F4-A4C6-05E5974668C8}">
    <text>Izutsu 2009 Table 1.1</text>
  </threadedComment>
  <threadedComment ref="F3" dT="2025-01-20T22:11:26.46" personId="{97EB442A-BA5A-4BA8-A59A-7061902B9186}" id="{44C8D15E-D18E-42F7-B8B2-A65CC53CBB8C}">
    <text>https://doi.org/10.1016/0378-3812(88)80106-7</text>
    <extLst>
      <x:ext xmlns:xltc2="http://schemas.microsoft.com/office/spreadsheetml/2020/threadedcomments2" uri="{F7C98A9C-CBB3-438F-8F68-D28B6AF4A901}">
        <xltc2:checksum>3444867718</xltc2:checksum>
        <xltc2:hyperlink startIndex="0" length="44" url="https://doi.org/10.1016/0378-3812(88)80106-7"/>
      </x:ext>
    </extLst>
  </threadedComment>
  <threadedComment ref="I3" dT="2025-01-20T21:27:23.98" personId="{97EB442A-BA5A-4BA8-A59A-7061902B9186}" id="{8C14FDD1-22B7-4F70-B01E-C665917CE3E4}">
    <text>CRC Handbook of Chem and Phys 105th Ed.</text>
  </threadedComment>
  <threadedComment ref="J3" dT="2025-01-20T21:27:38.80" personId="{97EB442A-BA5A-4BA8-A59A-7061902B9186}" id="{0182AE5B-5F63-4940-956C-D441191E1036}">
    <text>CRC Handbook of Chem and Phys 105th Ed.</text>
  </threadedComment>
  <threadedComment ref="B4" dT="2025-01-20T21:26:24.25" personId="{97EB442A-BA5A-4BA8-A59A-7061902B9186}" id="{DD06A995-3E0B-473D-8CCE-79C9FDD92985}">
    <text>CRC Handbook of Chem and Phys 105th Ed.</text>
  </threadedComment>
  <threadedComment ref="C4" dT="2024-12-03T18:29:32.47" personId="{97EB442A-BA5A-4BA8-A59A-7061902B9186}" id="{BF97B819-C241-44FC-AA8D-937FDD0CF315}">
    <text xml:space="preserve">https://www.imarcgroup.com/dimethyl-sulfoxide-pricing-report
</text>
    <extLst>
      <x:ext xmlns:xltc2="http://schemas.microsoft.com/office/spreadsheetml/2020/threadedcomments2" uri="{F7C98A9C-CBB3-438F-8F68-D28B6AF4A901}">
        <xltc2:checksum>3022425215</xltc2:checksum>
        <xltc2:hyperlink startIndex="0" length="60" url="https://www.imarcgroup.com/dimethyl-sulfoxide-pricing-report"/>
      </x:ext>
    </extLst>
  </threadedComment>
  <threadedComment ref="D4" dT="2025-01-20T21:26:45.46" personId="{97EB442A-BA5A-4BA8-A59A-7061902B9186}" id="{24A6F79D-F1B1-486E-8E16-0DF2EB3ECD76}">
    <text>CRC Handbook of Chem and Phys 105th Ed.</text>
  </threadedComment>
  <threadedComment ref="E4" dT="2025-01-20T21:27:07.86" personId="{97EB442A-BA5A-4BA8-A59A-7061902B9186}" id="{3E35980D-20DB-4345-B9FE-BEA0317F7EBB}">
    <text>CRC Handbook of Chem and Phys 105th Ed.</text>
  </threadedComment>
  <threadedComment ref="F4" dT="2025-01-20T20:26:40.91" personId="{97EB442A-BA5A-4BA8-A59A-7061902B9186}" id="{A557D283-8D16-4ED2-AC97-8D87D241B088}">
    <text>Table 3 in https://www.sciencedirect.com/science/article/pii/S0021961419306883#f0030</text>
    <extLst>
      <x:ext xmlns:xltc2="http://schemas.microsoft.com/office/spreadsheetml/2020/threadedcomments2" uri="{F7C98A9C-CBB3-438F-8F68-D28B6AF4A901}">
        <xltc2:checksum>1363581806</xltc2:checksum>
        <xltc2:hyperlink startIndex="11" length="73" url="https://www.sciencedirect.com/science/article/pii/S0021961419306883#f0030"/>
      </x:ext>
    </extLst>
  </threadedComment>
  <threadedComment ref="F4" dT="2025-01-20T21:03:59.74" personId="{97EB442A-BA5A-4BA8-A59A-7061902B9186}" id="{ED490485-EB49-40FD-819B-2FFEDC862A79}" parentId="{A557D283-8D16-4ED2-AC97-8D87D241B088}">
    <text>https://doi.org/10.1016/0022-0728(90)87217-8 101.6</text>
    <extLst>
      <x:ext xmlns:xltc2="http://schemas.microsoft.com/office/spreadsheetml/2020/threadedcomments2" uri="{F7C98A9C-CBB3-438F-8F68-D28B6AF4A901}">
        <xltc2:checksum>4078687797</xltc2:checksum>
        <xltc2:hyperlink startIndex="0" length="44" url="https://doi.org/10.1016/0022-0728(90)87217-8"/>
      </x:ext>
    </extLst>
  </threadedComment>
  <threadedComment ref="I4" dT="2025-01-20T21:27:27.28" personId="{97EB442A-BA5A-4BA8-A59A-7061902B9186}" id="{1983A994-3FCC-4917-A080-32AC954B27A3}">
    <text>CRC Handbook of Chem and Phys 105th Ed.</text>
  </threadedComment>
  <threadedComment ref="J4" dT="2025-01-20T21:27:42.09" personId="{97EB442A-BA5A-4BA8-A59A-7061902B9186}" id="{F163D6D5-0931-443B-A93F-1C0E825E55FE}">
    <text>CRC Handbook of Chem and Phys 105th Ed.</text>
  </threadedComment>
  <threadedComment ref="L4" dT="2025-01-20T21:27:55.05" personId="{97EB442A-BA5A-4BA8-A59A-7061902B9186}" id="{5EA6F35C-447A-4F92-B17C-594D64D62197}">
    <text>CRC Handbook of Chem and Phys 105th Ed.</text>
  </threadedComment>
  <threadedComment ref="B5" dT="2025-01-20T21:26:28.19" personId="{97EB442A-BA5A-4BA8-A59A-7061902B9186}" id="{918158CC-13D0-4406-9FA6-83AE98F2FB61}">
    <text>CRC Handbook of Chem and Phys 105th Ed.</text>
  </threadedComment>
  <threadedComment ref="C5" dT="2025-01-15T16:55:54.83" personId="{97EB442A-BA5A-4BA8-A59A-7061902B9186}" id="{5D6620EE-D7DA-4BD1-9DEC-F1DFA3B16F63}">
    <text>https://businessanalytiq.com/procurementanalytics/index/dimethylformamide-dmf-price-index/</text>
    <extLst>
      <x:ext xmlns:xltc2="http://schemas.microsoft.com/office/spreadsheetml/2020/threadedcomments2" uri="{F7C98A9C-CBB3-438F-8F68-D28B6AF4A901}">
        <xltc2:checksum>2903401631</xltc2:checksum>
        <xltc2:hyperlink startIndex="0" length="90" url="https://businessanalytiq.com/procurementanalytics/index/dimethylformamide-dmf-price-index/"/>
      </x:ext>
    </extLst>
  </threadedComment>
  <threadedComment ref="C5" dT="2025-01-15T16:57:54.36" personId="{97EB442A-BA5A-4BA8-A59A-7061902B9186}" id="{2116F162-FBCC-4461-8DF2-BA5FD59EB428}" parentId="{5D6620EE-D7DA-4BD1-9DEC-F1DFA3B16F63}">
    <text>https://www.procurementresource.com/resource-center/dmf-dimethylformamide-price-trends</text>
    <extLst>
      <x:ext xmlns:xltc2="http://schemas.microsoft.com/office/spreadsheetml/2020/threadedcomments2" uri="{F7C98A9C-CBB3-438F-8F68-D28B6AF4A901}">
        <xltc2:checksum>3253514027</xltc2:checksum>
        <xltc2:hyperlink startIndex="0" length="86" url="https://www.procurementresource.com/resource-center/dmf-dimethylformamide-price-trends"/>
      </x:ext>
    </extLst>
  </threadedComment>
  <threadedComment ref="C5" dT="2025-01-15T16:58:00.41" personId="{97EB442A-BA5A-4BA8-A59A-7061902B9186}" id="{0F76214F-3170-4DB8-9A38-572C212649EE}" parentId="{5D6620EE-D7DA-4BD1-9DEC-F1DFA3B16F63}">
    <text>Averaged the above roughly</text>
  </threadedComment>
  <threadedComment ref="D5" dT="2025-01-20T21:27:00.06" personId="{97EB442A-BA5A-4BA8-A59A-7061902B9186}" id="{7EC05627-69D0-4FD7-BD41-0D34F6398A4A}">
    <text>CRC Handbook of Chem and Phys 105th Ed.</text>
  </threadedComment>
  <threadedComment ref="E5" dT="2025-01-20T21:27:11.44" personId="{97EB442A-BA5A-4BA8-A59A-7061902B9186}" id="{86D5D7AE-BF34-4CC2-BAB5-EB71EAF53309}">
    <text>CRC Handbook of Chem and Phys 105th Ed.</text>
  </threadedComment>
  <threadedComment ref="F5" dT="2025-01-20T21:04:12.01" personId="{97EB442A-BA5A-4BA8-A59A-7061902B9186}" id="{3A5F5CB1-C285-495B-87E8-AE2A789DD37B}">
    <text>https://doi.org/10.1016/0022-0728(90)87217-8 65.3</text>
    <extLst>
      <x:ext xmlns:xltc2="http://schemas.microsoft.com/office/spreadsheetml/2020/threadedcomments2" uri="{F7C98A9C-CBB3-438F-8F68-D28B6AF4A901}">
        <xltc2:checksum>693612592</xltc2:checksum>
        <xltc2:hyperlink startIndex="0" length="44" url="https://doi.org/10.1016/0022-0728(90)87217-8"/>
      </x:ext>
    </extLst>
  </threadedComment>
  <threadedComment ref="I5" dT="2025-01-20T21:27:30.00" personId="{97EB442A-BA5A-4BA8-A59A-7061902B9186}" id="{4E6C45D9-A547-4A85-8E31-46455E39B2F7}">
    <text>CRC Handbook of Chem and Phys 105th Ed.</text>
  </threadedComment>
  <threadedComment ref="J5" dT="2025-01-20T21:27:46.12" personId="{97EB442A-BA5A-4BA8-A59A-7061902B9186}" id="{C9E7B65A-8DF8-424A-AFB0-85F34FB8C5A3}">
    <text>CRC Handbook of Chem and Phys 105th Ed.</text>
  </threadedComment>
  <threadedComment ref="L5" dT="2025-01-20T21:27:59.71" personId="{97EB442A-BA5A-4BA8-A59A-7061902B9186}" id="{699871B5-28D8-4F74-810A-11C06F2FFAC4}">
    <text>CRC Handbook of Chem and Phys 105th 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2" dT="2024-11-11T22:11:30.12" personId="{97EB442A-BA5A-4BA8-A59A-7061902B9186}" id="{07BD2C0B-3DD0-40BC-AD52-A79697FDE249}">
    <text>From Chen Hallett Green Chem 2014</text>
  </threadedComment>
  <threadedComment ref="C2" dT="2025-01-21T21:36:02.14" personId="{97EB442A-BA5A-4BA8-A59A-7061902B9186}" id="{D1FD7102-0BB2-45B8-8328-65159D4EFE0F}" parentId="{07BD2C0B-3DD0-40BC-AD52-A79697FDE249}">
    <text>https://pubs.acs.org/doi/10.1021/acssuschemeng.0c03061 $10-40 / kg IL (AHAs)</text>
    <extLst>
      <x:ext xmlns:xltc2="http://schemas.microsoft.com/office/spreadsheetml/2020/threadedcomments2" uri="{F7C98A9C-CBB3-438F-8F68-D28B6AF4A901}">
        <xltc2:checksum>4006977529</xltc2:checksum>
        <xltc2:hyperlink startIndex="0" length="54" url="https://pubs.acs.org/doi/10.1021/acssuschemeng.0c03061"/>
      </x:ext>
    </extLst>
  </threadedComment>
  <threadedComment ref="D2" dT="2025-01-31T15:34:56.24" personId="{97EB442A-BA5A-4BA8-A59A-7061902B9186}" id="{12C0EC02-9084-4697-8B56-C3293339F20B}">
    <text>Darling Brushett Energy Env Sci 2014, 0.1 M, averaging all solvents</text>
  </threadedComment>
  <threadedComment ref="C3" dT="2024-11-11T22:11:30.12" personId="{97EB442A-BA5A-4BA8-A59A-7061902B9186}" id="{18ECACC2-E30B-407C-B2EF-2D02470F19E2}">
    <text>From Chen Hallett Green Chem 2014</text>
  </threadedComment>
  <threadedComment ref="C3" dT="2025-01-21T21:36:02.14" personId="{97EB442A-BA5A-4BA8-A59A-7061902B9186}" id="{1F8633BA-CE53-4B30-9972-60885826CF00}" parentId="{18ECACC2-E30B-407C-B2EF-2D02470F19E2}">
    <text>https://pubs.acs.org/doi/10.1021/acssuschemeng.0c03061 $10-40 / kg IL (AHAs)</text>
    <extLst>
      <x:ext xmlns:xltc2="http://schemas.microsoft.com/office/spreadsheetml/2020/threadedcomments2" uri="{F7C98A9C-CBB3-438F-8F68-D28B6AF4A901}">
        <xltc2:checksum>4006977529</xltc2:checksum>
        <xltc2:hyperlink startIndex="0" length="54" url="https://pubs.acs.org/doi/10.1021/acssuschemeng.0c03061"/>
      </x:ext>
    </extLst>
  </threadedComment>
  <threadedComment ref="D3" dT="2025-01-31T16:11:12.25" personId="{97EB442A-BA5A-4BA8-A59A-7061902B9186}" id="{224EC866-413C-4C24-91AC-D4B821D21361}">
    <text>https://www.emerson.com/documents/automation/manual-conductance-data-for-commonly-used-chemicals-rosemount-en-68896.pdf - Pr4NClO4 in ACN</text>
    <extLst>
      <x:ext xmlns:xltc2="http://schemas.microsoft.com/office/spreadsheetml/2020/threadedcomments2" uri="{F7C98A9C-CBB3-438F-8F68-D28B6AF4A901}">
        <xltc2:checksum>3268516475</xltc2:checksum>
        <xltc2:hyperlink startIndex="0" length="119" url="https://www.emerson.com/documents/automation/manual-conductance-data-for-commonly-used-chemicals-rosemount-en-68896.pdf"/>
      </x:ext>
    </extLst>
  </threadedComment>
  <threadedComment ref="D3" dT="2025-01-31T16:24:29.22" personId="{97EB442A-BA5A-4BA8-A59A-7061902B9186}" id="{70A94521-7CD4-4DC0-89E2-F5FAA609E1C2}" parentId="{224EC866-413C-4C24-91AC-D4B821D21361}">
    <text>Factor of ⅗ to correct for multiple solvents being averaged</text>
  </threadedComment>
  <threadedComment ref="C4" dT="2024-11-11T22:11:30.12" personId="{97EB442A-BA5A-4BA8-A59A-7061902B9186}" id="{2EA54DCB-79E7-4A67-94B1-01E68FDD14D9}">
    <text>From Chen Hallett Green Chem 2014</text>
  </threadedComment>
  <threadedComment ref="C4" dT="2025-01-21T21:36:02.14" personId="{97EB442A-BA5A-4BA8-A59A-7061902B9186}" id="{7CA77EBE-CE4A-453A-9E61-90D94B13488C}" parentId="{2EA54DCB-79E7-4A67-94B1-01E68FDD14D9}">
    <text>https://pubs.acs.org/doi/10.1021/acssuschemeng.0c03061 $10-40 / kg IL (AHAs)</text>
    <extLst>
      <x:ext xmlns:xltc2="http://schemas.microsoft.com/office/spreadsheetml/2020/threadedcomments2" uri="{F7C98A9C-CBB3-438F-8F68-D28B6AF4A901}">
        <xltc2:checksum>4006977529</xltc2:checksum>
        <xltc2:hyperlink startIndex="0" length="54" url="https://pubs.acs.org/doi/10.1021/acssuschemeng.0c03061"/>
      </x:ext>
    </extLst>
  </threadedComment>
  <threadedComment ref="D4" dT="2025-01-31T16:11:12.25" personId="{97EB442A-BA5A-4BA8-A59A-7061902B9186}" id="{24EDBDE4-89F6-4893-A249-65F70D6F4EB5}">
    <text>https://www.emerson.com/documents/automation/manual-conductance-data-for-commonly-used-chemicals-rosemount-en-68896.pdf - Pr4NClO4 in ACN</text>
    <extLst>
      <x:ext xmlns:xltc2="http://schemas.microsoft.com/office/spreadsheetml/2020/threadedcomments2" uri="{F7C98A9C-CBB3-438F-8F68-D28B6AF4A901}">
        <xltc2:checksum>3268516475</xltc2:checksum>
        <xltc2:hyperlink startIndex="0" length="119" url="https://www.emerson.com/documents/automation/manual-conductance-data-for-commonly-used-chemicals-rosemount-en-68896.pdf"/>
      </x:ext>
    </extLst>
  </threadedComment>
  <threadedComment ref="D4" dT="2025-01-31T16:24:32.22" personId="{97EB442A-BA5A-4BA8-A59A-7061902B9186}" id="{C1CC95A5-4EB2-4EF1-8C44-0C3BD7C10A3B}" parentId="{24EDBDE4-89F6-4893-A249-65F70D6F4EB5}">
    <text>Factor of ⅗ to correct for multiple solvents being averaged</text>
  </threadedComment>
  <threadedComment ref="C5" dT="2024-11-11T22:11:30.12" personId="{97EB442A-BA5A-4BA8-A59A-7061902B9186}" id="{FE69842F-8058-427E-A379-A3530412D42F}">
    <text>From Chen Hallett Green Chem 2014</text>
  </threadedComment>
  <threadedComment ref="C5" dT="2025-01-21T21:36:02.14" personId="{97EB442A-BA5A-4BA8-A59A-7061902B9186}" id="{72587301-386B-48A8-A184-572EF49AFD9B}" parentId="{FE69842F-8058-427E-A379-A3530412D42F}">
    <text>https://pubs.acs.org/doi/10.1021/acssuschemeng.0c03061 $10-40 / kg IL (AHAs)</text>
    <extLst>
      <x:ext xmlns:xltc2="http://schemas.microsoft.com/office/spreadsheetml/2020/threadedcomments2" uri="{F7C98A9C-CBB3-438F-8F68-D28B6AF4A901}">
        <xltc2:checksum>4006977529</xltc2:checksum>
        <xltc2:hyperlink startIndex="0" length="54" url="https://pubs.acs.org/doi/10.1021/acssuschemeng.0c03061"/>
      </x:ext>
    </extLst>
  </threadedComment>
  <threadedComment ref="D5" dT="2025-01-31T16:11:12.25" personId="{97EB442A-BA5A-4BA8-A59A-7061902B9186}" id="{D8A725FE-F27F-4CE0-B881-3504A580D1E3}">
    <text>https://www.emerson.com/documents/automation/manual-conductance-data-for-commonly-used-chemicals-rosemount-en-68896.pdf - Pr4NI in ACN</text>
    <extLst>
      <x:ext xmlns:xltc2="http://schemas.microsoft.com/office/spreadsheetml/2020/threadedcomments2" uri="{F7C98A9C-CBB3-438F-8F68-D28B6AF4A901}">
        <xltc2:checksum>806053173</xltc2:checksum>
        <xltc2:hyperlink startIndex="0" length="119" url="https://www.emerson.com/documents/automation/manual-conductance-data-for-commonly-used-chemicals-rosemount-en-68896.pdf"/>
      </x:ext>
    </extLst>
  </threadedComment>
  <threadedComment ref="D5" dT="2025-01-31T16:24:36.23" personId="{97EB442A-BA5A-4BA8-A59A-7061902B9186}" id="{8C32200A-9B0D-40A9-96BB-139CB0D54BF0}" parentId="{D8A725FE-F27F-4CE0-B881-3504A580D1E3}">
    <text>Factor of ⅗ to correct for multiple solvents being averaged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oule.2023.03.015" TargetMode="External"/><Relationship Id="rId13" Type="http://schemas.openxmlformats.org/officeDocument/2006/relationships/hyperlink" Target="http://www.doi.org/10.1038/s41893-021-00739-x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pubs.acs.org/doi/10.1021/acssuschemeng.3c04373" TargetMode="External"/><Relationship Id="rId7" Type="http://schemas.openxmlformats.org/officeDocument/2006/relationships/hyperlink" Target="https://doi.org/10.1039/c9ee00909d" TargetMode="External"/><Relationship Id="rId12" Type="http://schemas.openxmlformats.org/officeDocument/2006/relationships/hyperlink" Target="http://www.doi.org/10.1038/s41893-021-00739-x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linkinghub.elsevier.com/retrieve/pii/S1750583620306642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pubs.acs.org/doi/10.1021/acsaem.3c00166" TargetMode="External"/><Relationship Id="rId6" Type="http://schemas.openxmlformats.org/officeDocument/2006/relationships/hyperlink" Target="https://www.chemours.com/en/-/media/files/nafion/nafion-flow-battery-brochure.pdf?la=en&amp;rev=0419d4c952254224bb97c2c80097922c" TargetMode="External"/><Relationship Id="rId11" Type="http://schemas.openxmlformats.org/officeDocument/2006/relationships/hyperlink" Target="http://www.doi.org/10.1038/s41893-021-00739-x" TargetMode="External"/><Relationship Id="rId5" Type="http://schemas.openxmlformats.org/officeDocument/2006/relationships/hyperlink" Target="https://doi.org/10.1016/j.joule.2023.03.01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altodoc.aalto.fi/server/api/core/bitstreams/20604c46-04fd-401a-b3c0-f8e4737fac33/content" TargetMode="External"/><Relationship Id="rId19" Type="http://schemas.microsoft.com/office/2017/10/relationships/threadedComment" Target="../threadedComments/threadedComment1.xml"/><Relationship Id="rId4" Type="http://schemas.openxmlformats.org/officeDocument/2006/relationships/hyperlink" Target="https://www.iea.org/commentaries/is-carbon-capture-too-expensive" TargetMode="External"/><Relationship Id="rId9" Type="http://schemas.openxmlformats.org/officeDocument/2006/relationships/hyperlink" Target="https://www.sciencedirect.com/science/article/pii/S0959652622011829?via=ihub" TargetMode="External"/><Relationship Id="rId14" Type="http://schemas.openxmlformats.org/officeDocument/2006/relationships/hyperlink" Target="http://www.doi.org/10.1038/s41893-021-00739-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usinessanalytiq.com/procurementanalytics/index/oxalic-acid-price-index/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https://pubs.acs.org/doi/10.1021/acs.chemrev.1c00901?ref=PDF" TargetMode="External"/><Relationship Id="rId7" Type="http://schemas.openxmlformats.org/officeDocument/2006/relationships/hyperlink" Target="https://eur-lex.europa.eu/eli/reg_impl/2018/931/oj/eng/pdf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engineeringtoolbox.com/heating-values-fuel-gases-d_823.html" TargetMode="External"/><Relationship Id="rId16" Type="http://schemas.microsoft.com/office/2017/10/relationships/threadedComment" Target="../threadedComments/threadedComment2.xml"/><Relationship Id="rId1" Type="http://schemas.openxmlformats.org/officeDocument/2006/relationships/hyperlink" Target="https://pubs.acs.org/doi/10.1021/acs.chemrev.8b00705" TargetMode="External"/><Relationship Id="rId6" Type="http://schemas.openxmlformats.org/officeDocument/2006/relationships/hyperlink" Target="http://pubs.acs.org/action/showCitFormats?doi=10.1021/acs.iecr.7b03514" TargetMode="External"/><Relationship Id="rId11" Type="http://schemas.openxmlformats.org/officeDocument/2006/relationships/hyperlink" Target="https://doi.org/10.1039/FT9969203963" TargetMode="External"/><Relationship Id="rId5" Type="http://schemas.openxmlformats.org/officeDocument/2006/relationships/hyperlink" Target="https://www.nature.com/articles/s41893-021-00739-x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s://doi.org/10.1016/j.jcou.2025.103019" TargetMode="External"/><Relationship Id="rId4" Type="http://schemas.openxmlformats.org/officeDocument/2006/relationships/hyperlink" Target="https://www.nature.com/articles/s41893-021-00739-x" TargetMode="External"/><Relationship Id="rId9" Type="http://schemas.openxmlformats.org/officeDocument/2006/relationships/hyperlink" Target="https://www.imarcgroup.com/formic-acid-pricing-report" TargetMode="External"/><Relationship Id="rId1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https://onlinelibrary.wiley.com/doi/book/10.1002/9783527629152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onlinelibrary.wiley.com/doi/book/10.1002/9783527629152" TargetMode="External"/><Relationship Id="rId1" Type="http://schemas.openxmlformats.org/officeDocument/2006/relationships/hyperlink" Target="https://onlinelibrary.wiley.com/doi/book/10.1002/9783527629152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onlinelibrary.wiley.com/doi/book/10.1002/9783527629152" TargetMode="External"/><Relationship Id="rId9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nrel.gov/analysis/life-cycle-assessment.html" TargetMode="External"/><Relationship Id="rId7" Type="http://schemas.openxmlformats.org/officeDocument/2006/relationships/hyperlink" Target="https://www.eia.gov/electricity/data/browser/" TargetMode="External"/><Relationship Id="rId2" Type="http://schemas.openxmlformats.org/officeDocument/2006/relationships/hyperlink" Target="https://www.lazard.com/research-insights/2023-levelized-cost-of-energyplus/" TargetMode="External"/><Relationship Id="rId1" Type="http://schemas.openxmlformats.org/officeDocument/2006/relationships/hyperlink" Target="https://www.lazard.com/research-insights/2023-levelized-cost-of-energyplus/" TargetMode="External"/><Relationship Id="rId6" Type="http://schemas.openxmlformats.org/officeDocument/2006/relationships/hyperlink" Target="https://www.eia.gov/electricity/data/browser/" TargetMode="External"/><Relationship Id="rId5" Type="http://schemas.openxmlformats.org/officeDocument/2006/relationships/hyperlink" Target="https://www.lazard.com/research-insights/2023-levelized-cost-of-energyplus/" TargetMode="External"/><Relationship Id="rId4" Type="http://schemas.openxmlformats.org/officeDocument/2006/relationships/hyperlink" Target="https://www.nrel.gov/docs/fy21osti/79236.pdf" TargetMode="External"/><Relationship Id="rId9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F5ED-8DF7-423A-A030-17DE1F110F66}">
  <dimension ref="A1:F52"/>
  <sheetViews>
    <sheetView topLeftCell="B16" zoomScale="115" zoomScaleNormal="115" workbookViewId="0">
      <selection activeCell="C28" sqref="C28"/>
    </sheetView>
  </sheetViews>
  <sheetFormatPr defaultColWidth="9.140625" defaultRowHeight="14.25" x14ac:dyDescent="0.2"/>
  <cols>
    <col min="1" max="1" width="25.7109375" style="14" customWidth="1"/>
    <col min="2" max="2" width="27.28515625" style="4" customWidth="1"/>
    <col min="3" max="5" width="21.85546875" style="4" customWidth="1"/>
    <col min="6" max="6" width="29" style="4" customWidth="1"/>
    <col min="7" max="16384" width="9.140625" style="4"/>
  </cols>
  <sheetData>
    <row r="1" spans="1:6" x14ac:dyDescent="0.2">
      <c r="A1" s="7" t="s">
        <v>6</v>
      </c>
      <c r="B1" s="7" t="s">
        <v>31</v>
      </c>
      <c r="C1" s="7" t="s">
        <v>7</v>
      </c>
      <c r="D1" s="7" t="s">
        <v>8</v>
      </c>
      <c r="E1" s="12" t="s">
        <v>23</v>
      </c>
      <c r="F1" s="7"/>
    </row>
    <row r="2" spans="1:6" ht="28.5" x14ac:dyDescent="0.2">
      <c r="A2" s="6" t="s">
        <v>151</v>
      </c>
      <c r="B2" s="6" t="s">
        <v>154</v>
      </c>
      <c r="C2" s="27">
        <v>1</v>
      </c>
      <c r="D2" s="6" t="s">
        <v>74</v>
      </c>
      <c r="E2" s="22"/>
      <c r="F2" s="5"/>
    </row>
    <row r="3" spans="1:6" ht="28.5" x14ac:dyDescent="0.2">
      <c r="A3" s="6" t="s">
        <v>152</v>
      </c>
      <c r="B3" s="6" t="s">
        <v>153</v>
      </c>
      <c r="C3" s="27">
        <v>0.3</v>
      </c>
      <c r="D3" s="6" t="s">
        <v>74</v>
      </c>
      <c r="E3" s="22"/>
      <c r="F3" s="5"/>
    </row>
    <row r="4" spans="1:6" ht="71.25" x14ac:dyDescent="0.2">
      <c r="A4" s="5" t="s">
        <v>83</v>
      </c>
      <c r="B4" s="6" t="s">
        <v>66</v>
      </c>
      <c r="C4" s="9">
        <v>75</v>
      </c>
      <c r="D4" s="5" t="s">
        <v>67</v>
      </c>
      <c r="E4" s="22" t="s">
        <v>126</v>
      </c>
      <c r="F4" s="5" t="s">
        <v>125</v>
      </c>
    </row>
    <row r="5" spans="1:6" ht="42.75" x14ac:dyDescent="0.2">
      <c r="A5" s="5" t="s">
        <v>98</v>
      </c>
      <c r="B5" s="6" t="s">
        <v>115</v>
      </c>
      <c r="C5" s="42">
        <f>0.0145</f>
        <v>1.4500000000000001E-2</v>
      </c>
      <c r="D5" s="5" t="s">
        <v>112</v>
      </c>
      <c r="E5" s="22" t="s">
        <v>117</v>
      </c>
      <c r="F5" s="5" t="s">
        <v>116</v>
      </c>
    </row>
    <row r="6" spans="1:6" ht="57" x14ac:dyDescent="0.2">
      <c r="A6" s="5" t="s">
        <v>118</v>
      </c>
      <c r="B6" s="6" t="s">
        <v>119</v>
      </c>
      <c r="C6" s="23">
        <f>5000*800/773.1</f>
        <v>5173.9749062217043</v>
      </c>
      <c r="D6" s="5" t="s">
        <v>120</v>
      </c>
      <c r="E6" s="22" t="s">
        <v>127</v>
      </c>
      <c r="F6" s="5" t="s">
        <v>173</v>
      </c>
    </row>
    <row r="7" spans="1:6" ht="85.5" x14ac:dyDescent="0.2">
      <c r="A7" s="5" t="s">
        <v>166</v>
      </c>
      <c r="B7" s="6" t="s">
        <v>170</v>
      </c>
      <c r="C7" s="23">
        <f>1.3*950000*1.24*(800/444.2)*((1000)/(2160/(Solvents!H2*C19/1000)))^0.7</f>
        <v>57368.495093584941</v>
      </c>
      <c r="D7" s="5" t="s">
        <v>169</v>
      </c>
      <c r="E7" s="22" t="s">
        <v>202</v>
      </c>
      <c r="F7" s="5" t="s">
        <v>203</v>
      </c>
    </row>
    <row r="8" spans="1:6" ht="57" x14ac:dyDescent="0.2">
      <c r="A8" s="5" t="s">
        <v>165</v>
      </c>
      <c r="B8" s="6" t="s">
        <v>167</v>
      </c>
      <c r="C8" s="23">
        <f>1.3*1989043*800/596.2</f>
        <v>3469648.9768534047</v>
      </c>
      <c r="D8" s="5" t="s">
        <v>168</v>
      </c>
      <c r="E8" s="22" t="s">
        <v>19</v>
      </c>
      <c r="F8" s="5" t="s">
        <v>174</v>
      </c>
    </row>
    <row r="9" spans="1:6" ht="28.5" x14ac:dyDescent="0.2">
      <c r="A9" s="5" t="s">
        <v>85</v>
      </c>
      <c r="B9" s="5" t="s">
        <v>32</v>
      </c>
      <c r="C9" s="9">
        <v>0</v>
      </c>
      <c r="D9" s="5" t="s">
        <v>16</v>
      </c>
      <c r="E9" s="5" t="s">
        <v>146</v>
      </c>
      <c r="F9" s="5"/>
    </row>
    <row r="10" spans="1:6" ht="28.5" x14ac:dyDescent="0.2">
      <c r="A10" s="5" t="s">
        <v>149</v>
      </c>
      <c r="B10" s="5" t="s">
        <v>150</v>
      </c>
      <c r="C10" s="8">
        <v>1000</v>
      </c>
      <c r="D10" s="5" t="s">
        <v>46</v>
      </c>
      <c r="E10" s="5"/>
      <c r="F10" s="5"/>
    </row>
    <row r="11" spans="1:6" ht="42.75" x14ac:dyDescent="0.2">
      <c r="A11" s="6" t="s">
        <v>82</v>
      </c>
      <c r="B11" s="6" t="s">
        <v>77</v>
      </c>
      <c r="C11" s="11">
        <v>0.9</v>
      </c>
      <c r="D11" s="6"/>
      <c r="E11" s="22" t="s">
        <v>78</v>
      </c>
      <c r="F11" s="5"/>
    </row>
    <row r="12" spans="1:6" ht="28.5" x14ac:dyDescent="0.2">
      <c r="A12" s="38" t="s">
        <v>95</v>
      </c>
      <c r="B12" s="38" t="s">
        <v>163</v>
      </c>
      <c r="C12" s="55">
        <v>0.3</v>
      </c>
      <c r="D12" s="38"/>
      <c r="E12" s="39"/>
      <c r="F12" s="5"/>
    </row>
    <row r="13" spans="1:6" ht="28.5" x14ac:dyDescent="0.2">
      <c r="A13" s="6" t="s">
        <v>95</v>
      </c>
      <c r="B13" s="6" t="s">
        <v>64</v>
      </c>
      <c r="C13" s="11">
        <v>7.0000000000000007E-2</v>
      </c>
      <c r="D13" s="6"/>
      <c r="E13" s="22" t="s">
        <v>22</v>
      </c>
    </row>
    <row r="14" spans="1:6" ht="42.75" x14ac:dyDescent="0.2">
      <c r="A14" s="6" t="s">
        <v>139</v>
      </c>
      <c r="B14" s="6" t="s">
        <v>142</v>
      </c>
      <c r="C14" s="10">
        <f>0.8/10</f>
        <v>0.08</v>
      </c>
      <c r="D14" s="6" t="s">
        <v>140</v>
      </c>
      <c r="E14" s="22" t="s">
        <v>141</v>
      </c>
    </row>
    <row r="15" spans="1:6" ht="42.75" x14ac:dyDescent="0.2">
      <c r="A15" s="6" t="s">
        <v>137</v>
      </c>
      <c r="B15" s="6" t="s">
        <v>138</v>
      </c>
      <c r="C15" s="10">
        <v>0.22</v>
      </c>
      <c r="D15" s="6" t="s">
        <v>21</v>
      </c>
      <c r="E15" s="22" t="s">
        <v>143</v>
      </c>
    </row>
    <row r="16" spans="1:6" ht="42.75" x14ac:dyDescent="0.2">
      <c r="A16" s="6" t="s">
        <v>80</v>
      </c>
      <c r="B16" s="6" t="s">
        <v>33</v>
      </c>
      <c r="C16" s="10">
        <v>1.23</v>
      </c>
      <c r="D16" s="6" t="s">
        <v>53</v>
      </c>
      <c r="E16" s="22" t="s">
        <v>18</v>
      </c>
    </row>
    <row r="17" spans="1:6" ht="15.75" x14ac:dyDescent="0.2">
      <c r="A17" s="5" t="s">
        <v>86</v>
      </c>
      <c r="B17" s="5" t="s">
        <v>11</v>
      </c>
      <c r="C17" s="8">
        <v>96485.33212331</v>
      </c>
      <c r="D17" s="5" t="s">
        <v>12</v>
      </c>
      <c r="E17" s="5"/>
      <c r="F17" s="5"/>
    </row>
    <row r="18" spans="1:6" x14ac:dyDescent="0.2">
      <c r="A18" s="5" t="s">
        <v>136</v>
      </c>
      <c r="B18" s="5" t="s">
        <v>9</v>
      </c>
      <c r="C18" s="5">
        <v>8.3144720000000003</v>
      </c>
      <c r="D18" s="5" t="s">
        <v>10</v>
      </c>
      <c r="E18" s="5"/>
      <c r="F18" s="5"/>
    </row>
    <row r="19" spans="1:6" ht="17.25" x14ac:dyDescent="0.2">
      <c r="A19" s="5" t="s">
        <v>84</v>
      </c>
      <c r="B19" s="5" t="s">
        <v>42</v>
      </c>
      <c r="C19" s="9">
        <v>44.009500000000003</v>
      </c>
      <c r="D19" s="5" t="s">
        <v>28</v>
      </c>
      <c r="E19" s="5"/>
      <c r="F19" s="5"/>
    </row>
    <row r="20" spans="1:6" ht="17.25" x14ac:dyDescent="0.2">
      <c r="A20" s="6" t="s">
        <v>93</v>
      </c>
      <c r="B20" s="6" t="s">
        <v>71</v>
      </c>
      <c r="C20" s="9">
        <v>138.2055</v>
      </c>
      <c r="D20" s="5" t="s">
        <v>28</v>
      </c>
      <c r="E20" s="5"/>
      <c r="F20" s="5"/>
    </row>
    <row r="21" spans="1:6" ht="17.25" x14ac:dyDescent="0.2">
      <c r="A21" s="5" t="s">
        <v>91</v>
      </c>
      <c r="B21" s="6" t="s">
        <v>45</v>
      </c>
      <c r="C21" s="9">
        <v>31.998799999999999</v>
      </c>
      <c r="D21" s="5" t="s">
        <v>28</v>
      </c>
      <c r="E21" s="5"/>
      <c r="F21" s="5"/>
    </row>
    <row r="22" spans="1:6" x14ac:dyDescent="0.2">
      <c r="A22" s="5" t="s">
        <v>100</v>
      </c>
      <c r="B22" s="5" t="s">
        <v>43</v>
      </c>
      <c r="C22" s="9">
        <v>18.015799999999999</v>
      </c>
      <c r="D22" s="5" t="s">
        <v>28</v>
      </c>
      <c r="E22" s="5"/>
      <c r="F22" s="5"/>
    </row>
    <row r="23" spans="1:6" x14ac:dyDescent="0.2">
      <c r="A23" s="5" t="s">
        <v>92</v>
      </c>
      <c r="B23" s="5" t="s">
        <v>14</v>
      </c>
      <c r="C23" s="8">
        <v>101325</v>
      </c>
      <c r="D23" s="5" t="s">
        <v>15</v>
      </c>
      <c r="E23" s="5"/>
      <c r="F23" s="5"/>
    </row>
    <row r="24" spans="1:6" ht="28.5" x14ac:dyDescent="0.2">
      <c r="A24" s="5" t="s">
        <v>105</v>
      </c>
      <c r="B24" s="5" t="s">
        <v>106</v>
      </c>
      <c r="C24" s="11">
        <f>350/365</f>
        <v>0.95890410958904104</v>
      </c>
      <c r="D24" s="5"/>
      <c r="E24" s="5"/>
      <c r="F24" s="5"/>
    </row>
    <row r="25" spans="1:6" ht="28.5" x14ac:dyDescent="0.2">
      <c r="A25" s="5" t="s">
        <v>110</v>
      </c>
      <c r="B25" s="5" t="s">
        <v>111</v>
      </c>
      <c r="C25" s="27">
        <v>0</v>
      </c>
      <c r="D25" s="5"/>
      <c r="E25" s="5"/>
      <c r="F25" s="5"/>
    </row>
    <row r="26" spans="1:6" ht="28.5" x14ac:dyDescent="0.2">
      <c r="A26" s="5" t="s">
        <v>107</v>
      </c>
      <c r="B26" s="5" t="s">
        <v>108</v>
      </c>
      <c r="C26" s="30">
        <v>10</v>
      </c>
      <c r="D26" s="5" t="s">
        <v>109</v>
      </c>
      <c r="E26" s="5"/>
      <c r="F26" s="5"/>
    </row>
    <row r="27" spans="1:6" ht="28.5" x14ac:dyDescent="0.2">
      <c r="A27" s="5" t="s">
        <v>102</v>
      </c>
      <c r="B27" s="5" t="s">
        <v>103</v>
      </c>
      <c r="C27" s="29">
        <v>2500</v>
      </c>
      <c r="D27" s="5" t="s">
        <v>104</v>
      </c>
      <c r="E27" s="5"/>
      <c r="F27" s="5"/>
    </row>
    <row r="28" spans="1:6" ht="28.5" x14ac:dyDescent="0.2">
      <c r="A28" s="5" t="s">
        <v>123</v>
      </c>
      <c r="B28" s="6" t="s">
        <v>124</v>
      </c>
      <c r="C28" s="29">
        <v>1</v>
      </c>
      <c r="D28" s="5" t="s">
        <v>109</v>
      </c>
      <c r="E28" s="5"/>
      <c r="F28" s="5"/>
    </row>
    <row r="29" spans="1:6" ht="42.75" x14ac:dyDescent="0.2">
      <c r="A29" s="6" t="s">
        <v>101</v>
      </c>
      <c r="B29" s="6" t="s">
        <v>73</v>
      </c>
      <c r="C29" s="11">
        <v>0.05</v>
      </c>
      <c r="D29" s="6"/>
      <c r="E29" s="22"/>
      <c r="F29" s="5"/>
    </row>
    <row r="30" spans="1:6" ht="31.5" x14ac:dyDescent="0.2">
      <c r="A30" s="37" t="s">
        <v>171</v>
      </c>
      <c r="B30" s="37" t="s">
        <v>172</v>
      </c>
      <c r="C30" s="46">
        <v>500</v>
      </c>
      <c r="D30" s="37" t="s">
        <v>184</v>
      </c>
      <c r="E30" s="39"/>
      <c r="F30" s="5"/>
    </row>
    <row r="31" spans="1:6" ht="28.5" x14ac:dyDescent="0.2">
      <c r="A31" s="6" t="s">
        <v>99</v>
      </c>
      <c r="B31" s="6" t="s">
        <v>72</v>
      </c>
      <c r="C31" s="27">
        <v>2500</v>
      </c>
      <c r="D31" s="6" t="s">
        <v>114</v>
      </c>
      <c r="E31" s="22"/>
      <c r="F31" s="5"/>
    </row>
    <row r="32" spans="1:6" ht="28.5" x14ac:dyDescent="0.2">
      <c r="A32" s="6" t="s">
        <v>94</v>
      </c>
      <c r="B32" s="6" t="s">
        <v>36</v>
      </c>
      <c r="C32" s="6">
        <v>10</v>
      </c>
      <c r="D32" s="6" t="s">
        <v>20</v>
      </c>
      <c r="E32" s="22" t="s">
        <v>19</v>
      </c>
      <c r="F32" s="5"/>
    </row>
    <row r="33" spans="1:6" ht="28.5" x14ac:dyDescent="0.2">
      <c r="A33" s="6" t="s">
        <v>81</v>
      </c>
      <c r="B33" s="6" t="s">
        <v>34</v>
      </c>
      <c r="C33" s="6">
        <v>0.247</v>
      </c>
      <c r="D33" s="6" t="s">
        <v>17</v>
      </c>
      <c r="E33" s="22" t="s">
        <v>19</v>
      </c>
      <c r="F33" s="5"/>
    </row>
    <row r="34" spans="1:6" ht="28.5" x14ac:dyDescent="0.2">
      <c r="A34" s="6" t="s">
        <v>79</v>
      </c>
      <c r="B34" s="6" t="s">
        <v>35</v>
      </c>
      <c r="C34" s="6">
        <f>0.041*1000</f>
        <v>41</v>
      </c>
      <c r="D34" s="6" t="s">
        <v>122</v>
      </c>
      <c r="E34" s="22" t="s">
        <v>19</v>
      </c>
      <c r="F34" s="5"/>
    </row>
    <row r="35" spans="1:6" ht="28.5" x14ac:dyDescent="0.2">
      <c r="A35" s="6" t="s">
        <v>96</v>
      </c>
      <c r="B35" s="6" t="s">
        <v>37</v>
      </c>
      <c r="C35" s="10">
        <v>313.14999999999998</v>
      </c>
      <c r="D35" s="6" t="s">
        <v>13</v>
      </c>
      <c r="E35" s="22" t="s">
        <v>22</v>
      </c>
      <c r="F35" s="5"/>
    </row>
    <row r="36" spans="1:6" x14ac:dyDescent="0.2">
      <c r="A36" s="5" t="s">
        <v>97</v>
      </c>
      <c r="B36" s="5" t="s">
        <v>121</v>
      </c>
      <c r="C36" s="10">
        <v>313.14999999999998</v>
      </c>
      <c r="D36" s="5" t="s">
        <v>13</v>
      </c>
      <c r="E36" s="5"/>
      <c r="F36" s="5"/>
    </row>
    <row r="37" spans="1:6" ht="15" x14ac:dyDescent="0.2">
      <c r="A37" s="15" t="s">
        <v>87</v>
      </c>
      <c r="B37" s="6" t="s">
        <v>38</v>
      </c>
      <c r="C37" s="15">
        <v>273.14999999999998</v>
      </c>
      <c r="D37" s="15" t="s">
        <v>13</v>
      </c>
      <c r="E37" s="5"/>
      <c r="F37" s="5"/>
    </row>
    <row r="38" spans="1:6" ht="28.5" x14ac:dyDescent="0.2">
      <c r="A38" s="5" t="s">
        <v>88</v>
      </c>
      <c r="B38" s="6" t="s">
        <v>39</v>
      </c>
      <c r="C38" s="8">
        <f>3600</f>
        <v>3600</v>
      </c>
      <c r="D38" s="5" t="s">
        <v>26</v>
      </c>
      <c r="E38" s="5"/>
      <c r="F38" s="5"/>
    </row>
    <row r="39" spans="1:6" ht="28.5" x14ac:dyDescent="0.2">
      <c r="A39" s="5" t="s">
        <v>89</v>
      </c>
      <c r="B39" s="6" t="s">
        <v>41</v>
      </c>
      <c r="C39" s="8">
        <f>1055870</f>
        <v>1055870</v>
      </c>
      <c r="D39" s="5" t="s">
        <v>27</v>
      </c>
      <c r="E39" s="5"/>
      <c r="F39" s="5"/>
    </row>
    <row r="40" spans="1:6" ht="28.5" x14ac:dyDescent="0.2">
      <c r="A40" s="5" t="s">
        <v>90</v>
      </c>
      <c r="B40" s="6" t="s">
        <v>40</v>
      </c>
      <c r="C40" s="8">
        <f>kJ_per_mmBtu/kJ_per_kWh</f>
        <v>293.29722222222222</v>
      </c>
      <c r="D40" s="5" t="s">
        <v>30</v>
      </c>
      <c r="E40" s="5"/>
      <c r="F40" s="5"/>
    </row>
    <row r="41" spans="1:6" x14ac:dyDescent="0.2">
      <c r="A41" s="4"/>
      <c r="F41" s="5"/>
    </row>
    <row r="42" spans="1:6" x14ac:dyDescent="0.2">
      <c r="A42" s="4"/>
      <c r="F42" s="5"/>
    </row>
    <row r="43" spans="1:6" x14ac:dyDescent="0.2">
      <c r="A43" s="4"/>
    </row>
    <row r="44" spans="1:6" x14ac:dyDescent="0.2">
      <c r="A44" s="4"/>
    </row>
    <row r="45" spans="1:6" x14ac:dyDescent="0.2">
      <c r="A45" s="4"/>
    </row>
    <row r="46" spans="1:6" x14ac:dyDescent="0.2">
      <c r="A46" s="4"/>
    </row>
    <row r="47" spans="1:6" x14ac:dyDescent="0.2">
      <c r="A47" s="4"/>
    </row>
    <row r="48" spans="1:6" x14ac:dyDescent="0.2">
      <c r="A48" s="4"/>
    </row>
    <row r="49" spans="1:4" x14ac:dyDescent="0.2">
      <c r="A49" s="4"/>
    </row>
    <row r="50" spans="1:4" x14ac:dyDescent="0.2">
      <c r="A50" s="5"/>
      <c r="B50" s="8"/>
      <c r="C50" s="5"/>
      <c r="D50" s="5"/>
    </row>
    <row r="51" spans="1:4" x14ac:dyDescent="0.2">
      <c r="A51" s="5"/>
      <c r="B51" s="9"/>
      <c r="C51" s="5"/>
      <c r="D51" s="5"/>
    </row>
    <row r="52" spans="1:4" x14ac:dyDescent="0.2">
      <c r="B52" s="6"/>
      <c r="C52" s="6"/>
    </row>
  </sheetData>
  <hyperlinks>
    <hyperlink ref="E14" r:id="rId1" xr:uid="{B2106B39-835F-40BC-BDFE-DE3B87B90F64}"/>
    <hyperlink ref="E11" r:id="rId2" display="Brandl et al" xr:uid="{EF89FF7B-65AC-4D83-8890-C13EE030FEED}"/>
    <hyperlink ref="E5" r:id="rId3" display="Seider et al: $0.27/m3; Alerte et al: $0.0145/kg" xr:uid="{428FA07D-32E1-4E39-B95F-F3FC1495D338}"/>
    <hyperlink ref="E4" r:id="rId4" display="IEA, average for power gen" xr:uid="{781250D3-74FF-4AAC-876D-B170419E0026}"/>
    <hyperlink ref="E35" r:id="rId5" xr:uid="{1D582B49-C9A3-4464-96C4-7694D2F23D8F}"/>
    <hyperlink ref="E15" r:id="rId6" display="Chemours 2024; Nafion N117" xr:uid="{C255EE5C-FBDD-4176-A67A-8F3FD3120E2E}"/>
    <hyperlink ref="E16" r:id="rId7" xr:uid="{C621EBC1-D2D7-4FBE-8E4B-BC10DF4928D4}"/>
    <hyperlink ref="E13" r:id="rId8" xr:uid="{2C690385-64CC-452A-875C-728C51C7F159}"/>
    <hyperlink ref="E6" r:id="rId9" location="fig2" display="Badgett, Cortright (J Cleaner Prod 2022)" xr:uid="{13C42B5A-CBC8-4B1A-A9AB-3BCDE19ECC9C}"/>
    <hyperlink ref="E7" r:id="rId10" xr:uid="{02516210-4A57-4505-9BB9-81760639675F}"/>
    <hyperlink ref="E33" r:id="rId11" xr:uid="{4036FC5E-2405-4C4F-9382-95746ACACF99}"/>
    <hyperlink ref="E32" r:id="rId12" xr:uid="{A2BA9811-CE47-4570-9C89-3F1B13200BAB}"/>
    <hyperlink ref="E34" r:id="rId13" xr:uid="{D6C65685-0DF2-44D6-9321-5CE49E794532}"/>
    <hyperlink ref="E8" r:id="rId14" xr:uid="{BD6E9C34-DA45-404C-A535-A5E941272F90}"/>
  </hyperlinks>
  <pageMargins left="0.7" right="0.7" top="0.75" bottom="0.75" header="0.3" footer="0.3"/>
  <pageSetup orientation="portrait" r:id="rId15"/>
  <legacyDrawing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AF06-8365-4A5D-B76C-A5564B983B09}">
  <dimension ref="A1:Q6"/>
  <sheetViews>
    <sheetView zoomScaleNormal="100" workbookViewId="0">
      <pane xSplit="1" topLeftCell="F1" activePane="topRight" state="frozen"/>
      <selection pane="topRight" activeCell="H4" sqref="H4"/>
    </sheetView>
  </sheetViews>
  <sheetFormatPr defaultColWidth="9.140625" defaultRowHeight="14.25" x14ac:dyDescent="0.2"/>
  <cols>
    <col min="1" max="1" width="13" style="4" bestFit="1" customWidth="1"/>
    <col min="2" max="2" width="13" style="4" customWidth="1"/>
    <col min="3" max="3" width="15" style="4" bestFit="1" customWidth="1"/>
    <col min="4" max="4" width="18.7109375" style="4" bestFit="1" customWidth="1"/>
    <col min="5" max="5" width="18.7109375" style="4" customWidth="1"/>
    <col min="6" max="6" width="15.7109375" style="4" bestFit="1" customWidth="1"/>
    <col min="7" max="7" width="15.7109375" style="35" customWidth="1"/>
    <col min="8" max="8" width="17.7109375" style="4" bestFit="1" customWidth="1"/>
    <col min="9" max="9" width="16.42578125" style="4" bestFit="1" customWidth="1"/>
    <col min="10" max="10" width="13.28515625" style="4" bestFit="1" customWidth="1"/>
    <col min="11" max="11" width="15.140625" style="4" bestFit="1" customWidth="1"/>
    <col min="12" max="14" width="15.140625" style="4" customWidth="1"/>
    <col min="15" max="15" width="15.7109375" style="4" customWidth="1"/>
    <col min="16" max="16" width="23.140625" style="36" bestFit="1" customWidth="1"/>
    <col min="17" max="17" width="19.7109375" style="4" bestFit="1" customWidth="1"/>
    <col min="18" max="16384" width="9.140625" style="4"/>
  </cols>
  <sheetData>
    <row r="1" spans="1:17" ht="58.5" x14ac:dyDescent="0.2">
      <c r="A1" s="7" t="s">
        <v>48</v>
      </c>
      <c r="B1" s="7" t="s">
        <v>61</v>
      </c>
      <c r="C1" s="7" t="s">
        <v>49</v>
      </c>
      <c r="D1" s="7" t="s">
        <v>56</v>
      </c>
      <c r="E1" s="7" t="s">
        <v>57</v>
      </c>
      <c r="F1" s="7" t="s">
        <v>50</v>
      </c>
      <c r="G1" s="26" t="s">
        <v>65</v>
      </c>
      <c r="H1" s="7" t="s">
        <v>60</v>
      </c>
      <c r="I1" s="7" t="s">
        <v>51</v>
      </c>
      <c r="J1" s="7" t="s">
        <v>52</v>
      </c>
      <c r="K1" s="7" t="s">
        <v>58</v>
      </c>
      <c r="L1" s="7" t="s">
        <v>70</v>
      </c>
      <c r="M1" s="7" t="s">
        <v>177</v>
      </c>
      <c r="N1" s="7" t="s">
        <v>207</v>
      </c>
      <c r="O1" s="12" t="s">
        <v>23</v>
      </c>
      <c r="P1" s="12" t="s">
        <v>59</v>
      </c>
      <c r="Q1" s="12" t="s">
        <v>180</v>
      </c>
    </row>
    <row r="2" spans="1:17" ht="17.25" x14ac:dyDescent="0.2">
      <c r="A2" s="5" t="s">
        <v>55</v>
      </c>
      <c r="B2" s="5" t="s">
        <v>62</v>
      </c>
      <c r="C2" s="9">
        <f>1.007947*2</f>
        <v>2.0158939999999999</v>
      </c>
      <c r="D2" s="5">
        <v>2</v>
      </c>
      <c r="E2" s="5">
        <v>0</v>
      </c>
      <c r="F2" s="23">
        <v>120087</v>
      </c>
      <c r="G2" s="9">
        <v>2</v>
      </c>
      <c r="H2" s="5">
        <v>0</v>
      </c>
      <c r="I2" s="6"/>
      <c r="J2" s="6"/>
      <c r="K2" s="6"/>
      <c r="L2" s="6"/>
      <c r="M2" s="6"/>
      <c r="N2" s="6"/>
      <c r="O2" s="5"/>
      <c r="P2" s="5"/>
      <c r="Q2" s="5"/>
    </row>
    <row r="3" spans="1:17" ht="85.5" x14ac:dyDescent="0.2">
      <c r="A3" s="5" t="s">
        <v>47</v>
      </c>
      <c r="B3" s="5" t="s">
        <v>62</v>
      </c>
      <c r="C3" s="9">
        <v>28.010100000000001</v>
      </c>
      <c r="D3" s="5">
        <v>2</v>
      </c>
      <c r="E3" s="5">
        <v>1</v>
      </c>
      <c r="F3" s="23">
        <v>10160</v>
      </c>
      <c r="G3" s="9">
        <f>0.6*(1.015^(2024-2001))</f>
        <v>0.84502629276592345</v>
      </c>
      <c r="H3" s="10">
        <v>-0.06</v>
      </c>
      <c r="I3" s="60">
        <f>-2.35-0.197-Products[[#This Row],[Standard potential, pH = 0 (V vs SHE)]]</f>
        <v>-2.4870000000000001</v>
      </c>
      <c r="J3" s="38">
        <v>-182</v>
      </c>
      <c r="K3" s="60">
        <v>1</v>
      </c>
      <c r="L3" s="10">
        <v>0.89</v>
      </c>
      <c r="M3" s="58">
        <v>0.66700000000000004</v>
      </c>
      <c r="N3" s="61">
        <v>198.8</v>
      </c>
      <c r="O3" s="22" t="s">
        <v>19</v>
      </c>
      <c r="P3" s="33" t="s">
        <v>176</v>
      </c>
      <c r="Q3" s="5"/>
    </row>
    <row r="4" spans="1:17" ht="71.25" x14ac:dyDescent="0.2">
      <c r="A4" s="5" t="s">
        <v>162</v>
      </c>
      <c r="B4" s="6" t="s">
        <v>148</v>
      </c>
      <c r="C4" s="10">
        <v>90.03</v>
      </c>
      <c r="D4" s="5">
        <v>2</v>
      </c>
      <c r="E4" s="5">
        <v>2</v>
      </c>
      <c r="F4" s="59">
        <v>10000</v>
      </c>
      <c r="G4" s="9">
        <v>0.7</v>
      </c>
      <c r="H4" s="10">
        <v>-0.51</v>
      </c>
      <c r="I4" s="60">
        <f>-1.8+0.197-Products[[#This Row],[Standard potential, pH = 0 (V vs SHE)]]</f>
        <v>-1.093</v>
      </c>
      <c r="J4" s="38">
        <f>0.2*1000/(3.2-5.2)</f>
        <v>-100</v>
      </c>
      <c r="K4" s="60">
        <v>5.6</v>
      </c>
      <c r="L4" s="6">
        <v>0.7</v>
      </c>
      <c r="M4" s="58">
        <v>0.66700000000000004</v>
      </c>
      <c r="N4" s="61">
        <v>168.6</v>
      </c>
      <c r="O4" s="22" t="s">
        <v>187</v>
      </c>
      <c r="P4" s="33" t="s">
        <v>182</v>
      </c>
      <c r="Q4" s="22" t="s">
        <v>183</v>
      </c>
    </row>
    <row r="5" spans="1:17" s="34" customFormat="1" ht="28.5" x14ac:dyDescent="0.2">
      <c r="A5" s="6" t="s">
        <v>147</v>
      </c>
      <c r="B5" s="5" t="s">
        <v>148</v>
      </c>
      <c r="C5" s="9">
        <v>46.024999999999999</v>
      </c>
      <c r="D5" s="5">
        <v>2</v>
      </c>
      <c r="E5" s="5">
        <v>1</v>
      </c>
      <c r="F5" s="56">
        <v>5400</v>
      </c>
      <c r="G5" s="9">
        <v>0.83</v>
      </c>
      <c r="H5" s="10">
        <v>-7.0000000000000007E-2</v>
      </c>
      <c r="I5" s="60"/>
      <c r="J5" s="60"/>
      <c r="K5" s="60"/>
      <c r="L5" s="6">
        <v>0.69</v>
      </c>
      <c r="M5" s="58">
        <v>0.66700000000000004</v>
      </c>
      <c r="N5" s="41"/>
      <c r="O5" s="22" t="s">
        <v>19</v>
      </c>
      <c r="P5" s="33" t="s">
        <v>181</v>
      </c>
      <c r="Q5" s="22" t="s">
        <v>186</v>
      </c>
    </row>
    <row r="6" spans="1:17" ht="42.75" x14ac:dyDescent="0.2">
      <c r="A6" s="24" t="s">
        <v>23</v>
      </c>
      <c r="B6" s="25" t="s">
        <v>63</v>
      </c>
      <c r="C6" s="25" t="s">
        <v>63</v>
      </c>
      <c r="D6" s="22" t="s">
        <v>128</v>
      </c>
      <c r="E6" s="25" t="s">
        <v>63</v>
      </c>
      <c r="F6" s="22" t="s">
        <v>185</v>
      </c>
      <c r="G6" s="25" t="s">
        <v>68</v>
      </c>
      <c r="H6" s="22" t="s">
        <v>129</v>
      </c>
      <c r="I6" s="25" t="s">
        <v>54</v>
      </c>
      <c r="J6" s="25" t="s">
        <v>54</v>
      </c>
      <c r="K6" s="25" t="s">
        <v>54</v>
      </c>
      <c r="L6" s="25"/>
      <c r="M6" s="25"/>
      <c r="N6" s="45"/>
      <c r="O6" s="24"/>
      <c r="P6" s="24"/>
      <c r="Q6" s="5"/>
    </row>
  </sheetData>
  <phoneticPr fontId="18" type="noConversion"/>
  <hyperlinks>
    <hyperlink ref="D6" r:id="rId1" display="Nitopi Jaramillo Chem Rev 2019" xr:uid="{A6CEC16A-5A29-4C4B-B6DC-2F13839F3E5E}"/>
    <hyperlink ref="F6" r:id="rId2" xr:uid="{0D86F13D-1D29-453A-84F4-38B2E4DB70A8}"/>
    <hyperlink ref="H6" r:id="rId3" display="Bui Weber Chem Rev 2022" xr:uid="{D54C8481-3AD6-4B97-878B-D2C90AD4D097}"/>
    <hyperlink ref="O5" r:id="rId4" xr:uid="{8DCF1B3E-E4C0-4519-B0A4-B9CFE6918586}"/>
    <hyperlink ref="O3" r:id="rId5" xr:uid="{A4F65FF6-C6EC-40B1-9701-93F5858A18BD}"/>
    <hyperlink ref="P3" r:id="rId6" display="Jouny, Jiao I&amp;EC 2018" xr:uid="{055CF2D0-A5B8-4CD1-86AB-6306FD0BDCB1}"/>
    <hyperlink ref="P4" r:id="rId7" display="Official Journal of the European Union 2018/931; BusinessAnalytiq" xr:uid="{EE1F26C5-F40D-4FF5-8A7F-D7509C148F0D}"/>
    <hyperlink ref="Q4" r:id="rId8" display="Business Analytiq (accessed 2024)" xr:uid="{42FBBE18-D944-424A-B062-2455F7054E13}"/>
    <hyperlink ref="P5" r:id="rId9" xr:uid="{D048CC37-2D11-4A65-9080-6BC0AFBCF8DF}"/>
    <hyperlink ref="Q5" r:id="rId10" xr:uid="{16A2176F-1FEA-47A1-ACB0-305BD770F6C4}"/>
    <hyperlink ref="O4" r:id="rId11" display="Gennaro, Saveant (Faraday Trans. 1996)" xr:uid="{7978DE13-367D-4230-95ED-F9E3350D0932}"/>
  </hyperlinks>
  <pageMargins left="0.7" right="0.7" top="0.75" bottom="0.75" header="0.3" footer="0.3"/>
  <pageSetup orientation="portrait" r:id="rId12"/>
  <legacyDrawing r:id="rId13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5D70-1AE4-4A35-988B-BBC4298D1C90}">
  <dimension ref="A1:M11"/>
  <sheetViews>
    <sheetView tabSelected="1" topLeftCell="A2" zoomScaleNormal="100" workbookViewId="0">
      <selection activeCell="K4" sqref="K4"/>
    </sheetView>
  </sheetViews>
  <sheetFormatPr defaultRowHeight="15" x14ac:dyDescent="0.25"/>
  <cols>
    <col min="1" max="1" width="13.5703125" bestFit="1" customWidth="1"/>
    <col min="2" max="2" width="15.85546875" bestFit="1" customWidth="1"/>
    <col min="3" max="3" width="16.140625" bestFit="1" customWidth="1"/>
    <col min="4" max="4" width="13.5703125" bestFit="1" customWidth="1"/>
    <col min="5" max="5" width="15" bestFit="1" customWidth="1"/>
    <col min="6" max="7" width="15" customWidth="1"/>
    <col min="8" max="12" width="16.42578125" customWidth="1"/>
    <col min="13" max="13" width="17.5703125" bestFit="1" customWidth="1"/>
  </cols>
  <sheetData>
    <row r="1" spans="1:13" ht="74.25" x14ac:dyDescent="0.25">
      <c r="A1" s="44" t="s">
        <v>155</v>
      </c>
      <c r="B1" s="7" t="s">
        <v>49</v>
      </c>
      <c r="C1" s="26" t="s">
        <v>156</v>
      </c>
      <c r="D1" s="5" t="s">
        <v>179</v>
      </c>
      <c r="E1" s="6" t="s">
        <v>158</v>
      </c>
      <c r="F1" s="6" t="s">
        <v>192</v>
      </c>
      <c r="G1" s="6" t="s">
        <v>205</v>
      </c>
      <c r="H1" s="6" t="s">
        <v>164</v>
      </c>
      <c r="I1" s="6" t="s">
        <v>188</v>
      </c>
      <c r="J1" s="6" t="s">
        <v>190</v>
      </c>
      <c r="K1" s="6" t="s">
        <v>196</v>
      </c>
      <c r="L1" s="6" t="s">
        <v>189</v>
      </c>
      <c r="M1" s="6" t="s">
        <v>23</v>
      </c>
    </row>
    <row r="2" spans="1:13" ht="42.75" x14ac:dyDescent="0.25">
      <c r="A2" s="43" t="s">
        <v>145</v>
      </c>
      <c r="B2" s="9">
        <v>41.052</v>
      </c>
      <c r="C2" s="9">
        <v>2.7</v>
      </c>
      <c r="D2" s="29">
        <v>782.5</v>
      </c>
      <c r="E2" s="10">
        <v>0.36899999999999999</v>
      </c>
      <c r="F2" s="10">
        <f>1/60.7</f>
        <v>1.6474464579901153E-2</v>
      </c>
      <c r="G2" s="10">
        <v>1</v>
      </c>
      <c r="H2" s="10">
        <f>Products6[[#This Row],[Henry''s constant at 298K, CO2 (mole fraction/atm)]]*9.8692/(1-Products6[[#This Row],[Henry''s constant at 298K, CO2 (mole fraction/atm)]]*9.8692)</f>
        <v>0.19415787278579127</v>
      </c>
      <c r="I2" s="10">
        <f>273.15+81.6</f>
        <v>354.75</v>
      </c>
      <c r="J2" s="8">
        <f>11.9*1000</f>
        <v>11900</v>
      </c>
      <c r="K2" s="63">
        <v>1E-4</v>
      </c>
      <c r="L2" s="8" t="s">
        <v>191</v>
      </c>
      <c r="M2" s="39" t="s">
        <v>193</v>
      </c>
    </row>
    <row r="3" spans="1:13" ht="42.75" x14ac:dyDescent="0.25">
      <c r="A3" s="43" t="s">
        <v>160</v>
      </c>
      <c r="B3" s="9">
        <v>102.089</v>
      </c>
      <c r="C3" s="9">
        <v>0.90700000000000003</v>
      </c>
      <c r="D3" s="29">
        <v>1204.7</v>
      </c>
      <c r="E3" s="10">
        <v>2.5299999999999998</v>
      </c>
      <c r="F3" s="10">
        <f>1/82.1</f>
        <v>1.2180267965895251E-2</v>
      </c>
      <c r="G3" s="10">
        <f>1.59/5.69</f>
        <v>0.27943760984182775</v>
      </c>
      <c r="H3" s="10">
        <f>Products6[[#This Row],[Henry''s constant at 298K, CO2 (mole fraction/atm)]]*9.8692/(1-Products6[[#This Row],[Henry''s constant at 298K, CO2 (mole fraction/atm)]]*9.8692)</f>
        <v>0.13663423359564064</v>
      </c>
      <c r="I3" s="10">
        <f>273.15+241.6</f>
        <v>514.75</v>
      </c>
      <c r="J3" s="8">
        <f>0.05*1000</f>
        <v>50</v>
      </c>
      <c r="K3" s="63">
        <v>1.0000000000000001E-5</v>
      </c>
      <c r="L3" s="57" t="s">
        <v>195</v>
      </c>
      <c r="M3" s="39" t="s">
        <v>193</v>
      </c>
    </row>
    <row r="4" spans="1:13" ht="42.75" x14ac:dyDescent="0.25">
      <c r="A4" s="47" t="s">
        <v>161</v>
      </c>
      <c r="B4" s="9">
        <v>78.132999999999996</v>
      </c>
      <c r="C4" s="9">
        <v>2.66</v>
      </c>
      <c r="D4" s="29">
        <v>1101</v>
      </c>
      <c r="E4" s="10">
        <v>1.9870000000000001</v>
      </c>
      <c r="F4" s="10">
        <f>1/101.6</f>
        <v>9.8425196850393699E-3</v>
      </c>
      <c r="G4" s="10">
        <f>2.36/5.69</f>
        <v>0.41476274165202104</v>
      </c>
      <c r="H4" s="10">
        <f>Products6[[#This Row],[Henry''s constant at 298K, CO2 (mole fraction/atm)]]*9.8692/(1-Products6[[#This Row],[Henry''s constant at 298K, CO2 (mole fraction/atm)]]*9.8692)</f>
        <v>0.10758872701426347</v>
      </c>
      <c r="I4" s="10">
        <f>273.15+191.9</f>
        <v>465.04999999999995</v>
      </c>
      <c r="J4" s="8">
        <f>0.084*1000</f>
        <v>84</v>
      </c>
      <c r="K4" s="63">
        <v>1.0000000000000001E-5</v>
      </c>
      <c r="L4" s="8" t="s">
        <v>194</v>
      </c>
      <c r="M4" s="39" t="s">
        <v>193</v>
      </c>
    </row>
    <row r="5" spans="1:13" ht="42.75" x14ac:dyDescent="0.25">
      <c r="A5" s="47" t="s">
        <v>178</v>
      </c>
      <c r="B5" s="9">
        <v>73.093999999999994</v>
      </c>
      <c r="C5" s="9">
        <v>1</v>
      </c>
      <c r="D5" s="29">
        <v>944.5</v>
      </c>
      <c r="E5" s="10">
        <v>0.79400000000000004</v>
      </c>
      <c r="F5" s="10">
        <f>1/65.3</f>
        <v>1.5313935681470138E-2</v>
      </c>
      <c r="G5" s="10">
        <f>3.34/5.69</f>
        <v>0.58699472759226712</v>
      </c>
      <c r="H5" s="10">
        <f>Products6[[#This Row],[Henry''s constant at 298K, CO2 (mole fraction/atm)]]*9.8692/(1-Products6[[#This Row],[Henry''s constant at 298K, CO2 (mole fraction/atm)]]*9.8692)</f>
        <v>0.17804541879244029</v>
      </c>
      <c r="I5" s="10">
        <f>273.15+152.8</f>
        <v>425.95</v>
      </c>
      <c r="J5" s="8">
        <f>0.439*1000</f>
        <v>439</v>
      </c>
      <c r="K5" s="63">
        <v>1.0000000000000001E-5</v>
      </c>
      <c r="L5" s="8" t="s">
        <v>191</v>
      </c>
      <c r="M5" s="39" t="s">
        <v>193</v>
      </c>
    </row>
    <row r="7" spans="1:13" ht="57" x14ac:dyDescent="0.25">
      <c r="A7" s="62" t="s">
        <v>198</v>
      </c>
      <c r="I7" s="64"/>
    </row>
    <row r="8" spans="1:13" x14ac:dyDescent="0.25">
      <c r="I8" s="64"/>
    </row>
    <row r="9" spans="1:13" x14ac:dyDescent="0.25">
      <c r="I9" s="64"/>
    </row>
    <row r="10" spans="1:13" x14ac:dyDescent="0.25">
      <c r="I10" s="64"/>
    </row>
    <row r="11" spans="1:13" x14ac:dyDescent="0.25">
      <c r="I11" s="64"/>
    </row>
  </sheetData>
  <phoneticPr fontId="18" type="noConversion"/>
  <hyperlinks>
    <hyperlink ref="M2" r:id="rId1" display="Izutsu (Wiley 2009)" xr:uid="{3CE65C60-DA75-4595-8CAA-88F2C9A358C9}"/>
    <hyperlink ref="M3" r:id="rId2" display="Izutsu (Wiley 2009)" xr:uid="{6B0DA7F9-0782-4596-8B42-F9EBE5175294}"/>
    <hyperlink ref="M4" r:id="rId3" display="Izutsu (Wiley 2009)" xr:uid="{55B29BD6-B10F-4DCF-93BE-7B2953D8D605}"/>
    <hyperlink ref="M5" r:id="rId4" display="Izutsu (Wiley 2009)" xr:uid="{A3AEBAE1-B668-4BB3-9056-8F0FA6D1359D}"/>
  </hyperlinks>
  <pageMargins left="0.7" right="0.7" top="0.75" bottom="0.75" header="0.3" footer="0.3"/>
  <pageSetup orientation="portrait" r:id="rId5"/>
  <legacyDrawing r:id="rId6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AAB6-E21A-42F8-BEF8-70CDE446E133}">
  <dimension ref="A1:G5"/>
  <sheetViews>
    <sheetView zoomScale="132" zoomScaleNormal="85" workbookViewId="0">
      <selection activeCell="G2" sqref="G2"/>
    </sheetView>
  </sheetViews>
  <sheetFormatPr defaultRowHeight="15" x14ac:dyDescent="0.25"/>
  <cols>
    <col min="1" max="1" width="17.140625" bestFit="1" customWidth="1"/>
    <col min="2" max="2" width="23.5703125" bestFit="1" customWidth="1"/>
    <col min="3" max="3" width="17.5703125" bestFit="1" customWidth="1"/>
    <col min="4" max="4" width="15.140625" customWidth="1"/>
    <col min="5" max="5" width="17.42578125" bestFit="1" customWidth="1"/>
    <col min="6" max="6" width="22.5703125" customWidth="1"/>
    <col min="7" max="7" width="19.140625" customWidth="1"/>
  </cols>
  <sheetData>
    <row r="1" spans="1:7" ht="42.75" x14ac:dyDescent="0.25">
      <c r="A1" s="44" t="s">
        <v>157</v>
      </c>
      <c r="B1" s="7" t="s">
        <v>49</v>
      </c>
      <c r="C1" s="26" t="s">
        <v>159</v>
      </c>
      <c r="D1" s="6" t="s">
        <v>204</v>
      </c>
      <c r="E1" s="6" t="s">
        <v>23</v>
      </c>
    </row>
    <row r="2" spans="1:7" ht="42.75" x14ac:dyDescent="0.25">
      <c r="A2" s="43" t="s">
        <v>199</v>
      </c>
      <c r="B2" s="9">
        <v>341.91</v>
      </c>
      <c r="C2" s="9">
        <v>10</v>
      </c>
      <c r="D2" s="58">
        <f>5.69/1000</f>
        <v>5.6900000000000006E-3</v>
      </c>
      <c r="E2" s="22"/>
      <c r="F2" s="5" t="s">
        <v>144</v>
      </c>
      <c r="G2" s="5" t="s">
        <v>206</v>
      </c>
    </row>
    <row r="3" spans="1:7" x14ac:dyDescent="0.25">
      <c r="A3" s="43" t="s">
        <v>200</v>
      </c>
      <c r="B3" s="9">
        <v>229.74</v>
      </c>
      <c r="C3" s="9">
        <v>10</v>
      </c>
      <c r="D3" s="58">
        <f>1000/1000000*0.3*172.3*(1-2.08*SQRT(0.3)+2.4*(0.3))</f>
        <v>3.0018299685320562E-2</v>
      </c>
      <c r="E3" s="22"/>
    </row>
    <row r="4" spans="1:7" x14ac:dyDescent="0.25">
      <c r="A4" s="43" t="s">
        <v>201</v>
      </c>
      <c r="B4" s="9">
        <v>329.27</v>
      </c>
      <c r="C4" s="9">
        <v>10</v>
      </c>
      <c r="D4" s="40">
        <f>1000/1000000*0.3*172.3*(1-2.08*SQRT(0.3)+2.4*(0.3))</f>
        <v>3.0018299685320562E-2</v>
      </c>
      <c r="E4" s="22"/>
      <c r="F4" s="65"/>
    </row>
    <row r="5" spans="1:7" x14ac:dyDescent="0.25">
      <c r="A5" s="43" t="s">
        <v>197</v>
      </c>
      <c r="B5" s="9">
        <v>165.74</v>
      </c>
      <c r="C5" s="9">
        <v>10</v>
      </c>
      <c r="D5" s="58">
        <f>1000/1000000*0.3*169.6*(1-2.1*SQRT(0.3)+10*(0.3))</f>
        <v>0.14499694017568801</v>
      </c>
      <c r="E5" s="5"/>
      <c r="F5" s="65"/>
    </row>
  </sheetData>
  <phoneticPr fontId="18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0117-7FF7-46A9-9CB1-1D0EC2086168}">
  <dimension ref="A1:F14"/>
  <sheetViews>
    <sheetView topLeftCell="A2" workbookViewId="0">
      <selection activeCell="B11" sqref="B11"/>
    </sheetView>
  </sheetViews>
  <sheetFormatPr defaultColWidth="9.140625" defaultRowHeight="15" x14ac:dyDescent="0.25"/>
  <cols>
    <col min="1" max="1" width="28.28515625" style="13" bestFit="1" customWidth="1"/>
    <col min="2" max="2" width="19.5703125" style="50" bestFit="1" customWidth="1"/>
    <col min="3" max="3" width="23.7109375" style="50" bestFit="1" customWidth="1"/>
    <col min="4" max="4" width="23.5703125" style="3" bestFit="1" customWidth="1"/>
    <col min="5" max="5" width="22.7109375" style="3" bestFit="1" customWidth="1"/>
    <col min="6" max="6" width="12.140625" style="3" customWidth="1"/>
    <col min="7" max="16384" width="9.140625" style="3"/>
  </cols>
  <sheetData>
    <row r="1" spans="1:6" s="2" customFormat="1" ht="34.5" x14ac:dyDescent="0.25">
      <c r="A1" s="21" t="s">
        <v>0</v>
      </c>
      <c r="B1" s="48" t="s">
        <v>4</v>
      </c>
      <c r="C1" s="49" t="s">
        <v>29</v>
      </c>
      <c r="D1" s="1" t="s">
        <v>23</v>
      </c>
    </row>
    <row r="2" spans="1:6" x14ac:dyDescent="0.25">
      <c r="A2" s="16"/>
      <c r="B2" s="51"/>
      <c r="C2" s="52"/>
      <c r="D2" s="20"/>
    </row>
    <row r="3" spans="1:6" ht="75" customHeight="1" x14ac:dyDescent="0.25">
      <c r="A3" s="17" t="s">
        <v>5</v>
      </c>
      <c r="B3" s="51">
        <v>2.4E-2</v>
      </c>
      <c r="C3" s="52">
        <v>50</v>
      </c>
      <c r="D3" s="28" t="s">
        <v>130</v>
      </c>
      <c r="E3" s="67" t="s">
        <v>132</v>
      </c>
      <c r="F3" s="66" t="s">
        <v>133</v>
      </c>
    </row>
    <row r="4" spans="1:6" ht="28.5" x14ac:dyDescent="0.25">
      <c r="A4" s="17" t="s">
        <v>76</v>
      </c>
      <c r="B4" s="51">
        <v>2.4E-2</v>
      </c>
      <c r="C4" s="52">
        <v>20</v>
      </c>
      <c r="D4" s="28" t="s">
        <v>130</v>
      </c>
      <c r="E4" s="67"/>
      <c r="F4" s="66"/>
    </row>
    <row r="5" spans="1:6" ht="28.5" x14ac:dyDescent="0.25">
      <c r="A5" s="17" t="s">
        <v>75</v>
      </c>
      <c r="B5" s="51">
        <v>4.2000000000000003E-2</v>
      </c>
      <c r="C5" s="52"/>
      <c r="D5" s="28" t="s">
        <v>131</v>
      </c>
    </row>
    <row r="6" spans="1:6" ht="57" x14ac:dyDescent="0.25">
      <c r="A6" s="17" t="s">
        <v>2</v>
      </c>
      <c r="B6" s="51">
        <f>16.05/100</f>
        <v>0.1605</v>
      </c>
      <c r="C6" s="52">
        <v>230.93061430996579</v>
      </c>
      <c r="D6" s="28" t="s">
        <v>134</v>
      </c>
    </row>
    <row r="7" spans="1:6" ht="71.25" x14ac:dyDescent="0.25">
      <c r="A7" s="17" t="s">
        <v>1</v>
      </c>
      <c r="B7" s="51">
        <f>8.19/100</f>
        <v>8.1900000000000001E-2</v>
      </c>
      <c r="C7" s="52">
        <v>414.10433834299573</v>
      </c>
      <c r="D7" s="28" t="s">
        <v>175</v>
      </c>
    </row>
    <row r="8" spans="1:6" ht="71.25" x14ac:dyDescent="0.25">
      <c r="A8" s="17" t="s">
        <v>3</v>
      </c>
      <c r="B8" s="51">
        <f>2.22/kWh_per_mmBtu</f>
        <v>7.5691136219420956E-3</v>
      </c>
      <c r="C8" s="52">
        <f>70.66/1000*kJ_per_kWh</f>
        <v>254.376</v>
      </c>
      <c r="D8" s="18" t="s">
        <v>135</v>
      </c>
    </row>
    <row r="9" spans="1:6" ht="28.5" x14ac:dyDescent="0.25">
      <c r="A9" s="17" t="s">
        <v>44</v>
      </c>
      <c r="B9" s="51">
        <v>0.03</v>
      </c>
      <c r="C9" s="53"/>
      <c r="D9" s="32" t="s">
        <v>19</v>
      </c>
    </row>
    <row r="10" spans="1:6" x14ac:dyDescent="0.25">
      <c r="A10" s="17"/>
      <c r="B10" s="51"/>
      <c r="C10" s="53"/>
      <c r="D10" s="31"/>
    </row>
    <row r="11" spans="1:6" x14ac:dyDescent="0.25">
      <c r="A11" s="17" t="s">
        <v>24</v>
      </c>
      <c r="B11" s="51">
        <f>B7</f>
        <v>8.1900000000000001E-2</v>
      </c>
      <c r="C11" s="53">
        <f>C7</f>
        <v>414.10433834299573</v>
      </c>
      <c r="D11" s="31"/>
    </row>
    <row r="12" spans="1:6" x14ac:dyDescent="0.25">
      <c r="A12" s="19" t="s">
        <v>25</v>
      </c>
      <c r="B12" s="54">
        <f>B8</f>
        <v>7.5691136219420956E-3</v>
      </c>
      <c r="C12" s="53">
        <f>C8</f>
        <v>254.376</v>
      </c>
      <c r="D12" s="31"/>
    </row>
    <row r="13" spans="1:6" x14ac:dyDescent="0.25">
      <c r="A13" s="19"/>
      <c r="B13" s="54"/>
      <c r="C13" s="53"/>
      <c r="D13" s="31"/>
    </row>
    <row r="14" spans="1:6" x14ac:dyDescent="0.25">
      <c r="A14" s="17" t="s">
        <v>69</v>
      </c>
      <c r="B14" s="51">
        <v>200</v>
      </c>
      <c r="C14" s="53"/>
      <c r="D14" s="32" t="s">
        <v>113</v>
      </c>
    </row>
  </sheetData>
  <mergeCells count="2">
    <mergeCell ref="F3:F4"/>
    <mergeCell ref="E3:E4"/>
  </mergeCells>
  <hyperlinks>
    <hyperlink ref="D3" r:id="rId1" display="Lazard April 2023; GREET 2022" xr:uid="{30AD102F-86CC-45B4-864B-ED7B59346D8B}"/>
    <hyperlink ref="D5" r:id="rId2" display="Lazard April 2023; GREET 2022" xr:uid="{1F2B7BF5-663B-4DAD-9B10-2CA45B85411D}"/>
    <hyperlink ref="E3" r:id="rId3" xr:uid="{3B32718D-979A-40E2-98A6-A140F52AD9CF}"/>
    <hyperlink ref="D14" r:id="rId4" xr:uid="{AE632364-779F-4089-A88D-F487214F42B4}"/>
    <hyperlink ref="D4" r:id="rId5" display="Lazard April 2023; GREET 2022" xr:uid="{001DDBDA-9A42-4028-A4C3-DD34E948B14B}"/>
    <hyperlink ref="D6" r:id="rId6" xr:uid="{EEDCFB93-E59F-403A-99E8-154836C00872}"/>
    <hyperlink ref="D7" r:id="rId7" display="U.S. Energy Information Administration (April 2023) - industrial retail; GREET (2022)" xr:uid="{2B223392-32B3-448A-811F-60ABD0999D47}"/>
  </hyperlinks>
  <pageMargins left="0.7" right="0.7" top="0.75" bottom="0.75" header="0.3" footer="0.3"/>
  <pageSetup orientation="portrait" r:id="rId8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l 4 2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S X j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4 2 V y i K R 7 g O A A A A E Q A A A B M A H A B G b 3 J t d W x h c y 9 T Z W N 0 a W 9 u M S 5 t I K I Y A C i g F A A A A A A A A A A A A A A A A A A A A A A A A A A A A C t O T S 7 J z M 9 T C I b Q h t Y A U E s B A i 0 A F A A C A A g A E l 4 2 V 5 2 I Z o + j A A A A 9 g A A A B I A A A A A A A A A A A A A A A A A A A A A A E N v b m Z p Z y 9 Q Y W N r Y W d l L n h t b F B L A Q I t A B Q A A g A I A B J e N l c P y u m r p A A A A O k A A A A T A A A A A A A A A A A A A A A A A O 8 A A A B b Q 2 9 u d G V u d F 9 U e X B l c 1 0 u e G 1 s U E s B A i 0 A F A A C A A g A E l 4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V X k V u 3 c 9 C t y g E G P 6 L E b I A A A A A A g A A A A A A E G Y A A A A B A A A g A A A A Q Y y P v B 5 v Z i i r J s D f 4 T d s u S n Z D m u h e f S H P G y a R T c j 8 u o A A A A A D o A A A A A C A A A g A A A A d d + N E O A 1 D s L M Y b 9 g H x s H S o O p 0 X 2 q n N b C K T / W F W L l 8 J p Q A A A A R C A x 4 u E y E U Q M V D p i z l Z S e r J 7 u Z m P H M T g h X u w b K N 3 + M x 2 h d m K b 9 Z Q q u V Q P v B s d t / c 6 h Z Y V T 3 t 9 C h / C V T i X l K r I / m r 3 8 K t n T x r J C x Q t I 4 9 O U 1 A A A A A o C t E F p N 3 t 5 L 5 x v 4 c p U V 1 u z R P B O s p Q Z t l n M H Q C O D I 9 G G O P D b 8 w y j U + v 3 L s O g E E z m c i 5 + N 5 w 5 R g S K N 4 + b 3 6 s S e d w = = < / D a t a M a s h u p > 
</file>

<file path=customXml/itemProps1.xml><?xml version="1.0" encoding="utf-8"?>
<ds:datastoreItem xmlns:ds="http://schemas.openxmlformats.org/officeDocument/2006/customXml" ds:itemID="{2F11A301-CD55-4EB5-92C3-498246BC8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Constants and assumptions</vt:lpstr>
      <vt:lpstr>Products</vt:lpstr>
      <vt:lpstr>Solvents</vt:lpstr>
      <vt:lpstr>Supporting electrolytes</vt:lpstr>
      <vt:lpstr>Utilities</vt:lpstr>
      <vt:lpstr>CO2_elec</vt:lpstr>
      <vt:lpstr>CO2_heat</vt:lpstr>
      <vt:lpstr>cost_elec</vt:lpstr>
      <vt:lpstr>cost_heat</vt:lpstr>
      <vt:lpstr>crossover_neutral</vt:lpstr>
      <vt:lpstr>F</vt:lpstr>
      <vt:lpstr>K_to_C</vt:lpstr>
      <vt:lpstr>kJ_per_kWh</vt:lpstr>
      <vt:lpstr>kJ_per_mmBtu</vt:lpstr>
      <vt:lpstr>kWh_per_mmBtu</vt:lpstr>
      <vt:lpstr>MW_CO</vt:lpstr>
      <vt:lpstr>P</vt:lpstr>
      <vt:lpstr>R_</vt:lpstr>
      <vt:lpstr>separation_efficiency</vt:lpstr>
      <vt:lpstr>T</vt:lpstr>
      <vt:lpstr>T_sep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</dc:creator>
  <cp:lastModifiedBy>Da Cunha, Shashwati C</cp:lastModifiedBy>
  <dcterms:created xsi:type="dcterms:W3CDTF">2023-07-10T13:17:55Z</dcterms:created>
  <dcterms:modified xsi:type="dcterms:W3CDTF">2025-02-25T15:56:11Z</dcterms:modified>
</cp:coreProperties>
</file>