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019" documentId="8_{31750E0B-A732-4503-8EA8-2753BAB2D178}" xr6:coauthVersionLast="47" xr6:coauthVersionMax="47" xr10:uidLastSave="{DAD83AE8-ECFB-4FBB-BCB4-E9FADB1F5013}"/>
  <bookViews>
    <workbookView xWindow="1815" yWindow="1290" windowWidth="21600" windowHeight="11295" firstSheet="2" activeTab="2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D2" i="10"/>
  <c r="F3" i="9" l="1"/>
  <c r="G3" i="9" s="1"/>
  <c r="I5" i="9"/>
  <c r="H5" i="9"/>
  <c r="I2" i="9"/>
  <c r="I4" i="9"/>
  <c r="H4" i="9"/>
  <c r="I3" i="9"/>
  <c r="H3" i="9"/>
  <c r="H2" i="9"/>
  <c r="F5" i="9"/>
  <c r="G5" i="9" s="1"/>
  <c r="F4" i="9"/>
  <c r="G4" i="9" s="1"/>
  <c r="F2" i="9"/>
  <c r="G2" i="9" s="1"/>
  <c r="J4" i="7"/>
  <c r="C11" i="3"/>
  <c r="G3" i="7"/>
  <c r="C8" i="2" l="1"/>
  <c r="B7" i="3"/>
  <c r="C7" i="2"/>
  <c r="C6" i="2"/>
  <c r="I3" i="7" l="1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tc={38772031-2712-4E60-AF4C-BC7506EB126A}</author>
    <author>tc={19966830-0D20-46F0-AE3D-88797573DA5E}</author>
    <author>tc={61AD334A-127F-49E9-826D-132D83D54FFE}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J4" authorId="5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6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7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F5" authorId="8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9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 datapoints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H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K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H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H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K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H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K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  <author>tc={12C0EC02-9084-4697-8B56-C3293339F20B}</author>
    <author>tc={18ECACC2-E30B-407C-B2EF-2D02470F19E2}</author>
    <author>tc={224EC866-413C-4C24-91AC-D4B821D21361}</author>
    <author>tc={2EA54DCB-79E7-4A67-94B1-01E68FDD14D9}</author>
    <author>tc={24EDBDE4-89F6-4893-A249-65F70D6F4EB5}</author>
    <author>tc={FE69842F-8058-427E-A379-A3530412D42F}</author>
    <author>tc={D8A725FE-F27F-4CE0-B881-3504A580D1E3}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2" authorId="1" shapeId="0" xr:uid="{12C0EC02-9084-4697-8B56-C3293339F20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Darling Brushett Energy Env Sci 2014, 0.1 M, averaging all solvents</t>
      </text>
    </comment>
    <comment ref="C3" authorId="2" shapeId="0" xr:uid="{18ECACC2-E30B-407C-B2EF-2D02470F19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3" authorId="3" shapeId="0" xr:uid="{224EC866-413C-4C24-91AC-D4B821D213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4" authorId="4" shapeId="0" xr:uid="{2EA54DCB-79E7-4A67-94B1-01E68FDD14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4" authorId="5" shapeId="0" xr:uid="{24EDBDE4-89F6-4893-A249-65F70D6F4EB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5" authorId="6" shapeId="0" xr:uid="{FE69842F-8058-427E-A379-A3530412D4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5" authorId="7" shapeId="0" xr:uid="{D8A725FE-F27F-4CE0-B881-3504A580D1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Pr4NI in ACN
Reply:
    Factor of ⅗ to correct for multiple solvents being averaged</t>
      </text>
    </comment>
  </commentList>
</comments>
</file>

<file path=xl/sharedStrings.xml><?xml version="1.0" encoding="utf-8"?>
<sst xmlns="http://schemas.openxmlformats.org/spreadsheetml/2006/main" count="239" uniqueCount="205">
  <si>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</si>
  <si>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</si>
  <si>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</si>
  <si>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</si>
  <si>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</si>
  <si>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</si>
  <si>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</si>
  <si>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</si>
  <si>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</si>
  <si>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</si>
  <si>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</si>
  <si>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</si>
  <si>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</si>
  <si>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</si>
  <si>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</si>
  <si>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</si>
  <si>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</si>
  <si>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</si>
  <si>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</si>
  <si>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</si>
  <si>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</si>
  <si>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</si>
  <si>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</si>
  <si>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</si>
  <si>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</si>
  <si>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</si>
  <si>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</si>
  <si>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</si>
  <si>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</si>
  <si>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</si>
  <si>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</si>
  <si>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</si>
  <si>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</si>
  <si>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</si>
  <si>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</si>
  <si>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</si>
  <si>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</si>
  <si>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</si>
  <si>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</si>
  <si>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</si>
  <si>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</si>
  <si>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</si>
  <si>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</si>
  <si>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</si>
  <si>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</si>
  <si>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</si>
  <si>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</si>
  <si>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</si>
  <si>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</si>
  <si>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</si>
  <si>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</si>
  <si>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</si>
  <si>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</si>
  <si>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</si>
  <si>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</si>
  <si>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</si>
  <si>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</si>
  <si>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</si>
  <si>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</si>
  <si>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</si>
  <si>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</si>
  <si>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</si>
  <si>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</si>
  <si>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</si>
  <si>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</si>
  <si>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</si>
  <si>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</si>
  <si>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</si>
  <si>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</si>
  <si>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</si>
  <si>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</si>
  <si>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</si>
  <si>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</si>
  <si>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</si>
  <si>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</si>
  <si>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</si>
  <si>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</si>
  <si>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</si>
  <si>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</si>
  <si>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</si>
  <si>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</si>
  <si>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</si>
  <si>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</si>
  <si>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</si>
  <si>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</si>
  <si>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</si>
  <si>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</si>
  <si>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</si>
  <si>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</si>
  <si>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</si>
  <si>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</si>
  <si>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</si>
  <si>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</si>
  <si>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</si>
  <si>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</si>
  <si>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</si>
  <si>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</si>
  <si>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</si>
  <si>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</si>
  <si>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</si>
  <si>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</si>
  <si>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</si>
  <si>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</si>
  <si>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</si>
  <si>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</si>
  <si>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</si>
  <si>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</si>
  <si>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</si>
  <si>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</si>
  <si>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</si>
  <si>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</si>
  <si>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</si>
  <si>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</si>
  <si>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</si>
  <si>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</si>
  <si>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</si>
  <si>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</si>
  <si>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</si>
  <si>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</si>
  <si>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</si>
  <si>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</si>
  <si>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</si>
  <si>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</si>
  <si>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</si>
  <si>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</si>
  <si>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</si>
  <si>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</si>
  <si>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</si>
  <si>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</si>
  <si>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</si>
  <si>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</si>
  <si>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</si>
  <si>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</si>
  <si>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</si>
  <si>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</si>
  <si>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</si>
  <si>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</si>
  <si>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</si>
  <si>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</si>
  <si>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</si>
  <si>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</si>
  <si>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</si>
  <si>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</si>
  <si>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</si>
  <si>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</si>
  <si>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</si>
  <si>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</si>
  <si>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</si>
  <si>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</si>
  <si>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</si>
  <si>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</si>
  <si>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</si>
  <si>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</si>
  <si>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</si>
  <si>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</si>
  <si>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</si>
  <si>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</si>
  <si>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</si>
  <si>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</si>
  <si>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</si>
  <si>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</si>
  <si>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</si>
  <si>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</si>
  <si>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</si>
  <si>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</si>
  <si>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</si>
  <si>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</si>
  <si>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</si>
  <si>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</si>
  <si>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</si>
  <si>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</si>
  <si>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</si>
  <si>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</si>
  <si>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Boor, Ramdin (Ind. Eng. Chem. 2022)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</si>
  <si>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</si>
  <si>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</si>
  <si>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</si>
  <si>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</si>
  <si>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Optimal j @ 8.2 c/kWh, no tradeoff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</si>
  <si>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</si>
  <si>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</si>
  <si>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</si>
  <si>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</si>
  <si>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</si>
  <si>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</si>
  <si>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</si>
  <si>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</si>
  <si>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</si>
  <si>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</si>
  <si>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</si>
  <si>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</si>
  <si>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</si>
  <si>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</si>
  <si>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</si>
  <si>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</si>
  <si>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</si>
  <si>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</si>
  <si>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</si>
  <si>
    <t>Solvent loss fraction ((mol/s offgas)/ (mol/s solvent))</t>
  </si>
  <si>
    <t>Conductivity, 0.3 M (S/cm)</t>
  </si>
  <si>
    <t>TEACl</t>
  </si>
  <si>
    <t>Others: THF, DME, acetone, sulfolane</t>
  </si>
  <si>
    <t>TBAClO$_4$</t>
  </si>
  <si>
    <t>TEAClO$_4$</t>
  </si>
  <si>
    <t>TBABF$_4$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</si>
</sst>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1" fontId="21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2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15" formatCode="0.00E+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5" dataDxfId="44">
  <autoFilter ref="A1:Q6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Optimal j @ 8.2 c/kWh, no tradeoff" dataDxfId="30"/>
    <tableColumn id="4" xr3:uid="{EA53ED90-0A02-4FC0-8D2F-B62ACD3411A0}" name="References" dataDxfId="29"/>
    <tableColumn id="10" xr3:uid="{15AF80F1-11B7-4792-895F-6EC0B2B7A7A4}" name="References 2" dataDxfId="28"/>
    <tableColumn id="11" xr3:uid="{F302EFF0-A13D-4A4C-8A0B-F721AD1E47B9}" name="References 3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10" xr3:uid="{57E55551-0CF1-45DA-9F74-4502CD642FB0}" name="Solvent loss fraction ((mol/s offgas)/ (mol/s solvent))" dataDxfId="15"/>
    <tableColumn id="8" xr3:uid="{57ADEF7D-1DC8-4D29-B0B1-B07EDD74B7FC}" name="Solubility in water" dataDxfId="14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E5" totalsRowShown="0" headerRowDxfId="13" dataDxfId="12">
  <autoFilter ref="A1:E5" xr:uid="{0BE243CA-C135-4CB6-B37F-4749B7F8C437}"/>
  <tableColumns count="5">
    <tableColumn id="1" xr3:uid="{5E12D873-28F4-4BAA-A124-01ED2F10306F}" name="Supporting electrolyte" dataDxfId="11"/>
    <tableColumn id="5" xr3:uid="{8BFB1102-BA9E-4FA2-8287-970DFEAD7F45}" name="Molecular weight (g/mol)" dataDxfId="10"/>
    <tableColumn id="14" xr3:uid="{40345891-0EC3-4D4A-9A2E-09812C6C59BF}" name="Cost ($/kg supporting)" dataDxfId="9"/>
    <tableColumn id="3" xr3:uid="{580C116E-F5E0-41C5-8884-D2C8E1385F89}" name="Conductivity, 0.3 M (S/cm)" dataDxfId="8"/>
    <tableColumn id="2" xr3:uid="{BF9F5B6E-2598-43D5-ABA7-189814842EF4}" name="References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5 datapoints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H2" dT="2025-01-20T21:27:20.62" personId="{97EB442A-BA5A-4BA8-A59A-7061902B9186}" id="{CCFAFA67-1AB3-4E10-B472-4734839B5FB8}">
    <text>CRC Handbook of Chem and Phys 105th Ed.</text>
  </threadedComment>
  <threadedComment ref="I2" dT="2025-01-20T21:27:35.11" personId="{97EB442A-BA5A-4BA8-A59A-7061902B9186}" id="{7E768D53-988A-46AE-8800-331D2B19C4CA}">
    <text>CRC Handbook of Chem and Phys 105th Ed.</text>
  </threadedComment>
  <threadedComment ref="K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H3" dT="2025-01-20T21:27:23.98" personId="{97EB442A-BA5A-4BA8-A59A-7061902B9186}" id="{8C14FDD1-22B7-4F70-B01E-C665917CE3E4}">
    <text>CRC Handbook of Chem and Phys 105th Ed.</text>
  </threadedComment>
  <threadedComment ref="I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H4" dT="2025-01-20T21:27:27.28" personId="{97EB442A-BA5A-4BA8-A59A-7061902B9186}" id="{1983A994-3FCC-4917-A080-32AC954B27A3}">
    <text>CRC Handbook of Chem and Phys 105th Ed.</text>
  </threadedComment>
  <threadedComment ref="I4" dT="2025-01-20T21:27:42.09" personId="{97EB442A-BA5A-4BA8-A59A-7061902B9186}" id="{F163D6D5-0931-443B-A93F-1C0E825E55FE}">
    <text>CRC Handbook of Chem and Phys 105th Ed.</text>
  </threadedComment>
  <threadedComment ref="K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H5" dT="2025-01-20T21:27:30.00" personId="{97EB442A-BA5A-4BA8-A59A-7061902B9186}" id="{4E6C45D9-A547-4A85-8E31-46455E39B2F7}">
    <text>CRC Handbook of Chem and Phys 105th Ed.</text>
  </threadedComment>
  <threadedComment ref="I5" dT="2025-01-20T21:27:46.12" personId="{97EB442A-BA5A-4BA8-A59A-7061902B9186}" id="{C9E7B65A-8DF8-424A-AFB0-85F34FB8C5A3}">
    <text>CRC Handbook of Chem and Phys 105th Ed.</text>
  </threadedComment>
  <threadedComment ref="K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  <threadedComment ref="C2" dT="2025-01-21T21:36:02.14" personId="{97EB442A-BA5A-4BA8-A59A-7061902B9186}" id="{D1FD7102-0BB2-45B8-8328-65159D4EFE0F}" parentId="{07BD2C0B-3DD0-40BC-AD52-A79697FDE24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2" dT="2025-01-31T15:34:56.24" personId="{97EB442A-BA5A-4BA8-A59A-7061902B9186}" id="{12C0EC02-9084-4697-8B56-C3293339F20B}">
    <text>Darling Brushett Energy Env Sci 2014, 0.1 M, averaging all solvents</text>
  </threadedComment>
  <threadedComment ref="C3" dT="2024-11-11T22:11:30.12" personId="{97EB442A-BA5A-4BA8-A59A-7061902B9186}" id="{18ECACC2-E30B-407C-B2EF-2D02470F19E2}">
    <text>From Chen Hallett Green Chem 2014</text>
  </threadedComment>
  <threadedComment ref="C3" dT="2025-01-21T21:36:02.14" personId="{97EB442A-BA5A-4BA8-A59A-7061902B9186}" id="{1F8633BA-CE53-4B30-9972-60885826CF00}" parentId="{18ECACC2-E30B-407C-B2EF-2D02470F19E2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3" dT="2025-01-31T16:11:12.25" personId="{97EB442A-BA5A-4BA8-A59A-7061902B9186}" id="{224EC866-413C-4C24-91AC-D4B821D21361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3" dT="2025-01-31T16:24:29.22" personId="{97EB442A-BA5A-4BA8-A59A-7061902B9186}" id="{70A94521-7CD4-4DC0-89E2-F5FAA609E1C2}" parentId="{224EC866-413C-4C24-91AC-D4B821D21361}">
    <text>Factor of ⅗ to correct for multiple solvents being averaged</text>
  </threadedComment>
  <threadedComment ref="C4" dT="2024-11-11T22:11:30.12" personId="{97EB442A-BA5A-4BA8-A59A-7061902B9186}" id="{2EA54DCB-79E7-4A67-94B1-01E68FDD14D9}">
    <text>From Chen Hallett Green Chem 2014</text>
  </threadedComment>
  <threadedComment ref="C4" dT="2025-01-21T21:36:02.14" personId="{97EB442A-BA5A-4BA8-A59A-7061902B9186}" id="{7CA77EBE-CE4A-453A-9E61-90D94B13488C}" parentId="{2EA54DCB-79E7-4A67-94B1-01E68FDD14D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4" dT="2025-01-31T16:11:12.25" personId="{97EB442A-BA5A-4BA8-A59A-7061902B9186}" id="{24EDBDE4-89F6-4893-A249-65F70D6F4EB5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4" dT="2025-01-31T16:24:32.22" personId="{97EB442A-BA5A-4BA8-A59A-7061902B9186}" id="{C1CC95A5-4EB2-4EF1-8C44-0C3BD7C10A3B}" parentId="{24EDBDE4-89F6-4893-A249-65F70D6F4EB5}">
    <text>Factor of ⅗ to correct for multiple solvents being averaged</text>
  </threadedComment>
  <threadedComment ref="C5" dT="2024-11-11T22:11:30.12" personId="{97EB442A-BA5A-4BA8-A59A-7061902B9186}" id="{FE69842F-8058-427E-A379-A3530412D42F}">
    <text>From Chen Hallett Green Chem 2014</text>
  </threadedComment>
  <threadedComment ref="C5" dT="2025-01-21T21:36:02.14" personId="{97EB442A-BA5A-4BA8-A59A-7061902B9186}" id="{72587301-386B-48A8-A184-572EF49AFD9B}" parentId="{FE69842F-8058-427E-A379-A3530412D42F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5" dT="2025-01-31T16:11:12.25" personId="{97EB442A-BA5A-4BA8-A59A-7061902B9186}" id="{D8A725FE-F27F-4CE0-B881-3504A580D1E3}">
    <text>https://www.emerson.com/documents/automation/manual-conductance-data-for-commonly-used-chemicals-rosemount-en-68896.pdf - Pr4NI in ACN</text>
    <extLst>
      <x:ext xmlns:xltc2="http://schemas.microsoft.com/office/spreadsheetml/2020/threadedcomments2" uri="{F7C98A9C-CBB3-438F-8F68-D28B6AF4A901}">
        <xltc2:checksum>806053173</xltc2:checksum>
        <xltc2:hyperlink startIndex="0" length="119" url="https://www.emerson.com/documents/automation/manual-conductance-data-for-commonly-used-chemicals-rosemount-en-68896.pdf"/>
      </x:ext>
    </extLst>
  </threadedComment>
  <threadedComment ref="D5" dT="2025-01-31T16:24:36.23" personId="{97EB442A-BA5A-4BA8-A59A-7061902B9186}" id="{8C32200A-9B0D-40A9-96BB-139CB0D54BF0}" parentId="{D8A725FE-F27F-4CE0-B881-3504A580D1E3}">
    <text>Factor of ⅗ to correct for multiple solvents being averaged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pubs.acs.org/doi/10.1021/acs.iecr.2c02647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4" zoomScale="115" zoomScaleNormal="115" workbookViewId="0">
      <selection activeCell="A11" sqref="A11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151</v>
      </c>
      <c r="B2" s="6" t="s">
        <v>154</v>
      </c>
      <c r="C2" s="27">
        <v>1</v>
      </c>
      <c r="D2" s="6" t="s">
        <v>74</v>
      </c>
      <c r="E2" s="22"/>
      <c r="F2" s="5"/>
    </row>
    <row r="3" spans="1:6" ht="28.5" x14ac:dyDescent="0.2">
      <c r="A3" s="6" t="s">
        <v>152</v>
      </c>
      <c r="B3" s="6" t="s">
        <v>153</v>
      </c>
      <c r="C3" s="27">
        <v>0.3</v>
      </c>
      <c r="D3" s="6" t="s">
        <v>74</v>
      </c>
      <c r="E3" s="22"/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2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174</v>
      </c>
    </row>
    <row r="7" spans="1:6" ht="57" x14ac:dyDescent="0.2">
      <c r="A7" s="38" t="s">
        <v>166</v>
      </c>
      <c r="B7" s="37" t="s">
        <v>170</v>
      </c>
      <c r="C7" s="56">
        <f>36703.01902*800/596.2</f>
        <v>49249.27074136195</v>
      </c>
      <c r="D7" s="38" t="s">
        <v>169</v>
      </c>
      <c r="E7" s="39" t="s">
        <v>173</v>
      </c>
      <c r="F7" s="5" t="s">
        <v>175</v>
      </c>
    </row>
    <row r="8" spans="1:6" ht="57" x14ac:dyDescent="0.2">
      <c r="A8" s="5" t="s">
        <v>165</v>
      </c>
      <c r="B8" s="6" t="s">
        <v>167</v>
      </c>
      <c r="C8" s="23">
        <f>1989043*800/596.2</f>
        <v>2668960.7514256961</v>
      </c>
      <c r="D8" s="5" t="s">
        <v>168</v>
      </c>
      <c r="E8" s="22" t="s">
        <v>19</v>
      </c>
      <c r="F8" s="5" t="s">
        <v>175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146</v>
      </c>
      <c r="F9" s="5"/>
    </row>
    <row r="10" spans="1:6" ht="28.5" x14ac:dyDescent="0.2">
      <c r="A10" s="5" t="s">
        <v>149</v>
      </c>
      <c r="B10" s="5" t="s">
        <v>150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38" t="s">
        <v>95</v>
      </c>
      <c r="B12" s="38" t="s">
        <v>163</v>
      </c>
      <c r="C12" s="55">
        <v>0.3</v>
      </c>
      <c r="D12" s="38"/>
      <c r="E12" s="39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139</v>
      </c>
      <c r="B14" s="6" t="s">
        <v>142</v>
      </c>
      <c r="C14" s="10">
        <f>0.8/10</f>
        <v>0.08</v>
      </c>
      <c r="D14" s="6" t="s">
        <v>140</v>
      </c>
      <c r="E14" s="22" t="s">
        <v>141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143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7" t="s">
        <v>171</v>
      </c>
      <c r="B30" s="37" t="s">
        <v>172</v>
      </c>
      <c r="C30" s="46">
        <v>500</v>
      </c>
      <c r="D30" s="37" t="s">
        <v>186</v>
      </c>
      <c r="E30" s="39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  <c r="F42" s="5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B1" activePane="topRight" state="frozen"/>
      <selection pane="topRight" activeCell="E10" sqref="E10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179</v>
      </c>
      <c r="N1" s="7" t="s">
        <v>178</v>
      </c>
      <c r="O1" s="12" t="s">
        <v>23</v>
      </c>
      <c r="P1" s="12" t="s">
        <v>59</v>
      </c>
      <c r="Q1" s="12" t="s">
        <v>182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0">
        <f>-2.35-0.197-Products[[#This Row],[Standard potential, pH = 0 (V vs SHE)]]</f>
        <v>-2.4870000000000001</v>
      </c>
      <c r="J3" s="38">
        <v>-182</v>
      </c>
      <c r="K3" s="60">
        <v>1</v>
      </c>
      <c r="L3" s="10">
        <v>0.89</v>
      </c>
      <c r="M3" s="58">
        <v>0.66700000000000004</v>
      </c>
      <c r="N3" s="61">
        <v>196.3</v>
      </c>
      <c r="O3" s="22" t="s">
        <v>19</v>
      </c>
      <c r="P3" s="33" t="s">
        <v>177</v>
      </c>
      <c r="Q3" s="5"/>
    </row>
    <row r="4" spans="1:17" ht="71.25" x14ac:dyDescent="0.2">
      <c r="A4" s="5" t="s">
        <v>162</v>
      </c>
      <c r="B4" s="6" t="s">
        <v>148</v>
      </c>
      <c r="C4" s="10">
        <v>90.03</v>
      </c>
      <c r="D4" s="5">
        <v>2</v>
      </c>
      <c r="E4" s="5">
        <v>2</v>
      </c>
      <c r="F4" s="59">
        <v>10000</v>
      </c>
      <c r="G4" s="9">
        <v>0.7</v>
      </c>
      <c r="H4" s="10">
        <v>-0.51</v>
      </c>
      <c r="I4" s="60">
        <f>-1.8+0.197-Products[[#This Row],[Standard potential, pH = 0 (V vs SHE)]]</f>
        <v>-1.093</v>
      </c>
      <c r="J4" s="38">
        <f>0.2*1000/(3.2-5.2)</f>
        <v>-100</v>
      </c>
      <c r="K4" s="60">
        <v>5.6</v>
      </c>
      <c r="L4" s="6">
        <v>0.7</v>
      </c>
      <c r="M4" s="58">
        <v>0.66700000000000004</v>
      </c>
      <c r="N4" s="61">
        <v>197.1</v>
      </c>
      <c r="O4" s="22" t="s">
        <v>189</v>
      </c>
      <c r="P4" s="33" t="s">
        <v>184</v>
      </c>
      <c r="Q4" s="22" t="s">
        <v>185</v>
      </c>
    </row>
    <row r="5" spans="1:17" s="34" customFormat="1" ht="28.5" x14ac:dyDescent="0.2">
      <c r="A5" s="6" t="s">
        <v>147</v>
      </c>
      <c r="B5" s="5" t="s">
        <v>148</v>
      </c>
      <c r="C5" s="9">
        <v>46.024999999999999</v>
      </c>
      <c r="D5" s="5">
        <v>2</v>
      </c>
      <c r="E5" s="5">
        <v>1</v>
      </c>
      <c r="F5" s="56">
        <v>5400</v>
      </c>
      <c r="G5" s="9">
        <v>0.83</v>
      </c>
      <c r="H5" s="10">
        <v>-7.0000000000000007E-2</v>
      </c>
      <c r="I5" s="60"/>
      <c r="J5" s="60"/>
      <c r="K5" s="60"/>
      <c r="L5" s="6">
        <v>0.69</v>
      </c>
      <c r="M5" s="58">
        <v>0.66700000000000004</v>
      </c>
      <c r="N5" s="41"/>
      <c r="O5" s="22" t="s">
        <v>19</v>
      </c>
      <c r="P5" s="33" t="s">
        <v>183</v>
      </c>
      <c r="Q5" s="22" t="s">
        <v>188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187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45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tabSelected="1" zoomScaleNormal="100" workbookViewId="0">
      <selection activeCell="C3" sqref="C3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6" width="15" customWidth="1"/>
    <col min="7" max="11" width="16.42578125" customWidth="1"/>
    <col min="12" max="12" width="17.5703125" bestFit="1" customWidth="1"/>
  </cols>
  <sheetData>
    <row r="1" spans="1:12" ht="74.25" x14ac:dyDescent="0.25">
      <c r="A1" s="44" t="s">
        <v>155</v>
      </c>
      <c r="B1" s="7" t="s">
        <v>49</v>
      </c>
      <c r="C1" s="26" t="s">
        <v>156</v>
      </c>
      <c r="D1" s="5" t="s">
        <v>181</v>
      </c>
      <c r="E1" s="6" t="s">
        <v>158</v>
      </c>
      <c r="F1" s="6" t="s">
        <v>194</v>
      </c>
      <c r="G1" s="6" t="s">
        <v>164</v>
      </c>
      <c r="H1" s="6" t="s">
        <v>190</v>
      </c>
      <c r="I1" s="6" t="s">
        <v>192</v>
      </c>
      <c r="J1" s="6" t="s">
        <v>198</v>
      </c>
      <c r="K1" s="6" t="s">
        <v>191</v>
      </c>
      <c r="L1" s="6" t="s">
        <v>23</v>
      </c>
    </row>
    <row r="2" spans="1:12" ht="42.75" x14ac:dyDescent="0.25">
      <c r="A2" s="43" t="s">
        <v>145</v>
      </c>
      <c r="B2" s="9">
        <v>41.052</v>
      </c>
      <c r="C2" s="9">
        <v>2.7</v>
      </c>
      <c r="D2" s="29">
        <v>782.5</v>
      </c>
      <c r="E2" s="10">
        <v>0.36899999999999999</v>
      </c>
      <c r="F2" s="10">
        <f>1/60.7</f>
        <v>1.6474464579901153E-2</v>
      </c>
      <c r="G2" s="10">
        <f>Products6[[#This Row],[Henry''s constant at 298K, CO2 (mole fraction/atm)]]*9.8692/(1-Products6[[#This Row],[Henry''s constant at 298K, CO2 (mole fraction/atm)]]*9.8692)</f>
        <v>0.19415787278579127</v>
      </c>
      <c r="H2" s="10">
        <f>273.15+81.6</f>
        <v>354.75</v>
      </c>
      <c r="I2" s="8">
        <f>11.9*1000</f>
        <v>11900</v>
      </c>
      <c r="J2" s="63">
        <v>1E-4</v>
      </c>
      <c r="K2" s="8" t="s">
        <v>193</v>
      </c>
      <c r="L2" s="39" t="s">
        <v>195</v>
      </c>
    </row>
    <row r="3" spans="1:12" ht="42.75" x14ac:dyDescent="0.25">
      <c r="A3" s="43" t="s">
        <v>160</v>
      </c>
      <c r="B3" s="9">
        <v>102.089</v>
      </c>
      <c r="C3" s="9">
        <v>0.90700000000000003</v>
      </c>
      <c r="D3" s="29">
        <v>1204.7</v>
      </c>
      <c r="E3" s="10">
        <v>2.5299999999999998</v>
      </c>
      <c r="F3" s="10">
        <f>1/82.1</f>
        <v>1.2180267965895251E-2</v>
      </c>
      <c r="G3" s="10">
        <f>Products6[[#This Row],[Henry''s constant at 298K, CO2 (mole fraction/atm)]]*9.8692/(1-Products6[[#This Row],[Henry''s constant at 298K, CO2 (mole fraction/atm)]]*9.8692)</f>
        <v>0.13663423359564064</v>
      </c>
      <c r="H3" s="10">
        <f>273.15+241.6</f>
        <v>514.75</v>
      </c>
      <c r="I3" s="8">
        <f>0.05*1000</f>
        <v>50</v>
      </c>
      <c r="J3" s="63">
        <v>9.9999999999999995E-7</v>
      </c>
      <c r="K3" s="57" t="s">
        <v>197</v>
      </c>
      <c r="L3" s="39" t="s">
        <v>195</v>
      </c>
    </row>
    <row r="4" spans="1:12" ht="42.75" x14ac:dyDescent="0.25">
      <c r="A4" s="47" t="s">
        <v>161</v>
      </c>
      <c r="B4" s="9">
        <v>78.132999999999996</v>
      </c>
      <c r="C4" s="9">
        <v>2.66</v>
      </c>
      <c r="D4" s="29">
        <v>1101</v>
      </c>
      <c r="E4" s="10">
        <v>1.9870000000000001</v>
      </c>
      <c r="F4" s="10">
        <f>1/101.6</f>
        <v>9.8425196850393699E-3</v>
      </c>
      <c r="G4" s="10">
        <f>Products6[[#This Row],[Henry''s constant at 298K, CO2 (mole fraction/atm)]]*9.8692/(1-Products6[[#This Row],[Henry''s constant at 298K, CO2 (mole fraction/atm)]]*9.8692)</f>
        <v>0.10758872701426347</v>
      </c>
      <c r="H4" s="10">
        <f>273.15+191.9</f>
        <v>465.04999999999995</v>
      </c>
      <c r="I4" s="8">
        <f>0.084*1000</f>
        <v>84</v>
      </c>
      <c r="J4" s="63">
        <v>9.9999999999999995E-7</v>
      </c>
      <c r="K4" s="8" t="s">
        <v>196</v>
      </c>
      <c r="L4" s="39" t="s">
        <v>195</v>
      </c>
    </row>
    <row r="5" spans="1:12" ht="42.75" x14ac:dyDescent="0.25">
      <c r="A5" s="47" t="s">
        <v>180</v>
      </c>
      <c r="B5" s="9">
        <v>73.093999999999994</v>
      </c>
      <c r="C5" s="9">
        <v>1</v>
      </c>
      <c r="D5" s="29">
        <v>944.5</v>
      </c>
      <c r="E5" s="10">
        <v>0.79400000000000004</v>
      </c>
      <c r="F5" s="10">
        <f>1/65.3</f>
        <v>1.5313935681470138E-2</v>
      </c>
      <c r="G5" s="10">
        <f>Products6[[#This Row],[Henry''s constant at 298K, CO2 (mole fraction/atm)]]*9.8692/(1-Products6[[#This Row],[Henry''s constant at 298K, CO2 (mole fraction/atm)]]*9.8692)</f>
        <v>0.17804541879244029</v>
      </c>
      <c r="H5" s="10">
        <f>273.15+152.8</f>
        <v>425.95</v>
      </c>
      <c r="I5" s="8">
        <f>0.439*1000</f>
        <v>439</v>
      </c>
      <c r="J5" s="63">
        <v>1.0000000000000001E-5</v>
      </c>
      <c r="K5" s="8" t="s">
        <v>193</v>
      </c>
      <c r="L5" s="39" t="s">
        <v>195</v>
      </c>
    </row>
    <row r="7" spans="1:12" ht="57" x14ac:dyDescent="0.25">
      <c r="A7" s="62" t="s">
        <v>201</v>
      </c>
      <c r="H7" s="64"/>
    </row>
    <row r="8" spans="1:12" x14ac:dyDescent="0.25">
      <c r="H8" s="64"/>
    </row>
    <row r="9" spans="1:12" x14ac:dyDescent="0.25">
      <c r="H9" s="64"/>
    </row>
    <row r="10" spans="1:12" x14ac:dyDescent="0.25">
      <c r="H10" s="64"/>
    </row>
    <row r="11" spans="1:12" x14ac:dyDescent="0.25">
      <c r="H11" s="64"/>
    </row>
  </sheetData>
  <phoneticPr fontId="18" type="noConversion"/>
  <hyperlinks>
    <hyperlink ref="L2" r:id="rId1" display="Izutsu (Wiley 2009)" xr:uid="{3CE65C60-DA75-4595-8CAA-88F2C9A358C9}"/>
    <hyperlink ref="L3" r:id="rId2" display="Izutsu (Wiley 2009)" xr:uid="{6B0DA7F9-0782-4596-8B42-F9EBE5175294}"/>
    <hyperlink ref="L4" r:id="rId3" display="Izutsu (Wiley 2009)" xr:uid="{55B29BD6-B10F-4DCF-93BE-7B2953D8D605}"/>
    <hyperlink ref="L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5"/>
  <sheetViews>
    <sheetView zoomScale="132" zoomScaleNormal="85" workbookViewId="0">
      <selection activeCell="D7" sqref="D7"/>
    </sheetView>
  </sheetViews>
  <sheetFormatPr defaultRowHeight="15" x14ac:dyDescent="0.25"/>
  <cols>
    <col min="1" max="1" width="17.140625" bestFit="1" customWidth="1"/>
    <col min="2" max="2" width="23.5703125" bestFit="1" customWidth="1"/>
    <col min="3" max="3" width="17.5703125" bestFit="1" customWidth="1"/>
    <col min="4" max="4" width="15.140625" customWidth="1"/>
    <col min="5" max="5" width="17.42578125" bestFit="1" customWidth="1"/>
    <col min="6" max="6" width="22.5703125" customWidth="1"/>
  </cols>
  <sheetData>
    <row r="1" spans="1:6" ht="28.5" x14ac:dyDescent="0.25">
      <c r="A1" s="44" t="s">
        <v>157</v>
      </c>
      <c r="B1" s="7" t="s">
        <v>49</v>
      </c>
      <c r="C1" s="26" t="s">
        <v>159</v>
      </c>
      <c r="D1" s="6" t="s">
        <v>199</v>
      </c>
      <c r="E1" s="6" t="s">
        <v>23</v>
      </c>
    </row>
    <row r="2" spans="1:6" ht="42.75" x14ac:dyDescent="0.25">
      <c r="A2" s="43" t="s">
        <v>202</v>
      </c>
      <c r="B2" s="9">
        <v>341.91</v>
      </c>
      <c r="C2" s="9">
        <v>10</v>
      </c>
      <c r="D2" s="58">
        <f>AVERAGE(5.69,3.34,2.36,1.59)/1000</f>
        <v>3.2450000000000001E-3</v>
      </c>
      <c r="E2" s="22"/>
      <c r="F2" s="5" t="s">
        <v>144</v>
      </c>
    </row>
    <row r="3" spans="1:6" x14ac:dyDescent="0.25">
      <c r="A3" s="43" t="s">
        <v>203</v>
      </c>
      <c r="B3" s="9">
        <v>229.74</v>
      </c>
      <c r="C3" s="9">
        <v>10</v>
      </c>
      <c r="D3" s="58">
        <f>3/5*1000/1000000*0.3*172.3*(1-2.08*SQRT(0.3)+2.4*(0.3))</f>
        <v>1.8010979811192335E-2</v>
      </c>
      <c r="E3" s="22"/>
      <c r="F3" s="5"/>
    </row>
    <row r="4" spans="1:6" x14ac:dyDescent="0.25">
      <c r="A4" s="43" t="s">
        <v>204</v>
      </c>
      <c r="B4" s="9">
        <v>329.27</v>
      </c>
      <c r="C4" s="9">
        <v>10</v>
      </c>
      <c r="D4" s="40">
        <f>3/5*1000/1000000*0.3*172.3*(1-2.08*SQRT(0.3)+2.4*(0.3))</f>
        <v>1.8010979811192335E-2</v>
      </c>
      <c r="E4" s="22"/>
      <c r="F4" s="65"/>
    </row>
    <row r="5" spans="1:6" x14ac:dyDescent="0.25">
      <c r="A5" s="43" t="s">
        <v>200</v>
      </c>
      <c r="B5" s="9">
        <v>165.74</v>
      </c>
      <c r="C5" s="9">
        <v>10</v>
      </c>
      <c r="D5" s="58">
        <f>3/5*1000/1000000*0.3*169.6*(1-2.1*SQRT(0.3)+10*(0.3))</f>
        <v>8.6998164105412792E-2</v>
      </c>
      <c r="E5" s="5"/>
      <c r="F5" s="65"/>
    </row>
  </sheetData>
  <phoneticPr fontId="18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topLeftCell="A2" workbookViewId="0">
      <selection activeCell="B11" sqref="B11"/>
    </sheetView>
  </sheetViews>
  <sheetFormatPr defaultColWidth="9.140625" defaultRowHeight="15" x14ac:dyDescent="0.25"/>
  <cols>
    <col min="1" max="1" width="28.28515625" style="13" bestFit="1" customWidth="1"/>
    <col min="2" max="2" width="19.5703125" style="50" bestFit="1" customWidth="1"/>
    <col min="3" max="3" width="23.7109375" style="50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48" t="s">
        <v>4</v>
      </c>
      <c r="C1" s="49" t="s">
        <v>29</v>
      </c>
      <c r="D1" s="1" t="s">
        <v>23</v>
      </c>
    </row>
    <row r="2" spans="1:6" x14ac:dyDescent="0.25">
      <c r="A2" s="16"/>
      <c r="B2" s="51"/>
      <c r="C2" s="52"/>
      <c r="D2" s="20"/>
    </row>
    <row r="3" spans="1:6" ht="75" customHeight="1" x14ac:dyDescent="0.25">
      <c r="A3" s="17" t="s">
        <v>5</v>
      </c>
      <c r="B3" s="51">
        <v>2.4E-2</v>
      </c>
      <c r="C3" s="52">
        <v>50</v>
      </c>
      <c r="D3" s="28" t="s">
        <v>130</v>
      </c>
      <c r="E3" s="67" t="s">
        <v>132</v>
      </c>
      <c r="F3" s="66" t="s">
        <v>133</v>
      </c>
    </row>
    <row r="4" spans="1:6" ht="28.5" x14ac:dyDescent="0.25">
      <c r="A4" s="17" t="s">
        <v>76</v>
      </c>
      <c r="B4" s="51">
        <v>2.4E-2</v>
      </c>
      <c r="C4" s="52">
        <v>20</v>
      </c>
      <c r="D4" s="28" t="s">
        <v>130</v>
      </c>
      <c r="E4" s="67"/>
      <c r="F4" s="66"/>
    </row>
    <row r="5" spans="1:6" ht="28.5" x14ac:dyDescent="0.25">
      <c r="A5" s="17" t="s">
        <v>75</v>
      </c>
      <c r="B5" s="51">
        <v>4.2000000000000003E-2</v>
      </c>
      <c r="C5" s="52"/>
      <c r="D5" s="28" t="s">
        <v>131</v>
      </c>
    </row>
    <row r="6" spans="1:6" ht="57" x14ac:dyDescent="0.25">
      <c r="A6" s="17" t="s">
        <v>2</v>
      </c>
      <c r="B6" s="51">
        <f>16.05/100</f>
        <v>0.1605</v>
      </c>
      <c r="C6" s="52">
        <v>230.93061430996579</v>
      </c>
      <c r="D6" s="28" t="s">
        <v>134</v>
      </c>
    </row>
    <row r="7" spans="1:6" ht="71.25" x14ac:dyDescent="0.25">
      <c r="A7" s="17" t="s">
        <v>1</v>
      </c>
      <c r="B7" s="51">
        <f>8.19/100</f>
        <v>8.1900000000000001E-2</v>
      </c>
      <c r="C7" s="52">
        <v>414.10433834299573</v>
      </c>
      <c r="D7" s="28" t="s">
        <v>176</v>
      </c>
    </row>
    <row r="8" spans="1:6" ht="71.25" x14ac:dyDescent="0.25">
      <c r="A8" s="17" t="s">
        <v>3</v>
      </c>
      <c r="B8" s="51">
        <f>2.22/kWh_per_mmBtu</f>
        <v>7.5691136219420956E-3</v>
      </c>
      <c r="C8" s="52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1">
        <v>0.03</v>
      </c>
      <c r="C9" s="53"/>
      <c r="D9" s="32" t="s">
        <v>19</v>
      </c>
    </row>
    <row r="10" spans="1:6" x14ac:dyDescent="0.25">
      <c r="A10" s="17"/>
      <c r="B10" s="51"/>
      <c r="C10" s="53"/>
      <c r="D10" s="31"/>
    </row>
    <row r="11" spans="1:6" x14ac:dyDescent="0.25">
      <c r="A11" s="17" t="s">
        <v>24</v>
      </c>
      <c r="B11" s="51">
        <f>B7</f>
        <v>8.1900000000000001E-2</v>
      </c>
      <c r="C11" s="53">
        <f>C7</f>
        <v>414.10433834299573</v>
      </c>
      <c r="D11" s="31"/>
    </row>
    <row r="12" spans="1:6" x14ac:dyDescent="0.25">
      <c r="A12" s="19" t="s">
        <v>25</v>
      </c>
      <c r="B12" s="54">
        <f>B8</f>
        <v>7.5691136219420956E-3</v>
      </c>
      <c r="C12" s="53">
        <f>C8</f>
        <v>254.376</v>
      </c>
      <c r="D12" s="31"/>
    </row>
    <row r="13" spans="1:6" x14ac:dyDescent="0.25">
      <c r="A13" s="19"/>
      <c r="B13" s="54"/>
      <c r="C13" s="53"/>
      <c r="D13" s="31"/>
    </row>
    <row r="14" spans="1:6" x14ac:dyDescent="0.25">
      <c r="A14" s="17" t="s">
        <v>69</v>
      </c>
      <c r="B14" s="51">
        <v>200</v>
      </c>
      <c r="C14" s="53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2025-02-06T16:45:11Z</dcterms:modified>
</cp:coreProperties>
</file>