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1879" documentId="8_{31750E0B-A732-4503-8EA8-2753BAB2D178}" xr6:coauthVersionLast="47" xr6:coauthVersionMax="47" xr10:uidLastSave="{EE8A266C-D20D-4C64-813B-AAAF954BE05D}"/>
  <bookViews>
    <workbookView xWindow="1080" yWindow="1080" windowWidth="21585" windowHeight="1129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F3" i="9"/>
  <c r="I5" i="9"/>
  <c r="H5" i="9"/>
  <c r="I2" i="9"/>
  <c r="I4" i="9"/>
  <c r="H4" i="9"/>
  <c r="I3" i="9"/>
  <c r="H3" i="9"/>
  <c r="H2" i="9"/>
  <c r="F5" i="9"/>
  <c r="G5" i="9" s="1"/>
  <c r="F4" i="9"/>
  <c r="F2" i="9"/>
  <c r="G2" i="9"/>
  <c r="G4" i="9"/>
  <c r="J4" i="7"/>
  <c r="C11" i="3"/>
  <c r="G3" i="7"/>
  <c r="C8" i="2" l="1"/>
  <c r="B7" i="3"/>
  <c r="C7" i="2"/>
  <c r="C6" i="2"/>
  <c r="D2" i="10" l="1"/>
  <c r="I3" i="7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21 Dos Reis datapoints (top 50%)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H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H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H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H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</t>
      </text>
    </comment>
  </commentList>
</comments>
</file>

<file path=xl/sharedStrings.xml><?xml version="1.0" encoding="utf-8"?>
<sst xmlns="http://schemas.openxmlformats.org/spreadsheetml/2006/main" count="246" uniqueCount="210">
  <si>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</si>
  <si>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</si>
  <si>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</si>
  <si>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</si>
  <si>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</si>
  <si>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</si>
  <si>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</si>
  <si>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</si>
  <si>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</si>
  <si>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</si>
  <si>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</si>
  <si>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</si>
  <si>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</si>
  <si>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</si>
  <si>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</si>
  <si>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</si>
  <si>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</si>
  <si>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</si>
  <si>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</si>
  <si>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</si>
  <si>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</si>
  <si>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</si>
  <si>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</si>
  <si>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</si>
  <si>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</si>
  <si>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</si>
  <si>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</si>
  <si>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</si>
  <si>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</si>
  <si>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</si>
  <si>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</si>
  <si>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</si>
  <si>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</si>
  <si>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</si>
  <si>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</si>
  <si>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</si>
  <si>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</si>
  <si>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</si>
  <si>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</si>
  <si>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</si>
  <si>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</si>
  <si>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</si>
  <si>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</si>
  <si>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</si>
  <si>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</si>
  <si>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</si>
  <si>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</si>
  <si>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</si>
  <si>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</si>
  <si>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</si>
  <si>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</si>
  <si>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</si>
  <si>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</si>
  <si>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</si>
  <si>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</si>
  <si>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</si>
  <si>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</si>
  <si>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</si>
  <si>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</si>
  <si>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</si>
  <si>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</si>
  <si>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</si>
  <si>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</si>
  <si>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</si>
  <si>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</si>
  <si>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</si>
  <si>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</si>
  <si>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</si>
  <si>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</si>
  <si>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</si>
  <si>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</si>
  <si>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</si>
  <si>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</si>
  <si>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</si>
  <si>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</si>
  <si>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</si>
  <si>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</si>
  <si>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</si>
  <si>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</si>
  <si>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</si>
  <si>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</si>
  <si>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</si>
  <si>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</si>
  <si>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</si>
  <si>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</si>
  <si>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</si>
  <si>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</si>
  <si>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</si>
  <si>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</si>
  <si>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</si>
  <si>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</si>
  <si>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</si>
  <si>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</si>
  <si>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</si>
  <si>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</si>
  <si>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</si>
  <si>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</si>
  <si>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</si>
  <si>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</si>
  <si>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</si>
  <si>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</si>
  <si>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</si>
  <si>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</si>
  <si>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</si>
  <si>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</si>
  <si>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</si>
  <si>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</si>
  <si>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</si>
  <si>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</si>
  <si>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</si>
  <si>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</si>
  <si>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</si>
  <si>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</si>
  <si>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</si>
  <si>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</si>
  <si>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</si>
  <si>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</si>
  <si>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</si>
  <si>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</si>
  <si>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</si>
  <si>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</si>
  <si>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</si>
  <si>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</si>
  <si>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</si>
  <si>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</si>
  <si>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</si>
  <si>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</si>
  <si>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</si>
  <si>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</si>
  <si>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</si>
  <si>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</si>
  <si>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</si>
  <si>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</si>
  <si>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</si>
  <si>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</si>
  <si>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</si>
  <si>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</si>
  <si>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</si>
  <si>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</si>
  <si>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Izutsu (Wiley 2009)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</si>
  <si>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</si>
  <si>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</si>
  <si>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</si>
  <si>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</si>
  <si>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</si>
  <si>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</si>
  <si>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</si>
  <si>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</si>
  <si>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Sigma-Aldrich; TBA perchlorate</t>
  </si>
  <si>
    <t>TBA perchlorate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</si>
  <si>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</si>
  <si>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</si>
  <si>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</si>
  <si>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</si>
  <si>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</si>
  <si>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</si>
  <si>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</si>
  <si>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</si>
  <si>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</si>
  <si>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</si>
  <si>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</si>
  <si>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Reference viscosity (cP)</t>
  </si>
  <si>
    <t>Viscosity (cP)</t>
  </si>
  <si>
    <t>Conductivity (S/cm)</t>
  </si>
  <si>
    <t>Molar conductivity (S/cm.mol)</t>
  </si>
  <si>
    <t>Cost ($/kg supporting)</t>
  </si>
  <si>
    <t>Propylene carbonate</t>
  </si>
  <si>
    <t>DMSO</t>
  </si>
  <si>
    <t>TBA BF4</t>
  </si>
  <si>
    <t>TEA BF4</t>
  </si>
  <si>
    <t>Sigma-Aldrich; TBA BF4</t>
  </si>
  <si>
    <t>Sigma-Aldrich; TEA perchlorate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</si>
  <si>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</si>
  <si>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</si>
  <si>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</si>
  <si>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</si>
  <si>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</si>
  <si>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</si>
  <si>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</si>
  <si>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</si>
  <si>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</si>
  <si>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</si>
  <si>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</si>
  <si>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</si>
  <si>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</si>
  <si>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</si>
  <si>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</si>
  <si>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</si>
  <si>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</si>
  <si>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</si>
  <si>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</si>
  <si>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</si>
  <si>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</si>
  <si>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</si>
  <si>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</si>
  <si>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</si>
  <si>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t>Dos Reis, Ribeiro Energy Tech. 2023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</si>
  <si>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</si>
  <si>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</si>
  <si>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</si>
  <si>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</si>
  <si>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</si>
  <si>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</si>
  <si>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</si>
  <si>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</si>
  <si>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t>Others: THF, DME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</si>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</sst>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2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1" fontId="7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7" fillId="3" borderId="0" xfId="1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1" dataDxfId="50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49"/>
    <tableColumn id="5" xr3:uid="{447AB61C-D6A8-4C69-B914-F84CC2DD3D7F}" name="Variable name" dataDxfId="48"/>
    <tableColumn id="2" xr3:uid="{8D0B10A0-AAB3-497D-AACC-B47886E623F4}" name="Value" dataDxfId="47"/>
    <tableColumn id="3" xr3:uid="{13805BE1-5D36-4E51-B5A1-6DAB8482D1CA}" name="Unit" dataDxfId="46"/>
    <tableColumn id="4" xr3:uid="{D9E6851E-6681-4B84-8DD9-9DC84337FA8D}" name="References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4" dataDxfId="43">
  <autoFilter ref="A1:Q6" xr:uid="{89323130-A0D1-49F6-A5DF-27B490E4A7F3}"/>
  <tableColumns count="17">
    <tableColumn id="1" xr3:uid="{3C50D7C6-76ED-4D16-B177-C24A6EDEF5E8}" name="Product" dataDxfId="42"/>
    <tableColumn id="13" xr3:uid="{E3E543EF-1CAC-4E7C-917B-9F6A2A12C5A5}" name="Phase" dataDxfId="41"/>
    <tableColumn id="5" xr3:uid="{60087321-E31A-4465-97EA-5E82B4930DEF}" name="Molecular weight (g/mol)" dataDxfId="40"/>
    <tableColumn id="2" xr3:uid="{73F411CA-0C00-43A6-8E8A-2C96DEBEAE56}" name="n (mol e-/ mol product)" dataDxfId="39"/>
    <tableColumn id="12" xr3:uid="{35098869-B8D6-4322-9A6F-55D84BD00AAD}" name="z (mol CO2/ mol product)" dataDxfId="38"/>
    <tableColumn id="3" xr3:uid="{42FF57EE-C82B-4BEE-B6E3-5CDCD61D73F4}" name="LHV (kJ/kg product)" dataDxfId="37"/>
    <tableColumn id="14" xr3:uid="{E9D086E2-203C-4567-AACC-7D8FDCBCFD52}" name="Cost ($/kg product)" dataDxfId="36"/>
    <tableColumn id="6" xr3:uid="{F6536296-A5EF-4707-BAA4-8ED36A0299FD}" name="Standard potential, pH = 0 (V vs SHE)" dataDxfId="35"/>
    <tableColumn id="9" xr3:uid="{44F64A4D-679B-4F83-A0F1-9FD50BE9A102}" name="Reference overpotential (V)" dataDxfId="34"/>
    <tableColumn id="8" xr3:uid="{63FE646D-E5BD-46A5-B63F-54D7C89DFC20}" name="Tafel slope (mV/dec)" dataDxfId="33"/>
    <tableColumn id="7" xr3:uid="{8762D60F-6494-4D48-BF71-09EE6526135E}" name="Reference current density (mA/cm2)" dataDxfId="32"/>
    <tableColumn id="15" xr3:uid="{C96EBEF2-D837-4395-8D46-7E2BC536E261}" name="FECO2R at SPC = 0" dataDxfId="31"/>
    <tableColumn id="16" xr3:uid="{F3E3F633-1F65-481C-8C36-D0FBD783D2AB}" name="Chosen SPC, no tradeoff" dataDxfId="30"/>
    <tableColumn id="17" xr3:uid="{06806002-8BCC-442F-99A4-15A00506143C}" name="Optimal j @ 8.2 c/kWh, no tradeoff" dataDxfId="29"/>
    <tableColumn id="4" xr3:uid="{EA53ED90-0A02-4FC0-8D2F-B62ACD3411A0}" name="References" dataDxfId="28"/>
    <tableColumn id="10" xr3:uid="{15AF80F1-11B7-4792-895F-6EC0B2B7A7A4}" name="References 2" dataDxfId="27"/>
    <tableColumn id="11" xr3:uid="{F302EFF0-A13D-4A4C-8A0B-F721AD1E47B9}" name="References 3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K5" totalsRowShown="0" headerRowDxfId="25" dataDxfId="24">
  <autoFilter ref="A1:K5" xr:uid="{FDE89AE4-9617-4085-AD63-8D726E2ECE27}"/>
  <tableColumns count="11">
    <tableColumn id="1" xr3:uid="{996983E7-48A1-4F2C-AAE8-BB6499F82011}" name="Solvent" dataDxfId="23"/>
    <tableColumn id="5" xr3:uid="{7587D408-6B96-4220-A9BE-2B71A4248C30}" name="Molecular weight (g/mol)" dataDxfId="22"/>
    <tableColumn id="14" xr3:uid="{8CB95F86-8F61-4051-8BEA-3EA0B1243627}" name="Cost ($/kg solvent)" dataDxfId="21"/>
    <tableColumn id="3" xr3:uid="{CCFBA968-B535-4D6B-82F9-71090461EE43}" name="Density (kg/m3)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8" xr3:uid="{57ADEF7D-1DC8-4D29-B0B1-B07EDD74B7FC}" name="Solubility in water" dataDxfId="15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H5" totalsRowShown="0" headerRowDxfId="14" dataDxfId="13">
  <autoFilter ref="A1:H5" xr:uid="{0BE243CA-C135-4CB6-B37F-4749B7F8C437}"/>
  <tableColumns count="8">
    <tableColumn id="1" xr3:uid="{5E12D873-28F4-4BAA-A124-01ED2F10306F}" name="Supporting electrolyte" dataDxfId="12"/>
    <tableColumn id="5" xr3:uid="{8BFB1102-BA9E-4FA2-8287-970DFEAD7F45}" name="Molecular weight (g/mol)" dataDxfId="11"/>
    <tableColumn id="14" xr3:uid="{40345891-0EC3-4D4A-9A2E-09812C6C59BF}" name="Cost ($/kg supporting)" dataDxfId="10"/>
    <tableColumn id="3" xr3:uid="{580C116E-F5E0-41C5-8884-D2C8E1385F89}" name="Conductivity (S/cm)"/>
    <tableColumn id="6" xr3:uid="{C9659692-EF7D-4190-B767-6AC28EF23541}" name="Reference viscosity (cP)"/>
    <tableColumn id="4" xr3:uid="{F0A415E1-CFAE-4B45-AF57-6D3EEBC72369}" name="Molar conductivity (S/cm.mol)" dataDxfId="9"/>
    <tableColumn id="2" xr3:uid="{BF9F5B6E-2598-43D5-ABA7-189814842EF4}" name="References" dataDxfId="8"/>
    <tableColumn id="10" xr3:uid="{0EA10F76-7695-4288-8BC9-D38255B25BBB}" name="References 2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Based on Dos Reis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21 Dos Reis datapoints (top 50%)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4 Dos Reis datapoints (top 50%)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4 Dos Reis datapoints (top 50%)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H2" dT="2025-01-20T21:27:20.62" personId="{97EB442A-BA5A-4BA8-A59A-7061902B9186}" id="{CCFAFA67-1AB3-4E10-B472-4734839B5FB8}">
    <text>CRC Handbook of Chem and Phys 105th Ed.</text>
  </threadedComment>
  <threadedComment ref="I2" dT="2025-01-20T21:27:35.11" personId="{97EB442A-BA5A-4BA8-A59A-7061902B9186}" id="{7E768D53-988A-46AE-8800-331D2B19C4CA}">
    <text>CRC Handbook of Chem and Phys 105th Ed.</text>
  </threadedComment>
  <threadedComment ref="J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H3" dT="2025-01-20T21:27:23.98" personId="{97EB442A-BA5A-4BA8-A59A-7061902B9186}" id="{8C14FDD1-22B7-4F70-B01E-C665917CE3E4}">
    <text>CRC Handbook of Chem and Phys 105th Ed.</text>
  </threadedComment>
  <threadedComment ref="I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H4" dT="2025-01-20T21:27:27.28" personId="{97EB442A-BA5A-4BA8-A59A-7061902B9186}" id="{1983A994-3FCC-4917-A080-32AC954B27A3}">
    <text>CRC Handbook of Chem and Phys 105th Ed.</text>
  </threadedComment>
  <threadedComment ref="I4" dT="2025-01-20T21:27:42.09" personId="{97EB442A-BA5A-4BA8-A59A-7061902B9186}" id="{F163D6D5-0931-443B-A93F-1C0E825E55FE}">
    <text>CRC Handbook of Chem and Phys 105th Ed.</text>
  </threadedComment>
  <threadedComment ref="J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H5" dT="2025-01-20T21:27:30.00" personId="{97EB442A-BA5A-4BA8-A59A-7061902B9186}" id="{4E6C45D9-A547-4A85-8E31-46455E39B2F7}">
    <text>CRC Handbook of Chem and Phys 105th Ed.</text>
  </threadedComment>
  <threadedComment ref="I5" dT="2025-01-20T21:27:46.12" personId="{97EB442A-BA5A-4BA8-A59A-7061902B9186}" id="{C9E7B65A-8DF8-424A-AFB0-85F34FB8C5A3}">
    <text>CRC Handbook of Chem and Phys 105th Ed.</text>
  </threadedComment>
  <threadedComment ref="J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pubs.acs.org/doi/10.1021/acssuschemeng.3c04373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hyperlink" Target="http://www.doi.org/10.1002/ente.202201367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hyperlink" Target="http://www.doi.org/10.1002/ente.202201367" TargetMode="External"/><Relationship Id="rId10" Type="http://schemas.openxmlformats.org/officeDocument/2006/relationships/hyperlink" Target="https://pubs.acs.org/doi/10.1021/acs.iecr.2c0264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www.sigmaaldrich.com/US/en/product/sial/86896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www.sigmaaldrich.com/US/en/product/aldrich/86885" TargetMode="Externa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ww.sigmaaldrich.com/US/en/product/aldrich/24214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26" zoomScaleNormal="100" workbookViewId="0">
      <selection activeCell="C31" sqref="C31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154</v>
      </c>
      <c r="B2" s="6" t="s">
        <v>157</v>
      </c>
      <c r="C2" s="27">
        <v>1</v>
      </c>
      <c r="D2" s="6" t="s">
        <v>74</v>
      </c>
      <c r="E2" s="22" t="s">
        <v>196</v>
      </c>
      <c r="F2" s="5"/>
    </row>
    <row r="3" spans="1:6" ht="28.5" x14ac:dyDescent="0.2">
      <c r="A3" s="6" t="s">
        <v>155</v>
      </c>
      <c r="B3" s="6" t="s">
        <v>156</v>
      </c>
      <c r="C3" s="27">
        <v>0.5</v>
      </c>
      <c r="D3" s="6" t="s">
        <v>74</v>
      </c>
      <c r="E3" s="22" t="s">
        <v>196</v>
      </c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6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184</v>
      </c>
    </row>
    <row r="7" spans="1:6" ht="57" x14ac:dyDescent="0.2">
      <c r="A7" s="40" t="s">
        <v>176</v>
      </c>
      <c r="B7" s="38" t="s">
        <v>180</v>
      </c>
      <c r="C7" s="64">
        <f>36703.01902*800/596.2</f>
        <v>49249.27074136195</v>
      </c>
      <c r="D7" s="40" t="s">
        <v>179</v>
      </c>
      <c r="E7" s="42" t="s">
        <v>183</v>
      </c>
      <c r="F7" s="5" t="s">
        <v>185</v>
      </c>
    </row>
    <row r="8" spans="1:6" ht="57" x14ac:dyDescent="0.2">
      <c r="A8" s="5" t="s">
        <v>175</v>
      </c>
      <c r="B8" s="6" t="s">
        <v>177</v>
      </c>
      <c r="C8" s="23">
        <f>1989043*800/596.2</f>
        <v>2668960.7514256961</v>
      </c>
      <c r="D8" s="5" t="s">
        <v>178</v>
      </c>
      <c r="E8" s="22" t="s">
        <v>19</v>
      </c>
      <c r="F8" s="5" t="s">
        <v>185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147</v>
      </c>
      <c r="F9" s="5"/>
    </row>
    <row r="10" spans="1:6" ht="28.5" x14ac:dyDescent="0.2">
      <c r="A10" s="5" t="s">
        <v>152</v>
      </c>
      <c r="B10" s="5" t="s">
        <v>153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40" t="s">
        <v>95</v>
      </c>
      <c r="B12" s="40" t="s">
        <v>173</v>
      </c>
      <c r="C12" s="63">
        <v>0.3</v>
      </c>
      <c r="D12" s="40"/>
      <c r="E12" s="42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140</v>
      </c>
      <c r="B14" s="6" t="s">
        <v>143</v>
      </c>
      <c r="C14" s="10">
        <f>0.8/10</f>
        <v>0.08</v>
      </c>
      <c r="D14" s="6" t="s">
        <v>141</v>
      </c>
      <c r="E14" s="22" t="s">
        <v>142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144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8" t="s">
        <v>181</v>
      </c>
      <c r="B30" s="38" t="s">
        <v>182</v>
      </c>
      <c r="C30" s="54">
        <v>500</v>
      </c>
      <c r="D30" s="38" t="s">
        <v>197</v>
      </c>
      <c r="E30" s="42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  <hyperlink ref="E2" r:id="rId15" xr:uid="{26B26E54-2613-4497-A963-C82743557691}"/>
    <hyperlink ref="E3" r:id="rId16" xr:uid="{FB4BED79-7445-417D-831C-1C09FBC73867}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B1" activePane="topRight" state="frozen"/>
      <selection pane="topRight" activeCell="K5" sqref="K5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189</v>
      </c>
      <c r="N1" s="7" t="s">
        <v>188</v>
      </c>
      <c r="O1" s="12" t="s">
        <v>23</v>
      </c>
      <c r="P1" s="12" t="s">
        <v>59</v>
      </c>
      <c r="Q1" s="12" t="s">
        <v>192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8">
        <f>-2.35-0.197-Products[[#This Row],[Standard potential, pH = 0 (V vs SHE)]]</f>
        <v>-2.4870000000000001</v>
      </c>
      <c r="J3" s="40">
        <v>-182</v>
      </c>
      <c r="K3" s="68">
        <v>1</v>
      </c>
      <c r="L3" s="10">
        <v>0.9</v>
      </c>
      <c r="M3" s="66">
        <v>0.66700000000000004</v>
      </c>
      <c r="N3" s="69">
        <v>312.39999999999998</v>
      </c>
      <c r="O3" s="22" t="s">
        <v>19</v>
      </c>
      <c r="P3" s="33" t="s">
        <v>187</v>
      </c>
      <c r="Q3" s="5"/>
    </row>
    <row r="4" spans="1:17" ht="71.25" x14ac:dyDescent="0.2">
      <c r="A4" s="5" t="s">
        <v>172</v>
      </c>
      <c r="B4" s="6" t="s">
        <v>151</v>
      </c>
      <c r="C4" s="10">
        <v>90.03</v>
      </c>
      <c r="D4" s="5">
        <v>2</v>
      </c>
      <c r="E4" s="5">
        <v>2</v>
      </c>
      <c r="F4" s="67">
        <v>10000</v>
      </c>
      <c r="G4" s="9">
        <v>0.7</v>
      </c>
      <c r="H4" s="10">
        <v>-0.51</v>
      </c>
      <c r="I4" s="68">
        <f>-1.8+0.197-Products[[#This Row],[Standard potential, pH = 0 (V vs SHE)]]</f>
        <v>-1.093</v>
      </c>
      <c r="J4" s="40">
        <f>0.2*1000/(3.2-5.2)</f>
        <v>-100</v>
      </c>
      <c r="K4" s="68">
        <v>5.6</v>
      </c>
      <c r="L4" s="6">
        <v>0.7</v>
      </c>
      <c r="M4" s="66">
        <v>0.66700000000000004</v>
      </c>
      <c r="N4" s="69">
        <v>314</v>
      </c>
      <c r="O4" s="22" t="s">
        <v>200</v>
      </c>
      <c r="P4" s="33" t="s">
        <v>194</v>
      </c>
      <c r="Q4" s="22" t="s">
        <v>195</v>
      </c>
    </row>
    <row r="5" spans="1:17" s="34" customFormat="1" ht="28.5" x14ac:dyDescent="0.2">
      <c r="A5" s="6" t="s">
        <v>150</v>
      </c>
      <c r="B5" s="5" t="s">
        <v>151</v>
      </c>
      <c r="C5" s="9">
        <v>46.024999999999999</v>
      </c>
      <c r="D5" s="5">
        <v>2</v>
      </c>
      <c r="E5" s="5">
        <v>1</v>
      </c>
      <c r="F5" s="64">
        <v>5400</v>
      </c>
      <c r="G5" s="9">
        <v>0.83</v>
      </c>
      <c r="H5" s="10">
        <v>-7.0000000000000007E-2</v>
      </c>
      <c r="I5" s="68"/>
      <c r="J5" s="68"/>
      <c r="K5" s="68"/>
      <c r="L5" s="6">
        <v>0.74</v>
      </c>
      <c r="M5" s="66">
        <v>0.66700000000000004</v>
      </c>
      <c r="N5" s="44"/>
      <c r="O5" s="22" t="s">
        <v>19</v>
      </c>
      <c r="P5" s="33" t="s">
        <v>193</v>
      </c>
      <c r="Q5" s="22" t="s">
        <v>199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198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51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K7"/>
  <sheetViews>
    <sheetView zoomScaleNormal="100"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6" width="15" customWidth="1"/>
    <col min="7" max="10" width="16.42578125" customWidth="1"/>
    <col min="11" max="11" width="17.5703125" bestFit="1" customWidth="1"/>
  </cols>
  <sheetData>
    <row r="1" spans="1:11" ht="74.25" x14ac:dyDescent="0.25">
      <c r="A1" s="49" t="s">
        <v>158</v>
      </c>
      <c r="B1" s="7" t="s">
        <v>49</v>
      </c>
      <c r="C1" s="26" t="s">
        <v>159</v>
      </c>
      <c r="D1" s="5" t="s">
        <v>191</v>
      </c>
      <c r="E1" s="6" t="s">
        <v>162</v>
      </c>
      <c r="F1" s="6" t="s">
        <v>206</v>
      </c>
      <c r="G1" s="6" t="s">
        <v>174</v>
      </c>
      <c r="H1" s="6" t="s">
        <v>201</v>
      </c>
      <c r="I1" s="6" t="s">
        <v>203</v>
      </c>
      <c r="J1" s="6" t="s">
        <v>202</v>
      </c>
      <c r="K1" s="6" t="s">
        <v>23</v>
      </c>
    </row>
    <row r="2" spans="1:11" ht="42.75" x14ac:dyDescent="0.25">
      <c r="A2" s="47" t="s">
        <v>146</v>
      </c>
      <c r="B2" s="9">
        <v>41.052</v>
      </c>
      <c r="C2" s="9">
        <v>2.7</v>
      </c>
      <c r="D2" s="8">
        <v>782.5</v>
      </c>
      <c r="E2" s="10">
        <v>0.36899999999999999</v>
      </c>
      <c r="F2" s="10">
        <f>1/60.7</f>
        <v>1.6474464579901153E-2</v>
      </c>
      <c r="G2" s="10">
        <f>Products6[[#This Row],[Henry''s constant at 298K, CO2 (mole fraction/atm)]]*9.8692/(1-Products6[[#This Row],[Henry''s constant at 298K, CO2 (mole fraction/atm)]]*9.8692)</f>
        <v>0.19415787278579127</v>
      </c>
      <c r="H2" s="10">
        <f>273.15+81.6</f>
        <v>354.75</v>
      </c>
      <c r="I2" s="8">
        <f>11.9*1000</f>
        <v>11900</v>
      </c>
      <c r="J2" s="8" t="s">
        <v>204</v>
      </c>
      <c r="K2" s="42" t="s">
        <v>207</v>
      </c>
    </row>
    <row r="3" spans="1:11" ht="42.75" x14ac:dyDescent="0.25">
      <c r="A3" s="47" t="s">
        <v>166</v>
      </c>
      <c r="B3" s="9">
        <v>102.089</v>
      </c>
      <c r="C3" s="9">
        <v>0.90700000000000003</v>
      </c>
      <c r="D3" s="8">
        <v>1204.7</v>
      </c>
      <c r="E3" s="10">
        <v>2.5299999999999998</v>
      </c>
      <c r="F3" s="10">
        <f>1/82.1</f>
        <v>1.2180267965895251E-2</v>
      </c>
      <c r="G3" s="10">
        <f>Products6[[#This Row],[Henry''s constant at 298K, CO2 (mole fraction/atm)]]*9.8692/(1-Products6[[#This Row],[Henry''s constant at 298K, CO2 (mole fraction/atm)]]*9.8692)</f>
        <v>0.13663423359564064</v>
      </c>
      <c r="H3" s="10">
        <f>273.15+241.6</f>
        <v>514.75</v>
      </c>
      <c r="I3" s="8">
        <f>0.05*1000</f>
        <v>50</v>
      </c>
      <c r="J3" s="65" t="s">
        <v>209</v>
      </c>
      <c r="K3" s="42" t="s">
        <v>207</v>
      </c>
    </row>
    <row r="4" spans="1:11" ht="42.75" x14ac:dyDescent="0.25">
      <c r="A4" s="55" t="s">
        <v>167</v>
      </c>
      <c r="B4" s="9">
        <v>78.132999999999996</v>
      </c>
      <c r="C4" s="9">
        <v>2.66</v>
      </c>
      <c r="D4" s="8">
        <v>1101</v>
      </c>
      <c r="E4" s="10">
        <v>1.9870000000000001</v>
      </c>
      <c r="F4" s="10">
        <f>1/101.6</f>
        <v>9.8425196850393699E-3</v>
      </c>
      <c r="G4" s="10">
        <f>Products6[[#This Row],[Henry''s constant at 298K, CO2 (mole fraction/atm)]]*9.8692/(1-Products6[[#This Row],[Henry''s constant at 298K, CO2 (mole fraction/atm)]]*9.8692)</f>
        <v>0.10758872701426347</v>
      </c>
      <c r="H4" s="10">
        <f>273.15+191.9</f>
        <v>465.04999999999995</v>
      </c>
      <c r="I4" s="8">
        <f>0.084*1000</f>
        <v>84</v>
      </c>
      <c r="J4" s="8" t="s">
        <v>208</v>
      </c>
      <c r="K4" s="42" t="s">
        <v>207</v>
      </c>
    </row>
    <row r="5" spans="1:11" ht="42.75" x14ac:dyDescent="0.25">
      <c r="A5" s="55" t="s">
        <v>190</v>
      </c>
      <c r="B5" s="9">
        <v>73.093999999999994</v>
      </c>
      <c r="C5" s="9">
        <v>1</v>
      </c>
      <c r="D5" s="8">
        <v>944.5</v>
      </c>
      <c r="E5" s="10">
        <v>0.79400000000000004</v>
      </c>
      <c r="F5" s="10">
        <f>1/65.3</f>
        <v>1.5313935681470138E-2</v>
      </c>
      <c r="G5" s="10">
        <f>Products6[[#This Row],[Henry''s constant at 298K, CO2 (mole fraction/atm)]]*9.8692/(1-Products6[[#This Row],[Henry''s constant at 298K, CO2 (mole fraction/atm)]]*9.8692)</f>
        <v>0.17804541879244029</v>
      </c>
      <c r="H5" s="10">
        <f>273.15+152.8</f>
        <v>425.95</v>
      </c>
      <c r="I5" s="8">
        <f>0.439*1000</f>
        <v>439</v>
      </c>
      <c r="J5" s="8" t="s">
        <v>204</v>
      </c>
      <c r="K5" s="42" t="s">
        <v>207</v>
      </c>
    </row>
    <row r="7" spans="1:11" ht="28.5" x14ac:dyDescent="0.25">
      <c r="A7" s="70" t="s">
        <v>205</v>
      </c>
    </row>
  </sheetData>
  <phoneticPr fontId="18" type="noConversion"/>
  <hyperlinks>
    <hyperlink ref="K2" r:id="rId1" display="Izutsu (Wiley 2009)" xr:uid="{3CE65C60-DA75-4595-8CAA-88F2C9A358C9}"/>
    <hyperlink ref="K3" r:id="rId2" display="Izutsu (Wiley 2009)" xr:uid="{6B0DA7F9-0782-4596-8B42-F9EBE5175294}"/>
    <hyperlink ref="K4" r:id="rId3" display="Izutsu (Wiley 2009)" xr:uid="{55B29BD6-B10F-4DCF-93BE-7B2953D8D605}"/>
    <hyperlink ref="K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I5"/>
  <sheetViews>
    <sheetView topLeftCell="B1" zoomScale="85" zoomScaleNormal="85" workbookViewId="0">
      <selection activeCell="C17" sqref="C17"/>
    </sheetView>
  </sheetViews>
  <sheetFormatPr defaultRowHeight="15" x14ac:dyDescent="0.25"/>
  <cols>
    <col min="1" max="1" width="17.140625" bestFit="1" customWidth="1"/>
    <col min="2" max="2" width="20.42578125" bestFit="1" customWidth="1"/>
    <col min="3" max="3" width="16.140625" bestFit="1" customWidth="1"/>
    <col min="4" max="4" width="18.28515625" bestFit="1" customWidth="1"/>
    <col min="5" max="5" width="17.5703125" customWidth="1"/>
    <col min="6" max="6" width="19.5703125" bestFit="1" customWidth="1"/>
    <col min="7" max="7" width="12.7109375" bestFit="1" customWidth="1"/>
    <col min="8" max="8" width="28.5703125" customWidth="1"/>
    <col min="9" max="9" width="22.5703125" customWidth="1"/>
  </cols>
  <sheetData>
    <row r="1" spans="1:9" ht="28.5" x14ac:dyDescent="0.25">
      <c r="A1" s="49" t="s">
        <v>160</v>
      </c>
      <c r="B1" s="7" t="s">
        <v>49</v>
      </c>
      <c r="C1" s="26" t="s">
        <v>165</v>
      </c>
      <c r="D1" s="6" t="s">
        <v>163</v>
      </c>
      <c r="E1" s="38" t="s">
        <v>161</v>
      </c>
      <c r="F1" s="38" t="s">
        <v>164</v>
      </c>
      <c r="G1" s="6" t="s">
        <v>23</v>
      </c>
      <c r="H1" s="12" t="s">
        <v>59</v>
      </c>
    </row>
    <row r="2" spans="1:9" ht="57" x14ac:dyDescent="0.25">
      <c r="A2" s="47" t="s">
        <v>149</v>
      </c>
      <c r="B2" s="9">
        <v>341.91</v>
      </c>
      <c r="C2" s="52">
        <v>250</v>
      </c>
      <c r="D2" s="53">
        <f>0.75/100</f>
        <v>7.4999999999999997E-3</v>
      </c>
      <c r="E2" s="39">
        <v>0.89</v>
      </c>
      <c r="F2" s="41">
        <v>6E-10</v>
      </c>
      <c r="G2" s="42" t="s">
        <v>148</v>
      </c>
      <c r="H2" s="42" t="s">
        <v>139</v>
      </c>
      <c r="I2" s="40" t="s">
        <v>145</v>
      </c>
    </row>
    <row r="3" spans="1:9" ht="42.75" x14ac:dyDescent="0.25">
      <c r="A3" s="48" t="s">
        <v>168</v>
      </c>
      <c r="B3" s="9">
        <v>329.27</v>
      </c>
      <c r="C3" s="52">
        <v>250</v>
      </c>
      <c r="D3" s="43">
        <v>0.01</v>
      </c>
      <c r="E3" s="40"/>
      <c r="F3" s="45"/>
      <c r="G3" s="42" t="s">
        <v>170</v>
      </c>
      <c r="H3" s="45"/>
      <c r="I3" s="37"/>
    </row>
    <row r="4" spans="1:9" ht="57" x14ac:dyDescent="0.25">
      <c r="A4" s="48" t="s">
        <v>169</v>
      </c>
      <c r="B4" s="9">
        <v>217.06</v>
      </c>
      <c r="C4" s="52">
        <v>250</v>
      </c>
      <c r="D4" s="43">
        <v>0.01</v>
      </c>
      <c r="E4" s="38"/>
      <c r="F4" s="45"/>
      <c r="G4" s="42" t="s">
        <v>171</v>
      </c>
      <c r="H4" s="45"/>
      <c r="I4" s="37"/>
    </row>
    <row r="5" spans="1:9" x14ac:dyDescent="0.25">
      <c r="A5" s="47"/>
      <c r="B5" s="50"/>
      <c r="C5" s="50"/>
      <c r="D5" s="37"/>
      <c r="E5" s="24"/>
      <c r="F5" s="37"/>
      <c r="G5" s="5"/>
      <c r="H5" s="37"/>
      <c r="I5" s="37"/>
    </row>
  </sheetData>
  <phoneticPr fontId="18" type="noConversion"/>
  <hyperlinks>
    <hyperlink ref="G2" r:id="rId1" display="Sigma-Aldrich; acetonitrile" xr:uid="{57133E53-0E09-45A4-B177-CDDD279FC5F5}"/>
    <hyperlink ref="H2" r:id="rId2" xr:uid="{C39A51B0-B47C-49B0-B277-5D1A3A5EC524}"/>
    <hyperlink ref="G3" r:id="rId3" xr:uid="{D4570DF9-3F93-4759-8735-C33384FE78FD}"/>
    <hyperlink ref="G4" r:id="rId4" xr:uid="{6DA15248-3C49-4A1E-B665-5E2480210A1D}"/>
  </hyperlinks>
  <pageMargins left="0.7" right="0.7" top="0.75" bottom="0.75" header="0.3" footer="0.3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selection activeCell="E5" sqref="E5"/>
    </sheetView>
  </sheetViews>
  <sheetFormatPr defaultColWidth="9.140625" defaultRowHeight="15" x14ac:dyDescent="0.25"/>
  <cols>
    <col min="1" max="1" width="28.28515625" style="13" bestFit="1" customWidth="1"/>
    <col min="2" max="2" width="19.5703125" style="58" bestFit="1" customWidth="1"/>
    <col min="3" max="3" width="23.7109375" style="58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56" t="s">
        <v>4</v>
      </c>
      <c r="C1" s="57" t="s">
        <v>29</v>
      </c>
      <c r="D1" s="1" t="s">
        <v>23</v>
      </c>
    </row>
    <row r="2" spans="1:6" x14ac:dyDescent="0.25">
      <c r="A2" s="16"/>
      <c r="B2" s="59"/>
      <c r="C2" s="60"/>
      <c r="D2" s="20"/>
    </row>
    <row r="3" spans="1:6" ht="75" customHeight="1" x14ac:dyDescent="0.25">
      <c r="A3" s="17" t="s">
        <v>5</v>
      </c>
      <c r="B3" s="59">
        <v>2.4E-2</v>
      </c>
      <c r="C3" s="60">
        <v>50</v>
      </c>
      <c r="D3" s="28" t="s">
        <v>130</v>
      </c>
      <c r="E3" s="72" t="s">
        <v>132</v>
      </c>
      <c r="F3" s="71" t="s">
        <v>133</v>
      </c>
    </row>
    <row r="4" spans="1:6" ht="28.5" x14ac:dyDescent="0.25">
      <c r="A4" s="17" t="s">
        <v>76</v>
      </c>
      <c r="B4" s="59">
        <v>2.4E-2</v>
      </c>
      <c r="C4" s="60">
        <v>20</v>
      </c>
      <c r="D4" s="28" t="s">
        <v>130</v>
      </c>
      <c r="E4" s="72"/>
      <c r="F4" s="71"/>
    </row>
    <row r="5" spans="1:6" ht="28.5" x14ac:dyDescent="0.25">
      <c r="A5" s="17" t="s">
        <v>75</v>
      </c>
      <c r="B5" s="59">
        <v>4.2000000000000003E-2</v>
      </c>
      <c r="C5" s="60"/>
      <c r="D5" s="28" t="s">
        <v>131</v>
      </c>
    </row>
    <row r="6" spans="1:6" ht="57" x14ac:dyDescent="0.25">
      <c r="A6" s="17" t="s">
        <v>2</v>
      </c>
      <c r="B6" s="59">
        <f>16.05/100</f>
        <v>0.1605</v>
      </c>
      <c r="C6" s="60">
        <v>230.93061430996579</v>
      </c>
      <c r="D6" s="28" t="s">
        <v>134</v>
      </c>
    </row>
    <row r="7" spans="1:6" ht="71.25" x14ac:dyDescent="0.25">
      <c r="A7" s="17" t="s">
        <v>1</v>
      </c>
      <c r="B7" s="59">
        <f>8.19/100</f>
        <v>8.1900000000000001E-2</v>
      </c>
      <c r="C7" s="60">
        <v>414.10433834299573</v>
      </c>
      <c r="D7" s="28" t="s">
        <v>186</v>
      </c>
    </row>
    <row r="8" spans="1:6" ht="71.25" x14ac:dyDescent="0.25">
      <c r="A8" s="17" t="s">
        <v>3</v>
      </c>
      <c r="B8" s="59">
        <f>2.22/kWh_per_mmBtu</f>
        <v>7.5691136219420956E-3</v>
      </c>
      <c r="C8" s="60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9">
        <v>0.03</v>
      </c>
      <c r="C9" s="61"/>
      <c r="D9" s="32" t="s">
        <v>19</v>
      </c>
    </row>
    <row r="10" spans="1:6" x14ac:dyDescent="0.25">
      <c r="A10" s="17"/>
      <c r="B10" s="59"/>
      <c r="C10" s="61"/>
      <c r="D10" s="31"/>
    </row>
    <row r="11" spans="1:6" x14ac:dyDescent="0.25">
      <c r="A11" s="17" t="s">
        <v>24</v>
      </c>
      <c r="B11" s="59">
        <f>B7</f>
        <v>8.1900000000000001E-2</v>
      </c>
      <c r="C11" s="61">
        <f>C7</f>
        <v>414.10433834299573</v>
      </c>
      <c r="D11" s="31"/>
    </row>
    <row r="12" spans="1:6" x14ac:dyDescent="0.25">
      <c r="A12" s="19" t="s">
        <v>25</v>
      </c>
      <c r="B12" s="62">
        <f>B8</f>
        <v>7.5691136219420956E-3</v>
      </c>
      <c r="C12" s="61">
        <f>C8</f>
        <v>254.376</v>
      </c>
      <c r="D12" s="31"/>
    </row>
    <row r="13" spans="1:6" x14ac:dyDescent="0.25">
      <c r="A13" s="19"/>
      <c r="B13" s="62"/>
      <c r="C13" s="61"/>
      <c r="D13" s="31"/>
    </row>
    <row r="14" spans="1:6" x14ac:dyDescent="0.25">
      <c r="A14" s="17" t="s">
        <v>69</v>
      </c>
      <c r="B14" s="59">
        <v>200</v>
      </c>
      <c r="C14" s="61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2025-01-21T18:23:31Z</dcterms:modified>
</cp:coreProperties>
</file>