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007" documentId="8_{31750E0B-A732-4503-8EA8-2753BAB2D178}" xr6:coauthVersionLast="47" xr6:coauthVersionMax="47" xr10:uidLastSave="{53F20CB6-804D-4540-BD16-A798BBE83D98}"/>
  <bookViews>
    <workbookView xWindow="11424" yWindow="0" windowWidth="11712" windowHeight="12336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assumptions'!$C$8</definedName>
    <definedName name="F">'Constants and assumptions'!$C$19</definedName>
    <definedName name="K_to_C">'Constants and assumptions'!$C$40</definedName>
    <definedName name="kJ_per_kWh">'Constants and assumptions'!$C$41</definedName>
    <definedName name="kJ_per_mmBtu">'Constants and assumptions'!$C$42</definedName>
    <definedName name="kWh_per_mmBtu">'Constants and assumptions'!$C$43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assumptions'!$C$27</definedName>
    <definedName name="R_">'Constants and assumptions'!$C$20</definedName>
    <definedName name="separation_efficiency">'Constants and assumptions'!$C$11</definedName>
    <definedName name="T">'Constants and assumptions'!$C$39</definedName>
    <definedName name="T_sep">'Constants and assumptions'!$C$38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7" i="2"/>
  <c r="C16" i="2"/>
  <c r="B6" i="3"/>
  <c r="C37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8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42" i="2" l="1"/>
  <c r="C41" i="2"/>
  <c r="C8" i="3" l="1"/>
  <c r="C12" i="3" l="1"/>
  <c r="C43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<sst xmlns="http://schemas.openxmlformats.org/spreadsheetml/2006/main" count="266" uniqueCount="204">
  <si>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</si>
  <si>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</si>
  <si>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</si>
  <si>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</si>
  <si>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</si>
  <si>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</si>
  <si>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</si>
  <si>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</si>
  <si>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</si>
  <si>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</si>
  <si>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</si>
  <si>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</si>
  <si>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</si>
  <si>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</si>
  <si>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</si>
  <si>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</si>
  <si>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</si>
  <si>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</si>
  <si>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</si>
  <si>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</si>
  <si>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</si>
  <si>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</si>
  <si>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</si>
  <si>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</si>
  <si>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</si>
  <si>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</si>
  <si>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</si>
  <si>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</si>
  <si>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</si>
  <si>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</si>
  <si>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</si>
  <si>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</si>
  <si>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</si>
  <si>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</si>
  <si>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</si>
  <si>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</si>
  <si>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</si>
  <si>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</si>
  <si>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</si>
  <si>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</si>
  <si>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</si>
  <si>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</si>
  <si>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</si>
  <si>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</si>
  <si>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</si>
  <si>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</si>
  <si>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</si>
  <si>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</si>
  <si>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</si>
  <si>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</si>
  <si>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</si>
  <si>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</si>
  <si>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</si>
  <si>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</si>
  <si>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</si>
  <si>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</si>
  <si>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</si>
  <si>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</si>
  <si>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</si>
  <si>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</si>
  <si>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</si>
  <si>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</si>
  <si>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</si>
  <si>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</si>
  <si>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</si>
  <si>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</si>
  <si>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</si>
  <si>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</si>
  <si>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</si>
  <si>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</si>
  <si>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</si>
  <si>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</si>
  <si>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</si>
  <si>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</si>
  <si>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</si>
  <si>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</si>
  <si>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</si>
  <si>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</si>
  <si>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</si>
  <si>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</si>
  <si>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</si>
  <si>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</si>
  <si>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</si>
  <si>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</si>
  <si>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</si>
  <si>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</si>
  <si>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</si>
  <si>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</si>
  <si>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</si>
  <si>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</si>
  <si>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</si>
  <si>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</si>
  <si>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</si>
  <si>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</si>
  <si>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</si>
  <si>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</si>
  <si>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</si>
  <si>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</si>
  <si>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</si>
  <si>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</si>
  <si>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</si>
  <si>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</si>
  <si>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</si>
  <si>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</si>
  <si>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</si>
  <si>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</si>
  <si>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</si>
  <si>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</si>
  <si>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</si>
  <si>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</si>
  <si>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</si>
  <si>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</si>
  <si>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</si>
  <si>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</si>
  <si>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</si>
  <si>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</si>
  <si>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</si>
  <si>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</si>
  <si>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</si>
  <si>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</si>
  <si>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</si>
  <si>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</si>
  <si>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</si>
  <si>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</si>
  <si>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</si>
  <si>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</si>
  <si>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</si>
  <si>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</si>
  <si>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</si>
  <si>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</si>
  <si>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</si>
  <si>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</si>
  <si>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</si>
  <si>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</si>
  <si>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</si>
  <si>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</si>
  <si>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</si>
  <si>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</si>
  <si>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</si>
  <si>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</si>
  <si>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</si>
  <si>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</si>
  <si>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</si>
  <si>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</si>
  <si>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</si>
  <si>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</si>
  <si>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</si>
  <si>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</si>
  <si>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</si>
  <si>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</si>
  <si>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</si>
  <si>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</si>
  <si>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</si>
  <si>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</si>
  <si>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</si>
  <si>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</si>
  <si>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</si>
  <si>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</si>
  <si>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</si>
  <si>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</si>
  <si>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</si>
  <si>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</si>
  <si>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</si>
  <si>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</si>
  <si>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</si>
  <si>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</si>
  <si>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</si>
  <si>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cP</t>
  </si>
  <si>
    <t>Izutsu (Wiley 2009)</t>
  </si>
  <si>
    <t>viscosity_cP</t>
  </si>
  <si>
    <t>electrolyte_conc_M</t>
  </si>
  <si>
    <t>lambda_reference</t>
  </si>
  <si>
    <t>viscosity_reference_cP</t>
  </si>
  <si>
    <t>kappa_electrolyte_default_S_cm</t>
  </si>
  <si>
    <t>Electrolyte assumption: Viscosity</t>
  </si>
  <si>
    <t>Electrolyte assumption: Reference viscosity</t>
  </si>
  <si>
    <t>Electrolyte assumption: Conductivity</t>
  </si>
  <si>
    <t>S/cm</t>
  </si>
  <si>
    <t>S/cm.mol</t>
  </si>
  <si>
    <t xml:space="preserve">Move to electrolytes 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</si>
  <si>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</si>
  <si>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</si>
  <si>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</si>
  <si>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</si>
  <si>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</si>
  <si>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</si>
  <si>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</si>
  <si>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 xml:space="preserve">Sigma Aldrich; acetonitrile </t>
  </si>
  <si>
    <t>Nafion membrane</t>
  </si>
  <si>
    <t>electrolyte_cost_USD_kg</t>
  </si>
  <si>
    <t>Sigma-Aldrich; acetonitrile</t>
  </si>
  <si>
    <t>solvent_cost_USD_kg</t>
  </si>
  <si>
    <t>Cost: Supporting electrolyte</t>
  </si>
  <si>
    <t>Cost: Solvent</t>
  </si>
  <si>
    <t>Sigma-Aldrich; TBA perchlorate</t>
  </si>
  <si>
    <t>Molar mass: solvent</t>
  </si>
  <si>
    <t>MW_solvent</t>
  </si>
  <si>
    <t>Molar mass: supporting electrolyte</t>
  </si>
  <si>
    <t>MW_supporting</t>
  </si>
  <si>
    <t>TBA perchlorate</t>
  </si>
  <si>
    <t>Electrolyte assumption: Molar conductivity</t>
  </si>
  <si>
    <t>Formic acid</t>
  </si>
  <si>
    <t>liquid</t>
  </si>
  <si>
    <t>Jouny, Jiao I&amp;EC 2020; Guerra 2023 $0.74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</si>
</sst>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2" fontId="7" fillId="3" borderId="0" xfId="0" applyNumberFormat="1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1" fontId="7" fillId="3" borderId="0" xfId="0" applyNumberFormat="1" applyFont="1" applyFill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3" totalsRowShown="0" headerRowDxfId="40" dataDxfId="39">
  <autoFilter ref="A1:E43" xr:uid="{4573E0AF-4F91-4E0C-A0FD-4101785DA193}"/>
  <sortState xmlns:xlrd2="http://schemas.microsoft.com/office/spreadsheetml/2017/richdata2" ref="A2:E43">
    <sortCondition ref="A1:A43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inghub.elsevier.com/retrieve/pii/S1750583620306642" TargetMode="External"/><Relationship Id="rId13" Type="http://schemas.openxmlformats.org/officeDocument/2006/relationships/hyperlink" Target="https://pubs.acs.org/doi/10.1021/acsaem.3c00166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i.org/10.1039/c9ee00909d" TargetMode="External"/><Relationship Id="rId7" Type="http://schemas.openxmlformats.org/officeDocument/2006/relationships/hyperlink" Target="https://pubs.acs.org/doi/10.1021/acssuschemeng.3c04373" TargetMode="External"/><Relationship Id="rId12" Type="http://schemas.openxmlformats.org/officeDocument/2006/relationships/hyperlink" Target="https://onlinelibrary.wiley.com/doi/book/10.1002/978352762915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ature.com/articles/s41893-021-00739-x" TargetMode="External"/><Relationship Id="rId16" Type="http://schemas.openxmlformats.org/officeDocument/2006/relationships/hyperlink" Target="https://www.sigmaaldrich.com/US/en/product/aldrich/86885" TargetMode="External"/><Relationship Id="rId1" Type="http://schemas.openxmlformats.org/officeDocument/2006/relationships/hyperlink" Target="https://doi.org/10.1016/j.joule.2023.03.015" TargetMode="External"/><Relationship Id="rId6" Type="http://schemas.openxmlformats.org/officeDocument/2006/relationships/hyperlink" Target="https://www.iea.org/commentaries/is-carbon-capture-too-expensive" TargetMode="External"/><Relationship Id="rId11" Type="http://schemas.openxmlformats.org/officeDocument/2006/relationships/hyperlink" Target="https://onlinelibrary.wiley.com/doi/book/10.1002/9783527629152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hyperlink" Target="https://www.sigmaaldrich.com/US/en/product/aldrich/l010000" TargetMode="External"/><Relationship Id="rId10" Type="http://schemas.openxmlformats.org/officeDocument/2006/relationships/hyperlink" Target="https://onlinelibrary.wiley.com/doi/book/10.1002/9783527629152" TargetMode="External"/><Relationship Id="rId4" Type="http://schemas.openxmlformats.org/officeDocument/2006/relationships/hyperlink" Target="https://www.chemours.com/en/-/media/files/nafion/nafion-flow-battery-brochure.pdf?la=en&amp;rev=0419d4c952254224bb97c2c80097922c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s://www.sigmaaldrich.com/US/en/product/sial/2710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5"/>
  <sheetViews>
    <sheetView tabSelected="1" topLeftCell="A28" zoomScaleNormal="100" workbookViewId="0">
      <selection activeCell="C32" sqref="C32"/>
    </sheetView>
  </sheetViews>
  <sheetFormatPr defaultColWidth="9.109375" defaultRowHeight="13.8" x14ac:dyDescent="0.25"/>
  <cols>
    <col min="1" max="1" width="25.6640625" style="15" customWidth="1"/>
    <col min="2" max="2" width="21.33203125" style="4" bestFit="1" customWidth="1"/>
    <col min="3" max="6" width="21.88671875" style="4" customWidth="1"/>
    <col min="7" max="16384" width="9.109375" style="4"/>
  </cols>
  <sheetData>
    <row r="1" spans="1:6" x14ac:dyDescent="0.25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7.6" x14ac:dyDescent="0.25">
      <c r="A2" s="68" t="s">
        <v>133</v>
      </c>
      <c r="B2" s="68" t="s">
        <v>170</v>
      </c>
      <c r="C2" s="74">
        <v>1</v>
      </c>
      <c r="D2" s="68" t="s">
        <v>78</v>
      </c>
      <c r="E2" s="72"/>
      <c r="F2" s="5"/>
    </row>
    <row r="3" spans="1:6" ht="82.8" x14ac:dyDescent="0.25">
      <c r="A3" s="5" t="s">
        <v>89</v>
      </c>
      <c r="B3" s="6" t="s">
        <v>70</v>
      </c>
      <c r="C3" s="9">
        <v>75</v>
      </c>
      <c r="D3" s="5" t="s">
        <v>71</v>
      </c>
      <c r="E3" s="24" t="s">
        <v>145</v>
      </c>
      <c r="F3" s="5" t="s">
        <v>144</v>
      </c>
    </row>
    <row r="4" spans="1:6" ht="41.4" x14ac:dyDescent="0.25">
      <c r="A4" s="70" t="s">
        <v>105</v>
      </c>
      <c r="B4" s="68" t="s">
        <v>134</v>
      </c>
      <c r="C4" s="73">
        <f>0.0145</f>
        <v>1.4500000000000001E-2</v>
      </c>
      <c r="D4" s="70" t="s">
        <v>119</v>
      </c>
      <c r="E4" s="72" t="s">
        <v>136</v>
      </c>
      <c r="F4" s="5" t="s">
        <v>135</v>
      </c>
    </row>
    <row r="5" spans="1:6" ht="27.6" x14ac:dyDescent="0.25">
      <c r="A5" s="5" t="s">
        <v>137</v>
      </c>
      <c r="B5" s="6" t="s">
        <v>138</v>
      </c>
      <c r="C5" s="35">
        <v>5000</v>
      </c>
      <c r="D5" s="5" t="s">
        <v>139</v>
      </c>
      <c r="E5" s="24" t="s">
        <v>146</v>
      </c>
      <c r="F5" s="5"/>
    </row>
    <row r="6" spans="1:6" ht="27.6" x14ac:dyDescent="0.25">
      <c r="A6" s="70" t="s">
        <v>193</v>
      </c>
      <c r="B6" s="68" t="s">
        <v>191</v>
      </c>
      <c r="C6" s="73">
        <v>0.06</v>
      </c>
      <c r="D6" s="70" t="s">
        <v>119</v>
      </c>
      <c r="E6" s="72" t="s">
        <v>190</v>
      </c>
      <c r="F6" s="5"/>
    </row>
    <row r="7" spans="1:6" ht="27.6" x14ac:dyDescent="0.25">
      <c r="A7" s="5" t="s">
        <v>192</v>
      </c>
      <c r="B7" s="6" t="s">
        <v>189</v>
      </c>
      <c r="C7" s="39">
        <f>340/0.05</f>
        <v>6800</v>
      </c>
      <c r="D7" s="5" t="s">
        <v>119</v>
      </c>
      <c r="E7" s="24" t="s">
        <v>194</v>
      </c>
      <c r="F7" s="5"/>
    </row>
    <row r="8" spans="1:6" ht="27.6" x14ac:dyDescent="0.25">
      <c r="A8" s="70" t="s">
        <v>91</v>
      </c>
      <c r="B8" s="70" t="s">
        <v>33</v>
      </c>
      <c r="C8" s="75">
        <v>0</v>
      </c>
      <c r="D8" s="70" t="s">
        <v>17</v>
      </c>
      <c r="E8" s="70" t="s">
        <v>188</v>
      </c>
      <c r="F8" s="5"/>
    </row>
    <row r="9" spans="1:6" ht="27.6" x14ac:dyDescent="0.25">
      <c r="A9" s="70" t="s">
        <v>92</v>
      </c>
      <c r="B9" s="70" t="s">
        <v>47</v>
      </c>
      <c r="C9" s="71">
        <v>786</v>
      </c>
      <c r="D9" s="70" t="s">
        <v>48</v>
      </c>
      <c r="E9" s="72" t="s">
        <v>187</v>
      </c>
      <c r="F9" s="5"/>
    </row>
    <row r="10" spans="1:6" ht="41.4" x14ac:dyDescent="0.25">
      <c r="A10" s="6" t="s">
        <v>88</v>
      </c>
      <c r="B10" s="6" t="s">
        <v>83</v>
      </c>
      <c r="C10" s="11">
        <v>0.9</v>
      </c>
      <c r="D10" s="6"/>
      <c r="E10" s="24" t="s">
        <v>84</v>
      </c>
      <c r="F10" s="5"/>
    </row>
    <row r="11" spans="1:6" ht="27.6" x14ac:dyDescent="0.25">
      <c r="A11" s="6" t="s">
        <v>102</v>
      </c>
      <c r="B11" s="6" t="s">
        <v>68</v>
      </c>
      <c r="C11" s="11">
        <v>7.0000000000000007E-2</v>
      </c>
      <c r="D11" s="6"/>
      <c r="E11" s="24" t="s">
        <v>23</v>
      </c>
      <c r="F11" s="5"/>
    </row>
    <row r="12" spans="1:6" ht="41.4" x14ac:dyDescent="0.25">
      <c r="A12" s="68" t="s">
        <v>176</v>
      </c>
      <c r="B12" s="68" t="s">
        <v>173</v>
      </c>
      <c r="C12" s="69">
        <f>0.75/100</f>
        <v>7.4999999999999997E-3</v>
      </c>
      <c r="D12" s="68" t="s">
        <v>177</v>
      </c>
      <c r="E12" s="72" t="s">
        <v>168</v>
      </c>
      <c r="F12" s="70" t="s">
        <v>185</v>
      </c>
    </row>
    <row r="13" spans="1:6" ht="27.6" x14ac:dyDescent="0.25">
      <c r="A13" s="68" t="s">
        <v>200</v>
      </c>
      <c r="B13" s="68" t="s">
        <v>171</v>
      </c>
      <c r="C13" s="71">
        <v>6E-10</v>
      </c>
      <c r="D13" s="68" t="s">
        <v>178</v>
      </c>
      <c r="E13" s="72"/>
      <c r="F13" s="70" t="s">
        <v>179</v>
      </c>
    </row>
    <row r="14" spans="1:6" ht="27.6" x14ac:dyDescent="0.25">
      <c r="A14" s="68" t="s">
        <v>175</v>
      </c>
      <c r="B14" s="68" t="s">
        <v>172</v>
      </c>
      <c r="C14" s="69">
        <v>0.89</v>
      </c>
      <c r="D14" s="68" t="s">
        <v>167</v>
      </c>
      <c r="E14" s="72" t="s">
        <v>168</v>
      </c>
      <c r="F14" s="70" t="s">
        <v>179</v>
      </c>
    </row>
    <row r="15" spans="1:6" ht="27.6" x14ac:dyDescent="0.25">
      <c r="A15" s="68" t="s">
        <v>174</v>
      </c>
      <c r="B15" s="68" t="s">
        <v>169</v>
      </c>
      <c r="C15" s="69">
        <v>0.89</v>
      </c>
      <c r="D15" s="68" t="s">
        <v>167</v>
      </c>
      <c r="E15" s="72" t="s">
        <v>168</v>
      </c>
      <c r="F15" s="70" t="s">
        <v>179</v>
      </c>
    </row>
    <row r="16" spans="1:6" ht="41.4" x14ac:dyDescent="0.25">
      <c r="A16" s="68" t="s">
        <v>180</v>
      </c>
      <c r="B16" s="68" t="s">
        <v>183</v>
      </c>
      <c r="C16" s="74">
        <f>0.8/10</f>
        <v>0.08</v>
      </c>
      <c r="D16" s="68" t="s">
        <v>181</v>
      </c>
      <c r="E16" s="72" t="s">
        <v>182</v>
      </c>
    </row>
    <row r="17" spans="1:6" ht="41.4" x14ac:dyDescent="0.25">
      <c r="A17" s="68" t="s">
        <v>165</v>
      </c>
      <c r="B17" s="68" t="s">
        <v>166</v>
      </c>
      <c r="C17" s="69">
        <v>0.22</v>
      </c>
      <c r="D17" s="68" t="s">
        <v>22</v>
      </c>
      <c r="E17" s="72" t="s">
        <v>184</v>
      </c>
    </row>
    <row r="18" spans="1:6" ht="27.6" x14ac:dyDescent="0.25">
      <c r="A18" s="68" t="s">
        <v>86</v>
      </c>
      <c r="B18" s="68" t="s">
        <v>34</v>
      </c>
      <c r="C18" s="69">
        <v>1.23</v>
      </c>
      <c r="D18" s="68" t="s">
        <v>56</v>
      </c>
      <c r="E18" s="72" t="s">
        <v>19</v>
      </c>
      <c r="F18" s="5"/>
    </row>
    <row r="19" spans="1:6" ht="27" customHeight="1" x14ac:dyDescent="0.25">
      <c r="A19" s="5" t="s">
        <v>93</v>
      </c>
      <c r="B19" s="5" t="s">
        <v>11</v>
      </c>
      <c r="C19" s="8">
        <v>96485.33212331</v>
      </c>
      <c r="D19" s="5" t="s">
        <v>12</v>
      </c>
      <c r="E19" s="5"/>
      <c r="F19" s="5"/>
    </row>
    <row r="20" spans="1:6" x14ac:dyDescent="0.25">
      <c r="A20" s="5" t="s">
        <v>163</v>
      </c>
      <c r="B20" s="5" t="s">
        <v>9</v>
      </c>
      <c r="C20" s="5">
        <v>8.3144720000000003</v>
      </c>
      <c r="D20" s="5" t="s">
        <v>10</v>
      </c>
      <c r="E20" s="5"/>
      <c r="F20" s="5"/>
    </row>
    <row r="21" spans="1:6" ht="16.2" x14ac:dyDescent="0.25">
      <c r="A21" s="5" t="s">
        <v>90</v>
      </c>
      <c r="B21" s="5" t="s">
        <v>43</v>
      </c>
      <c r="C21" s="9">
        <v>44.009500000000003</v>
      </c>
      <c r="D21" s="5" t="s">
        <v>29</v>
      </c>
      <c r="E21" s="5"/>
      <c r="F21" s="5"/>
    </row>
    <row r="22" spans="1:6" ht="16.2" x14ac:dyDescent="0.25">
      <c r="A22" s="6" t="s">
        <v>100</v>
      </c>
      <c r="B22" s="6" t="s">
        <v>75</v>
      </c>
      <c r="C22" s="9">
        <v>138.2055</v>
      </c>
      <c r="D22" s="5" t="s">
        <v>29</v>
      </c>
      <c r="E22" s="5"/>
      <c r="F22" s="5"/>
    </row>
    <row r="23" spans="1:6" ht="16.2" x14ac:dyDescent="0.25">
      <c r="A23" s="5" t="s">
        <v>98</v>
      </c>
      <c r="B23" s="6" t="s">
        <v>46</v>
      </c>
      <c r="C23" s="9">
        <v>31.998799999999999</v>
      </c>
      <c r="D23" s="5" t="s">
        <v>29</v>
      </c>
      <c r="E23" s="5"/>
      <c r="F23" s="5"/>
    </row>
    <row r="24" spans="1:6" x14ac:dyDescent="0.25">
      <c r="A24" s="5" t="s">
        <v>107</v>
      </c>
      <c r="B24" s="5" t="s">
        <v>44</v>
      </c>
      <c r="C24" s="9">
        <v>18.015799999999999</v>
      </c>
      <c r="D24" s="5" t="s">
        <v>29</v>
      </c>
      <c r="E24" s="5"/>
      <c r="F24" s="5"/>
    </row>
    <row r="25" spans="1:6" x14ac:dyDescent="0.25">
      <c r="A25" s="70" t="s">
        <v>195</v>
      </c>
      <c r="B25" s="70" t="s">
        <v>196</v>
      </c>
      <c r="C25" s="75">
        <v>41.05</v>
      </c>
      <c r="D25" s="70" t="s">
        <v>29</v>
      </c>
      <c r="E25" s="70" t="s">
        <v>186</v>
      </c>
      <c r="F25" s="5"/>
    </row>
    <row r="26" spans="1:6" ht="27.6" x14ac:dyDescent="0.25">
      <c r="A26" s="70" t="s">
        <v>197</v>
      </c>
      <c r="B26" s="70" t="s">
        <v>198</v>
      </c>
      <c r="C26" s="75">
        <v>341.91</v>
      </c>
      <c r="D26" s="70" t="s">
        <v>29</v>
      </c>
      <c r="E26" s="70" t="s">
        <v>199</v>
      </c>
      <c r="F26" s="5"/>
    </row>
    <row r="27" spans="1:6" x14ac:dyDescent="0.25">
      <c r="A27" s="5" t="s">
        <v>99</v>
      </c>
      <c r="B27" s="5" t="s">
        <v>15</v>
      </c>
      <c r="C27" s="8">
        <v>101325</v>
      </c>
      <c r="D27" s="5" t="s">
        <v>16</v>
      </c>
      <c r="E27" s="5"/>
      <c r="F27" s="5"/>
    </row>
    <row r="28" spans="1:6" ht="27.6" x14ac:dyDescent="0.25">
      <c r="A28" s="5" t="s">
        <v>112</v>
      </c>
      <c r="B28" s="5" t="s">
        <v>113</v>
      </c>
      <c r="C28" s="11">
        <f>350/365</f>
        <v>0.95890410958904104</v>
      </c>
      <c r="D28" s="5"/>
      <c r="E28" s="5"/>
      <c r="F28" s="5"/>
    </row>
    <row r="29" spans="1:6" ht="27.6" x14ac:dyDescent="0.25">
      <c r="A29" s="5" t="s">
        <v>117</v>
      </c>
      <c r="B29" s="5" t="s">
        <v>118</v>
      </c>
      <c r="C29" s="29">
        <v>0</v>
      </c>
      <c r="D29" s="5"/>
      <c r="E29" s="5"/>
      <c r="F29" s="5"/>
    </row>
    <row r="30" spans="1:6" ht="27.6" x14ac:dyDescent="0.25">
      <c r="A30" s="5" t="s">
        <v>114</v>
      </c>
      <c r="B30" s="5" t="s">
        <v>115</v>
      </c>
      <c r="C30" s="36">
        <v>10</v>
      </c>
      <c r="D30" s="5" t="s">
        <v>116</v>
      </c>
      <c r="E30" s="5"/>
      <c r="F30" s="5"/>
    </row>
    <row r="31" spans="1:6" ht="27.6" x14ac:dyDescent="0.25">
      <c r="A31" s="70" t="s">
        <v>109</v>
      </c>
      <c r="B31" s="70" t="s">
        <v>110</v>
      </c>
      <c r="C31" s="84">
        <v>2500</v>
      </c>
      <c r="D31" s="70" t="s">
        <v>111</v>
      </c>
      <c r="E31" s="70"/>
      <c r="F31" s="5"/>
    </row>
    <row r="32" spans="1:6" ht="27.6" x14ac:dyDescent="0.25">
      <c r="A32" s="5" t="s">
        <v>142</v>
      </c>
      <c r="B32" s="6" t="s">
        <v>143</v>
      </c>
      <c r="C32" s="35">
        <v>1</v>
      </c>
      <c r="D32" s="5" t="s">
        <v>116</v>
      </c>
      <c r="E32" s="5"/>
      <c r="F32" s="5"/>
    </row>
    <row r="33" spans="1:6" ht="27.6" x14ac:dyDescent="0.25">
      <c r="A33" s="6" t="s">
        <v>108</v>
      </c>
      <c r="B33" s="6" t="s">
        <v>77</v>
      </c>
      <c r="C33" s="11">
        <v>0.05</v>
      </c>
      <c r="D33" s="6"/>
      <c r="E33" s="24"/>
      <c r="F33" s="5"/>
    </row>
    <row r="34" spans="1:6" ht="27.6" x14ac:dyDescent="0.25">
      <c r="A34" s="68" t="s">
        <v>106</v>
      </c>
      <c r="B34" s="68" t="s">
        <v>76</v>
      </c>
      <c r="C34" s="74">
        <v>2500</v>
      </c>
      <c r="D34" s="68" t="s">
        <v>132</v>
      </c>
      <c r="E34" s="72"/>
      <c r="F34" s="5"/>
    </row>
    <row r="35" spans="1:6" ht="27.6" x14ac:dyDescent="0.25">
      <c r="A35" s="68" t="s">
        <v>101</v>
      </c>
      <c r="B35" s="68" t="s">
        <v>37</v>
      </c>
      <c r="C35" s="68">
        <v>10</v>
      </c>
      <c r="D35" s="68" t="s">
        <v>21</v>
      </c>
      <c r="E35" s="72" t="s">
        <v>20</v>
      </c>
      <c r="F35" s="5"/>
    </row>
    <row r="36" spans="1:6" ht="27.6" x14ac:dyDescent="0.25">
      <c r="A36" s="68" t="s">
        <v>87</v>
      </c>
      <c r="B36" s="68" t="s">
        <v>35</v>
      </c>
      <c r="C36" s="68">
        <v>0.247</v>
      </c>
      <c r="D36" s="68" t="s">
        <v>18</v>
      </c>
      <c r="E36" s="72" t="s">
        <v>20</v>
      </c>
      <c r="F36" s="5"/>
    </row>
    <row r="37" spans="1:6" ht="27.6" x14ac:dyDescent="0.25">
      <c r="A37" s="68" t="s">
        <v>85</v>
      </c>
      <c r="B37" s="68" t="s">
        <v>36</v>
      </c>
      <c r="C37" s="68">
        <f>0.041*1000</f>
        <v>41</v>
      </c>
      <c r="D37" s="68" t="s">
        <v>141</v>
      </c>
      <c r="E37" s="72" t="s">
        <v>20</v>
      </c>
      <c r="F37" s="5"/>
    </row>
    <row r="38" spans="1:6" ht="27.6" x14ac:dyDescent="0.25">
      <c r="A38" s="6" t="s">
        <v>103</v>
      </c>
      <c r="B38" s="6" t="s">
        <v>38</v>
      </c>
      <c r="C38" s="10">
        <v>313.14999999999998</v>
      </c>
      <c r="D38" s="6" t="s">
        <v>14</v>
      </c>
      <c r="E38" s="24" t="s">
        <v>23</v>
      </c>
      <c r="F38" s="5"/>
    </row>
    <row r="39" spans="1:6" x14ac:dyDescent="0.25">
      <c r="A39" s="5" t="s">
        <v>104</v>
      </c>
      <c r="B39" s="5" t="s">
        <v>140</v>
      </c>
      <c r="C39" s="10">
        <v>313.14999999999998</v>
      </c>
      <c r="D39" s="5" t="s">
        <v>14</v>
      </c>
      <c r="E39" s="5"/>
      <c r="F39" s="5"/>
    </row>
    <row r="40" spans="1:6" ht="14.4" x14ac:dyDescent="0.25">
      <c r="A40" s="16" t="s">
        <v>94</v>
      </c>
      <c r="B40" s="6" t="s">
        <v>39</v>
      </c>
      <c r="C40" s="16">
        <v>273.14999999999998</v>
      </c>
      <c r="D40" s="16" t="s">
        <v>14</v>
      </c>
      <c r="E40" s="5"/>
      <c r="F40" s="5"/>
    </row>
    <row r="41" spans="1:6" x14ac:dyDescent="0.25">
      <c r="A41" s="5" t="s">
        <v>95</v>
      </c>
      <c r="B41" s="6" t="s">
        <v>40</v>
      </c>
      <c r="C41" s="8">
        <f>3600</f>
        <v>3600</v>
      </c>
      <c r="D41" s="5" t="s">
        <v>27</v>
      </c>
      <c r="E41" s="5"/>
      <c r="F41" s="5"/>
    </row>
    <row r="42" spans="1:6" ht="27.6" x14ac:dyDescent="0.25">
      <c r="A42" s="5" t="s">
        <v>96</v>
      </c>
      <c r="B42" s="6" t="s">
        <v>42</v>
      </c>
      <c r="C42" s="8">
        <f>1055870</f>
        <v>1055870</v>
      </c>
      <c r="D42" s="5" t="s">
        <v>28</v>
      </c>
      <c r="E42" s="5"/>
      <c r="F42" s="5"/>
    </row>
    <row r="43" spans="1:6" ht="27.6" x14ac:dyDescent="0.25">
      <c r="A43" s="5" t="s">
        <v>97</v>
      </c>
      <c r="B43" s="6" t="s">
        <v>41</v>
      </c>
      <c r="C43" s="8">
        <f>kJ_per_mmBtu/kJ_per_kWh</f>
        <v>293.29722222222222</v>
      </c>
      <c r="D43" s="5" t="s">
        <v>31</v>
      </c>
      <c r="E43" s="5"/>
    </row>
    <row r="44" spans="1:6" x14ac:dyDescent="0.25">
      <c r="A44" s="4"/>
    </row>
    <row r="45" spans="1:6" x14ac:dyDescent="0.25">
      <c r="A45" s="4"/>
    </row>
    <row r="46" spans="1:6" x14ac:dyDescent="0.25">
      <c r="A46" s="4"/>
    </row>
    <row r="47" spans="1:6" x14ac:dyDescent="0.25">
      <c r="A47" s="4"/>
    </row>
    <row r="48" spans="1:6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5"/>
      <c r="B53" s="8"/>
      <c r="C53" s="5"/>
      <c r="D53" s="5"/>
    </row>
    <row r="54" spans="1:4" x14ac:dyDescent="0.25">
      <c r="A54" s="5"/>
      <c r="B54" s="9"/>
      <c r="C54" s="5"/>
      <c r="D54" s="5"/>
    </row>
    <row r="55" spans="1:4" x14ac:dyDescent="0.25">
      <c r="B55" s="6"/>
      <c r="C55" s="6"/>
    </row>
  </sheetData>
  <hyperlinks>
    <hyperlink ref="E11" r:id="rId1" xr:uid="{2C690385-64CC-452A-875C-728C51C7F159}"/>
    <hyperlink ref="E36" r:id="rId2" xr:uid="{214EAADB-058E-4DBA-880F-727E021F35A8}"/>
    <hyperlink ref="E18" r:id="rId3" xr:uid="{C621EBC1-D2D7-4FBE-8E4B-BC10DF4928D4}"/>
    <hyperlink ref="E17" r:id="rId4" display="Chemours 2024; Nafion N117" xr:uid="{C255EE5C-FBDD-4176-A67A-8F3FD3120E2E}"/>
    <hyperlink ref="E38" r:id="rId5" xr:uid="{1D582B49-C9A3-4464-96C4-7694D2F23D8F}"/>
    <hyperlink ref="E3" r:id="rId6" display="IEA, average for power gen" xr:uid="{781250D3-74FF-4AAC-876D-B170419E0026}"/>
    <hyperlink ref="E4" r:id="rId7" display="Seider et al: $0.27/m3; Alerte et al: $0.0145/kg" xr:uid="{428FA07D-32E1-4E39-B95F-F3FC1495D338}"/>
    <hyperlink ref="E10" r:id="rId8" display="Brandl et al" xr:uid="{EF89FF7B-65AC-4D83-8890-C13EE030FEED}"/>
    <hyperlink ref="E5" r:id="rId9" location="fig2" display="Badgett, Cortright (J Cleaner Prod 2022)" xr:uid="{13C42B5A-CBC8-4B1A-A9AB-3BCDE19ECC9C}"/>
    <hyperlink ref="E15" r:id="rId10" xr:uid="{D0441B06-C472-48BE-94F3-D46ED457AEEA}"/>
    <hyperlink ref="E14" r:id="rId11" xr:uid="{8B2FE28B-B8A6-4658-BE2B-A2D2A2E7068A}"/>
    <hyperlink ref="E12" r:id="rId12" xr:uid="{3CE65C60-DA75-4595-8CAA-88F2C9A358C9}"/>
    <hyperlink ref="E16" r:id="rId13" xr:uid="{B2106B39-835F-40BC-BDFE-DE3B87B90F64}"/>
    <hyperlink ref="E9" r:id="rId14" xr:uid="{2792E3FF-B7C4-4474-9807-0DE4735F4ACD}"/>
    <hyperlink ref="E6" r:id="rId15" xr:uid="{5655458C-49A7-4C0B-8608-74FBB0552E76}"/>
    <hyperlink ref="E7" r:id="rId16" display="Sigma-Aldrich; acetonitrile" xr:uid="{57133E53-0E09-45A4-B177-CDDD279FC5F5}"/>
  </hyperlinks>
  <pageMargins left="0.7" right="0.7" top="0.75" bottom="0.75" header="0.3" footer="0.3"/>
  <pageSetup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J1" activePane="topRight" state="frozen"/>
      <selection pane="topRight" activeCell="O4" sqref="O4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42" customWidth="1"/>
    <col min="8" max="8" width="17.6640625" style="4" bestFit="1" customWidth="1"/>
    <col min="9" max="9" width="17.6640625" style="4" customWidth="1"/>
    <col min="10" max="10" width="16.44140625" style="4" bestFit="1" customWidth="1"/>
    <col min="11" max="11" width="13.33203125" style="4" bestFit="1" customWidth="1"/>
    <col min="12" max="12" width="15.109375" style="4" bestFit="1" customWidth="1"/>
    <col min="13" max="15" width="15.109375" style="4" customWidth="1"/>
    <col min="16" max="16" width="15.6640625" style="4" customWidth="1"/>
    <col min="17" max="17" width="20.88671875" style="43" customWidth="1"/>
    <col min="18" max="16384" width="9.109375" style="4"/>
  </cols>
  <sheetData>
    <row r="1" spans="1:17" ht="57" x14ac:dyDescent="0.25">
      <c r="A1" s="7" t="s">
        <v>50</v>
      </c>
      <c r="B1" s="7" t="s">
        <v>65</v>
      </c>
      <c r="C1" s="7" t="s">
        <v>51</v>
      </c>
      <c r="D1" s="7" t="s">
        <v>59</v>
      </c>
      <c r="E1" s="7" t="s">
        <v>60</v>
      </c>
      <c r="F1" s="7" t="s">
        <v>52</v>
      </c>
      <c r="G1" s="28" t="s">
        <v>69</v>
      </c>
      <c r="H1" s="7" t="s">
        <v>63</v>
      </c>
      <c r="I1" s="7" t="s">
        <v>64</v>
      </c>
      <c r="J1" s="7" t="s">
        <v>53</v>
      </c>
      <c r="K1" s="7" t="s">
        <v>54</v>
      </c>
      <c r="L1" s="7" t="s">
        <v>61</v>
      </c>
      <c r="M1" s="7" t="s">
        <v>74</v>
      </c>
      <c r="N1" s="7" t="s">
        <v>79</v>
      </c>
      <c r="O1" s="7" t="s">
        <v>80</v>
      </c>
      <c r="P1" s="12" t="s">
        <v>24</v>
      </c>
      <c r="Q1" s="12" t="s">
        <v>62</v>
      </c>
    </row>
    <row r="2" spans="1:17" ht="16.2" x14ac:dyDescent="0.25">
      <c r="A2" s="5" t="s">
        <v>58</v>
      </c>
      <c r="B2" s="5" t="s">
        <v>66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27.6" x14ac:dyDescent="0.25">
      <c r="A3" s="5" t="s">
        <v>49</v>
      </c>
      <c r="B3" s="5" t="s">
        <v>66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7">
        <v>-0.44</v>
      </c>
      <c r="K3" s="67">
        <f>-0.23*1000</f>
        <v>-230</v>
      </c>
      <c r="L3" s="67">
        <v>10</v>
      </c>
      <c r="M3" s="79">
        <v>0.8</v>
      </c>
      <c r="N3" s="76">
        <v>0.7</v>
      </c>
      <c r="O3" s="77">
        <v>150</v>
      </c>
      <c r="P3" s="24" t="s">
        <v>20</v>
      </c>
      <c r="Q3" s="40" t="s">
        <v>164</v>
      </c>
    </row>
    <row r="4" spans="1:17" ht="28.8" x14ac:dyDescent="0.25">
      <c r="A4" s="6" t="s">
        <v>201</v>
      </c>
      <c r="B4" s="5" t="s">
        <v>202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7">
        <v>-0.71199999999999997</v>
      </c>
      <c r="K4" s="67">
        <v>-416</v>
      </c>
      <c r="L4" s="67">
        <v>10</v>
      </c>
      <c r="M4" s="79">
        <v>0.9</v>
      </c>
      <c r="N4" s="76">
        <v>0.7</v>
      </c>
      <c r="O4" s="77">
        <v>100</v>
      </c>
      <c r="P4" s="5" t="s">
        <v>20</v>
      </c>
      <c r="Q4" s="78" t="s">
        <v>203</v>
      </c>
    </row>
    <row r="5" spans="1:17" s="41" customFormat="1" ht="55.2" x14ac:dyDescent="0.25">
      <c r="A5" s="26" t="s">
        <v>24</v>
      </c>
      <c r="B5" s="27" t="s">
        <v>67</v>
      </c>
      <c r="C5" s="27" t="s">
        <v>67</v>
      </c>
      <c r="D5" s="24" t="s">
        <v>147</v>
      </c>
      <c r="E5" s="27" t="s">
        <v>67</v>
      </c>
      <c r="F5" s="24" t="s">
        <v>55</v>
      </c>
      <c r="G5" s="27" t="s">
        <v>72</v>
      </c>
      <c r="H5" s="24" t="s">
        <v>148</v>
      </c>
      <c r="I5" s="24" t="s">
        <v>147</v>
      </c>
      <c r="J5" s="27" t="s">
        <v>57</v>
      </c>
      <c r="K5" s="27" t="s">
        <v>57</v>
      </c>
      <c r="L5" s="27" t="s">
        <v>57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09375" defaultRowHeight="14.4" x14ac:dyDescent="0.3"/>
  <cols>
    <col min="1" max="1" width="28.33203125" style="14" bestFit="1" customWidth="1"/>
    <col min="2" max="2" width="19.5546875" style="34" bestFit="1" customWidth="1"/>
    <col min="3" max="3" width="23.6640625" style="3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3">
      <c r="A2" s="17"/>
      <c r="B2" s="32"/>
      <c r="C2" s="21"/>
      <c r="D2" s="22"/>
    </row>
    <row r="3" spans="1:6" ht="75" customHeight="1" x14ac:dyDescent="0.3">
      <c r="A3" s="18" t="s">
        <v>5</v>
      </c>
      <c r="B3" s="32">
        <v>2.4E-2</v>
      </c>
      <c r="C3" s="21">
        <v>50</v>
      </c>
      <c r="D3" s="30" t="s">
        <v>149</v>
      </c>
      <c r="E3" s="81" t="s">
        <v>151</v>
      </c>
      <c r="F3" s="80" t="s">
        <v>152</v>
      </c>
    </row>
    <row r="4" spans="1:6" ht="27.6" x14ac:dyDescent="0.3">
      <c r="A4" s="18" t="s">
        <v>82</v>
      </c>
      <c r="B4" s="32">
        <v>2.4E-2</v>
      </c>
      <c r="C4" s="21">
        <v>20</v>
      </c>
      <c r="D4" s="30" t="s">
        <v>149</v>
      </c>
      <c r="E4" s="81"/>
      <c r="F4" s="80"/>
    </row>
    <row r="5" spans="1:6" ht="27.6" x14ac:dyDescent="0.3">
      <c r="A5" s="18" t="s">
        <v>81</v>
      </c>
      <c r="B5" s="32">
        <v>4.2000000000000003E-2</v>
      </c>
      <c r="C5" s="21"/>
      <c r="D5" s="30" t="s">
        <v>150</v>
      </c>
    </row>
    <row r="6" spans="1:6" ht="55.2" x14ac:dyDescent="0.3">
      <c r="A6" s="18" t="s">
        <v>2</v>
      </c>
      <c r="B6" s="32">
        <f>16.05/100</f>
        <v>0.1605</v>
      </c>
      <c r="C6" s="44">
        <f>[1]Electric!$G$557/kWh_per_mmBtu</f>
        <v>230.93061430996579</v>
      </c>
      <c r="D6" s="30" t="s">
        <v>153</v>
      </c>
    </row>
    <row r="7" spans="1:6" ht="55.2" x14ac:dyDescent="0.3">
      <c r="A7" s="18" t="s">
        <v>1</v>
      </c>
      <c r="B7" s="32">
        <f>7.62/100</f>
        <v>7.6200000000000004E-2</v>
      </c>
      <c r="C7" s="44" cm="1">
        <f t="array" ref="C7">[1]!Electricity_upstream_fuel_CO2/kWh_per_mmBtu</f>
        <v>414.10433834299573</v>
      </c>
      <c r="D7" s="30" t="s">
        <v>153</v>
      </c>
    </row>
    <row r="8" spans="1:6" ht="69" x14ac:dyDescent="0.3">
      <c r="A8" s="18" t="s">
        <v>3</v>
      </c>
      <c r="B8" s="32">
        <f>2.22/kWh_per_mmBtu</f>
        <v>7.5691136219420956E-3</v>
      </c>
      <c r="C8" s="44">
        <f>70.66/1000*kJ_per_kWh</f>
        <v>254.376</v>
      </c>
      <c r="D8" s="19" t="s">
        <v>154</v>
      </c>
    </row>
    <row r="9" spans="1:6" ht="27.6" x14ac:dyDescent="0.3">
      <c r="A9" s="18" t="s">
        <v>45</v>
      </c>
      <c r="B9" s="32">
        <v>0.03</v>
      </c>
      <c r="C9" s="45"/>
      <c r="D9" s="38" t="s">
        <v>20</v>
      </c>
    </row>
    <row r="10" spans="1:6" x14ac:dyDescent="0.3">
      <c r="A10" s="18"/>
      <c r="B10" s="32"/>
      <c r="C10" s="45"/>
      <c r="D10" s="37"/>
    </row>
    <row r="11" spans="1:6" x14ac:dyDescent="0.3">
      <c r="A11" s="18" t="s">
        <v>25</v>
      </c>
      <c r="B11" s="32">
        <f>B7</f>
        <v>7.6200000000000004E-2</v>
      </c>
      <c r="C11" s="45">
        <f>C7</f>
        <v>414.10433834299573</v>
      </c>
      <c r="D11" s="37"/>
    </row>
    <row r="12" spans="1:6" x14ac:dyDescent="0.3">
      <c r="A12" s="20" t="s">
        <v>26</v>
      </c>
      <c r="B12" s="33">
        <f>B8</f>
        <v>7.5691136219420956E-3</v>
      </c>
      <c r="C12" s="45">
        <f>C8</f>
        <v>254.376</v>
      </c>
      <c r="D12" s="37"/>
    </row>
    <row r="13" spans="1:6" x14ac:dyDescent="0.3">
      <c r="A13" s="20"/>
      <c r="B13" s="33"/>
      <c r="C13" s="37"/>
      <c r="D13" s="37"/>
    </row>
    <row r="14" spans="1:6" x14ac:dyDescent="0.3">
      <c r="A14" s="18" t="s">
        <v>73</v>
      </c>
      <c r="B14" s="32">
        <v>200</v>
      </c>
      <c r="C14" s="37"/>
      <c r="D14" s="38" t="s">
        <v>120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6640625" defaultRowHeight="13.8" x14ac:dyDescent="0.25"/>
  <cols>
    <col min="1" max="1" width="19.109375" style="49" bestFit="1" customWidth="1"/>
    <col min="2" max="2" width="20.88671875" style="49" bestFit="1" customWidth="1"/>
    <col min="3" max="3" width="19.109375" style="49" bestFit="1" customWidth="1"/>
    <col min="4" max="4" width="16" style="49" bestFit="1" customWidth="1"/>
    <col min="5" max="5" width="18" style="49" bestFit="1" customWidth="1"/>
    <col min="6" max="6" width="16" style="49" bestFit="1" customWidth="1"/>
    <col min="7" max="7" width="13.6640625" style="49"/>
    <col min="8" max="8" width="14.6640625" style="49" bestFit="1" customWidth="1"/>
    <col min="9" max="12" width="14.6640625" style="50" bestFit="1" customWidth="1"/>
    <col min="13" max="13" width="15.44140625" style="50" bestFit="1" customWidth="1"/>
    <col min="14" max="15" width="14.6640625" style="50" bestFit="1" customWidth="1"/>
    <col min="16" max="16" width="21" style="50" bestFit="1" customWidth="1"/>
    <col min="17" max="25" width="13.6640625" style="49"/>
    <col min="26" max="26" width="18.44140625" style="49" bestFit="1" customWidth="1"/>
    <col min="27" max="16384" width="13.6640625" style="49"/>
  </cols>
  <sheetData>
    <row r="1" spans="1:12" x14ac:dyDescent="0.25">
      <c r="A1" s="46" t="s">
        <v>124</v>
      </c>
      <c r="B1" s="47"/>
      <c r="C1" s="48"/>
      <c r="D1" s="48"/>
      <c r="E1" s="49" t="s">
        <v>161</v>
      </c>
    </row>
    <row r="2" spans="1:12" s="50" customFormat="1" ht="16.2" x14ac:dyDescent="0.25">
      <c r="A2" s="46" t="s">
        <v>155</v>
      </c>
      <c r="B2" s="47"/>
      <c r="C2" s="48"/>
      <c r="D2" s="48"/>
      <c r="E2" s="66" t="s">
        <v>162</v>
      </c>
      <c r="F2" s="49"/>
    </row>
    <row r="3" spans="1:12" s="50" customFormat="1" x14ac:dyDescent="0.25">
      <c r="A3" s="49"/>
      <c r="C3" s="49"/>
      <c r="D3" s="49"/>
      <c r="F3" s="49"/>
    </row>
    <row r="4" spans="1:12" x14ac:dyDescent="0.25">
      <c r="A4" s="51" t="s">
        <v>6</v>
      </c>
      <c r="B4" s="51" t="s">
        <v>7</v>
      </c>
      <c r="C4" s="51" t="s">
        <v>8</v>
      </c>
      <c r="D4" s="52" t="s">
        <v>128</v>
      </c>
    </row>
    <row r="5" spans="1:12" x14ac:dyDescent="0.25">
      <c r="A5" s="53" t="s">
        <v>9</v>
      </c>
      <c r="B5" s="53">
        <v>8.3144720000000003</v>
      </c>
      <c r="C5" s="53" t="s">
        <v>10</v>
      </c>
      <c r="D5" s="53"/>
    </row>
    <row r="6" spans="1:12" ht="15.6" x14ac:dyDescent="0.25">
      <c r="A6" s="54" t="s">
        <v>11</v>
      </c>
      <c r="B6" s="54">
        <v>96485.33212331</v>
      </c>
      <c r="C6" s="54" t="s">
        <v>12</v>
      </c>
      <c r="D6" s="54"/>
    </row>
    <row r="7" spans="1:12" s="50" customFormat="1" x14ac:dyDescent="0.25">
      <c r="A7" s="53" t="s">
        <v>13</v>
      </c>
      <c r="B7" s="53">
        <v>273.14999999999998</v>
      </c>
      <c r="C7" s="53" t="s">
        <v>14</v>
      </c>
      <c r="D7" s="53"/>
      <c r="E7" s="49"/>
      <c r="F7" s="49"/>
    </row>
    <row r="8" spans="1:12" s="50" customFormat="1" x14ac:dyDescent="0.25">
      <c r="A8" s="54" t="s">
        <v>15</v>
      </c>
      <c r="B8" s="54">
        <v>101325</v>
      </c>
      <c r="C8" s="54" t="s">
        <v>16</v>
      </c>
      <c r="D8" s="54"/>
      <c r="E8" s="49"/>
      <c r="F8" s="49"/>
    </row>
    <row r="9" spans="1:12" s="50" customFormat="1" x14ac:dyDescent="0.25">
      <c r="A9" s="53" t="s">
        <v>156</v>
      </c>
      <c r="B9" s="53">
        <v>273.14999999999998</v>
      </c>
      <c r="C9" s="53" t="s">
        <v>14</v>
      </c>
      <c r="D9" s="53"/>
      <c r="E9" s="49"/>
      <c r="F9" s="49"/>
      <c r="L9" s="49"/>
    </row>
    <row r="10" spans="1:12" s="50" customFormat="1" x14ac:dyDescent="0.25">
      <c r="A10" s="54" t="s">
        <v>129</v>
      </c>
      <c r="B10" s="54">
        <f>1/60/(100^3)*P/(R_*B7+20)</f>
        <v>7.3709198831561756E-7</v>
      </c>
      <c r="C10" s="54" t="s">
        <v>125</v>
      </c>
      <c r="D10" s="54"/>
      <c r="E10" s="49"/>
      <c r="F10" s="49"/>
      <c r="L10" s="49"/>
    </row>
    <row r="11" spans="1:12" s="50" customFormat="1" x14ac:dyDescent="0.25">
      <c r="A11" s="53" t="s">
        <v>125</v>
      </c>
      <c r="B11" s="53">
        <f>1/60/(100^3)*P/(R_*B7)</f>
        <v>7.4358305104930494E-7</v>
      </c>
      <c r="C11" s="53" t="s">
        <v>125</v>
      </c>
      <c r="D11" s="53"/>
      <c r="E11" s="49"/>
      <c r="F11" s="49"/>
      <c r="G11" s="49"/>
    </row>
    <row r="12" spans="1:12" s="50" customFormat="1" ht="15.6" x14ac:dyDescent="0.25">
      <c r="A12" s="54" t="s">
        <v>126</v>
      </c>
      <c r="B12" s="54">
        <f>1/(1000*2*F)</f>
        <v>5.182134828131088E-9</v>
      </c>
      <c r="C12" s="54" t="s">
        <v>127</v>
      </c>
      <c r="D12" s="54"/>
      <c r="E12" s="49"/>
      <c r="F12" s="49"/>
      <c r="G12" s="49"/>
    </row>
    <row r="13" spans="1:12" s="50" customFormat="1" x14ac:dyDescent="0.25">
      <c r="A13" s="49"/>
      <c r="C13" s="49"/>
      <c r="D13" s="49"/>
      <c r="E13" s="49"/>
      <c r="F13" s="49"/>
      <c r="G13" s="49"/>
    </row>
    <row r="14" spans="1:12" x14ac:dyDescent="0.25">
      <c r="B14" s="50"/>
    </row>
    <row r="17" spans="1:16" x14ac:dyDescent="0.25">
      <c r="A17" s="83" t="s">
        <v>130</v>
      </c>
      <c r="B17" s="83"/>
      <c r="C17" s="83"/>
      <c r="D17" s="83"/>
      <c r="E17" s="83"/>
      <c r="F17" s="83"/>
      <c r="H17" s="83" t="s">
        <v>131</v>
      </c>
      <c r="I17" s="83"/>
      <c r="J17" s="83"/>
      <c r="K17" s="83"/>
      <c r="L17" s="83"/>
      <c r="M17" s="83"/>
      <c r="N17" s="83"/>
      <c r="O17" s="83"/>
      <c r="P17" s="83"/>
    </row>
    <row r="18" spans="1:16" x14ac:dyDescent="0.25">
      <c r="A18" s="82" t="s">
        <v>121</v>
      </c>
      <c r="B18" s="82"/>
      <c r="C18" s="82" t="s">
        <v>122</v>
      </c>
      <c r="D18" s="82"/>
      <c r="E18" s="82" t="s">
        <v>123</v>
      </c>
      <c r="F18" s="82"/>
      <c r="G18" s="56"/>
      <c r="H18" s="82" t="s">
        <v>121</v>
      </c>
      <c r="I18" s="82"/>
      <c r="J18" s="82"/>
      <c r="K18" s="82" t="s">
        <v>122</v>
      </c>
      <c r="L18" s="82"/>
      <c r="M18" s="82"/>
      <c r="N18" s="82" t="s">
        <v>123</v>
      </c>
      <c r="O18" s="82"/>
      <c r="P18" s="82"/>
    </row>
    <row r="19" spans="1:16" ht="16.2" x14ac:dyDescent="0.35">
      <c r="A19" s="55" t="s">
        <v>157</v>
      </c>
      <c r="B19" s="55" t="s">
        <v>158</v>
      </c>
      <c r="C19" s="55" t="s">
        <v>157</v>
      </c>
      <c r="D19" s="55" t="s">
        <v>158</v>
      </c>
      <c r="E19" s="55" t="s">
        <v>157</v>
      </c>
      <c r="F19" s="55" t="s">
        <v>158</v>
      </c>
      <c r="G19" s="56"/>
      <c r="H19" s="57" t="s">
        <v>158</v>
      </c>
      <c r="I19" s="57" t="s">
        <v>159</v>
      </c>
      <c r="J19" s="58" t="s">
        <v>160</v>
      </c>
      <c r="K19" s="57" t="s">
        <v>158</v>
      </c>
      <c r="L19" s="57" t="s">
        <v>159</v>
      </c>
      <c r="M19" s="58" t="s">
        <v>160</v>
      </c>
      <c r="N19" s="57" t="s">
        <v>158</v>
      </c>
      <c r="O19" s="57" t="s">
        <v>159</v>
      </c>
      <c r="P19" s="58" t="s">
        <v>160</v>
      </c>
    </row>
    <row r="20" spans="1:16" x14ac:dyDescent="0.25">
      <c r="A20" s="59">
        <v>-51.5244564886654</v>
      </c>
      <c r="B20" s="59">
        <v>96.069921944646296</v>
      </c>
      <c r="C20" s="59">
        <v>-270.69144156650799</v>
      </c>
      <c r="D20" s="59">
        <v>95.274625944703203</v>
      </c>
      <c r="E20" s="59">
        <v>-100.20956778631199</v>
      </c>
      <c r="F20" s="59">
        <v>95.562695969348596</v>
      </c>
      <c r="H20" s="60">
        <f t="shared" ref="H20:H58" si="0">B20/100</f>
        <v>0.96069921944646297</v>
      </c>
      <c r="I20" s="60">
        <f t="shared" ref="I20:I58" si="1">(-A20*H20*mol_s_per_mA/mol_s_per_sccm)/15</f>
        <v>2.2997934048565084E-2</v>
      </c>
      <c r="J20" s="60">
        <f t="shared" ref="J20:J41" si="2">0.9607-H20</f>
        <v>7.805535370275507E-7</v>
      </c>
      <c r="K20" s="61">
        <f t="shared" ref="K20:K47" si="3">D20/100</f>
        <v>0.95274625944703206</v>
      </c>
      <c r="L20" s="61">
        <f t="shared" ref="L20:L47" si="4">(-C20*K20*mol_s_per_mA/mol_s_per_sccm)/10</f>
        <v>0.17973431608477702</v>
      </c>
      <c r="M20" s="61">
        <f t="shared" ref="M20:M41" si="5">0.9607-K20</f>
        <v>7.9537405529679361E-3</v>
      </c>
      <c r="N20" s="61">
        <f t="shared" ref="N20:N31" si="6">F20/100</f>
        <v>0.95562695969348599</v>
      </c>
      <c r="O20" s="61">
        <f t="shared" ref="O20:O31" si="7">(-E20*N20*mol_s_per_mA/mol_s_per_sccm)/5</f>
        <v>0.13347711284619851</v>
      </c>
      <c r="P20" s="61">
        <f t="shared" ref="P20:P31" si="8">0.9607-N20</f>
        <v>5.0730403065140095E-3</v>
      </c>
    </row>
    <row r="21" spans="1:16" x14ac:dyDescent="0.25">
      <c r="A21" s="59">
        <v>-89.797974315320403</v>
      </c>
      <c r="B21" s="59">
        <v>96.042029369108704</v>
      </c>
      <c r="C21" s="59">
        <v>-308.956377062228</v>
      </c>
      <c r="D21" s="59">
        <v>95.0947545921981</v>
      </c>
      <c r="E21" s="59">
        <v>-138.476342352947</v>
      </c>
      <c r="F21" s="59">
        <v>95.415391497622196</v>
      </c>
      <c r="H21" s="60">
        <f t="shared" si="0"/>
        <v>0.96042029369108706</v>
      </c>
      <c r="I21" s="60">
        <f>(-A21*H21*mol_s_per_mA/mol_s_per_sccm)/15</f>
        <v>4.0069676396611777E-2</v>
      </c>
      <c r="J21" s="60">
        <f t="shared" si="2"/>
        <v>2.7970630891294146E-4</v>
      </c>
      <c r="K21" s="61">
        <f t="shared" si="3"/>
        <v>0.95094754592198105</v>
      </c>
      <c r="L21" s="61">
        <f t="shared" si="4"/>
        <v>0.20475426268967606</v>
      </c>
      <c r="M21" s="61">
        <f t="shared" si="5"/>
        <v>9.7524540780189461E-3</v>
      </c>
      <c r="N21" s="61">
        <f t="shared" si="6"/>
        <v>0.95415391497622193</v>
      </c>
      <c r="O21" s="61">
        <f t="shared" si="7"/>
        <v>0.18416336519532248</v>
      </c>
      <c r="P21" s="61">
        <f t="shared" si="8"/>
        <v>6.5460850237780699E-3</v>
      </c>
    </row>
    <row r="22" spans="1:16" x14ac:dyDescent="0.25">
      <c r="A22" s="59">
        <v>-128.06720097650799</v>
      </c>
      <c r="B22" s="59">
        <v>95.938147405087406</v>
      </c>
      <c r="C22" s="59">
        <v>-347.224990699778</v>
      </c>
      <c r="D22" s="59">
        <v>94.980017001250502</v>
      </c>
      <c r="E22" s="59">
        <v>-176.73943877775201</v>
      </c>
      <c r="F22" s="59">
        <v>95.202953264338404</v>
      </c>
      <c r="H22" s="60">
        <f t="shared" si="0"/>
        <v>0.95938147405087404</v>
      </c>
      <c r="I22" s="60">
        <f t="shared" si="1"/>
        <v>5.7084370034302737E-2</v>
      </c>
      <c r="J22" s="60">
        <f t="shared" si="2"/>
        <v>1.3185259491259593E-3</v>
      </c>
      <c r="K22" s="61">
        <f t="shared" si="3"/>
        <v>0.94980017001250505</v>
      </c>
      <c r="L22" s="61">
        <f t="shared" si="4"/>
        <v>0.22983832294016246</v>
      </c>
      <c r="M22" s="61">
        <f t="shared" si="5"/>
        <v>1.0899829987494947E-2</v>
      </c>
      <c r="N22" s="61">
        <f t="shared" si="6"/>
        <v>0.95202953264338408</v>
      </c>
      <c r="O22" s="61">
        <f t="shared" si="7"/>
        <v>0.23452714358904414</v>
      </c>
      <c r="P22" s="61">
        <f t="shared" si="8"/>
        <v>8.6704673566159185E-3</v>
      </c>
    </row>
    <row r="23" spans="1:16" x14ac:dyDescent="0.25">
      <c r="A23" s="59">
        <v>-166.34194485043901</v>
      </c>
      <c r="B23" s="59">
        <v>95.931966083402301</v>
      </c>
      <c r="C23" s="59">
        <v>-385.49483038460301</v>
      </c>
      <c r="D23" s="59">
        <v>94.886990664155405</v>
      </c>
      <c r="E23" s="59">
        <v>-214.99701798981499</v>
      </c>
      <c r="F23" s="59">
        <v>94.892814388718193</v>
      </c>
      <c r="H23" s="60">
        <f t="shared" si="0"/>
        <v>0.95931966083402298</v>
      </c>
      <c r="I23" s="60">
        <f t="shared" si="1"/>
        <v>7.4140086301005395E-2</v>
      </c>
      <c r="J23" s="60">
        <f t="shared" si="2"/>
        <v>1.3803391659770181E-3</v>
      </c>
      <c r="K23" s="61">
        <f t="shared" si="3"/>
        <v>0.94886990664155402</v>
      </c>
      <c r="L23" s="61">
        <f t="shared" si="4"/>
        <v>0.25492032163776229</v>
      </c>
      <c r="M23" s="61">
        <f t="shared" si="5"/>
        <v>1.1830093358445981E-2</v>
      </c>
      <c r="N23" s="61">
        <f t="shared" si="6"/>
        <v>0.94892814388718194</v>
      </c>
      <c r="O23" s="61">
        <f t="shared" si="7"/>
        <v>0.28436424285775436</v>
      </c>
      <c r="P23" s="61">
        <f t="shared" si="8"/>
        <v>1.1771856112818058E-2</v>
      </c>
    </row>
    <row r="24" spans="1:16" x14ac:dyDescent="0.25">
      <c r="A24" s="59">
        <v>-204.613623606179</v>
      </c>
      <c r="B24" s="59">
        <v>95.871506627086006</v>
      </c>
      <c r="C24" s="59">
        <v>-423.758539833047</v>
      </c>
      <c r="D24" s="59">
        <v>94.685408057797801</v>
      </c>
      <c r="E24" s="59">
        <v>-253.244788823666</v>
      </c>
      <c r="F24" s="59">
        <v>94.408985482277998</v>
      </c>
      <c r="H24" s="60">
        <f t="shared" si="0"/>
        <v>0.95871506627086012</v>
      </c>
      <c r="I24" s="60">
        <f t="shared" si="1"/>
        <v>9.1140638350711872E-2</v>
      </c>
      <c r="J24" s="60">
        <f t="shared" si="2"/>
        <v>1.9849337291398816E-3</v>
      </c>
      <c r="K24" s="61">
        <f t="shared" si="3"/>
        <v>0.94685408057797804</v>
      </c>
      <c r="L24" s="61">
        <f t="shared" si="4"/>
        <v>0.27962805684568059</v>
      </c>
      <c r="M24" s="61">
        <f t="shared" si="5"/>
        <v>1.3845919422021957E-2</v>
      </c>
      <c r="N24" s="61">
        <f t="shared" si="6"/>
        <v>0.94408985482277996</v>
      </c>
      <c r="O24" s="61">
        <f t="shared" si="7"/>
        <v>0.33324456103737476</v>
      </c>
      <c r="P24" s="61">
        <f t="shared" si="8"/>
        <v>1.6610145177220037E-2</v>
      </c>
    </row>
    <row r="25" spans="1:16" x14ac:dyDescent="0.25">
      <c r="A25" s="59">
        <v>-242.881624220091</v>
      </c>
      <c r="B25" s="59">
        <v>95.745913409212093</v>
      </c>
      <c r="C25" s="59">
        <v>-462.027153470597</v>
      </c>
      <c r="D25" s="59">
        <v>94.570670466850203</v>
      </c>
      <c r="E25" s="59">
        <v>-291.48642942113503</v>
      </c>
      <c r="F25" s="59">
        <v>93.816600306575296</v>
      </c>
      <c r="H25" s="60">
        <f t="shared" si="0"/>
        <v>0.95745913409212091</v>
      </c>
      <c r="I25" s="60">
        <f t="shared" si="1"/>
        <v>0.1080445517892699</v>
      </c>
      <c r="J25" s="60">
        <f t="shared" si="2"/>
        <v>3.2408659078790869E-3</v>
      </c>
      <c r="K25" s="61">
        <f t="shared" si="3"/>
        <v>0.94570670466850204</v>
      </c>
      <c r="L25" s="61">
        <f t="shared" si="4"/>
        <v>0.30451114626070497</v>
      </c>
      <c r="M25" s="61">
        <f t="shared" si="5"/>
        <v>1.4993295331497958E-2</v>
      </c>
      <c r="N25" s="61">
        <f t="shared" si="6"/>
        <v>0.93816600306575293</v>
      </c>
      <c r="O25" s="61">
        <f t="shared" si="7"/>
        <v>0.38115994292359628</v>
      </c>
      <c r="P25" s="61">
        <f t="shared" si="8"/>
        <v>2.2533996934247069E-2</v>
      </c>
    </row>
    <row r="26" spans="1:16" x14ac:dyDescent="0.25">
      <c r="A26" s="59">
        <v>-281.15268995219299</v>
      </c>
      <c r="B26" s="59">
        <v>95.674598325969598</v>
      </c>
      <c r="C26" s="59">
        <v>-500.28779780085</v>
      </c>
      <c r="D26" s="59">
        <v>94.314809725861295</v>
      </c>
      <c r="E26" s="59">
        <v>-329.710905356735</v>
      </c>
      <c r="F26" s="59">
        <v>92.920257576937502</v>
      </c>
      <c r="H26" s="60">
        <f t="shared" si="0"/>
        <v>0.95674598325969595</v>
      </c>
      <c r="I26" s="60">
        <f t="shared" si="1"/>
        <v>0.12497606826753388</v>
      </c>
      <c r="J26" s="60">
        <f t="shared" si="2"/>
        <v>3.9540167403040449E-3</v>
      </c>
      <c r="K26" s="61">
        <f t="shared" si="3"/>
        <v>0.94314809725861293</v>
      </c>
      <c r="L26" s="61">
        <f t="shared" si="4"/>
        <v>0.3288357521967914</v>
      </c>
      <c r="M26" s="61">
        <f t="shared" si="5"/>
        <v>1.7551902741387071E-2</v>
      </c>
      <c r="N26" s="61">
        <f t="shared" si="6"/>
        <v>0.92920257576937504</v>
      </c>
      <c r="O26" s="61">
        <f t="shared" si="7"/>
        <v>0.4270246434197687</v>
      </c>
      <c r="P26" s="61">
        <f t="shared" si="8"/>
        <v>3.149742423062496E-2</v>
      </c>
    </row>
    <row r="27" spans="1:16" x14ac:dyDescent="0.25">
      <c r="A27" s="59">
        <v>-319.427433826124</v>
      </c>
      <c r="B27" s="59">
        <v>95.668417004284507</v>
      </c>
      <c r="C27" s="59">
        <v>-538.54353794199801</v>
      </c>
      <c r="D27" s="59">
        <v>93.972103969462395</v>
      </c>
      <c r="E27" s="59">
        <v>-367.89001754310902</v>
      </c>
      <c r="F27" s="59">
        <v>91.220598454756896</v>
      </c>
      <c r="H27" s="60">
        <f t="shared" si="0"/>
        <v>0.95668417004284512</v>
      </c>
      <c r="I27" s="60">
        <f t="shared" si="1"/>
        <v>0.14198052165390951</v>
      </c>
      <c r="J27" s="60">
        <f t="shared" si="2"/>
        <v>4.0158299571548817E-3</v>
      </c>
      <c r="K27" s="61">
        <f t="shared" si="3"/>
        <v>0.93972103969462395</v>
      </c>
      <c r="L27" s="61">
        <f t="shared" si="4"/>
        <v>0.35269475055807387</v>
      </c>
      <c r="M27" s="61">
        <f t="shared" si="5"/>
        <v>2.0978960305376049E-2</v>
      </c>
      <c r="N27" s="61">
        <f t="shared" si="6"/>
        <v>0.91220598454756896</v>
      </c>
      <c r="O27" s="61">
        <f t="shared" si="7"/>
        <v>0.46775683538720408</v>
      </c>
      <c r="P27" s="61">
        <f t="shared" si="8"/>
        <v>4.8494015452431039E-2</v>
      </c>
    </row>
    <row r="28" spans="1:16" x14ac:dyDescent="0.25">
      <c r="A28" s="59">
        <v>-357.69420839275898</v>
      </c>
      <c r="B28" s="59">
        <v>95.521112532558107</v>
      </c>
      <c r="C28" s="59">
        <v>-576.79682598859199</v>
      </c>
      <c r="D28" s="59">
        <v>93.585975705358507</v>
      </c>
      <c r="E28" s="59">
        <v>-395.56423406075902</v>
      </c>
      <c r="F28" s="59">
        <v>88.348046314160797</v>
      </c>
      <c r="H28" s="60">
        <f t="shared" si="0"/>
        <v>0.95521112532558106</v>
      </c>
      <c r="I28" s="60">
        <f t="shared" si="1"/>
        <v>0.15874470475517963</v>
      </c>
      <c r="J28" s="60">
        <f t="shared" si="2"/>
        <v>5.4888746744189421E-3</v>
      </c>
      <c r="K28" s="61">
        <f t="shared" si="3"/>
        <v>0.93585975705358504</v>
      </c>
      <c r="L28" s="61">
        <f t="shared" si="4"/>
        <v>0.37619486272754976</v>
      </c>
      <c r="M28" s="61">
        <f t="shared" si="5"/>
        <v>2.4840242946414959E-2</v>
      </c>
      <c r="N28" s="61">
        <f t="shared" si="6"/>
        <v>0.883480463141608</v>
      </c>
      <c r="O28" s="61">
        <f t="shared" si="7"/>
        <v>0.48710567446559017</v>
      </c>
      <c r="P28" s="61">
        <f t="shared" si="8"/>
        <v>7.7219536858392002E-2</v>
      </c>
    </row>
    <row r="29" spans="1:16" x14ac:dyDescent="0.25">
      <c r="A29" s="59">
        <v>-395.96343505394702</v>
      </c>
      <c r="B29" s="59">
        <v>95.417230568536795</v>
      </c>
      <c r="C29" s="59">
        <v>-615.04888798791103</v>
      </c>
      <c r="D29" s="59">
        <v>93.178136187402004</v>
      </c>
      <c r="E29" s="59">
        <v>-411.05822260887902</v>
      </c>
      <c r="F29" s="59">
        <v>85.443808514265896</v>
      </c>
      <c r="H29" s="60">
        <f t="shared" si="0"/>
        <v>0.95417230568536793</v>
      </c>
      <c r="I29" s="60">
        <f t="shared" si="1"/>
        <v>0.17553747925232432</v>
      </c>
      <c r="J29" s="60">
        <f t="shared" si="2"/>
        <v>6.5276943146320709E-3</v>
      </c>
      <c r="K29" s="61">
        <f t="shared" si="3"/>
        <v>0.93178136187402005</v>
      </c>
      <c r="L29" s="61">
        <f t="shared" si="4"/>
        <v>0.39939523842258728</v>
      </c>
      <c r="M29" s="61">
        <f t="shared" si="5"/>
        <v>2.8918638125979945E-2</v>
      </c>
      <c r="N29" s="61">
        <f t="shared" si="6"/>
        <v>0.85443808514265895</v>
      </c>
      <c r="O29" s="61">
        <f t="shared" si="7"/>
        <v>0.48954560947328296</v>
      </c>
      <c r="P29" s="61">
        <f t="shared" si="8"/>
        <v>0.10626191485734104</v>
      </c>
    </row>
    <row r="30" spans="1:16" x14ac:dyDescent="0.25">
      <c r="A30" s="59">
        <v>-434.23572683332497</v>
      </c>
      <c r="B30" s="59">
        <v>95.367626739146701</v>
      </c>
      <c r="C30" s="59">
        <v>-653.292367656294</v>
      </c>
      <c r="D30" s="59">
        <v>92.618317892478103</v>
      </c>
      <c r="E30" s="59">
        <v>-22.3691530400998</v>
      </c>
      <c r="F30" s="59">
        <v>96.088498964897695</v>
      </c>
      <c r="H30" s="60">
        <f t="shared" si="0"/>
        <v>0.95367626739146705</v>
      </c>
      <c r="I30" s="60">
        <f t="shared" si="1"/>
        <v>0.19240417629290971</v>
      </c>
      <c r="J30" s="60">
        <f t="shared" si="2"/>
        <v>7.023732608532951E-3</v>
      </c>
      <c r="K30" s="61">
        <f t="shared" si="3"/>
        <v>0.92618317892478108</v>
      </c>
      <c r="L30" s="61">
        <f t="shared" si="4"/>
        <v>0.42168067631027412</v>
      </c>
      <c r="M30" s="61">
        <f t="shared" si="5"/>
        <v>3.4516821075218918E-2</v>
      </c>
      <c r="N30" s="61">
        <f t="shared" si="6"/>
        <v>0.96088498964897695</v>
      </c>
      <c r="O30" s="61">
        <f t="shared" si="7"/>
        <v>2.9959197207860659E-2</v>
      </c>
      <c r="P30" s="61">
        <f t="shared" si="8"/>
        <v>-1.8498964897695203E-4</v>
      </c>
    </row>
    <row r="31" spans="1:16" x14ac:dyDescent="0.25">
      <c r="A31" s="59">
        <v>-472.50188837632197</v>
      </c>
      <c r="B31" s="59">
        <v>95.209466640494099</v>
      </c>
      <c r="C31" s="59">
        <v>-691.53339523012505</v>
      </c>
      <c r="D31" s="59">
        <v>92.0150770898491</v>
      </c>
      <c r="E31" s="59">
        <v>-53.427693317890302</v>
      </c>
      <c r="F31" s="59">
        <v>96.083483050770099</v>
      </c>
      <c r="H31" s="60">
        <f t="shared" si="0"/>
        <v>0.952094666404941</v>
      </c>
      <c r="I31" s="60">
        <f t="shared" si="1"/>
        <v>0.20901220546271423</v>
      </c>
      <c r="J31" s="60">
        <f t="shared" si="2"/>
        <v>8.6053335950589949E-3</v>
      </c>
      <c r="K31" s="61">
        <f t="shared" si="3"/>
        <v>0.92015077089849096</v>
      </c>
      <c r="L31" s="61">
        <f t="shared" si="4"/>
        <v>0.44345686062990214</v>
      </c>
      <c r="M31" s="61">
        <f t="shared" si="5"/>
        <v>4.0549229101509043E-2</v>
      </c>
      <c r="N31" s="61">
        <f t="shared" si="6"/>
        <v>0.96083483050770102</v>
      </c>
      <c r="O31" s="61">
        <f t="shared" si="7"/>
        <v>7.1552429457515387E-2</v>
      </c>
      <c r="P31" s="61">
        <f t="shared" si="8"/>
        <v>-1.3483050770102256E-4</v>
      </c>
    </row>
    <row r="32" spans="1:16" x14ac:dyDescent="0.25">
      <c r="A32" s="59">
        <v>-510.774180155701</v>
      </c>
      <c r="B32" s="59">
        <v>95.159862811104006</v>
      </c>
      <c r="C32" s="59">
        <v>-729.75909721300195</v>
      </c>
      <c r="D32" s="59">
        <v>91.140445614063793</v>
      </c>
      <c r="E32" s="59"/>
      <c r="F32" s="59"/>
      <c r="H32" s="60">
        <f t="shared" si="0"/>
        <v>0.95159862811104001</v>
      </c>
      <c r="I32" s="60">
        <f t="shared" si="1"/>
        <v>0.22582431925537669</v>
      </c>
      <c r="J32" s="60">
        <f t="shared" si="2"/>
        <v>9.1013718889599859E-3</v>
      </c>
      <c r="K32" s="61">
        <f t="shared" si="3"/>
        <v>0.91140445614063792</v>
      </c>
      <c r="L32" s="61">
        <f t="shared" si="4"/>
        <v>0.46352150869834574</v>
      </c>
      <c r="M32" s="61">
        <f t="shared" si="5"/>
        <v>4.9295543859362079E-2</v>
      </c>
      <c r="N32" s="61"/>
      <c r="O32" s="61"/>
      <c r="P32" s="61"/>
    </row>
    <row r="33" spans="1:16" x14ac:dyDescent="0.25">
      <c r="A33" s="59">
        <v>-549.04095472233598</v>
      </c>
      <c r="B33" s="59">
        <v>95.012558339377705</v>
      </c>
      <c r="C33" s="59">
        <v>-767.97989500677295</v>
      </c>
      <c r="D33" s="59">
        <v>90.178969122868494</v>
      </c>
      <c r="E33" s="59"/>
      <c r="F33" s="59"/>
      <c r="H33" s="60">
        <f t="shared" si="0"/>
        <v>0.95012558339377706</v>
      </c>
      <c r="I33" s="60">
        <f t="shared" si="1"/>
        <v>0.24236713011424937</v>
      </c>
      <c r="J33" s="60">
        <f t="shared" si="2"/>
        <v>1.0574416606222936E-2</v>
      </c>
      <c r="K33" s="61">
        <f t="shared" si="3"/>
        <v>0.90178969122868491</v>
      </c>
      <c r="L33" s="61">
        <f t="shared" si="4"/>
        <v>0.48265225909718695</v>
      </c>
      <c r="M33" s="61">
        <f t="shared" si="5"/>
        <v>5.891030877131509E-2</v>
      </c>
      <c r="N33" s="61"/>
      <c r="O33" s="61"/>
      <c r="P33" s="61"/>
    </row>
    <row r="34" spans="1:16" x14ac:dyDescent="0.25">
      <c r="A34" s="59">
        <v>-587.30895533624698</v>
      </c>
      <c r="B34" s="59">
        <v>94.886965121503806</v>
      </c>
      <c r="C34" s="59">
        <v>-806.18352813867398</v>
      </c>
      <c r="D34" s="59">
        <v>88.913535077738004</v>
      </c>
      <c r="E34" s="59"/>
      <c r="F34" s="59"/>
      <c r="H34" s="60">
        <f t="shared" si="0"/>
        <v>0.94886965121503808</v>
      </c>
      <c r="I34" s="60">
        <f t="shared" si="1"/>
        <v>0.25891734586657894</v>
      </c>
      <c r="J34" s="60">
        <f t="shared" si="2"/>
        <v>1.1830348784961919E-2</v>
      </c>
      <c r="K34" s="61">
        <f t="shared" si="3"/>
        <v>0.88913535077738004</v>
      </c>
      <c r="L34" s="61">
        <f t="shared" si="4"/>
        <v>0.49955237047214929</v>
      </c>
      <c r="M34" s="61">
        <f t="shared" si="5"/>
        <v>7.1564649222619958E-2</v>
      </c>
      <c r="N34" s="61"/>
      <c r="O34" s="61"/>
      <c r="P34" s="61"/>
    </row>
    <row r="35" spans="1:16" x14ac:dyDescent="0.25">
      <c r="A35" s="59">
        <v>-625.57511687924398</v>
      </c>
      <c r="B35" s="59">
        <v>94.728805022851205</v>
      </c>
      <c r="C35" s="59">
        <v>-844.37857893964099</v>
      </c>
      <c r="D35" s="59">
        <v>87.496122255640103</v>
      </c>
      <c r="E35" s="59"/>
      <c r="F35" s="59"/>
      <c r="H35" s="60">
        <f t="shared" si="0"/>
        <v>0.94728805022851204</v>
      </c>
      <c r="I35" s="60">
        <f t="shared" si="1"/>
        <v>0.27532743679881172</v>
      </c>
      <c r="J35" s="60">
        <f t="shared" si="2"/>
        <v>1.3411949771487963E-2</v>
      </c>
      <c r="K35" s="61">
        <f t="shared" si="3"/>
        <v>0.87496122255640107</v>
      </c>
      <c r="L35" s="61">
        <f t="shared" si="4"/>
        <v>0.51487907148586731</v>
      </c>
      <c r="M35" s="61">
        <f t="shared" si="5"/>
        <v>8.5738777443598924E-2</v>
      </c>
      <c r="N35" s="61"/>
      <c r="O35" s="61"/>
      <c r="P35" s="61"/>
    </row>
    <row r="36" spans="1:16" x14ac:dyDescent="0.25">
      <c r="A36" s="59">
        <v>-663.84066539860203</v>
      </c>
      <c r="B36" s="59">
        <v>94.559789297272403</v>
      </c>
      <c r="C36" s="59">
        <v>-882.55830414965305</v>
      </c>
      <c r="D36" s="59">
        <v>85.807318760385797</v>
      </c>
      <c r="E36" s="59"/>
      <c r="F36" s="59"/>
      <c r="H36" s="60">
        <f t="shared" si="0"/>
        <v>0.94559789297272401</v>
      </c>
      <c r="I36" s="60">
        <f t="shared" si="1"/>
        <v>0.29164753874763422</v>
      </c>
      <c r="J36" s="60">
        <f t="shared" si="2"/>
        <v>1.5102107027275991E-2</v>
      </c>
      <c r="K36" s="61">
        <f t="shared" si="3"/>
        <v>0.85807318760385798</v>
      </c>
      <c r="L36" s="61">
        <f t="shared" si="4"/>
        <v>0.52777275067529761</v>
      </c>
      <c r="M36" s="61">
        <f t="shared" si="5"/>
        <v>0.10262681239614202</v>
      </c>
      <c r="N36" s="61"/>
      <c r="O36" s="61"/>
      <c r="P36" s="61"/>
    </row>
    <row r="37" spans="1:16" x14ac:dyDescent="0.25">
      <c r="A37" s="59">
        <v>-702.104987870684</v>
      </c>
      <c r="B37" s="59">
        <v>94.369062317840999</v>
      </c>
      <c r="C37" s="59">
        <v>-920.72576888690105</v>
      </c>
      <c r="D37" s="59">
        <v>83.901402726606406</v>
      </c>
      <c r="E37" s="59"/>
      <c r="F37" s="59"/>
      <c r="H37" s="60">
        <f t="shared" si="0"/>
        <v>0.94369062317841002</v>
      </c>
      <c r="I37" s="60">
        <f t="shared" si="1"/>
        <v>0.30783618288424536</v>
      </c>
      <c r="J37" s="60">
        <f t="shared" si="2"/>
        <v>1.7009376821589983E-2</v>
      </c>
      <c r="K37" s="61">
        <f t="shared" si="3"/>
        <v>0.83901402726606411</v>
      </c>
      <c r="L37" s="61">
        <f t="shared" si="4"/>
        <v>0.53836739018897783</v>
      </c>
      <c r="M37" s="61">
        <f t="shared" si="5"/>
        <v>0.12168597273393589</v>
      </c>
      <c r="N37" s="61"/>
      <c r="O37" s="61"/>
      <c r="P37" s="61"/>
    </row>
    <row r="38" spans="1:16" x14ac:dyDescent="0.25">
      <c r="A38" s="59">
        <v>-740.36747127185197</v>
      </c>
      <c r="B38" s="59">
        <v>94.145768457630894</v>
      </c>
      <c r="C38" s="59">
        <v>-958.88526431685295</v>
      </c>
      <c r="D38" s="59">
        <v>81.854363542785805</v>
      </c>
      <c r="E38" s="59"/>
      <c r="F38" s="59"/>
      <c r="H38" s="60">
        <f t="shared" si="0"/>
        <v>0.94145768457630896</v>
      </c>
      <c r="I38" s="60">
        <f t="shared" si="1"/>
        <v>0.32384418347196781</v>
      </c>
      <c r="J38" s="60">
        <f t="shared" si="2"/>
        <v>1.9242315423691037E-2</v>
      </c>
      <c r="K38" s="61">
        <f t="shared" si="3"/>
        <v>0.81854363542785802</v>
      </c>
      <c r="L38" s="61">
        <f t="shared" si="4"/>
        <v>0.54700047920598593</v>
      </c>
      <c r="M38" s="61">
        <f t="shared" si="5"/>
        <v>0.14215636457214198</v>
      </c>
      <c r="N38" s="61"/>
      <c r="O38" s="61"/>
      <c r="P38" s="61"/>
    </row>
    <row r="39" spans="1:16" x14ac:dyDescent="0.25">
      <c r="A39" s="59">
        <v>-778.62934164938099</v>
      </c>
      <c r="B39" s="59">
        <v>93.911618970494501</v>
      </c>
      <c r="C39" s="59">
        <v>-997.04108160497594</v>
      </c>
      <c r="D39" s="59">
        <v>79.7421905974076</v>
      </c>
      <c r="E39" s="59"/>
      <c r="F39" s="59"/>
      <c r="H39" s="60">
        <f t="shared" si="0"/>
        <v>0.93911618970494504</v>
      </c>
      <c r="I39" s="60">
        <f t="shared" si="1"/>
        <v>0.33973325501759533</v>
      </c>
      <c r="J39" s="60">
        <f t="shared" si="2"/>
        <v>2.1583810295054962E-2</v>
      </c>
      <c r="K39" s="61">
        <f t="shared" si="3"/>
        <v>0.79742190597407603</v>
      </c>
      <c r="L39" s="61">
        <f t="shared" si="4"/>
        <v>0.55409016462049432</v>
      </c>
      <c r="M39" s="61">
        <f t="shared" si="5"/>
        <v>0.16327809402592397</v>
      </c>
      <c r="N39" s="61"/>
      <c r="O39" s="61"/>
      <c r="P39" s="61"/>
    </row>
    <row r="40" spans="1:16" x14ac:dyDescent="0.25">
      <c r="A40" s="59">
        <v>-816.88814690872005</v>
      </c>
      <c r="B40" s="59">
        <v>93.623191348726806</v>
      </c>
      <c r="C40" s="59">
        <v>-1028.26158732466</v>
      </c>
      <c r="D40" s="59">
        <v>78.051409371130205</v>
      </c>
      <c r="E40" s="59"/>
      <c r="F40" s="59"/>
      <c r="H40" s="60">
        <f t="shared" si="0"/>
        <v>0.93623191348726809</v>
      </c>
      <c r="I40" s="60">
        <f t="shared" si="1"/>
        <v>0.3553317399203158</v>
      </c>
      <c r="J40" s="60">
        <f t="shared" si="2"/>
        <v>2.4468086512731912E-2</v>
      </c>
      <c r="K40" s="61">
        <f t="shared" si="3"/>
        <v>0.78051409371130209</v>
      </c>
      <c r="L40" s="61">
        <f t="shared" si="4"/>
        <v>0.55932417131297307</v>
      </c>
      <c r="M40" s="61">
        <f t="shared" si="5"/>
        <v>0.18018590628869791</v>
      </c>
      <c r="N40" s="61"/>
      <c r="O40" s="61"/>
      <c r="P40" s="61"/>
    </row>
    <row r="41" spans="1:16" x14ac:dyDescent="0.25">
      <c r="A41" s="59">
        <v>-855.14633914442004</v>
      </c>
      <c r="B41" s="59">
        <v>93.323908100032895</v>
      </c>
      <c r="C41" s="59">
        <v>-28.0161603633345</v>
      </c>
      <c r="D41" s="59">
        <v>96.087586980510906</v>
      </c>
      <c r="E41" s="59"/>
      <c r="F41" s="59"/>
      <c r="H41" s="60">
        <f t="shared" si="0"/>
        <v>0.93323908100032893</v>
      </c>
      <c r="I41" s="60">
        <f t="shared" si="1"/>
        <v>0.37078429028268828</v>
      </c>
      <c r="J41" s="60">
        <f t="shared" si="2"/>
        <v>2.7460918999671069E-2</v>
      </c>
      <c r="K41" s="61">
        <f t="shared" si="3"/>
        <v>0.96087586980510908</v>
      </c>
      <c r="L41" s="61">
        <f t="shared" si="4"/>
        <v>1.8760963045002035E-2</v>
      </c>
      <c r="M41" s="61">
        <f t="shared" si="5"/>
        <v>-1.7586980510908568E-4</v>
      </c>
      <c r="N41" s="61"/>
      <c r="O41" s="61"/>
      <c r="P41" s="61"/>
    </row>
    <row r="42" spans="1:16" x14ac:dyDescent="0.25">
      <c r="A42" s="59">
        <v>-893.40453138012003</v>
      </c>
      <c r="B42" s="59">
        <v>93.024624851338999</v>
      </c>
      <c r="C42" s="59">
        <v>-138.12185935376701</v>
      </c>
      <c r="D42" s="59">
        <v>95.876006602766907</v>
      </c>
      <c r="E42" s="59"/>
      <c r="F42" s="59"/>
      <c r="H42" s="62">
        <f t="shared" si="0"/>
        <v>0.93024624851338999</v>
      </c>
      <c r="I42" s="62">
        <f t="shared" si="1"/>
        <v>0.38613044476352726</v>
      </c>
      <c r="J42" s="62">
        <f t="shared" ref="J42:J58" si="9">0.9607-H42</f>
        <v>3.0453751486610003E-2</v>
      </c>
      <c r="K42" s="61">
        <f t="shared" si="3"/>
        <v>0.95876006602766906</v>
      </c>
      <c r="L42" s="61">
        <f t="shared" si="4"/>
        <v>9.2289348217208481E-2</v>
      </c>
      <c r="M42" s="61">
        <f>0.9607-K42</f>
        <v>1.9399339723309428E-3</v>
      </c>
      <c r="N42" s="61"/>
      <c r="O42" s="61"/>
      <c r="P42" s="61"/>
    </row>
    <row r="43" spans="1:16" x14ac:dyDescent="0.25">
      <c r="A43" s="59">
        <v>-931.65781942671504</v>
      </c>
      <c r="B43" s="59">
        <v>92.638496587235096</v>
      </c>
      <c r="C43" s="59">
        <v>-177.65091061640999</v>
      </c>
      <c r="D43" s="59">
        <v>95.869622712059098</v>
      </c>
      <c r="E43" s="59"/>
      <c r="F43" s="59"/>
      <c r="H43" s="62">
        <f t="shared" si="0"/>
        <v>0.92638496587235097</v>
      </c>
      <c r="I43" s="62">
        <f t="shared" si="1"/>
        <v>0.4009921758963842</v>
      </c>
      <c r="J43" s="62">
        <f t="shared" si="9"/>
        <v>3.4315034127649024E-2</v>
      </c>
      <c r="K43" s="61">
        <f t="shared" si="3"/>
        <v>0.95869622712059099</v>
      </c>
      <c r="L43" s="61">
        <f t="shared" si="4"/>
        <v>0.11869370387694884</v>
      </c>
      <c r="M43" s="61">
        <f t="shared" ref="M43:M47" si="10">0.9607-K43</f>
        <v>2.0037728794090048E-3</v>
      </c>
      <c r="N43" s="61"/>
      <c r="O43" s="61"/>
      <c r="P43" s="61"/>
    </row>
    <row r="44" spans="1:16" x14ac:dyDescent="0.25">
      <c r="A44" s="59">
        <v>-969.90988142603396</v>
      </c>
      <c r="B44" s="59">
        <v>92.230657069278706</v>
      </c>
      <c r="C44" s="59">
        <v>-214.35645821743501</v>
      </c>
      <c r="D44" s="59">
        <v>95.863694813544797</v>
      </c>
      <c r="E44" s="59"/>
      <c r="F44" s="59"/>
      <c r="H44" s="62">
        <f t="shared" si="0"/>
        <v>0.9223065706927871</v>
      </c>
      <c r="I44" s="62">
        <f t="shared" si="1"/>
        <v>0.4156182923872962</v>
      </c>
      <c r="J44" s="62">
        <f t="shared" si="9"/>
        <v>3.8393429307212901E-2</v>
      </c>
      <c r="K44" s="61">
        <f t="shared" si="3"/>
        <v>0.95863694813544797</v>
      </c>
      <c r="L44" s="61">
        <f t="shared" si="4"/>
        <v>0.14320888470136703</v>
      </c>
      <c r="M44" s="61">
        <f t="shared" si="10"/>
        <v>2.0630518645520235E-3</v>
      </c>
      <c r="N44" s="61"/>
      <c r="O44" s="61"/>
      <c r="P44" s="61"/>
    </row>
    <row r="45" spans="1:16" x14ac:dyDescent="0.25">
      <c r="A45" s="59">
        <v>-1008.15397411805</v>
      </c>
      <c r="B45" s="59">
        <v>91.681694401281007</v>
      </c>
      <c r="C45" s="59">
        <v>-245.40405468258299</v>
      </c>
      <c r="D45" s="59">
        <v>95.664882217216402</v>
      </c>
      <c r="E45" s="59"/>
      <c r="F45" s="59"/>
      <c r="H45" s="62">
        <f t="shared" si="0"/>
        <v>0.91681694401281011</v>
      </c>
      <c r="I45" s="62">
        <f t="shared" si="1"/>
        <v>0.42943502667027428</v>
      </c>
      <c r="J45" s="62">
        <f t="shared" si="9"/>
        <v>4.388305598718989E-2</v>
      </c>
      <c r="K45" s="61">
        <f t="shared" si="3"/>
        <v>0.95664882217216407</v>
      </c>
      <c r="L45" s="61">
        <f t="shared" si="4"/>
        <v>0.16361137758515118</v>
      </c>
      <c r="M45" s="61">
        <f t="shared" si="10"/>
        <v>4.0511778278359278E-3</v>
      </c>
      <c r="N45" s="61"/>
      <c r="O45" s="61"/>
      <c r="P45" s="61"/>
    </row>
    <row r="46" spans="1:16" x14ac:dyDescent="0.25">
      <c r="A46" s="59">
        <v>-1046.3962277391599</v>
      </c>
      <c r="B46" s="59">
        <v>91.100164852504506</v>
      </c>
      <c r="C46" s="59">
        <v>-56.273084604791499</v>
      </c>
      <c r="D46" s="59">
        <v>96.4706204229783</v>
      </c>
      <c r="E46" s="59"/>
      <c r="F46" s="59"/>
      <c r="H46" s="62">
        <f t="shared" si="0"/>
        <v>0.91100164852504506</v>
      </c>
      <c r="I46" s="62">
        <f t="shared" si="1"/>
        <v>0.44289756776749095</v>
      </c>
      <c r="J46" s="62">
        <f t="shared" si="9"/>
        <v>4.9698351474954938E-2</v>
      </c>
      <c r="K46" s="61">
        <f t="shared" si="3"/>
        <v>0.96470620422978304</v>
      </c>
      <c r="L46" s="61">
        <f t="shared" si="4"/>
        <v>3.7833369271189528E-2</v>
      </c>
      <c r="M46" s="61">
        <f t="shared" si="10"/>
        <v>-4.0062042297830391E-3</v>
      </c>
      <c r="N46" s="61"/>
      <c r="O46" s="61"/>
      <c r="P46" s="61"/>
    </row>
    <row r="47" spans="1:16" x14ac:dyDescent="0.25">
      <c r="A47" s="59">
        <v>-1084.6305120529701</v>
      </c>
      <c r="B47" s="59">
        <v>90.377512153686695</v>
      </c>
      <c r="C47" s="59">
        <v>-95.780248242149995</v>
      </c>
      <c r="D47" s="59">
        <v>96.076643167868895</v>
      </c>
      <c r="E47" s="59"/>
      <c r="F47" s="59"/>
      <c r="H47" s="62">
        <f t="shared" si="0"/>
        <v>0.9037751215368669</v>
      </c>
      <c r="I47" s="62">
        <f t="shared" si="1"/>
        <v>0.45543894715911687</v>
      </c>
      <c r="J47" s="62">
        <f t="shared" si="9"/>
        <v>5.69248784631331E-2</v>
      </c>
      <c r="K47" s="61">
        <f t="shared" si="3"/>
        <v>0.96076643167868891</v>
      </c>
      <c r="L47" s="61">
        <f t="shared" si="4"/>
        <v>6.4131737349320012E-2</v>
      </c>
      <c r="M47" s="61">
        <f t="shared" si="10"/>
        <v>-6.6431678688916307E-5</v>
      </c>
      <c r="N47" s="61"/>
      <c r="O47" s="61"/>
      <c r="P47" s="61"/>
    </row>
    <row r="48" spans="1:16" x14ac:dyDescent="0.25">
      <c r="A48" s="59">
        <v>-1122.8660224140599</v>
      </c>
      <c r="B48" s="59">
        <v>89.676570708721499</v>
      </c>
      <c r="C48" s="59"/>
      <c r="D48" s="59"/>
      <c r="E48" s="59"/>
      <c r="F48" s="59"/>
      <c r="H48" s="62">
        <f t="shared" si="0"/>
        <v>0.89676570708721504</v>
      </c>
      <c r="I48" s="62">
        <f t="shared" si="1"/>
        <v>0.46783735943015631</v>
      </c>
      <c r="J48" s="62">
        <f t="shared" si="9"/>
        <v>6.3934292912784962E-2</v>
      </c>
      <c r="K48" s="61"/>
      <c r="L48" s="61"/>
      <c r="M48" s="61"/>
      <c r="N48" s="61"/>
      <c r="O48" s="61"/>
      <c r="P48" s="61"/>
    </row>
    <row r="49" spans="1:16" x14ac:dyDescent="0.25">
      <c r="A49" s="59">
        <v>-1161.08743323147</v>
      </c>
      <c r="B49" s="59">
        <v>88.725949844452401</v>
      </c>
      <c r="C49" s="59"/>
      <c r="D49" s="59"/>
      <c r="E49" s="59"/>
      <c r="F49" s="59"/>
      <c r="H49" s="62">
        <f t="shared" si="0"/>
        <v>0.88725949844452401</v>
      </c>
      <c r="I49" s="62">
        <f t="shared" si="1"/>
        <v>0.47863400366300879</v>
      </c>
      <c r="J49" s="62">
        <f t="shared" si="9"/>
        <v>7.344050155547599E-2</v>
      </c>
      <c r="K49" s="61"/>
      <c r="L49" s="61"/>
      <c r="M49" s="61"/>
      <c r="N49" s="61"/>
      <c r="O49" s="61"/>
      <c r="P49" s="61"/>
    </row>
    <row r="50" spans="1:16" x14ac:dyDescent="0.25">
      <c r="A50" s="59">
        <v>-1199.30516590705</v>
      </c>
      <c r="B50" s="59">
        <v>87.710195218625799</v>
      </c>
      <c r="C50" s="59"/>
      <c r="D50" s="59"/>
      <c r="E50" s="59"/>
      <c r="F50" s="59"/>
      <c r="H50" s="62">
        <f t="shared" si="0"/>
        <v>0.87710195218625797</v>
      </c>
      <c r="I50" s="62">
        <f t="shared" si="1"/>
        <v>0.48872859410433517</v>
      </c>
      <c r="J50" s="62">
        <f t="shared" si="9"/>
        <v>8.3598047813742027E-2</v>
      </c>
      <c r="K50" s="61"/>
      <c r="L50" s="61"/>
      <c r="M50" s="61"/>
      <c r="N50" s="61"/>
      <c r="O50" s="61"/>
      <c r="P50" s="61"/>
    </row>
    <row r="51" spans="1:16" x14ac:dyDescent="0.25">
      <c r="A51" s="59">
        <v>-1237.5192204407999</v>
      </c>
      <c r="B51" s="59">
        <v>86.629306831241706</v>
      </c>
      <c r="C51" s="59"/>
      <c r="D51" s="59"/>
      <c r="E51" s="59"/>
      <c r="F51" s="59"/>
      <c r="H51" s="62">
        <f t="shared" si="0"/>
        <v>0.86629306831241704</v>
      </c>
      <c r="I51" s="62">
        <f t="shared" si="1"/>
        <v>0.49808648675762501</v>
      </c>
      <c r="J51" s="62">
        <f t="shared" si="9"/>
        <v>9.4406931687582962E-2</v>
      </c>
      <c r="K51" s="61"/>
      <c r="L51" s="61"/>
      <c r="M51" s="61"/>
      <c r="N51" s="61"/>
      <c r="O51" s="61"/>
      <c r="P51" s="61"/>
    </row>
    <row r="52" spans="1:16" x14ac:dyDescent="0.25">
      <c r="A52" s="59">
        <v>-1275.72530566725</v>
      </c>
      <c r="B52" s="59">
        <v>85.407295293816304</v>
      </c>
      <c r="C52" s="59"/>
      <c r="D52" s="59"/>
      <c r="E52" s="59"/>
      <c r="F52" s="59"/>
      <c r="H52" s="62">
        <f t="shared" si="0"/>
        <v>0.85407295293816299</v>
      </c>
      <c r="I52" s="62">
        <f t="shared" si="1"/>
        <v>0.50622094031681064</v>
      </c>
      <c r="J52" s="62">
        <f t="shared" si="9"/>
        <v>0.10662704706183701</v>
      </c>
      <c r="K52" s="61"/>
      <c r="L52" s="61"/>
      <c r="M52" s="61"/>
      <c r="N52" s="61"/>
      <c r="O52" s="61"/>
      <c r="P52" s="61"/>
    </row>
    <row r="53" spans="1:16" x14ac:dyDescent="0.25">
      <c r="A53" s="59">
        <v>-1313.9283257755101</v>
      </c>
      <c r="B53" s="59">
        <v>84.131005621759599</v>
      </c>
      <c r="C53" s="59"/>
      <c r="D53" s="59"/>
      <c r="E53" s="59"/>
      <c r="F53" s="59"/>
      <c r="H53" s="62">
        <f t="shared" si="0"/>
        <v>0.84131005621759603</v>
      </c>
      <c r="I53" s="62">
        <f t="shared" si="1"/>
        <v>0.51358901063162188</v>
      </c>
      <c r="J53" s="62">
        <f t="shared" si="9"/>
        <v>0.11938994378240397</v>
      </c>
      <c r="K53" s="61"/>
      <c r="L53" s="61"/>
      <c r="M53" s="61"/>
      <c r="N53" s="61"/>
      <c r="O53" s="61"/>
      <c r="P53" s="61"/>
    </row>
    <row r="54" spans="1:16" x14ac:dyDescent="0.25">
      <c r="A54" s="59">
        <v>-1352.1258286710299</v>
      </c>
      <c r="B54" s="59">
        <v>82.757015307366601</v>
      </c>
      <c r="C54" s="59"/>
      <c r="D54" s="59"/>
      <c r="E54" s="59"/>
      <c r="F54" s="59"/>
      <c r="H54" s="62">
        <f t="shared" si="0"/>
        <v>0.82757015307366599</v>
      </c>
      <c r="I54" s="62">
        <f t="shared" si="1"/>
        <v>0.51988812196851808</v>
      </c>
      <c r="J54" s="62">
        <f t="shared" si="9"/>
        <v>0.13312984692633401</v>
      </c>
      <c r="K54" s="61"/>
      <c r="L54" s="61"/>
      <c r="M54" s="61"/>
      <c r="N54" s="61"/>
      <c r="O54" s="61"/>
      <c r="P54" s="61"/>
    </row>
    <row r="55" spans="1:16" x14ac:dyDescent="0.25">
      <c r="A55" s="59">
        <v>-1390.3306878502101</v>
      </c>
      <c r="B55" s="59">
        <v>81.513292516088697</v>
      </c>
      <c r="C55" s="59"/>
      <c r="D55" s="59"/>
      <c r="E55" s="59"/>
      <c r="F55" s="59"/>
      <c r="H55" s="62">
        <f t="shared" si="0"/>
        <v>0.81513292516088698</v>
      </c>
      <c r="I55" s="62">
        <f t="shared" si="1"/>
        <v>0.52654380991188665</v>
      </c>
      <c r="J55" s="62">
        <f t="shared" si="9"/>
        <v>0.14556707483911302</v>
      </c>
      <c r="K55" s="61"/>
      <c r="L55" s="61"/>
      <c r="M55" s="61"/>
      <c r="N55" s="61"/>
      <c r="O55" s="61"/>
      <c r="P55" s="61"/>
    </row>
    <row r="56" spans="1:16" x14ac:dyDescent="0.25">
      <c r="A56" s="59">
        <v>-1428.5300298166501</v>
      </c>
      <c r="B56" s="59">
        <v>80.171869082474501</v>
      </c>
      <c r="C56" s="59"/>
      <c r="D56" s="59"/>
      <c r="E56" s="59"/>
      <c r="F56" s="59"/>
      <c r="H56" s="62">
        <f t="shared" si="0"/>
        <v>0.80171869082474501</v>
      </c>
      <c r="I56" s="62">
        <f t="shared" si="1"/>
        <v>0.53210746291493216</v>
      </c>
      <c r="J56" s="62">
        <f t="shared" si="9"/>
        <v>0.15898130917525499</v>
      </c>
      <c r="K56" s="61"/>
      <c r="L56" s="61"/>
      <c r="M56" s="61"/>
      <c r="N56" s="61"/>
      <c r="O56" s="61"/>
      <c r="P56" s="61"/>
    </row>
    <row r="57" spans="1:16" x14ac:dyDescent="0.25">
      <c r="A57" s="59">
        <v>-1466.7189503812299</v>
      </c>
      <c r="B57" s="59">
        <v>78.645899991114007</v>
      </c>
      <c r="C57" s="59"/>
      <c r="D57" s="59"/>
      <c r="E57" s="59"/>
      <c r="F57" s="59"/>
      <c r="H57" s="62">
        <f t="shared" si="0"/>
        <v>0.7864589999111401</v>
      </c>
      <c r="I57" s="62">
        <f t="shared" si="1"/>
        <v>0.53593356457098895</v>
      </c>
      <c r="J57" s="62">
        <f t="shared" si="9"/>
        <v>0.1742410000888599</v>
      </c>
      <c r="K57" s="61"/>
      <c r="L57" s="61"/>
      <c r="M57" s="61"/>
      <c r="N57" s="61"/>
      <c r="O57" s="61"/>
      <c r="P57" s="61"/>
    </row>
    <row r="58" spans="1:16" x14ac:dyDescent="0.25">
      <c r="A58" s="59">
        <v>-1499.6968635093899</v>
      </c>
      <c r="B58" s="59">
        <v>77.267324770760496</v>
      </c>
      <c r="C58" s="59"/>
      <c r="D58" s="59"/>
      <c r="E58" s="59"/>
      <c r="F58" s="59"/>
      <c r="H58" s="62">
        <f t="shared" si="0"/>
        <v>0.77267324770760493</v>
      </c>
      <c r="I58" s="62">
        <f t="shared" si="1"/>
        <v>0.53837802652041589</v>
      </c>
      <c r="J58" s="62">
        <f t="shared" si="9"/>
        <v>0.18802675229239507</v>
      </c>
      <c r="K58" s="61"/>
      <c r="L58" s="61"/>
      <c r="M58" s="61"/>
      <c r="N58" s="61"/>
      <c r="O58" s="61"/>
      <c r="P58" s="61"/>
    </row>
    <row r="62" spans="1:16" x14ac:dyDescent="0.25">
      <c r="J62" s="63"/>
      <c r="K62" s="49"/>
      <c r="L62" s="49"/>
      <c r="M62" s="49"/>
      <c r="N62" s="49"/>
      <c r="O62" s="49"/>
      <c r="P62" s="49"/>
    </row>
    <row r="63" spans="1:16" x14ac:dyDescent="0.25">
      <c r="H63" s="82" t="s">
        <v>124</v>
      </c>
      <c r="I63" s="82"/>
      <c r="J63" s="63"/>
      <c r="K63" s="49"/>
      <c r="L63" s="49"/>
      <c r="M63" s="49"/>
      <c r="N63" s="49"/>
      <c r="O63" s="49"/>
      <c r="P63" s="49"/>
    </row>
    <row r="64" spans="1:16" ht="16.2" x14ac:dyDescent="0.35">
      <c r="H64" s="64" t="s">
        <v>159</v>
      </c>
      <c r="I64" s="64" t="s">
        <v>158</v>
      </c>
      <c r="J64" s="49"/>
      <c r="K64" s="49"/>
      <c r="L64" s="49"/>
      <c r="M64" s="49"/>
      <c r="N64" s="49"/>
      <c r="O64" s="49"/>
      <c r="P64" s="49"/>
    </row>
    <row r="65" spans="8:16" x14ac:dyDescent="0.25">
      <c r="H65" s="65">
        <v>2.2997934048565084E-2</v>
      </c>
      <c r="I65" s="65">
        <f>0.9607-4.7306*H65^5.4936</f>
        <v>0.96069999527186412</v>
      </c>
      <c r="J65" s="49"/>
      <c r="K65" s="49"/>
      <c r="L65" s="49"/>
      <c r="M65" s="49"/>
      <c r="N65" s="49"/>
      <c r="O65" s="49"/>
      <c r="P65" s="49"/>
    </row>
    <row r="66" spans="8:16" x14ac:dyDescent="0.25">
      <c r="H66" s="65">
        <v>4.0069676396611777E-2</v>
      </c>
      <c r="I66" s="65">
        <f t="shared" ref="I66:I103" si="11">0.9607-4.7306*H66^5.4936</f>
        <v>0.96069990015063689</v>
      </c>
      <c r="J66" s="49"/>
      <c r="K66" s="49"/>
      <c r="L66" s="49"/>
      <c r="M66" s="49"/>
      <c r="N66" s="49"/>
      <c r="O66" s="49"/>
      <c r="P66" s="49"/>
    </row>
    <row r="67" spans="8:16" x14ac:dyDescent="0.25">
      <c r="H67" s="65">
        <v>5.7084370034302737E-2</v>
      </c>
      <c r="I67" s="65">
        <f t="shared" si="11"/>
        <v>0.96069930221892419</v>
      </c>
      <c r="J67" s="49"/>
      <c r="K67" s="49"/>
      <c r="L67" s="49"/>
      <c r="M67" s="49"/>
      <c r="N67" s="49"/>
      <c r="O67" s="49"/>
      <c r="P67" s="49"/>
    </row>
    <row r="68" spans="8:16" x14ac:dyDescent="0.25">
      <c r="H68" s="65">
        <v>7.4140086301005395E-2</v>
      </c>
      <c r="I68" s="65">
        <f t="shared" si="11"/>
        <v>0.96069706613674799</v>
      </c>
      <c r="J68" s="49"/>
      <c r="K68" s="49"/>
      <c r="L68" s="49"/>
      <c r="M68" s="49"/>
      <c r="N68" s="49"/>
      <c r="O68" s="49"/>
      <c r="P68" s="49"/>
    </row>
    <row r="69" spans="8:16" x14ac:dyDescent="0.25">
      <c r="H69" s="65">
        <v>9.1140638350711872E-2</v>
      </c>
      <c r="I69" s="65">
        <f t="shared" si="11"/>
        <v>0.96069088009249737</v>
      </c>
      <c r="J69" s="49"/>
      <c r="K69" s="49"/>
      <c r="L69" s="49"/>
      <c r="M69" s="49"/>
      <c r="N69" s="49"/>
      <c r="O69" s="49"/>
      <c r="P69" s="49"/>
    </row>
    <row r="70" spans="8:16" x14ac:dyDescent="0.25">
      <c r="H70" s="65">
        <v>0.1080445517892699</v>
      </c>
      <c r="I70" s="65">
        <f t="shared" si="11"/>
        <v>0.96067677707250532</v>
      </c>
      <c r="J70" s="49"/>
      <c r="K70" s="49"/>
      <c r="L70" s="49"/>
      <c r="M70" s="49"/>
      <c r="N70" s="49"/>
      <c r="O70" s="49"/>
      <c r="P70" s="49"/>
    </row>
    <row r="71" spans="8:16" x14ac:dyDescent="0.25">
      <c r="H71" s="65">
        <v>0.12497606826753388</v>
      </c>
      <c r="I71" s="65">
        <f t="shared" si="11"/>
        <v>0.96064832931097455</v>
      </c>
      <c r="J71" s="49"/>
      <c r="K71" s="49"/>
      <c r="L71" s="49"/>
      <c r="M71" s="49"/>
      <c r="N71" s="49"/>
      <c r="O71" s="49"/>
      <c r="P71" s="49"/>
    </row>
    <row r="72" spans="8:16" x14ac:dyDescent="0.25">
      <c r="H72" s="65">
        <v>0.14198052165390951</v>
      </c>
      <c r="I72" s="65">
        <f t="shared" si="11"/>
        <v>0.96059586416959553</v>
      </c>
      <c r="J72" s="49"/>
      <c r="K72" s="49"/>
      <c r="L72" s="49"/>
      <c r="M72" s="49"/>
      <c r="N72" s="49"/>
      <c r="O72" s="49"/>
      <c r="P72" s="49"/>
    </row>
    <row r="73" spans="8:16" x14ac:dyDescent="0.25">
      <c r="H73" s="65">
        <v>0.15874470475517963</v>
      </c>
      <c r="I73" s="65">
        <f t="shared" si="11"/>
        <v>0.96050774501333469</v>
      </c>
      <c r="J73" s="49"/>
      <c r="K73" s="49"/>
      <c r="L73" s="49"/>
      <c r="M73" s="49"/>
      <c r="N73" s="49"/>
      <c r="O73" s="49"/>
      <c r="P73" s="49"/>
    </row>
    <row r="74" spans="8:16" x14ac:dyDescent="0.25">
      <c r="H74" s="65">
        <v>0.17553747925232432</v>
      </c>
      <c r="I74" s="65">
        <f t="shared" si="11"/>
        <v>0.96036596922840622</v>
      </c>
      <c r="J74" s="49"/>
      <c r="K74" s="49"/>
      <c r="L74" s="49"/>
      <c r="M74" s="49"/>
      <c r="N74" s="49"/>
      <c r="O74" s="49"/>
      <c r="P74" s="49"/>
    </row>
    <row r="75" spans="8:16" x14ac:dyDescent="0.25">
      <c r="H75" s="65">
        <v>0.19240417629290971</v>
      </c>
      <c r="I75" s="65">
        <f t="shared" si="11"/>
        <v>0.96014706131596883</v>
      </c>
      <c r="J75" s="49"/>
      <c r="K75" s="49"/>
      <c r="L75" s="49"/>
      <c r="M75" s="49"/>
      <c r="N75" s="49"/>
      <c r="O75" s="49"/>
      <c r="P75" s="49"/>
    </row>
    <row r="76" spans="8:16" x14ac:dyDescent="0.25">
      <c r="H76" s="65">
        <v>0.20901220546271423</v>
      </c>
      <c r="I76" s="65">
        <f t="shared" si="11"/>
        <v>0.95982861276776754</v>
      </c>
      <c r="J76" s="49"/>
      <c r="K76" s="49"/>
      <c r="L76" s="49"/>
      <c r="M76" s="49"/>
      <c r="N76" s="49"/>
      <c r="O76" s="49"/>
      <c r="P76" s="49"/>
    </row>
    <row r="77" spans="8:16" x14ac:dyDescent="0.25">
      <c r="H77" s="65">
        <v>0.22582431925537669</v>
      </c>
      <c r="I77" s="65">
        <f t="shared" si="11"/>
        <v>0.95936712016249115</v>
      </c>
      <c r="J77" s="49"/>
      <c r="K77" s="49"/>
      <c r="L77" s="49"/>
      <c r="M77" s="49"/>
      <c r="N77" s="49"/>
      <c r="O77" s="49"/>
      <c r="P77" s="49"/>
    </row>
    <row r="78" spans="8:16" x14ac:dyDescent="0.25">
      <c r="H78" s="65">
        <v>0.24236713011424937</v>
      </c>
      <c r="I78" s="65">
        <f t="shared" si="11"/>
        <v>0.9587345542649145</v>
      </c>
      <c r="J78" s="49"/>
      <c r="K78" s="49"/>
      <c r="L78" s="49"/>
      <c r="M78" s="49"/>
      <c r="N78" s="49"/>
      <c r="O78" s="49"/>
      <c r="P78" s="49"/>
    </row>
    <row r="79" spans="8:16" x14ac:dyDescent="0.25">
      <c r="H79" s="65">
        <v>0.25891734586657894</v>
      </c>
      <c r="I79" s="65">
        <f t="shared" si="11"/>
        <v>0.95787474077490498</v>
      </c>
      <c r="J79" s="49"/>
      <c r="K79" s="49"/>
      <c r="L79" s="49"/>
      <c r="M79" s="49"/>
      <c r="N79" s="49"/>
      <c r="O79" s="49"/>
      <c r="P79" s="49"/>
    </row>
    <row r="80" spans="8:16" x14ac:dyDescent="0.25">
      <c r="H80" s="65">
        <v>0.27532743679881172</v>
      </c>
      <c r="I80" s="65">
        <f t="shared" si="11"/>
        <v>0.95674019869147686</v>
      </c>
      <c r="J80" s="49"/>
      <c r="K80" s="49"/>
      <c r="L80" s="49"/>
      <c r="M80" s="49"/>
      <c r="N80" s="49"/>
      <c r="O80" s="49"/>
      <c r="P80" s="49"/>
    </row>
    <row r="81" spans="8:16" x14ac:dyDescent="0.25">
      <c r="H81" s="65">
        <v>0.29164753874763422</v>
      </c>
      <c r="I81" s="65">
        <f t="shared" si="11"/>
        <v>0.9552667227022632</v>
      </c>
      <c r="J81" s="49"/>
      <c r="K81" s="49"/>
      <c r="L81" s="49"/>
      <c r="M81" s="49"/>
      <c r="N81" s="49"/>
      <c r="O81" s="49"/>
      <c r="P81" s="49"/>
    </row>
    <row r="82" spans="8:16" x14ac:dyDescent="0.25">
      <c r="H82" s="65">
        <v>0.30783618288424536</v>
      </c>
      <c r="I82" s="65">
        <f t="shared" si="11"/>
        <v>0.95338946534358604</v>
      </c>
      <c r="J82" s="49"/>
      <c r="K82" s="49"/>
      <c r="L82" s="49"/>
      <c r="M82" s="49"/>
      <c r="N82" s="49"/>
      <c r="O82" s="49"/>
      <c r="P82" s="49"/>
    </row>
    <row r="83" spans="8:16" x14ac:dyDescent="0.25">
      <c r="H83" s="65">
        <v>0.32384418347196781</v>
      </c>
      <c r="I83" s="65">
        <f t="shared" si="11"/>
        <v>0.9510417457754462</v>
      </c>
      <c r="J83" s="49"/>
      <c r="K83" s="49"/>
      <c r="L83" s="49"/>
      <c r="M83" s="49"/>
      <c r="N83" s="49"/>
      <c r="O83" s="49"/>
      <c r="P83" s="49"/>
    </row>
    <row r="84" spans="8:16" x14ac:dyDescent="0.25">
      <c r="H84" s="65">
        <v>0.33973325501759533</v>
      </c>
      <c r="I84" s="65">
        <f t="shared" si="11"/>
        <v>0.94813460125871862</v>
      </c>
      <c r="J84" s="49"/>
      <c r="K84" s="49"/>
      <c r="L84" s="49"/>
      <c r="M84" s="49"/>
      <c r="N84" s="49"/>
      <c r="O84" s="49"/>
      <c r="P84" s="49"/>
    </row>
    <row r="85" spans="8:16" x14ac:dyDescent="0.25">
      <c r="H85" s="65">
        <v>0.3553317399203158</v>
      </c>
      <c r="I85" s="65">
        <f t="shared" si="11"/>
        <v>0.94462025403007932</v>
      </c>
      <c r="J85" s="49"/>
      <c r="K85" s="49"/>
      <c r="L85" s="49"/>
      <c r="M85" s="49"/>
      <c r="N85" s="49"/>
      <c r="O85" s="49"/>
      <c r="P85" s="49"/>
    </row>
    <row r="86" spans="8:16" x14ac:dyDescent="0.25">
      <c r="H86" s="65">
        <v>0.37078429028268828</v>
      </c>
      <c r="I86" s="65">
        <f t="shared" si="11"/>
        <v>0.94038386265996798</v>
      </c>
      <c r="J86" s="49"/>
      <c r="K86" s="49"/>
      <c r="L86" s="49"/>
      <c r="M86" s="49"/>
      <c r="N86" s="49"/>
      <c r="O86" s="49"/>
      <c r="P86" s="49"/>
    </row>
    <row r="87" spans="8:16" x14ac:dyDescent="0.25">
      <c r="H87" s="65">
        <v>0.38613044476352726</v>
      </c>
      <c r="I87" s="65">
        <f t="shared" si="11"/>
        <v>0.93531376017433265</v>
      </c>
      <c r="J87" s="49"/>
      <c r="K87" s="49"/>
      <c r="L87" s="49"/>
      <c r="M87" s="49"/>
      <c r="N87" s="49"/>
      <c r="O87" s="49"/>
      <c r="P87" s="49"/>
    </row>
    <row r="88" spans="8:16" x14ac:dyDescent="0.25">
      <c r="H88" s="65">
        <v>0.4009921758963842</v>
      </c>
      <c r="I88" s="65">
        <f t="shared" si="11"/>
        <v>0.9294605340280836</v>
      </c>
      <c r="J88" s="49"/>
      <c r="K88" s="49"/>
      <c r="L88" s="49"/>
      <c r="M88" s="49"/>
      <c r="N88" s="49"/>
      <c r="O88" s="49"/>
      <c r="P88" s="49"/>
    </row>
    <row r="89" spans="8:16" x14ac:dyDescent="0.25">
      <c r="H89" s="65">
        <v>0.4156182923872962</v>
      </c>
      <c r="I89" s="65">
        <f t="shared" si="11"/>
        <v>0.92266554681116675</v>
      </c>
      <c r="J89" s="49"/>
      <c r="K89" s="49"/>
      <c r="L89" s="49"/>
      <c r="M89" s="49"/>
      <c r="N89" s="49"/>
      <c r="O89" s="49"/>
      <c r="P89" s="49"/>
    </row>
    <row r="90" spans="8:16" x14ac:dyDescent="0.25">
      <c r="H90" s="65">
        <v>0.42943502667027428</v>
      </c>
      <c r="I90" s="65">
        <f t="shared" si="11"/>
        <v>0.91518005393160451</v>
      </c>
      <c r="J90" s="49"/>
      <c r="K90" s="49"/>
      <c r="L90" s="49"/>
      <c r="M90" s="49"/>
      <c r="N90" s="49"/>
      <c r="O90" s="49"/>
      <c r="P90" s="49"/>
    </row>
    <row r="91" spans="8:16" x14ac:dyDescent="0.25">
      <c r="H91" s="65">
        <v>0.44289756776749095</v>
      </c>
      <c r="I91" s="65">
        <f t="shared" si="11"/>
        <v>0.90676781562690745</v>
      </c>
      <c r="J91" s="49"/>
      <c r="K91" s="49"/>
      <c r="L91" s="49"/>
      <c r="M91" s="49"/>
      <c r="N91" s="49"/>
      <c r="O91" s="49"/>
      <c r="P91" s="49"/>
    </row>
    <row r="92" spans="8:16" x14ac:dyDescent="0.25">
      <c r="H92" s="65">
        <v>0.45543894715911687</v>
      </c>
      <c r="I92" s="65">
        <f t="shared" si="11"/>
        <v>0.8978264196536544</v>
      </c>
      <c r="J92" s="49"/>
      <c r="K92" s="49"/>
      <c r="L92" s="49"/>
      <c r="M92" s="49"/>
      <c r="N92" s="49"/>
      <c r="O92" s="49"/>
      <c r="P92" s="49"/>
    </row>
    <row r="93" spans="8:16" x14ac:dyDescent="0.25">
      <c r="H93" s="65">
        <v>0.46783735943015631</v>
      </c>
      <c r="I93" s="65">
        <f t="shared" si="11"/>
        <v>0.88782986594798696</v>
      </c>
      <c r="J93" s="49"/>
      <c r="K93" s="49"/>
      <c r="L93" s="49"/>
      <c r="M93" s="49"/>
      <c r="N93" s="49"/>
      <c r="O93" s="49"/>
      <c r="P93" s="49"/>
    </row>
    <row r="94" spans="8:16" x14ac:dyDescent="0.25">
      <c r="H94" s="65">
        <v>0.47863400366300879</v>
      </c>
      <c r="I94" s="65">
        <f t="shared" si="11"/>
        <v>0.87809930065247099</v>
      </c>
      <c r="J94" s="49"/>
      <c r="K94" s="49"/>
      <c r="L94" s="49"/>
      <c r="M94" s="49"/>
      <c r="N94" s="49"/>
      <c r="O94" s="49"/>
      <c r="P94" s="49"/>
    </row>
    <row r="95" spans="8:16" x14ac:dyDescent="0.25">
      <c r="H95" s="65">
        <v>0.48872859410433517</v>
      </c>
      <c r="I95" s="65">
        <f t="shared" si="11"/>
        <v>0.86806420907654658</v>
      </c>
      <c r="J95" s="49"/>
      <c r="K95" s="49"/>
      <c r="L95" s="49"/>
      <c r="M95" s="49"/>
      <c r="N95" s="49"/>
      <c r="O95" s="49"/>
      <c r="P95" s="49"/>
    </row>
    <row r="96" spans="8:16" x14ac:dyDescent="0.25">
      <c r="H96" s="65">
        <v>0.49808648675762501</v>
      </c>
      <c r="I96" s="65">
        <f t="shared" si="11"/>
        <v>0.85789135070590561</v>
      </c>
      <c r="J96" s="49"/>
      <c r="K96" s="49"/>
      <c r="L96" s="49"/>
      <c r="M96" s="49"/>
      <c r="N96" s="49"/>
      <c r="O96" s="49"/>
      <c r="P96" s="49"/>
    </row>
    <row r="97" spans="8:16" x14ac:dyDescent="0.25">
      <c r="H97" s="65">
        <v>0.50622094031681064</v>
      </c>
      <c r="I97" s="65">
        <f t="shared" si="11"/>
        <v>0.84832258576955888</v>
      </c>
      <c r="J97" s="49"/>
      <c r="K97" s="49"/>
      <c r="L97" s="49"/>
      <c r="M97" s="49"/>
      <c r="N97" s="49"/>
      <c r="O97" s="49"/>
      <c r="P97" s="49"/>
    </row>
    <row r="98" spans="8:16" x14ac:dyDescent="0.25">
      <c r="H98" s="65">
        <v>0.51358901063162188</v>
      </c>
      <c r="I98" s="65">
        <f t="shared" si="11"/>
        <v>0.83903805353871075</v>
      </c>
      <c r="J98" s="49"/>
      <c r="K98" s="49"/>
      <c r="L98" s="49"/>
      <c r="M98" s="49"/>
      <c r="N98" s="49"/>
      <c r="O98" s="49"/>
      <c r="P98" s="49"/>
    </row>
    <row r="99" spans="8:16" x14ac:dyDescent="0.25">
      <c r="H99" s="65">
        <v>0.51988812196851808</v>
      </c>
      <c r="I99" s="65">
        <f t="shared" si="11"/>
        <v>0.83061152362625557</v>
      </c>
      <c r="J99" s="49"/>
      <c r="K99" s="49"/>
      <c r="L99" s="49"/>
      <c r="M99" s="49"/>
      <c r="N99" s="49"/>
      <c r="O99" s="49"/>
      <c r="P99" s="49"/>
    </row>
    <row r="100" spans="8:16" x14ac:dyDescent="0.25">
      <c r="H100" s="65">
        <v>0.52654380991188665</v>
      </c>
      <c r="I100" s="65">
        <f t="shared" si="11"/>
        <v>0.82119529340907471</v>
      </c>
      <c r="J100" s="49"/>
      <c r="K100" s="49"/>
      <c r="L100" s="49"/>
      <c r="M100" s="49"/>
      <c r="N100" s="49"/>
      <c r="O100" s="49"/>
      <c r="P100" s="49"/>
    </row>
    <row r="101" spans="8:16" x14ac:dyDescent="0.25">
      <c r="H101" s="65">
        <v>0.53210746291493216</v>
      </c>
      <c r="I101" s="65">
        <f t="shared" si="11"/>
        <v>0.81290278287272222</v>
      </c>
      <c r="J101" s="49"/>
      <c r="K101" s="49"/>
      <c r="L101" s="49"/>
      <c r="M101" s="49"/>
      <c r="N101" s="49"/>
      <c r="O101" s="49"/>
      <c r="P101" s="49"/>
    </row>
    <row r="102" spans="8:16" x14ac:dyDescent="0.25">
      <c r="H102" s="65">
        <v>0.53593356457098895</v>
      </c>
      <c r="I102" s="65">
        <f t="shared" si="11"/>
        <v>0.80696945006335929</v>
      </c>
      <c r="J102" s="49"/>
      <c r="K102" s="49"/>
      <c r="L102" s="49"/>
      <c r="M102" s="49"/>
      <c r="N102" s="49"/>
      <c r="O102" s="49"/>
      <c r="P102" s="49"/>
    </row>
    <row r="103" spans="8:16" x14ac:dyDescent="0.25">
      <c r="H103" s="65">
        <v>0.53837802652041589</v>
      </c>
      <c r="I103" s="65">
        <f t="shared" si="11"/>
        <v>0.80307773548823957</v>
      </c>
      <c r="J103" s="49"/>
      <c r="K103" s="49"/>
      <c r="L103" s="49"/>
      <c r="M103" s="49"/>
      <c r="N103" s="49"/>
      <c r="O103" s="49"/>
      <c r="P103" s="49"/>
    </row>
    <row r="104" spans="8:16" x14ac:dyDescent="0.25">
      <c r="K104" s="49"/>
      <c r="L104" s="49"/>
      <c r="M104" s="49"/>
      <c r="N104" s="49"/>
      <c r="O104" s="49"/>
      <c r="P104" s="49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2024-10-04T00:24:04Z</dcterms:modified>
</cp:coreProperties>
</file>