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Jupyter/"/>
    </mc:Choice>
  </mc:AlternateContent>
  <xr:revisionPtr revIDLastSave="822" documentId="8_{31750E0B-A732-4503-8EA8-2753BAB2D178}" xr6:coauthVersionLast="47" xr6:coauthVersionMax="47" xr10:uidLastSave="{13A6F5E0-D71B-4AB3-BEEC-CAAF81D86158}"/>
  <bookViews>
    <workbookView xWindow="-120" yWindow="-120" windowWidth="29040" windowHeight="15720" xr2:uid="{A43CA30C-0C57-4CA9-B7DA-D833452F41BC}"/>
  </bookViews>
  <sheets>
    <sheet name="Constants and assumptions" sheetId="2" r:id="rId1"/>
    <sheet name="Products" sheetId="7" r:id="rId2"/>
    <sheet name="Utilities" sheetId="3" r:id="rId3"/>
    <sheet name="Kas Smith curvefit (copy)" sheetId="8" r:id="rId4"/>
  </sheets>
  <externalReferences>
    <externalReference r:id="rId5"/>
  </externalReference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assumptions'!$C$6</definedName>
    <definedName name="crossover_alkaline">'Constants and assumptions'!$C$7</definedName>
    <definedName name="crossover_neutral">'Constants and assumptions'!$C$8</definedName>
    <definedName name="F">'Constants and assumptions'!$C$14</definedName>
    <definedName name="K_to_C">'Constants and assumptions'!$C$33</definedName>
    <definedName name="kJ_per_kWh">'Constants and assumptions'!$C$34</definedName>
    <definedName name="kJ_per_mmBtu">'Constants and assumptions'!$C$35</definedName>
    <definedName name="kWh_per_mmBtu">'Constants and assumptions'!$C$36</definedName>
    <definedName name="mol_s_per_mA">'Kas Smith curvefit (copy)'!$B$12</definedName>
    <definedName name="mol_s_per_sccm">'Kas Smith curvefit (copy)'!$B$11</definedName>
    <definedName name="MW_CO">Products!$C$3</definedName>
    <definedName name="P">'Constants and assumptions'!$C$20</definedName>
    <definedName name="R_">'Constants and assumptions'!$C$15</definedName>
    <definedName name="separation_efficiency">'Constants and assumptions'!$C$11</definedName>
    <definedName name="T">'Constants and assumptions'!$C$32</definedName>
    <definedName name="T_sep">'Constants and assumptions'!$C$31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2" l="1"/>
  <c r="C4" i="2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65" i="8"/>
  <c r="B11" i="8"/>
  <c r="B10" i="8"/>
  <c r="B12" i="8"/>
  <c r="H58" i="8" l="1"/>
  <c r="I58" i="8" s="1"/>
  <c r="H57" i="8"/>
  <c r="I57" i="8" s="1"/>
  <c r="H56" i="8"/>
  <c r="I56" i="8" s="1"/>
  <c r="H55" i="8"/>
  <c r="I55" i="8" s="1"/>
  <c r="H54" i="8"/>
  <c r="I54" i="8" s="1"/>
  <c r="H53" i="8"/>
  <c r="I53" i="8" s="1"/>
  <c r="H52" i="8"/>
  <c r="I52" i="8" s="1"/>
  <c r="H51" i="8"/>
  <c r="I51" i="8" s="1"/>
  <c r="H50" i="8"/>
  <c r="I50" i="8" s="1"/>
  <c r="H49" i="8"/>
  <c r="I49" i="8" s="1"/>
  <c r="H48" i="8"/>
  <c r="I48" i="8" s="1"/>
  <c r="K47" i="8"/>
  <c r="L47" i="8" s="1"/>
  <c r="H47" i="8"/>
  <c r="J47" i="8" s="1"/>
  <c r="K46" i="8"/>
  <c r="L46" i="8" s="1"/>
  <c r="H46" i="8"/>
  <c r="I46" i="8" s="1"/>
  <c r="K45" i="8"/>
  <c r="L45" i="8" s="1"/>
  <c r="H45" i="8"/>
  <c r="I45" i="8" s="1"/>
  <c r="K44" i="8"/>
  <c r="L44" i="8" s="1"/>
  <c r="H44" i="8"/>
  <c r="I44" i="8" s="1"/>
  <c r="K43" i="8"/>
  <c r="L43" i="8" s="1"/>
  <c r="H43" i="8"/>
  <c r="I43" i="8" s="1"/>
  <c r="K42" i="8"/>
  <c r="L42" i="8" s="1"/>
  <c r="H42" i="8"/>
  <c r="J42" i="8" s="1"/>
  <c r="K41" i="8"/>
  <c r="L41" i="8" s="1"/>
  <c r="H41" i="8"/>
  <c r="K40" i="8"/>
  <c r="L40" i="8" s="1"/>
  <c r="H40" i="8"/>
  <c r="K39" i="8"/>
  <c r="L39" i="8" s="1"/>
  <c r="H39" i="8"/>
  <c r="K38" i="8"/>
  <c r="L38" i="8" s="1"/>
  <c r="H38" i="8"/>
  <c r="K37" i="8"/>
  <c r="L37" i="8" s="1"/>
  <c r="H37" i="8"/>
  <c r="K36" i="8"/>
  <c r="L36" i="8" s="1"/>
  <c r="H36" i="8"/>
  <c r="K35" i="8"/>
  <c r="L35" i="8" s="1"/>
  <c r="H35" i="8"/>
  <c r="K34" i="8"/>
  <c r="L34" i="8" s="1"/>
  <c r="H34" i="8"/>
  <c r="K33" i="8"/>
  <c r="L33" i="8" s="1"/>
  <c r="H33" i="8"/>
  <c r="K32" i="8"/>
  <c r="L32" i="8" s="1"/>
  <c r="H32" i="8"/>
  <c r="N31" i="8"/>
  <c r="O31" i="8" s="1"/>
  <c r="K31" i="8"/>
  <c r="L31" i="8" s="1"/>
  <c r="H31" i="8"/>
  <c r="N30" i="8"/>
  <c r="O30" i="8" s="1"/>
  <c r="K30" i="8"/>
  <c r="L30" i="8" s="1"/>
  <c r="H30" i="8"/>
  <c r="N29" i="8"/>
  <c r="O29" i="8" s="1"/>
  <c r="K29" i="8"/>
  <c r="L29" i="8" s="1"/>
  <c r="H29" i="8"/>
  <c r="N28" i="8"/>
  <c r="O28" i="8" s="1"/>
  <c r="K28" i="8"/>
  <c r="L28" i="8" s="1"/>
  <c r="H28" i="8"/>
  <c r="N27" i="8"/>
  <c r="O27" i="8" s="1"/>
  <c r="K27" i="8"/>
  <c r="L27" i="8" s="1"/>
  <c r="H27" i="8"/>
  <c r="N26" i="8"/>
  <c r="O26" i="8" s="1"/>
  <c r="K26" i="8"/>
  <c r="L26" i="8" s="1"/>
  <c r="H26" i="8"/>
  <c r="N25" i="8"/>
  <c r="O25" i="8" s="1"/>
  <c r="K25" i="8"/>
  <c r="L25" i="8" s="1"/>
  <c r="H25" i="8"/>
  <c r="N24" i="8"/>
  <c r="O24" i="8" s="1"/>
  <c r="K24" i="8"/>
  <c r="L24" i="8" s="1"/>
  <c r="H24" i="8"/>
  <c r="N23" i="8"/>
  <c r="O23" i="8" s="1"/>
  <c r="K23" i="8"/>
  <c r="L23" i="8" s="1"/>
  <c r="H23" i="8"/>
  <c r="N22" i="8"/>
  <c r="O22" i="8" s="1"/>
  <c r="K22" i="8"/>
  <c r="L22" i="8" s="1"/>
  <c r="H22" i="8"/>
  <c r="N21" i="8"/>
  <c r="O21" i="8" s="1"/>
  <c r="K21" i="8"/>
  <c r="L21" i="8" s="1"/>
  <c r="H21" i="8"/>
  <c r="N20" i="8"/>
  <c r="O20" i="8" s="1"/>
  <c r="K20" i="8"/>
  <c r="L20" i="8" s="1"/>
  <c r="H20" i="8"/>
  <c r="C21" i="2"/>
  <c r="B7" i="3"/>
  <c r="B11" i="3" s="1"/>
  <c r="J54" i="8" l="1"/>
  <c r="J51" i="8"/>
  <c r="J43" i="8"/>
  <c r="M47" i="8"/>
  <c r="M40" i="8"/>
  <c r="M32" i="8"/>
  <c r="M24" i="8"/>
  <c r="I20" i="8"/>
  <c r="J20" i="8"/>
  <c r="I31" i="8"/>
  <c r="J31" i="8"/>
  <c r="I26" i="8"/>
  <c r="J26" i="8"/>
  <c r="I39" i="8"/>
  <c r="J39" i="8"/>
  <c r="I29" i="8"/>
  <c r="J29" i="8"/>
  <c r="M41" i="8"/>
  <c r="I32" i="8"/>
  <c r="J32" i="8"/>
  <c r="I36" i="8"/>
  <c r="J36" i="8"/>
  <c r="I40" i="8"/>
  <c r="J40" i="8"/>
  <c r="P28" i="8"/>
  <c r="I27" i="8"/>
  <c r="J27" i="8"/>
  <c r="M39" i="8"/>
  <c r="P27" i="8"/>
  <c r="I25" i="8"/>
  <c r="J25" i="8"/>
  <c r="I28" i="8"/>
  <c r="J28" i="8"/>
  <c r="I34" i="8"/>
  <c r="J34" i="8"/>
  <c r="I38" i="8"/>
  <c r="J38" i="8"/>
  <c r="I23" i="8"/>
  <c r="J23" i="8"/>
  <c r="M30" i="8"/>
  <c r="I35" i="8"/>
  <c r="J35" i="8"/>
  <c r="J21" i="8"/>
  <c r="I21" i="8"/>
  <c r="M22" i="8"/>
  <c r="I24" i="8"/>
  <c r="J24" i="8"/>
  <c r="I22" i="8"/>
  <c r="J22" i="8"/>
  <c r="I30" i="8"/>
  <c r="J30" i="8"/>
  <c r="I33" i="8"/>
  <c r="J33" i="8"/>
  <c r="I37" i="8"/>
  <c r="J37" i="8"/>
  <c r="I41" i="8"/>
  <c r="J41" i="8"/>
  <c r="M37" i="8"/>
  <c r="P26" i="8"/>
  <c r="M33" i="8"/>
  <c r="P24" i="8"/>
  <c r="M23" i="8"/>
  <c r="M38" i="8"/>
  <c r="P25" i="8"/>
  <c r="M29" i="8"/>
  <c r="M46" i="8"/>
  <c r="M21" i="8"/>
  <c r="P20" i="8"/>
  <c r="M45" i="8"/>
  <c r="M36" i="8"/>
  <c r="M28" i="8"/>
  <c r="M20" i="8"/>
  <c r="P31" i="8"/>
  <c r="P23" i="8"/>
  <c r="M25" i="8"/>
  <c r="M44" i="8"/>
  <c r="M35" i="8"/>
  <c r="M27" i="8"/>
  <c r="P30" i="8"/>
  <c r="P22" i="8"/>
  <c r="M42" i="8"/>
  <c r="M31" i="8"/>
  <c r="J56" i="8"/>
  <c r="M43" i="8"/>
  <c r="M34" i="8"/>
  <c r="M26" i="8"/>
  <c r="P29" i="8"/>
  <c r="P21" i="8"/>
  <c r="I42" i="8"/>
  <c r="J44" i="8"/>
  <c r="J48" i="8"/>
  <c r="J45" i="8"/>
  <c r="J52" i="8"/>
  <c r="J55" i="8"/>
  <c r="J46" i="8"/>
  <c r="J49" i="8"/>
  <c r="J57" i="8"/>
  <c r="J50" i="8"/>
  <c r="J58" i="8"/>
  <c r="J53" i="8"/>
  <c r="I47" i="8"/>
  <c r="C2" i="7" l="1"/>
  <c r="K3" i="7"/>
  <c r="C35" i="2" l="1"/>
  <c r="C34" i="2"/>
  <c r="C8" i="3" l="1"/>
  <c r="B6" i="3"/>
  <c r="C12" i="3" l="1"/>
  <c r="C36" i="2" l="1"/>
  <c r="C6" i="3" l="1"/>
  <c r="C7" i="3" a="1"/>
  <c r="C7" i="3" s="1"/>
  <c r="C11" i="3" s="1"/>
  <c r="B8" i="3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tc={3216AF0C-22FC-4B5E-B4DB-2CB12067479A}</author>
  </authors>
  <commentList>
    <comment ref="I5" authorId="0" shapeId="0" xr:uid="{3216AF0C-22FC-4B5E-B4DB-2CB12067479A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from thermodynamics assuming aqueous state for products and standard states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<sst xmlns="http://schemas.openxmlformats.org/spreadsheetml/2006/main" count="231" uniqueCount="174">
  <si>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</si>
  <si>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</si>
  <si>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</si>
  <si>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</si>
  <si>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</si>
  <si>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</si>
  <si>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</si>
  <si>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</si>
  <si>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</si>
  <si>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</si>
  <si>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</si>
  <si>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</si>
  <si>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</si>
  <si>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T</t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</si>
  <si>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</si>
  <si>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</si>
  <si>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</si>
  <si>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</si>
  <si>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</si>
  <si>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</si>
  <si>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</si>
  <si>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</si>
  <si>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</si>
  <si>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</si>
  <si>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</si>
  <si>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</si>
  <si>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</si>
  <si>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</si>
  <si>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</si>
  <si>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</si>
  <si>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</si>
  <si>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</si>
  <si>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</si>
  <si>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crossover_acid</t>
  </si>
  <si>
    <t>crossover_neutral</t>
  </si>
  <si>
    <t>crossover_alkaline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</si>
  <si>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</si>
  <si>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</si>
  <si>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</si>
  <si>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</si>
  <si>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</si>
  <si>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</si>
  <si>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</si>
  <si>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</si>
  <si>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</si>
  <si>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R_ohmcm2</t>
  </si>
  <si>
    <t>MW_CO2</t>
  </si>
  <si>
    <t>MW_H2O</t>
  </si>
  <si>
    <t>Shin, Jiao assumption</t>
  </si>
  <si>
    <t>MW_O2</t>
  </si>
  <si>
    <t>density_kgm3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</si>
  <si>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</si>
  <si>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</si>
  <si>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</si>
  <si>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</si>
  <si>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</si>
  <si>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</si>
  <si>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</si>
  <si>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Ethylene</t>
  </si>
  <si>
    <t>Engineering Toolbox, Engineering Toolbox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</si>
  <si>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</si>
  <si>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</si>
  <si>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</si>
  <si>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</si>
  <si>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</si>
  <si>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</si>
  <si>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</si>
  <si>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</si>
  <si>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Standard potential (V vs RHE)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</si>
  <si>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</si>
  <si>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</si>
  <si>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</si>
  <si>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</si>
  <si>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</si>
  <si>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</si>
  <si>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</si>
  <si>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</si>
  <si>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</si>
  <si>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</si>
  <si>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</si>
  <si>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</si>
  <si>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</si>
  <si>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</si>
  <si>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electrolyte_conc</t>
  </si>
  <si>
    <t>Optimal SPC @ 7.6 c/kWh, Hawks model</t>
  </si>
  <si>
    <t>Optimal j @ 7.6 c/kWh, Hawks model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</si>
  <si>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</si>
  <si>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</si>
  <si>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</si>
  <si>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</si>
  <si>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</si>
  <si>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</si>
  <si>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</si>
  <si>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</si>
  <si>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</si>
  <si>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</si>
  <si>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acidic electrolyte</t>
  </si>
  <si>
    <t>Crossover: alkaline electrolyte</t>
  </si>
  <si>
    <t>Crossover: neutral electrolyte</t>
  </si>
  <si>
    <t>Density: salt solutions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</si>
  <si>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</si>
  <si>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</si>
  <si>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</si>
  <si>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</si>
  <si>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</si>
  <si>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</si>
  <si>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</si>
  <si>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</si>
  <si>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</si>
  <si>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</si>
  <si>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</si>
  <si>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</si>
  <si>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</si>
  <si>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</si>
  <si>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</si>
  <si>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</si>
  <si>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Electrolyzer assumption: Ohmic resistance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</si>
  <si>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</si>
  <si>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</si>
  <si>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</si>
  <si>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</si>
  <si>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</si>
  <si>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</si>
  <si>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</si>
  <si>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</si>
  <si>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</si>
  <si>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</si>
  <si>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</si>
  <si>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</si>
  <si>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15 mL/min</t>
  </si>
  <si>
    <t>10 mL/min</t>
  </si>
  <si>
    <t>5 mL/min</t>
  </si>
  <si>
    <t>Functional form</t>
  </si>
  <si>
    <t>mol/s per sccm</t>
  </si>
  <si>
    <r>
      <t>mol/s per mA (2 e</t>
    </r>
    <r>
      <rPr>
        <vertAlign val="superscript"/>
        <sz val="11"/>
        <rFont val="Arial Nova"/>
        <family val="2"/>
      </rPr>
      <t>-</t>
    </r>
    <r>
      <rPr>
        <sz val="11"/>
        <rFont val="Arial Nova"/>
        <family val="2"/>
      </rPr>
      <t>)</t>
    </r>
  </si>
  <si>
    <t>mol/s per mA</t>
  </si>
  <si>
    <t>Source</t>
  </si>
  <si>
    <t>mol/s per ccm NTP</t>
  </si>
  <si>
    <t>Data</t>
  </si>
  <si>
    <t>Derived data</t>
  </si>
  <si>
    <t>mol/s water per mol/s oxygen</t>
  </si>
  <si>
    <t>Concentration: neutral electrolyte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</si>
  <si>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</si>
  <si>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</si>
  <si>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</si>
  <si>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</si>
  <si>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</si>
  <si>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</si>
  <si>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</si>
  <si>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</si>
  <si>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</si>
  <si>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</si>
  <si>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</si>
  <si>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</si>
  <si>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</si>
  <si>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Jouny, Jiao (Ind. &amp; Eng. Chem. 2019) - but $0.6 in Guerra, Hodge - Joule 2023</t>
  </si>
  <si>
    <t>George (Kirk-Othmer Encyclopedia 2001); but $0.1 (syngas?) in Guerra, Hodge (Joule, 2023)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</si>
  <si>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</si>
  <si>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</si>
  <si>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</si>
  <si>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</si>
  <si>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</si>
  <si>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</si>
  <si>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</si>
  <si>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</si>
  <si>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r>
      <t>FE</t>
    </r>
    <r>
      <rPr>
        <vertAlign val="subscript"/>
        <sz val="11"/>
        <color theme="1"/>
        <rFont val="Arial Nova"/>
        <family val="2"/>
      </rPr>
      <t>CO</t>
    </r>
    <r>
      <rPr>
        <sz val="11"/>
        <color theme="1"/>
        <rFont val="Arial Nova"/>
        <family val="2"/>
      </rPr>
      <t xml:space="preserve"> = 0.9607 - 4.7306·X</t>
    </r>
    <r>
      <rPr>
        <vertAlign val="subscript"/>
        <sz val="11"/>
        <color theme="1"/>
        <rFont val="Arial Nova"/>
        <family val="2"/>
      </rPr>
      <t>CO2</t>
    </r>
    <r>
      <rPr>
        <vertAlign val="superscript"/>
        <sz val="11"/>
        <color theme="1"/>
        <rFont val="Arial Nova"/>
        <family val="2"/>
      </rPr>
      <t>5.4936</t>
    </r>
  </si>
  <si>
    <t>K to °C</t>
  </si>
  <si>
    <r>
      <t>j</t>
    </r>
    <r>
      <rPr>
        <b/>
        <vertAlign val="subscript"/>
        <sz val="11"/>
        <color theme="1"/>
        <rFont val="Arial Nova"/>
        <family val="2"/>
      </rPr>
      <t>total</t>
    </r>
  </si>
  <si>
    <r>
      <t>FE</t>
    </r>
    <r>
      <rPr>
        <b/>
        <vertAlign val="subscript"/>
        <sz val="11"/>
        <color theme="1"/>
        <rFont val="Arial Nova"/>
        <family val="2"/>
      </rPr>
      <t>CO</t>
    </r>
  </si>
  <si>
    <r>
      <t>X</t>
    </r>
    <r>
      <rPr>
        <b/>
        <vertAlign val="subscript"/>
        <sz val="11"/>
        <color theme="1"/>
        <rFont val="Arial Nova"/>
        <family val="2"/>
      </rPr>
      <t>CO2</t>
    </r>
  </si>
  <si>
    <r>
      <t>0.9607-FE</t>
    </r>
    <r>
      <rPr>
        <b/>
        <vertAlign val="subscript"/>
        <sz val="11"/>
        <color theme="1"/>
        <rFont val="Arial Nova"/>
        <family val="2"/>
      </rPr>
      <t>CO</t>
    </r>
  </si>
  <si>
    <t xml:space="preserve">Data from </t>
  </si>
  <si>
    <t>Kas, R.; Yang, K.; Yewale, G. P.; Crow, A.; Burdyny, T.; Smith, W. A. Modeling the Local Environment within Porous Electrode during Electrochemical Reduction of Bicarbonate. Ind. Eng. Chem. Res. 2022, 61 (29), 10461–10473. https://doi.org/10.1021/acs.iecr.2c00352.</t>
  </si>
  <si>
    <t>Gas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</si>
</sst>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b/>
      <i/>
      <sz val="11"/>
      <color theme="1"/>
      <name val="Arial Nova"/>
      <family val="2"/>
    </font>
    <font>
      <strike/>
      <sz val="11"/>
      <color theme="0" tint="-0.34998626667073579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2" fontId="4" fillId="0" borderId="9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6" fontId="4" fillId="3" borderId="0" xfId="2" applyNumberFormat="1" applyFont="1" applyFill="1" applyAlignment="1">
      <alignment horizontal="left" vertical="center"/>
    </xf>
    <xf numFmtId="166" fontId="4" fillId="3" borderId="0" xfId="2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6" fillId="0" borderId="10" xfId="0" applyNumberFormat="1" applyFont="1" applyBorder="1" applyAlignment="1">
      <alignment horizontal="center" vertical="center" wrapText="1"/>
    </xf>
    <xf numFmtId="166" fontId="6" fillId="0" borderId="11" xfId="0" applyNumberFormat="1" applyFont="1" applyBorder="1" applyAlignment="1">
      <alignment horizontal="center" vertical="center" wrapText="1"/>
    </xf>
    <xf numFmtId="166" fontId="7" fillId="2" borderId="0" xfId="0" applyNumberFormat="1" applyFont="1" applyFill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66" fontId="22" fillId="0" borderId="1" xfId="2" applyNumberFormat="1" applyFont="1" applyBorder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166" fontId="4" fillId="3" borderId="1" xfId="2" applyNumberFormat="1" applyFont="1" applyFill="1" applyBorder="1" applyAlignment="1">
      <alignment horizontal="center"/>
    </xf>
    <xf numFmtId="166" fontId="4" fillId="0" borderId="0" xfId="2" applyNumberFormat="1" applyFont="1" applyBorder="1" applyAlignment="1">
      <alignment horizontal="center"/>
    </xf>
    <xf numFmtId="166" fontId="3" fillId="0" borderId="1" xfId="2" applyNumberFormat="1" applyFont="1" applyFill="1" applyBorder="1" applyAlignment="1">
      <alignment horizontal="center"/>
    </xf>
    <xf numFmtId="166" fontId="7" fillId="0" borderId="1" xfId="2" applyNumberFormat="1" applyFont="1" applyFill="1" applyBorder="1" applyAlignment="1">
      <alignment horizontal="center"/>
    </xf>
    <xf numFmtId="0" fontId="20" fillId="0" borderId="0" xfId="3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21" fillId="0" borderId="1" xfId="0" applyNumberFormat="1" applyFon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166" formatCode="0.000"/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font>
        <outline val="0"/>
        <shadow val="0"/>
        <u val="none"/>
        <sz val="11"/>
        <name val="Arial Nova"/>
        <family val="2"/>
        <scheme val="none"/>
      </font>
      <numFmt numFmtId="166" formatCode="0.0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_(&quot;$&quot;* #,##0.000_);_(&quot;$&quot;* \(#,##0.000\);_(&quot;$&quot;* &quot;-&quot;??_);_(@_)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25400">
              <a:noFill/>
            </a:ln>
          </c:spPr>
          <c:marker>
            <c:symbol val="triangle"/>
            <c:size val="9"/>
            <c:spPr>
              <a:solidFill>
                <a:srgbClr val="70AD47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(copy)'!$N$20:$N$31</c:f>
              <c:numCache>
                <c:formatCode>0.000</c:formatCode>
                <c:ptCount val="12"/>
                <c:pt idx="0">
                  <c:v>0.95562695969348599</c:v>
                </c:pt>
                <c:pt idx="1">
                  <c:v>0.95415391497622193</c:v>
                </c:pt>
                <c:pt idx="2">
                  <c:v>0.95202953264338408</c:v>
                </c:pt>
                <c:pt idx="3">
                  <c:v>0.94892814388718194</c:v>
                </c:pt>
                <c:pt idx="4">
                  <c:v>0.94408985482277996</c:v>
                </c:pt>
                <c:pt idx="5">
                  <c:v>0.93816600306575293</c:v>
                </c:pt>
                <c:pt idx="6">
                  <c:v>0.92920257576937504</c:v>
                </c:pt>
                <c:pt idx="7">
                  <c:v>0.91220598454756896</c:v>
                </c:pt>
                <c:pt idx="8">
                  <c:v>0.883480463141608</c:v>
                </c:pt>
                <c:pt idx="9">
                  <c:v>0.85443808514265895</c:v>
                </c:pt>
                <c:pt idx="10">
                  <c:v>0.96088498964897695</c:v>
                </c:pt>
                <c:pt idx="11">
                  <c:v>0.96083483050770102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1B-4219-8B6C-493839841836}"/>
            </c:ext>
          </c:extLst>
        </c:ser>
        <c:ser>
          <c:idx val="0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>
                  <a:alpha val="55000"/>
                </a:srgbClr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(copy)'!$K$20:$K$47</c:f>
              <c:numCache>
                <c:formatCode>0.000</c:formatCode>
                <c:ptCount val="28"/>
                <c:pt idx="0">
                  <c:v>0.95274625944703206</c:v>
                </c:pt>
                <c:pt idx="1">
                  <c:v>0.95094754592198105</c:v>
                </c:pt>
                <c:pt idx="2">
                  <c:v>0.94980017001250505</c:v>
                </c:pt>
                <c:pt idx="3">
                  <c:v>0.94886990664155402</c:v>
                </c:pt>
                <c:pt idx="4">
                  <c:v>0.94685408057797804</c:v>
                </c:pt>
                <c:pt idx="5">
                  <c:v>0.94570670466850204</c:v>
                </c:pt>
                <c:pt idx="6">
                  <c:v>0.94314809725861293</c:v>
                </c:pt>
                <c:pt idx="7">
                  <c:v>0.93972103969462395</c:v>
                </c:pt>
                <c:pt idx="8">
                  <c:v>0.93585975705358504</c:v>
                </c:pt>
                <c:pt idx="9">
                  <c:v>0.93178136187402005</c:v>
                </c:pt>
                <c:pt idx="10">
                  <c:v>0.92618317892478108</c:v>
                </c:pt>
                <c:pt idx="11">
                  <c:v>0.92015077089849096</c:v>
                </c:pt>
                <c:pt idx="12">
                  <c:v>0.91140445614063792</c:v>
                </c:pt>
                <c:pt idx="13">
                  <c:v>0.90178969122868491</c:v>
                </c:pt>
                <c:pt idx="14">
                  <c:v>0.88913535077738004</c:v>
                </c:pt>
                <c:pt idx="15">
                  <c:v>0.87496122255640107</c:v>
                </c:pt>
                <c:pt idx="16">
                  <c:v>0.85807318760385798</c:v>
                </c:pt>
                <c:pt idx="17">
                  <c:v>0.83901402726606411</c:v>
                </c:pt>
                <c:pt idx="18">
                  <c:v>0.81854363542785802</c:v>
                </c:pt>
                <c:pt idx="19">
                  <c:v>0.79742190597407603</c:v>
                </c:pt>
                <c:pt idx="20">
                  <c:v>0.78051409371130209</c:v>
                </c:pt>
                <c:pt idx="21">
                  <c:v>0.96087586980510908</c:v>
                </c:pt>
                <c:pt idx="22">
                  <c:v>0.95876006602766906</c:v>
                </c:pt>
                <c:pt idx="23">
                  <c:v>0.95869622712059099</c:v>
                </c:pt>
                <c:pt idx="24">
                  <c:v>0.95863694813544797</c:v>
                </c:pt>
                <c:pt idx="25">
                  <c:v>0.95664882217216407</c:v>
                </c:pt>
                <c:pt idx="26">
                  <c:v>0.96470620422978304</c:v>
                </c:pt>
                <c:pt idx="27">
                  <c:v>0.96076643167868891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1B-4219-8B6C-493839841836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>
                  <a:alpha val="28000"/>
                </a:srgbClr>
              </a:solidFill>
              <a:ln w="9525">
                <a:noFill/>
              </a:ln>
              <a:effectLst/>
            </c:spPr>
          </c:marker>
          <c:xVal>
            <c:numRef>
              <c:f>'Kas Smith curvefit (copy)'!$I$20:$I$58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(copy)'!$H$20:$H$58</c:f>
              <c:numCache>
                <c:formatCode>0.000</c:formatCode>
                <c:ptCount val="39"/>
                <c:pt idx="0">
                  <c:v>0.96069921944646297</c:v>
                </c:pt>
                <c:pt idx="1">
                  <c:v>0.96042029369108706</c:v>
                </c:pt>
                <c:pt idx="2">
                  <c:v>0.95938147405087404</c:v>
                </c:pt>
                <c:pt idx="3">
                  <c:v>0.95931966083402298</c:v>
                </c:pt>
                <c:pt idx="4">
                  <c:v>0.95871506627086012</c:v>
                </c:pt>
                <c:pt idx="5">
                  <c:v>0.95745913409212091</c:v>
                </c:pt>
                <c:pt idx="6">
                  <c:v>0.95674598325969595</c:v>
                </c:pt>
                <c:pt idx="7">
                  <c:v>0.95668417004284512</c:v>
                </c:pt>
                <c:pt idx="8">
                  <c:v>0.95521112532558106</c:v>
                </c:pt>
                <c:pt idx="9">
                  <c:v>0.95417230568536793</c:v>
                </c:pt>
                <c:pt idx="10">
                  <c:v>0.95367626739146705</c:v>
                </c:pt>
                <c:pt idx="11">
                  <c:v>0.952094666404941</c:v>
                </c:pt>
                <c:pt idx="12">
                  <c:v>0.95159862811104001</c:v>
                </c:pt>
                <c:pt idx="13">
                  <c:v>0.95012558339377706</c:v>
                </c:pt>
                <c:pt idx="14">
                  <c:v>0.94886965121503808</c:v>
                </c:pt>
                <c:pt idx="15">
                  <c:v>0.94728805022851204</c:v>
                </c:pt>
                <c:pt idx="16">
                  <c:v>0.94559789297272401</c:v>
                </c:pt>
                <c:pt idx="17">
                  <c:v>0.94369062317841002</c:v>
                </c:pt>
                <c:pt idx="18">
                  <c:v>0.94145768457630896</c:v>
                </c:pt>
                <c:pt idx="19">
                  <c:v>0.93911618970494504</c:v>
                </c:pt>
                <c:pt idx="20">
                  <c:v>0.93623191348726809</c:v>
                </c:pt>
                <c:pt idx="21">
                  <c:v>0.93323908100032893</c:v>
                </c:pt>
                <c:pt idx="22">
                  <c:v>0.93024624851338999</c:v>
                </c:pt>
                <c:pt idx="23">
                  <c:v>0.92638496587235097</c:v>
                </c:pt>
                <c:pt idx="24">
                  <c:v>0.9223065706927871</c:v>
                </c:pt>
                <c:pt idx="25">
                  <c:v>0.91681694401281011</c:v>
                </c:pt>
                <c:pt idx="26">
                  <c:v>0.91100164852504506</c:v>
                </c:pt>
                <c:pt idx="27">
                  <c:v>0.9037751215368669</c:v>
                </c:pt>
                <c:pt idx="28">
                  <c:v>0.89676570708721504</c:v>
                </c:pt>
                <c:pt idx="29">
                  <c:v>0.88725949844452401</c:v>
                </c:pt>
                <c:pt idx="30">
                  <c:v>0.87710195218625797</c:v>
                </c:pt>
                <c:pt idx="31">
                  <c:v>0.86629306831241704</c:v>
                </c:pt>
                <c:pt idx="32">
                  <c:v>0.85407295293816299</c:v>
                </c:pt>
                <c:pt idx="33">
                  <c:v>0.84131005621759603</c:v>
                </c:pt>
                <c:pt idx="34">
                  <c:v>0.82757015307366599</c:v>
                </c:pt>
                <c:pt idx="35">
                  <c:v>0.81513292516088698</c:v>
                </c:pt>
                <c:pt idx="36">
                  <c:v>0.80171869082474501</c:v>
                </c:pt>
                <c:pt idx="37">
                  <c:v>0.7864589999111401</c:v>
                </c:pt>
                <c:pt idx="38">
                  <c:v>0.77267324770760493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1B-4219-8B6C-493839841836}"/>
            </c:ext>
          </c:extLst>
        </c:ser>
        <c:ser>
          <c:idx val="3"/>
          <c:order val="3"/>
          <c:tx>
            <c:v>Power-law fit</c:v>
          </c:tx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'Kas Smith curvefit (copy)'!$H$65:$H$103</c:f>
              <c:numCache>
                <c:formatCode>0.000</c:formatCode>
                <c:ptCount val="39"/>
                <c:pt idx="0">
                  <c:v>2.2997934048565084E-2</c:v>
                </c:pt>
                <c:pt idx="1">
                  <c:v>4.0069676396611777E-2</c:v>
                </c:pt>
                <c:pt idx="2">
                  <c:v>5.7084370034302737E-2</c:v>
                </c:pt>
                <c:pt idx="3">
                  <c:v>7.4140086301005395E-2</c:v>
                </c:pt>
                <c:pt idx="4">
                  <c:v>9.1140638350711872E-2</c:v>
                </c:pt>
                <c:pt idx="5">
                  <c:v>0.1080445517892699</c:v>
                </c:pt>
                <c:pt idx="6">
                  <c:v>0.12497606826753388</c:v>
                </c:pt>
                <c:pt idx="7">
                  <c:v>0.14198052165390951</c:v>
                </c:pt>
                <c:pt idx="8">
                  <c:v>0.15874470475517963</c:v>
                </c:pt>
                <c:pt idx="9">
                  <c:v>0.17553747925232432</c:v>
                </c:pt>
                <c:pt idx="10">
                  <c:v>0.19240417629290971</c:v>
                </c:pt>
                <c:pt idx="11">
                  <c:v>0.20901220546271423</c:v>
                </c:pt>
                <c:pt idx="12">
                  <c:v>0.22582431925537669</c:v>
                </c:pt>
                <c:pt idx="13">
                  <c:v>0.24236713011424937</c:v>
                </c:pt>
                <c:pt idx="14">
                  <c:v>0.25891734586657894</c:v>
                </c:pt>
                <c:pt idx="15">
                  <c:v>0.27532743679881172</c:v>
                </c:pt>
                <c:pt idx="16">
                  <c:v>0.29164753874763422</c:v>
                </c:pt>
                <c:pt idx="17">
                  <c:v>0.30783618288424536</c:v>
                </c:pt>
                <c:pt idx="18">
                  <c:v>0.32384418347196781</c:v>
                </c:pt>
                <c:pt idx="19">
                  <c:v>0.33973325501759533</c:v>
                </c:pt>
                <c:pt idx="20">
                  <c:v>0.3553317399203158</c:v>
                </c:pt>
                <c:pt idx="21">
                  <c:v>0.37078429028268828</c:v>
                </c:pt>
                <c:pt idx="22">
                  <c:v>0.38613044476352726</c:v>
                </c:pt>
                <c:pt idx="23">
                  <c:v>0.4009921758963842</c:v>
                </c:pt>
                <c:pt idx="24">
                  <c:v>0.4156182923872962</c:v>
                </c:pt>
                <c:pt idx="25">
                  <c:v>0.42943502667027428</c:v>
                </c:pt>
                <c:pt idx="26">
                  <c:v>0.44289756776749095</c:v>
                </c:pt>
                <c:pt idx="27">
                  <c:v>0.45543894715911687</c:v>
                </c:pt>
                <c:pt idx="28">
                  <c:v>0.46783735943015631</c:v>
                </c:pt>
                <c:pt idx="29">
                  <c:v>0.47863400366300879</c:v>
                </c:pt>
                <c:pt idx="30">
                  <c:v>0.48872859410433517</c:v>
                </c:pt>
                <c:pt idx="31">
                  <c:v>0.49808648675762501</c:v>
                </c:pt>
                <c:pt idx="32">
                  <c:v>0.50622094031681064</c:v>
                </c:pt>
                <c:pt idx="33">
                  <c:v>0.51358901063162188</c:v>
                </c:pt>
                <c:pt idx="34">
                  <c:v>0.51988812196851808</c:v>
                </c:pt>
                <c:pt idx="35">
                  <c:v>0.52654380991188665</c:v>
                </c:pt>
                <c:pt idx="36">
                  <c:v>0.53210746291493216</c:v>
                </c:pt>
                <c:pt idx="37">
                  <c:v>0.53593356457098895</c:v>
                </c:pt>
                <c:pt idx="38">
                  <c:v>0.53837802652041589</c:v>
                </c:pt>
              </c:numCache>
            </c:numRef>
          </c:xVal>
          <c:yVal>
            <c:numRef>
              <c:f>'Kas Smith curvefit (copy)'!$I$65:$I$103</c:f>
              <c:numCache>
                <c:formatCode>0.000</c:formatCode>
                <c:ptCount val="39"/>
                <c:pt idx="0">
                  <c:v>0.96069999527186412</c:v>
                </c:pt>
                <c:pt idx="1">
                  <c:v>0.96069990015063689</c:v>
                </c:pt>
                <c:pt idx="2">
                  <c:v>0.96069930221892419</c:v>
                </c:pt>
                <c:pt idx="3">
                  <c:v>0.96069706613674799</c:v>
                </c:pt>
                <c:pt idx="4">
                  <c:v>0.96069088009249737</c:v>
                </c:pt>
                <c:pt idx="5">
                  <c:v>0.96067677707250532</c:v>
                </c:pt>
                <c:pt idx="6">
                  <c:v>0.96064832931097455</c:v>
                </c:pt>
                <c:pt idx="7">
                  <c:v>0.96059586416959553</c:v>
                </c:pt>
                <c:pt idx="8">
                  <c:v>0.96050774501333469</c:v>
                </c:pt>
                <c:pt idx="9">
                  <c:v>0.96036596922840622</c:v>
                </c:pt>
                <c:pt idx="10">
                  <c:v>0.96014706131596883</c:v>
                </c:pt>
                <c:pt idx="11">
                  <c:v>0.95982861276776754</c:v>
                </c:pt>
                <c:pt idx="12">
                  <c:v>0.95936712016249115</c:v>
                </c:pt>
                <c:pt idx="13">
                  <c:v>0.9587345542649145</c:v>
                </c:pt>
                <c:pt idx="14">
                  <c:v>0.95787474077490498</c:v>
                </c:pt>
                <c:pt idx="15">
                  <c:v>0.95674019869147686</c:v>
                </c:pt>
                <c:pt idx="16">
                  <c:v>0.9552667227022632</c:v>
                </c:pt>
                <c:pt idx="17">
                  <c:v>0.95338946534358604</c:v>
                </c:pt>
                <c:pt idx="18">
                  <c:v>0.9510417457754462</c:v>
                </c:pt>
                <c:pt idx="19">
                  <c:v>0.94813460125871862</c:v>
                </c:pt>
                <c:pt idx="20">
                  <c:v>0.94462025403007932</c:v>
                </c:pt>
                <c:pt idx="21">
                  <c:v>0.94038386265996798</c:v>
                </c:pt>
                <c:pt idx="22">
                  <c:v>0.93531376017433265</c:v>
                </c:pt>
                <c:pt idx="23">
                  <c:v>0.9294605340280836</c:v>
                </c:pt>
                <c:pt idx="24">
                  <c:v>0.92266554681116675</c:v>
                </c:pt>
                <c:pt idx="25">
                  <c:v>0.91518005393160451</c:v>
                </c:pt>
                <c:pt idx="26">
                  <c:v>0.90676781562690745</c:v>
                </c:pt>
                <c:pt idx="27">
                  <c:v>0.8978264196536544</c:v>
                </c:pt>
                <c:pt idx="28">
                  <c:v>0.88782986594798696</c:v>
                </c:pt>
                <c:pt idx="29">
                  <c:v>0.87809930065247099</c:v>
                </c:pt>
                <c:pt idx="30">
                  <c:v>0.86806420907654658</c:v>
                </c:pt>
                <c:pt idx="31">
                  <c:v>0.85789135070590561</c:v>
                </c:pt>
                <c:pt idx="32">
                  <c:v>0.84832258576955888</c:v>
                </c:pt>
                <c:pt idx="33">
                  <c:v>0.83903805353871075</c:v>
                </c:pt>
                <c:pt idx="34">
                  <c:v>0.83061152362625557</c:v>
                </c:pt>
                <c:pt idx="35">
                  <c:v>0.82119529340907471</c:v>
                </c:pt>
                <c:pt idx="36">
                  <c:v>0.81290278287272222</c:v>
                </c:pt>
                <c:pt idx="37">
                  <c:v>0.80696945006335929</c:v>
                </c:pt>
                <c:pt idx="38">
                  <c:v>0.80307773548823957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B0-42A2-B595-448E722D0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</c:scatterChart>
      <c:valAx>
        <c:axId val="1989669088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ajorUnit val="0.2"/>
        <c:minorUnit val="0.1"/>
      </c:valAx>
      <c:valAx>
        <c:axId val="1984780864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CO</a:t>
                </a:r>
              </a:p>
            </c:rich>
          </c:tx>
          <c:layout>
            <c:manualLayout>
              <c:xMode val="edge"/>
              <c:yMode val="edge"/>
              <c:x val="3.8409587290797278E-3"/>
              <c:y val="0.36635571372119879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0.2"/>
        <c:minorUnit val="0.1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46679789660397653"/>
          <c:y val="0.43921356869513556"/>
          <c:w val="0.43117232339831985"/>
          <c:h val="0.35743710277726704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5285346525928865"/>
          <c:y val="2.4589895013123354E-2"/>
          <c:w val="0.66253416164706025"/>
          <c:h val="0.7827420041030535"/>
        </c:manualLayout>
      </c:layout>
      <c:scatterChart>
        <c:scatterStyle val="smoothMarker"/>
        <c:varyColors val="0"/>
        <c:ser>
          <c:idx val="2"/>
          <c:order val="0"/>
          <c:tx>
            <c:v>5 mL/min</c:v>
          </c:tx>
          <c:spPr>
            <a:ln w="19050">
              <a:noFill/>
            </a:ln>
          </c:spPr>
          <c:marker>
            <c:symbol val="triangle"/>
            <c:size val="9"/>
            <c:spPr>
              <a:solidFill>
                <a:srgbClr val="92D050"/>
              </a:solidFill>
              <a:ln>
                <a:noFill/>
              </a:ln>
            </c:spPr>
          </c:marker>
          <c:xVal>
            <c:numRef>
              <c:f>'Kas Smith curvefit (copy)'!$O$20:$O$31</c:f>
              <c:numCache>
                <c:formatCode>0.000</c:formatCode>
                <c:ptCount val="12"/>
                <c:pt idx="0">
                  <c:v>0.13347711284619851</c:v>
                </c:pt>
                <c:pt idx="1">
                  <c:v>0.18416336519532248</c:v>
                </c:pt>
                <c:pt idx="2">
                  <c:v>0.23452714358904414</c:v>
                </c:pt>
                <c:pt idx="3">
                  <c:v>0.28436424285775436</c:v>
                </c:pt>
                <c:pt idx="4">
                  <c:v>0.33324456103737476</c:v>
                </c:pt>
                <c:pt idx="5">
                  <c:v>0.38115994292359628</c:v>
                </c:pt>
                <c:pt idx="6">
                  <c:v>0.4270246434197687</c:v>
                </c:pt>
                <c:pt idx="7">
                  <c:v>0.46775683538720408</c:v>
                </c:pt>
                <c:pt idx="8">
                  <c:v>0.48710567446559017</c:v>
                </c:pt>
                <c:pt idx="9">
                  <c:v>0.48954560947328296</c:v>
                </c:pt>
                <c:pt idx="10">
                  <c:v>2.9959197207860659E-2</c:v>
                </c:pt>
                <c:pt idx="11">
                  <c:v>7.1552429457515387E-2</c:v>
                </c:pt>
              </c:numCache>
            </c:numRef>
          </c:xVal>
          <c:yVal>
            <c:numRef>
              <c:f>'Kas Smith curvefit (copy)'!$P$20:$P$29</c:f>
              <c:numCache>
                <c:formatCode>0.000</c:formatCode>
                <c:ptCount val="10"/>
                <c:pt idx="0">
                  <c:v>5.0730403065140095E-3</c:v>
                </c:pt>
                <c:pt idx="1">
                  <c:v>6.5460850237780699E-3</c:v>
                </c:pt>
                <c:pt idx="2">
                  <c:v>8.6704673566159185E-3</c:v>
                </c:pt>
                <c:pt idx="3">
                  <c:v>1.1771856112818058E-2</c:v>
                </c:pt>
                <c:pt idx="4">
                  <c:v>1.6610145177220037E-2</c:v>
                </c:pt>
                <c:pt idx="5">
                  <c:v>2.2533996934247069E-2</c:v>
                </c:pt>
                <c:pt idx="6">
                  <c:v>3.149742423062496E-2</c:v>
                </c:pt>
                <c:pt idx="7">
                  <c:v>4.8494015452431039E-2</c:v>
                </c:pt>
                <c:pt idx="8">
                  <c:v>7.7219536858392002E-2</c:v>
                </c:pt>
                <c:pt idx="9">
                  <c:v>0.10626191485734104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CA3-4825-9382-2D105DB808F0}"/>
            </c:ext>
          </c:extLst>
        </c:ser>
        <c:ser>
          <c:idx val="3"/>
          <c:order val="1"/>
          <c:tx>
            <c:v>10 mL/min</c:v>
          </c:tx>
          <c:spPr>
            <a:ln w="19050">
              <a:noFill/>
            </a:ln>
          </c:spPr>
          <c:marker>
            <c:symbol val="diamond"/>
            <c:size val="9"/>
            <c:spPr>
              <a:solidFill>
                <a:srgbClr val="193770"/>
              </a:solidFill>
              <a:ln>
                <a:noFill/>
              </a:ln>
            </c:spPr>
          </c:marker>
          <c:xVal>
            <c:numRef>
              <c:f>'Kas Smith curvefit (copy)'!$L$20:$L$47</c:f>
              <c:numCache>
                <c:formatCode>0.000</c:formatCode>
                <c:ptCount val="28"/>
                <c:pt idx="0">
                  <c:v>0.17973431608477702</c:v>
                </c:pt>
                <c:pt idx="1">
                  <c:v>0.20475426268967606</c:v>
                </c:pt>
                <c:pt idx="2">
                  <c:v>0.22983832294016246</c:v>
                </c:pt>
                <c:pt idx="3">
                  <c:v>0.25492032163776229</c:v>
                </c:pt>
                <c:pt idx="4">
                  <c:v>0.27962805684568059</c:v>
                </c:pt>
                <c:pt idx="5">
                  <c:v>0.30451114626070497</c:v>
                </c:pt>
                <c:pt idx="6">
                  <c:v>0.3288357521967914</c:v>
                </c:pt>
                <c:pt idx="7">
                  <c:v>0.35269475055807387</c:v>
                </c:pt>
                <c:pt idx="8">
                  <c:v>0.37619486272754976</c:v>
                </c:pt>
                <c:pt idx="9">
                  <c:v>0.39939523842258728</c:v>
                </c:pt>
                <c:pt idx="10">
                  <c:v>0.42168067631027412</c:v>
                </c:pt>
                <c:pt idx="11">
                  <c:v>0.44345686062990214</c:v>
                </c:pt>
                <c:pt idx="12">
                  <c:v>0.46352150869834574</c:v>
                </c:pt>
                <c:pt idx="13">
                  <c:v>0.48265225909718695</c:v>
                </c:pt>
                <c:pt idx="14">
                  <c:v>0.49955237047214929</c:v>
                </c:pt>
                <c:pt idx="15">
                  <c:v>0.51487907148586731</c:v>
                </c:pt>
                <c:pt idx="16">
                  <c:v>0.52777275067529761</c:v>
                </c:pt>
                <c:pt idx="17">
                  <c:v>0.53836739018897783</c:v>
                </c:pt>
                <c:pt idx="18">
                  <c:v>0.54700047920598593</c:v>
                </c:pt>
                <c:pt idx="19">
                  <c:v>0.55409016462049432</c:v>
                </c:pt>
                <c:pt idx="20">
                  <c:v>0.55932417131297307</c:v>
                </c:pt>
                <c:pt idx="21">
                  <c:v>1.8760963045002035E-2</c:v>
                </c:pt>
                <c:pt idx="22">
                  <c:v>9.2289348217208481E-2</c:v>
                </c:pt>
                <c:pt idx="23">
                  <c:v>0.11869370387694884</c:v>
                </c:pt>
                <c:pt idx="24">
                  <c:v>0.14320888470136703</c:v>
                </c:pt>
                <c:pt idx="25">
                  <c:v>0.16361137758515118</c:v>
                </c:pt>
                <c:pt idx="26">
                  <c:v>3.7833369271189528E-2</c:v>
                </c:pt>
                <c:pt idx="27">
                  <c:v>6.4131737349320012E-2</c:v>
                </c:pt>
              </c:numCache>
            </c:numRef>
          </c:xVal>
          <c:yVal>
            <c:numRef>
              <c:f>'Kas Smith curvefit (copy)'!$M$20:$M$40</c:f>
              <c:numCache>
                <c:formatCode>0.000</c:formatCode>
                <c:ptCount val="21"/>
                <c:pt idx="0">
                  <c:v>7.9537405529679361E-3</c:v>
                </c:pt>
                <c:pt idx="1">
                  <c:v>9.7524540780189461E-3</c:v>
                </c:pt>
                <c:pt idx="2">
                  <c:v>1.0899829987494947E-2</c:v>
                </c:pt>
                <c:pt idx="3">
                  <c:v>1.1830093358445981E-2</c:v>
                </c:pt>
                <c:pt idx="4">
                  <c:v>1.3845919422021957E-2</c:v>
                </c:pt>
                <c:pt idx="5">
                  <c:v>1.4993295331497958E-2</c:v>
                </c:pt>
                <c:pt idx="6">
                  <c:v>1.7551902741387071E-2</c:v>
                </c:pt>
                <c:pt idx="7">
                  <c:v>2.0978960305376049E-2</c:v>
                </c:pt>
                <c:pt idx="8">
                  <c:v>2.4840242946414959E-2</c:v>
                </c:pt>
                <c:pt idx="9">
                  <c:v>2.8918638125979945E-2</c:v>
                </c:pt>
                <c:pt idx="10">
                  <c:v>3.4516821075218918E-2</c:v>
                </c:pt>
                <c:pt idx="11">
                  <c:v>4.0549229101509043E-2</c:v>
                </c:pt>
                <c:pt idx="12">
                  <c:v>4.9295543859362079E-2</c:v>
                </c:pt>
                <c:pt idx="13">
                  <c:v>5.891030877131509E-2</c:v>
                </c:pt>
                <c:pt idx="14">
                  <c:v>7.1564649222619958E-2</c:v>
                </c:pt>
                <c:pt idx="15">
                  <c:v>8.5738777443598924E-2</c:v>
                </c:pt>
                <c:pt idx="16">
                  <c:v>0.10262681239614202</c:v>
                </c:pt>
                <c:pt idx="17">
                  <c:v>0.12168597273393589</c:v>
                </c:pt>
                <c:pt idx="18">
                  <c:v>0.14215636457214198</c:v>
                </c:pt>
                <c:pt idx="19">
                  <c:v>0.16327809402592397</c:v>
                </c:pt>
                <c:pt idx="20">
                  <c:v>0.18018590628869791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CA3-4825-9382-2D105DB808F0}"/>
            </c:ext>
          </c:extLst>
        </c:ser>
        <c:ser>
          <c:idx val="1"/>
          <c:order val="2"/>
          <c:tx>
            <c:v>15 mL/min</c:v>
          </c:tx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CE636E"/>
              </a:solidFill>
              <a:ln w="9525">
                <a:noFill/>
              </a:ln>
              <a:effectLst/>
            </c:spPr>
          </c:marker>
          <c:trendline>
            <c:spPr>
              <a:ln w="28575"/>
            </c:spPr>
            <c:trendlineType val="power"/>
            <c:dispRSqr val="1"/>
            <c:dispEq val="1"/>
            <c:trendlineLbl>
              <c:layout>
                <c:manualLayout>
                  <c:x val="-0.16986850703581149"/>
                  <c:y val="0.31523608077453558"/>
                </c:manualLayout>
              </c:layout>
              <c:numFmt formatCode="General" sourceLinked="0"/>
            </c:trendlineLbl>
          </c:trendline>
          <c:xVal>
            <c:numRef>
              <c:f>'Kas Smith curvefit (copy)'!$I$42:$I$58</c:f>
              <c:numCache>
                <c:formatCode>0.000</c:formatCode>
                <c:ptCount val="17"/>
                <c:pt idx="0">
                  <c:v>0.38613044476352726</c:v>
                </c:pt>
                <c:pt idx="1">
                  <c:v>0.4009921758963842</c:v>
                </c:pt>
                <c:pt idx="2">
                  <c:v>0.4156182923872962</c:v>
                </c:pt>
                <c:pt idx="3">
                  <c:v>0.42943502667027428</c:v>
                </c:pt>
                <c:pt idx="4">
                  <c:v>0.44289756776749095</c:v>
                </c:pt>
                <c:pt idx="5">
                  <c:v>0.45543894715911687</c:v>
                </c:pt>
                <c:pt idx="6">
                  <c:v>0.46783735943015631</c:v>
                </c:pt>
                <c:pt idx="7">
                  <c:v>0.47863400366300879</c:v>
                </c:pt>
                <c:pt idx="8">
                  <c:v>0.48872859410433517</c:v>
                </c:pt>
                <c:pt idx="9">
                  <c:v>0.49808648675762501</c:v>
                </c:pt>
                <c:pt idx="10">
                  <c:v>0.50622094031681064</c:v>
                </c:pt>
                <c:pt idx="11">
                  <c:v>0.51358901063162188</c:v>
                </c:pt>
                <c:pt idx="12">
                  <c:v>0.51988812196851808</c:v>
                </c:pt>
                <c:pt idx="13">
                  <c:v>0.52654380991188665</c:v>
                </c:pt>
                <c:pt idx="14">
                  <c:v>0.53210746291493216</c:v>
                </c:pt>
                <c:pt idx="15">
                  <c:v>0.53593356457098895</c:v>
                </c:pt>
                <c:pt idx="16">
                  <c:v>0.53837802652041589</c:v>
                </c:pt>
              </c:numCache>
            </c:numRef>
          </c:xVal>
          <c:yVal>
            <c:numRef>
              <c:f>'Kas Smith curvefit (copy)'!$J$42:$J$58</c:f>
              <c:numCache>
                <c:formatCode>0.000</c:formatCode>
                <c:ptCount val="17"/>
                <c:pt idx="0">
                  <c:v>3.0453751486610003E-2</c:v>
                </c:pt>
                <c:pt idx="1">
                  <c:v>3.4315034127649024E-2</c:v>
                </c:pt>
                <c:pt idx="2">
                  <c:v>3.8393429307212901E-2</c:v>
                </c:pt>
                <c:pt idx="3">
                  <c:v>4.388305598718989E-2</c:v>
                </c:pt>
                <c:pt idx="4">
                  <c:v>4.9698351474954938E-2</c:v>
                </c:pt>
                <c:pt idx="5">
                  <c:v>5.69248784631331E-2</c:v>
                </c:pt>
                <c:pt idx="6">
                  <c:v>6.3934292912784962E-2</c:v>
                </c:pt>
                <c:pt idx="7">
                  <c:v>7.344050155547599E-2</c:v>
                </c:pt>
                <c:pt idx="8">
                  <c:v>8.3598047813742027E-2</c:v>
                </c:pt>
                <c:pt idx="9">
                  <c:v>9.4406931687582962E-2</c:v>
                </c:pt>
                <c:pt idx="10">
                  <c:v>0.10662704706183701</c:v>
                </c:pt>
                <c:pt idx="11">
                  <c:v>0.11938994378240397</c:v>
                </c:pt>
                <c:pt idx="12">
                  <c:v>0.13312984692633401</c:v>
                </c:pt>
                <c:pt idx="13">
                  <c:v>0.14556707483911302</c:v>
                </c:pt>
                <c:pt idx="14">
                  <c:v>0.15898130917525499</c:v>
                </c:pt>
                <c:pt idx="15">
                  <c:v>0.1742410000888599</c:v>
                </c:pt>
                <c:pt idx="16">
                  <c:v>0.18802675229239507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CA3-4825-9382-2D105DB80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9669088"/>
        <c:axId val="1984780864"/>
        <c:extLst/>
      </c:scatterChart>
      <c:valAx>
        <c:axId val="198966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SPC</a:t>
                </a:r>
              </a:p>
            </c:rich>
          </c:tx>
          <c:layout>
            <c:manualLayout>
              <c:xMode val="edge"/>
              <c:yMode val="edge"/>
              <c:x val="0.5024097887044694"/>
              <c:y val="0.92256898434541901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4780864"/>
        <c:crosses val="autoZero"/>
        <c:crossBetween val="midCat"/>
        <c:minorUnit val="0.1"/>
      </c:valAx>
      <c:valAx>
        <c:axId val="1984780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FE</a:t>
                </a:r>
                <a:r>
                  <a:rPr lang="en-US" baseline="-25000"/>
                  <a:t>H2</a:t>
                </a:r>
                <a:r>
                  <a:rPr lang="en-US" baseline="0"/>
                  <a:t> - 3.93%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433284868168459E-2"/>
              <c:y val="0.26504410445352278"/>
            </c:manualLayout>
          </c:layout>
          <c:overlay val="0"/>
        </c:title>
        <c:numFmt formatCode="0%" sourceLinked="0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89669088"/>
        <c:crosses val="autoZero"/>
        <c:crossBetween val="midCat"/>
        <c:majorUnit val="5.000000000000001E-2"/>
        <c:minorUnit val="2.5000000000000005E-2"/>
      </c:valAx>
      <c:spPr>
        <a:ln w="19050"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27995393225128085"/>
          <c:y val="7.2621287940350415E-2"/>
          <c:w val="0.52663737775747066"/>
          <c:h val="0.33281436036652012"/>
        </c:manualLayout>
      </c:layout>
      <c:overlay val="0"/>
    </c:legend>
    <c:plotVisOnly val="1"/>
    <c:dispBlanksAs val="gap"/>
    <c:showDLblsOverMax val="0"/>
    <c:extLst/>
  </c:chart>
  <c:spPr>
    <a:solidFill>
      <a:schemeClr val="bg1"/>
    </a:solidFill>
    <a:ln w="76200" cap="flat" cmpd="sng" algn="ctr">
      <a:noFill/>
      <a:round/>
    </a:ln>
    <a:effectLst/>
  </c:spPr>
  <c:txPr>
    <a:bodyPr/>
    <a:lstStyle/>
    <a:p>
      <a:pPr>
        <a:defRPr sz="16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479098</xdr:colOff>
      <xdr:row>10</xdr:row>
      <xdr:rowOff>163685</xdr:rowOff>
    </xdr:from>
    <xdr:ext cx="4095158" cy="3553540"/>
    <xdr:pic>
      <xdr:nvPicPr>
        <xdr:cNvPr id="2" name="Picture 1">
          <a:extLst>
            <a:ext uri="{FF2B5EF4-FFF2-40B4-BE49-F238E27FC236}">
              <a16:creationId xmlns:a16="http://schemas.microsoft.com/office/drawing/2014/main" id="{0DBA5EC6-A109-41D0-BBF2-20C7BD6B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61627" y="2281597"/>
          <a:ext cx="4095158" cy="3553540"/>
        </a:xfrm>
        <a:prstGeom prst="rect">
          <a:avLst/>
        </a:prstGeom>
      </xdr:spPr>
    </xdr:pic>
    <xdr:clientData/>
  </xdr:oneCellAnchor>
  <xdr:twoCellAnchor>
    <xdr:from>
      <xdr:col>17</xdr:col>
      <xdr:colOff>77756</xdr:colOff>
      <xdr:row>3</xdr:row>
      <xdr:rowOff>0</xdr:rowOff>
    </xdr:from>
    <xdr:to>
      <xdr:col>21</xdr:col>
      <xdr:colOff>635000</xdr:colOff>
      <xdr:row>19</xdr:row>
      <xdr:rowOff>2838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F2E435-A661-445C-8F74-446505FBB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88962</xdr:colOff>
      <xdr:row>21</xdr:row>
      <xdr:rowOff>102451</xdr:rowOff>
    </xdr:from>
    <xdr:to>
      <xdr:col>21</xdr:col>
      <xdr:colOff>646206</xdr:colOff>
      <xdr:row>40</xdr:row>
      <xdr:rowOff>45757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9EEA28-5010-4AF3-B4BD-801C99DE4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exas-my.sharepoint.com/personal/shashwati_dacunha_austin_utexas_edu/Documents/RCL%20Experimental/LCA%20TEA%20for%20CO2R/GREET_2022rev1/GREET1_2022.xlsm" TargetMode="External"/><Relationship Id="rId1" Type="http://schemas.openxmlformats.org/officeDocument/2006/relationships/externalLinkPath" Target="GREET_2022rev1/GREET1_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Macroalgae"/>
      <sheetName val="Waste"/>
      <sheetName val="RNG"/>
      <sheetName val="Pyrolysis_IDL"/>
      <sheetName val="IBR"/>
      <sheetName val="PUP_conversion"/>
      <sheetName val="CESA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SU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  <sheetName val="GREET1_2022"/>
    </sheetNames>
    <definedNames>
      <definedName name="Electricity_upstream_fuel_CO2" refersTo="='Electric'!$C$220"/>
    </definedNames>
    <sheetDataSet>
      <sheetData sheetId="0"/>
      <sheetData sheetId="1"/>
      <sheetData sheetId="2">
        <row r="220">
          <cell r="C220">
            <v>1.0281468918665255E-5</v>
          </cell>
        </row>
      </sheetData>
      <sheetData sheetId="3">
        <row r="220">
          <cell r="C220">
            <v>11.408881758474866</v>
          </cell>
        </row>
      </sheetData>
      <sheetData sheetId="4"/>
      <sheetData sheetId="5"/>
      <sheetData sheetId="6"/>
      <sheetData sheetId="7">
        <row r="220">
          <cell r="C220">
            <v>2.4120279999999998</v>
          </cell>
        </row>
      </sheetData>
      <sheetData sheetId="8">
        <row r="220">
          <cell r="C220">
            <v>121455.65214617191</v>
          </cell>
        </row>
        <row r="557">
          <cell r="G557">
            <v>67731.307703184328</v>
          </cell>
        </row>
      </sheetData>
      <sheetData sheetId="9">
        <row r="220">
          <cell r="C220">
            <v>0</v>
          </cell>
        </row>
      </sheetData>
      <sheetData sheetId="10"/>
      <sheetData sheetId="11">
        <row r="220">
          <cell r="C220">
            <v>24460.574907855218</v>
          </cell>
        </row>
      </sheetData>
      <sheetData sheetId="12">
        <row r="220">
          <cell r="C220">
            <v>0</v>
          </cell>
        </row>
      </sheetData>
      <sheetData sheetId="13">
        <row r="220">
          <cell r="C220">
            <v>1</v>
          </cell>
        </row>
      </sheetData>
      <sheetData sheetId="14"/>
      <sheetData sheetId="15"/>
      <sheetData sheetId="16"/>
      <sheetData sheetId="17">
        <row r="220">
          <cell r="C220">
            <v>6.5218238215372351</v>
          </cell>
        </row>
      </sheetData>
      <sheetData sheetId="18">
        <row r="220">
          <cell r="C220">
            <v>0</v>
          </cell>
        </row>
      </sheetData>
      <sheetData sheetId="19"/>
      <sheetData sheetId="20"/>
      <sheetData sheetId="21"/>
      <sheetData sheetId="22">
        <row r="220">
          <cell r="C220">
            <v>3.6509999999999998</v>
          </cell>
        </row>
      </sheetData>
      <sheetData sheetId="23">
        <row r="220">
          <cell r="C220">
            <v>1806.2556152</v>
          </cell>
        </row>
      </sheetData>
      <sheetData sheetId="24"/>
      <sheetData sheetId="25">
        <row r="220">
          <cell r="C220" t="str">
            <v xml:space="preserve">       Insecticides</v>
          </cell>
        </row>
      </sheetData>
      <sheetData sheetId="26"/>
      <sheetData sheetId="27">
        <row r="220">
          <cell r="C220">
            <v>1.07</v>
          </cell>
        </row>
      </sheetData>
      <sheetData sheetId="28">
        <row r="220">
          <cell r="C220">
            <v>1.07</v>
          </cell>
        </row>
      </sheetData>
      <sheetData sheetId="29">
        <row r="220">
          <cell r="C220">
            <v>1.07</v>
          </cell>
        </row>
      </sheetData>
      <sheetData sheetId="30"/>
      <sheetData sheetId="31"/>
      <sheetData sheetId="32"/>
      <sheetData sheetId="33"/>
      <sheetData sheetId="34"/>
      <sheetData sheetId="35">
        <row r="220">
          <cell r="C220">
            <v>0.38750284191321999</v>
          </cell>
        </row>
      </sheetData>
      <sheetData sheetId="36"/>
      <sheetData sheetId="37"/>
      <sheetData sheetId="38"/>
      <sheetData sheetId="39"/>
      <sheetData sheetId="40"/>
      <sheetData sheetId="41"/>
      <sheetData sheetId="42">
        <row r="220">
          <cell r="C220">
            <v>8.0096613756954618</v>
          </cell>
        </row>
      </sheetData>
      <sheetData sheetId="43"/>
      <sheetData sheetId="44"/>
      <sheetData sheetId="45">
        <row r="220">
          <cell r="C220">
            <v>1.1405227741572616E-2</v>
          </cell>
        </row>
      </sheetData>
      <sheetData sheetId="46"/>
      <sheetData sheetId="47"/>
      <sheetData sheetId="48"/>
      <sheetData sheetId="49">
        <row r="220">
          <cell r="C220">
            <v>7.0802229743150695</v>
          </cell>
        </row>
      </sheetData>
      <sheetData sheetId="50">
        <row r="220">
          <cell r="C220">
            <v>0</v>
          </cell>
        </row>
      </sheetData>
      <sheetData sheetId="51">
        <row r="220">
          <cell r="C220">
            <v>4.3303113181124305E-5</v>
          </cell>
        </row>
      </sheetData>
      <sheetData sheetId="52"/>
      <sheetData sheetId="53"/>
      <sheetData sheetId="54">
        <row r="220">
          <cell r="C220">
            <v>6.3591613531805494E-3</v>
          </cell>
        </row>
      </sheetData>
      <sheetData sheetId="55"/>
      <sheetData sheetId="56"/>
      <sheetData sheetId="57">
        <row r="220">
          <cell r="C220" t="str">
            <v>g/mmBtu</v>
          </cell>
        </row>
      </sheetData>
      <sheetData sheetId="58">
        <row r="220">
          <cell r="C220" t="str">
            <v>WEIBULL</v>
          </cell>
        </row>
      </sheetData>
      <sheetData sheetId="59"/>
      <sheetData sheetId="60"/>
      <sheetData sheetId="6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36" totalsRowShown="0" headerRowDxfId="40" dataDxfId="39">
  <autoFilter ref="A1:E36" xr:uid="{4573E0AF-4F91-4E0C-A0FD-4101785DA193}"/>
  <sortState xmlns:xlrd2="http://schemas.microsoft.com/office/spreadsheetml/2017/richdata2" ref="A2:E36">
    <sortCondition ref="A1:A36"/>
  </sortState>
  <tableColumns count="5">
    <tableColumn id="1" xr3:uid="{0CD981D8-5D27-4DEC-AB19-B4CDEDE4E307}" name="Name" dataDxfId="38"/>
    <tableColumn id="5" xr3:uid="{447AB61C-D6A8-4C69-B914-F84CC2DD3D7F}" name="Variable name" dataDxfId="37"/>
    <tableColumn id="2" xr3:uid="{8D0B10A0-AAB3-497D-AACC-B47886E623F4}" name="Value" dataDxfId="36"/>
    <tableColumn id="3" xr3:uid="{13805BE1-5D36-4E51-B5A1-6DAB8482D1CA}" name="Unit" dataDxfId="35"/>
    <tableColumn id="4" xr3:uid="{D9E6851E-6681-4B84-8DD9-9DC84337FA8D}" name="Reference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5" totalsRowShown="0" headerRowDxfId="33" dataDxfId="32">
  <autoFilter ref="A1:Q5" xr:uid="{89323130-A0D1-49F6-A5DF-27B490E4A7F3}"/>
  <tableColumns count="17">
    <tableColumn id="1" xr3:uid="{3C50D7C6-76ED-4D16-B177-C24A6EDEF5E8}" name="Product" dataDxfId="31"/>
    <tableColumn id="13" xr3:uid="{E3E543EF-1CAC-4E7C-917B-9F6A2A12C5A5}" name="Phase" dataDxfId="30"/>
    <tableColumn id="5" xr3:uid="{60087321-E31A-4465-97EA-5E82B4930DEF}" name="Molecular weight (g/mol)" dataDxfId="29"/>
    <tableColumn id="2" xr3:uid="{73F411CA-0C00-43A6-8E8A-2C96DEBEAE56}" name="n (mol e-/ mol product)" dataDxfId="28"/>
    <tableColumn id="12" xr3:uid="{35098869-B8D6-4322-9A6F-55D84BD00AAD}" name="z (mol CO2/ mol product)" dataDxfId="27"/>
    <tableColumn id="3" xr3:uid="{42FF57EE-C82B-4BEE-B6E3-5CDCD61D73F4}" name="LHV (kJ/kg product)" dataDxfId="26"/>
    <tableColumn id="14" xr3:uid="{E9D086E2-203C-4567-AACC-7D8FDCBCFD52}" name="Cost ($/kg product)" dataDxfId="25"/>
    <tableColumn id="6" xr3:uid="{F6536296-A5EF-4707-BAA4-8ED36A0299FD}" name="Standard potential, pH = 0 (V vs SHE)" dataDxfId="24"/>
    <tableColumn id="11" xr3:uid="{9743353A-8C68-4F78-BBA8-5E6BBF94C823}" name="Standard potential (V vs RHE)" dataDxfId="23">
      <calculatedColumnFormula>Products[[#This Row],[Standard potential, pH = 0 (V vs SHE)]]-2.303*R_*T/F*6.8</calculatedColumnFormula>
    </tableColumn>
    <tableColumn id="9" xr3:uid="{44F64A4D-679B-4F83-A0F1-9FD50BE9A102}" name="Reference overpotential (V)" dataDxfId="22"/>
    <tableColumn id="8" xr3:uid="{63FE646D-E5BD-46A5-B63F-54D7C89DFC20}" name="Tafel slope (mV/dec)" dataDxfId="21"/>
    <tableColumn id="7" xr3:uid="{8762D60F-6494-4D48-BF71-09EE6526135E}" name="Reference current density (mA/cm2)" dataDxfId="20"/>
    <tableColumn id="15" xr3:uid="{C96EBEF2-D837-4395-8D46-7E2BC536E261}" name="FECO2R at SPC = 0" dataDxfId="19"/>
    <tableColumn id="16" xr3:uid="{F3E3F633-1F65-481C-8C36-D0FBD783D2AB}" name="Optimal SPC @ 7.6 c/kWh, Hawks model" dataDxfId="18"/>
    <tableColumn id="17" xr3:uid="{06806002-8BCC-442F-99A4-15A00506143C}" name="Optimal j @ 7.6 c/kWh, Hawks model" dataDxfId="17"/>
    <tableColumn id="4" xr3:uid="{EA53ED90-0A02-4FC0-8D2F-B62ACD3411A0}" name="References" dataDxfId="16"/>
    <tableColumn id="10" xr3:uid="{15AF80F1-11B7-4792-895F-6EC0B2B7A7A4}" name="References 2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14" tableBorderDxfId="13" totalsRowBorderDxfId="12">
  <autoFilter ref="A1:D14" xr:uid="{F90A0C8F-F9A6-4BD9-BE38-37BCD437C167}"/>
  <tableColumns count="4">
    <tableColumn id="1" xr3:uid="{019A737E-EC43-437D-A256-C18EEEE61274}" name="Utility" dataDxfId="11"/>
    <tableColumn id="2" xr3:uid="{339E3BF5-AD63-4805-BC84-16828025960D}" name="Cost ($/kWh)" dataDxfId="10" dataCellStyle="Currency"/>
    <tableColumn id="3" xr3:uid="{5BD4A003-8709-44FE-A299-AB3C44A1C92B}" name="CO2 emissions (g CO2/kWh)" dataDxfId="9"/>
    <tableColumn id="4" xr3:uid="{106C8FDA-1A54-408F-9E45-6177A2EA926F}" name="References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7A737-BFB0-4F7D-8A43-07C89BEF0EF3}" name="Table3" displayName="Table3" ref="A4:D12" totalsRowShown="0" headerRowDxfId="7" dataDxfId="5" headerRowBorderDxfId="6" tableBorderDxfId="4">
  <autoFilter ref="A4:D12" xr:uid="{0157A737-BFB0-4F7D-8A43-07C89BEF0EF3}"/>
  <tableColumns count="4">
    <tableColumn id="1" xr3:uid="{687F480A-B080-4CBC-B2AD-9A9685072347}" name="Name" dataDxfId="3"/>
    <tableColumn id="2" xr3:uid="{9BC62A89-C540-4989-9126-C0975D16BA98}" name="Value" dataDxfId="2"/>
    <tableColumn id="3" xr3:uid="{916B30B2-1AE0-4CAC-B5C3-7D167EB15B4D}" name="Unit" dataDxfId="1"/>
    <tableColumn id="4" xr3:uid="{CCAFF5A7-2D04-4952-BC4C-DDC8434DA5AB}" name="Sour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Cockrell theme">
    <a:dk1>
      <a:srgbClr val="333F48"/>
    </a:dk1>
    <a:lt1>
      <a:srgbClr val="FFFFFF"/>
    </a:lt1>
    <a:dk2>
      <a:srgbClr val="BF5700"/>
    </a:dk2>
    <a:lt2>
      <a:srgbClr val="FFFFFF"/>
    </a:lt2>
    <a:accent1>
      <a:srgbClr val="F8971F"/>
    </a:accent1>
    <a:accent2>
      <a:srgbClr val="FFD600"/>
    </a:accent2>
    <a:accent3>
      <a:srgbClr val="A6CD57"/>
    </a:accent3>
    <a:accent4>
      <a:srgbClr val="005F86"/>
    </a:accent4>
    <a:accent5>
      <a:srgbClr val="5B9BD5"/>
    </a:accent5>
    <a:accent6>
      <a:srgbClr val="9CADB7"/>
    </a:accent6>
    <a:hlink>
      <a:srgbClr val="BF5700"/>
    </a:hlink>
    <a:folHlink>
      <a:srgbClr val="BF570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3-09-22T17:55:30.82" personId="{97EB442A-BA5A-4BA8-A59A-7061902B9186}" id="{3216AF0C-22FC-4B5E-B4DB-2CB12067479A}">
    <text>Calculated from thermodynamics assuming aqueous state for products and standard states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suschemeng.3c04373" TargetMode="External"/><Relationship Id="rId3" Type="http://schemas.openxmlformats.org/officeDocument/2006/relationships/hyperlink" Target="https://www.nature.com/articles/s41893-021-00739-x" TargetMode="External"/><Relationship Id="rId7" Type="http://schemas.openxmlformats.org/officeDocument/2006/relationships/hyperlink" Target="https://www.iea.org/commentaries/is-carbon-capture-too-expensiv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doi.org/10.1016/j.joule.2023.03.01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doi.org/10.1016/j.joule.2023.03.01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39/c9ee00909d" TargetMode="External"/><Relationship Id="rId10" Type="http://schemas.openxmlformats.org/officeDocument/2006/relationships/hyperlink" Target="https://www.sciencedirect.com/science/article/pii/S0959652622011829?via=ihub" TargetMode="External"/><Relationship Id="rId4" Type="http://schemas.openxmlformats.org/officeDocument/2006/relationships/hyperlink" Target="https://doi.org/10.1039/c9ee00909d" TargetMode="External"/><Relationship Id="rId9" Type="http://schemas.openxmlformats.org/officeDocument/2006/relationships/hyperlink" Target="https://linkinghub.elsevier.com/retrieve/pii/S1750583620306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engineeringtoolbox.com/heating-values-fuel-gases-d_823.html" TargetMode="External"/><Relationship Id="rId7" Type="http://schemas.openxmlformats.org/officeDocument/2006/relationships/hyperlink" Target="http://pubs.acs.org/action/showCitFormats?doi=10.1021/acs.iecr.7b03514" TargetMode="External"/><Relationship Id="rId2" Type="http://schemas.openxmlformats.org/officeDocument/2006/relationships/hyperlink" Target="https://pubs.acs.org/doi/10.1021/acs.chemrev.8b00705" TargetMode="External"/><Relationship Id="rId1" Type="http://schemas.openxmlformats.org/officeDocument/2006/relationships/hyperlink" Target="https://www.nature.com/articles/s41893-021-00739-x" TargetMode="External"/><Relationship Id="rId6" Type="http://schemas.openxmlformats.org/officeDocument/2006/relationships/hyperlink" Target="https://www.nature.com/articles/s41893-021-00739-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ubs.acs.org/doi/10.1021/acs.chemrev.8b007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ubs.acs.org/doi/10.1021/acs.chemrev.1c00901?ref=PDF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21/acs.iecr.2c00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48"/>
  <sheetViews>
    <sheetView tabSelected="1" topLeftCell="A6" zoomScaleNormal="100" workbookViewId="0">
      <selection activeCell="A16" sqref="A16"/>
    </sheetView>
  </sheetViews>
  <sheetFormatPr defaultColWidth="9.140625" defaultRowHeight="14.25" x14ac:dyDescent="0.2"/>
  <cols>
    <col min="1" max="1" width="25.7109375" style="15" customWidth="1"/>
    <col min="2" max="2" width="21.28515625" style="4" bestFit="1" customWidth="1"/>
    <col min="3" max="6" width="21.85546875" style="4" customWidth="1"/>
    <col min="7" max="16384" width="9.140625" style="4"/>
  </cols>
  <sheetData>
    <row r="1" spans="1:6" x14ac:dyDescent="0.2">
      <c r="A1" s="7" t="s">
        <v>6</v>
      </c>
      <c r="B1" s="7" t="s">
        <v>32</v>
      </c>
      <c r="C1" s="7" t="s">
        <v>7</v>
      </c>
      <c r="D1" s="7" t="s">
        <v>8</v>
      </c>
      <c r="E1" s="12" t="s">
        <v>24</v>
      </c>
      <c r="F1" s="7"/>
    </row>
    <row r="2" spans="1:6" ht="28.5" x14ac:dyDescent="0.2">
      <c r="A2" s="6" t="s">
        <v>141</v>
      </c>
      <c r="B2" s="6" t="s">
        <v>83</v>
      </c>
      <c r="C2" s="29">
        <v>1</v>
      </c>
      <c r="D2" s="6" t="s">
        <v>82</v>
      </c>
      <c r="E2" s="24"/>
      <c r="F2" s="5"/>
    </row>
    <row r="3" spans="1:6" ht="85.5" x14ac:dyDescent="0.2">
      <c r="A3" s="5" t="s">
        <v>94</v>
      </c>
      <c r="B3" s="6" t="s">
        <v>74</v>
      </c>
      <c r="C3" s="9">
        <v>75</v>
      </c>
      <c r="D3" s="5" t="s">
        <v>75</v>
      </c>
      <c r="E3" s="24" t="s">
        <v>153</v>
      </c>
      <c r="F3" s="5" t="s">
        <v>152</v>
      </c>
    </row>
    <row r="4" spans="1:6" ht="42.75" x14ac:dyDescent="0.2">
      <c r="A4" s="5" t="s">
        <v>112</v>
      </c>
      <c r="B4" s="6" t="s">
        <v>142</v>
      </c>
      <c r="C4" s="39">
        <f>0.0145</f>
        <v>1.4500000000000001E-2</v>
      </c>
      <c r="D4" s="5" t="s">
        <v>127</v>
      </c>
      <c r="E4" s="24" t="s">
        <v>144</v>
      </c>
      <c r="F4" s="5" t="s">
        <v>143</v>
      </c>
    </row>
    <row r="5" spans="1:6" ht="28.5" x14ac:dyDescent="0.2">
      <c r="A5" s="5" t="s">
        <v>145</v>
      </c>
      <c r="B5" s="6" t="s">
        <v>146</v>
      </c>
      <c r="C5" s="35">
        <v>5000</v>
      </c>
      <c r="D5" s="5" t="s">
        <v>147</v>
      </c>
      <c r="E5" s="24" t="s">
        <v>154</v>
      </c>
      <c r="F5" s="5"/>
    </row>
    <row r="6" spans="1:6" ht="28.5" x14ac:dyDescent="0.2">
      <c r="A6" s="5" t="s">
        <v>96</v>
      </c>
      <c r="B6" s="5" t="s">
        <v>33</v>
      </c>
      <c r="C6" s="9">
        <v>0</v>
      </c>
      <c r="D6" s="5" t="s">
        <v>17</v>
      </c>
      <c r="E6" s="5"/>
      <c r="F6" s="5"/>
    </row>
    <row r="7" spans="1:6" ht="28.5" x14ac:dyDescent="0.2">
      <c r="A7" s="5" t="s">
        <v>97</v>
      </c>
      <c r="B7" s="5" t="s">
        <v>35</v>
      </c>
      <c r="C7" s="9">
        <v>0.65</v>
      </c>
      <c r="D7" s="5" t="s">
        <v>17</v>
      </c>
      <c r="E7" s="5"/>
      <c r="F7" s="5"/>
    </row>
    <row r="8" spans="1:6" ht="28.5" x14ac:dyDescent="0.2">
      <c r="A8" s="5" t="s">
        <v>98</v>
      </c>
      <c r="B8" s="5" t="s">
        <v>34</v>
      </c>
      <c r="C8" s="9">
        <v>0.5</v>
      </c>
      <c r="D8" s="5" t="s">
        <v>17</v>
      </c>
      <c r="E8" s="5"/>
      <c r="F8" s="5"/>
    </row>
    <row r="9" spans="1:6" ht="15.75" x14ac:dyDescent="0.2">
      <c r="A9" s="5" t="s">
        <v>99</v>
      </c>
      <c r="B9" s="5" t="s">
        <v>50</v>
      </c>
      <c r="C9" s="8">
        <v>1000</v>
      </c>
      <c r="D9" s="5" t="s">
        <v>51</v>
      </c>
      <c r="E9" s="5"/>
      <c r="F9" s="5"/>
    </row>
    <row r="10" spans="1:6" ht="42.75" x14ac:dyDescent="0.2">
      <c r="A10" s="6" t="s">
        <v>93</v>
      </c>
      <c r="B10" s="6" t="s">
        <v>88</v>
      </c>
      <c r="C10" s="11">
        <v>0.9</v>
      </c>
      <c r="D10" s="6"/>
      <c r="E10" s="24" t="s">
        <v>89</v>
      </c>
      <c r="F10" s="5"/>
    </row>
    <row r="11" spans="1:6" ht="28.5" x14ac:dyDescent="0.2">
      <c r="A11" s="6" t="s">
        <v>109</v>
      </c>
      <c r="B11" s="6" t="s">
        <v>72</v>
      </c>
      <c r="C11" s="11">
        <v>7.0000000000000007E-2</v>
      </c>
      <c r="D11" s="6"/>
      <c r="E11" s="24" t="s">
        <v>23</v>
      </c>
      <c r="F11" s="5"/>
    </row>
    <row r="12" spans="1:6" ht="42.75" x14ac:dyDescent="0.2">
      <c r="A12" s="6" t="s">
        <v>116</v>
      </c>
      <c r="B12" s="6" t="s">
        <v>45</v>
      </c>
      <c r="C12" s="10">
        <v>1</v>
      </c>
      <c r="D12" s="6" t="s">
        <v>22</v>
      </c>
      <c r="E12" s="24" t="s">
        <v>19</v>
      </c>
      <c r="F12" s="5"/>
    </row>
    <row r="13" spans="1:6" ht="42.75" x14ac:dyDescent="0.2">
      <c r="A13" s="6" t="s">
        <v>91</v>
      </c>
      <c r="B13" s="6" t="s">
        <v>36</v>
      </c>
      <c r="C13" s="10">
        <v>1.23</v>
      </c>
      <c r="D13" s="6" t="s">
        <v>60</v>
      </c>
      <c r="E13" s="24" t="s">
        <v>19</v>
      </c>
      <c r="F13" s="5"/>
    </row>
    <row r="14" spans="1:6" ht="27" customHeight="1" x14ac:dyDescent="0.2">
      <c r="A14" s="5" t="s">
        <v>100</v>
      </c>
      <c r="B14" s="5" t="s">
        <v>11</v>
      </c>
      <c r="C14" s="8">
        <v>96485.33212331</v>
      </c>
      <c r="D14" s="5" t="s">
        <v>12</v>
      </c>
      <c r="E14" s="5"/>
      <c r="F14" s="5"/>
    </row>
    <row r="15" spans="1:6" x14ac:dyDescent="0.2">
      <c r="A15" s="5" t="s">
        <v>173</v>
      </c>
      <c r="B15" s="5" t="s">
        <v>9</v>
      </c>
      <c r="C15" s="5">
        <v>8.3144720000000003</v>
      </c>
      <c r="D15" s="5" t="s">
        <v>10</v>
      </c>
      <c r="E15" s="5"/>
      <c r="F15" s="5"/>
    </row>
    <row r="16" spans="1:6" ht="17.25" x14ac:dyDescent="0.2">
      <c r="A16" s="5" t="s">
        <v>95</v>
      </c>
      <c r="B16" s="5" t="s">
        <v>46</v>
      </c>
      <c r="C16" s="9">
        <v>44.009500000000003</v>
      </c>
      <c r="D16" s="5" t="s">
        <v>29</v>
      </c>
      <c r="E16" s="5"/>
      <c r="F16" s="5"/>
    </row>
    <row r="17" spans="1:6" ht="17.25" x14ac:dyDescent="0.2">
      <c r="A17" s="6" t="s">
        <v>107</v>
      </c>
      <c r="B17" s="6" t="s">
        <v>79</v>
      </c>
      <c r="C17" s="9">
        <v>138.2055</v>
      </c>
      <c r="D17" s="5" t="s">
        <v>29</v>
      </c>
      <c r="E17" s="5"/>
      <c r="F17" s="5"/>
    </row>
    <row r="18" spans="1:6" ht="17.25" x14ac:dyDescent="0.2">
      <c r="A18" s="5" t="s">
        <v>105</v>
      </c>
      <c r="B18" s="6" t="s">
        <v>49</v>
      </c>
      <c r="C18" s="9">
        <v>31.998799999999999</v>
      </c>
      <c r="D18" s="5" t="s">
        <v>29</v>
      </c>
      <c r="E18" s="5"/>
      <c r="F18" s="5"/>
    </row>
    <row r="19" spans="1:6" x14ac:dyDescent="0.2">
      <c r="A19" s="5" t="s">
        <v>114</v>
      </c>
      <c r="B19" s="5" t="s">
        <v>47</v>
      </c>
      <c r="C19" s="9">
        <v>18.015799999999999</v>
      </c>
      <c r="D19" s="5" t="s">
        <v>29</v>
      </c>
      <c r="E19" s="5"/>
      <c r="F19" s="5"/>
    </row>
    <row r="20" spans="1:6" x14ac:dyDescent="0.2">
      <c r="A20" s="5" t="s">
        <v>106</v>
      </c>
      <c r="B20" s="5" t="s">
        <v>15</v>
      </c>
      <c r="C20" s="8">
        <v>101325</v>
      </c>
      <c r="D20" s="5" t="s">
        <v>16</v>
      </c>
      <c r="E20" s="5"/>
      <c r="F20" s="5"/>
    </row>
    <row r="21" spans="1:6" ht="28.5" x14ac:dyDescent="0.2">
      <c r="A21" s="5" t="s">
        <v>120</v>
      </c>
      <c r="B21" s="5" t="s">
        <v>121</v>
      </c>
      <c r="C21" s="11">
        <f>350/365</f>
        <v>0.95890410958904104</v>
      </c>
      <c r="D21" s="5"/>
      <c r="E21" s="5"/>
      <c r="F21" s="5"/>
    </row>
    <row r="22" spans="1:6" ht="28.5" x14ac:dyDescent="0.2">
      <c r="A22" s="5" t="s">
        <v>125</v>
      </c>
      <c r="B22" s="5" t="s">
        <v>126</v>
      </c>
      <c r="C22" s="29">
        <v>0</v>
      </c>
      <c r="D22" s="5"/>
      <c r="E22" s="5"/>
      <c r="F22" s="5"/>
    </row>
    <row r="23" spans="1:6" ht="28.5" x14ac:dyDescent="0.2">
      <c r="A23" s="5" t="s">
        <v>122</v>
      </c>
      <c r="B23" s="5" t="s">
        <v>123</v>
      </c>
      <c r="C23" s="36">
        <v>20</v>
      </c>
      <c r="D23" s="5" t="s">
        <v>124</v>
      </c>
      <c r="E23" s="5"/>
      <c r="F23" s="5"/>
    </row>
    <row r="24" spans="1:6" ht="28.5" x14ac:dyDescent="0.2">
      <c r="A24" s="5" t="s">
        <v>117</v>
      </c>
      <c r="B24" s="5" t="s">
        <v>118</v>
      </c>
      <c r="C24" s="35">
        <v>50000</v>
      </c>
      <c r="D24" s="5" t="s">
        <v>119</v>
      </c>
      <c r="E24" s="5"/>
      <c r="F24" s="5"/>
    </row>
    <row r="25" spans="1:6" ht="28.5" x14ac:dyDescent="0.2">
      <c r="A25" s="5" t="s">
        <v>150</v>
      </c>
      <c r="B25" s="6" t="s">
        <v>151</v>
      </c>
      <c r="C25" s="35">
        <v>5</v>
      </c>
      <c r="D25" s="5" t="s">
        <v>124</v>
      </c>
      <c r="E25" s="5"/>
      <c r="F25" s="5"/>
    </row>
    <row r="26" spans="1:6" ht="42.75" x14ac:dyDescent="0.2">
      <c r="A26" s="6" t="s">
        <v>115</v>
      </c>
      <c r="B26" s="6" t="s">
        <v>81</v>
      </c>
      <c r="C26" s="11">
        <v>0.05</v>
      </c>
      <c r="D26" s="6"/>
      <c r="E26" s="24"/>
      <c r="F26" s="5"/>
    </row>
    <row r="27" spans="1:6" ht="28.5" x14ac:dyDescent="0.2">
      <c r="A27" s="6" t="s">
        <v>113</v>
      </c>
      <c r="B27" s="6" t="s">
        <v>80</v>
      </c>
      <c r="C27" s="29">
        <v>2500</v>
      </c>
      <c r="D27" s="6" t="s">
        <v>140</v>
      </c>
      <c r="E27" s="24"/>
      <c r="F27" s="5"/>
    </row>
    <row r="28" spans="1:6" ht="28.5" x14ac:dyDescent="0.2">
      <c r="A28" s="6" t="s">
        <v>108</v>
      </c>
      <c r="B28" s="6" t="s">
        <v>39</v>
      </c>
      <c r="C28" s="6">
        <v>10</v>
      </c>
      <c r="D28" s="6" t="s">
        <v>21</v>
      </c>
      <c r="E28" s="24" t="s">
        <v>20</v>
      </c>
      <c r="F28" s="5"/>
    </row>
    <row r="29" spans="1:6" ht="28.5" x14ac:dyDescent="0.2">
      <c r="A29" s="6" t="s">
        <v>92</v>
      </c>
      <c r="B29" s="6" t="s">
        <v>37</v>
      </c>
      <c r="C29" s="6">
        <v>0.247</v>
      </c>
      <c r="D29" s="6" t="s">
        <v>18</v>
      </c>
      <c r="E29" s="24" t="s">
        <v>20</v>
      </c>
      <c r="F29" s="5"/>
    </row>
    <row r="30" spans="1:6" ht="28.5" x14ac:dyDescent="0.2">
      <c r="A30" s="6" t="s">
        <v>90</v>
      </c>
      <c r="B30" s="6" t="s">
        <v>38</v>
      </c>
      <c r="C30" s="6">
        <f>0.041*1000</f>
        <v>41</v>
      </c>
      <c r="D30" s="6" t="s">
        <v>149</v>
      </c>
      <c r="E30" s="24" t="s">
        <v>20</v>
      </c>
      <c r="F30" s="5"/>
    </row>
    <row r="31" spans="1:6" ht="28.5" x14ac:dyDescent="0.2">
      <c r="A31" s="6" t="s">
        <v>110</v>
      </c>
      <c r="B31" s="6" t="s">
        <v>40</v>
      </c>
      <c r="C31" s="10">
        <v>313.14999999999998</v>
      </c>
      <c r="D31" s="6" t="s">
        <v>14</v>
      </c>
      <c r="E31" s="24" t="s">
        <v>23</v>
      </c>
      <c r="F31" s="5"/>
    </row>
    <row r="32" spans="1:6" x14ac:dyDescent="0.2">
      <c r="A32" s="5" t="s">
        <v>111</v>
      </c>
      <c r="B32" s="5" t="s">
        <v>148</v>
      </c>
      <c r="C32" s="10">
        <v>313.14999999999998</v>
      </c>
      <c r="D32" s="5" t="s">
        <v>14</v>
      </c>
      <c r="E32" s="5"/>
      <c r="F32" s="5"/>
    </row>
    <row r="33" spans="1:6" ht="15" x14ac:dyDescent="0.2">
      <c r="A33" s="16" t="s">
        <v>101</v>
      </c>
      <c r="B33" s="6" t="s">
        <v>41</v>
      </c>
      <c r="C33" s="16">
        <v>273.14999999999998</v>
      </c>
      <c r="D33" s="16" t="s">
        <v>14</v>
      </c>
      <c r="E33" s="5"/>
      <c r="F33" s="5"/>
    </row>
    <row r="34" spans="1:6" ht="28.5" x14ac:dyDescent="0.2">
      <c r="A34" s="5" t="s">
        <v>102</v>
      </c>
      <c r="B34" s="6" t="s">
        <v>42</v>
      </c>
      <c r="C34" s="8">
        <f>3600</f>
        <v>3600</v>
      </c>
      <c r="D34" s="5" t="s">
        <v>27</v>
      </c>
      <c r="E34" s="5"/>
      <c r="F34" s="5"/>
    </row>
    <row r="35" spans="1:6" ht="28.5" x14ac:dyDescent="0.2">
      <c r="A35" s="5" t="s">
        <v>103</v>
      </c>
      <c r="B35" s="6" t="s">
        <v>44</v>
      </c>
      <c r="C35" s="8">
        <f>1055870</f>
        <v>1055870</v>
      </c>
      <c r="D35" s="5" t="s">
        <v>28</v>
      </c>
      <c r="E35" s="5"/>
      <c r="F35" s="5"/>
    </row>
    <row r="36" spans="1:6" ht="28.5" x14ac:dyDescent="0.2">
      <c r="A36" s="5" t="s">
        <v>104</v>
      </c>
      <c r="B36" s="6" t="s">
        <v>43</v>
      </c>
      <c r="C36" s="8">
        <f>kJ_per_mmBtu/kJ_per_kWh</f>
        <v>293.29722222222222</v>
      </c>
      <c r="D36" s="5" t="s">
        <v>31</v>
      </c>
      <c r="E36" s="5"/>
    </row>
    <row r="37" spans="1:6" x14ac:dyDescent="0.2">
      <c r="A37" s="4"/>
    </row>
    <row r="38" spans="1:6" x14ac:dyDescent="0.2">
      <c r="A38" s="4"/>
    </row>
    <row r="39" spans="1:6" x14ac:dyDescent="0.2">
      <c r="A39" s="4"/>
    </row>
    <row r="40" spans="1:6" x14ac:dyDescent="0.2">
      <c r="A40" s="4"/>
    </row>
    <row r="41" spans="1:6" x14ac:dyDescent="0.2">
      <c r="A41" s="4"/>
    </row>
    <row r="42" spans="1:6" x14ac:dyDescent="0.2">
      <c r="A42" s="4"/>
    </row>
    <row r="43" spans="1:6" x14ac:dyDescent="0.2">
      <c r="A43" s="4"/>
    </row>
    <row r="44" spans="1:6" x14ac:dyDescent="0.2">
      <c r="A44" s="4"/>
    </row>
    <row r="45" spans="1:6" x14ac:dyDescent="0.2">
      <c r="A45" s="4"/>
    </row>
    <row r="46" spans="1:6" x14ac:dyDescent="0.2">
      <c r="A46" s="5"/>
      <c r="B46" s="8"/>
      <c r="C46" s="5"/>
      <c r="D46" s="5"/>
    </row>
    <row r="47" spans="1:6" x14ac:dyDescent="0.2">
      <c r="A47" s="5"/>
      <c r="B47" s="9"/>
      <c r="C47" s="5"/>
      <c r="D47" s="5"/>
    </row>
    <row r="48" spans="1:6" x14ac:dyDescent="0.2">
      <c r="B48" s="6"/>
      <c r="C48" s="6"/>
    </row>
  </sheetData>
  <hyperlinks>
    <hyperlink ref="E12:E20" r:id="rId1" display="Shin, Jiao (Nat. Sust. 2021)" xr:uid="{F98420FB-B35B-42BA-AC7A-2D9CE95662A5}"/>
    <hyperlink ref="E11" r:id="rId2" xr:uid="{2C690385-64CC-452A-875C-728C51C7F159}"/>
    <hyperlink ref="E29" r:id="rId3" xr:uid="{214EAADB-058E-4DBA-880F-727E021F35A8}"/>
    <hyperlink ref="E13" r:id="rId4" xr:uid="{C621EBC1-D2D7-4FBE-8E4B-BC10DF4928D4}"/>
    <hyperlink ref="E12" r:id="rId5" xr:uid="{C255EE5C-FBDD-4176-A67A-8F3FD3120E2E}"/>
    <hyperlink ref="E31" r:id="rId6" xr:uid="{1D582B49-C9A3-4464-96C4-7694D2F23D8F}"/>
    <hyperlink ref="E3" r:id="rId7" display="IEA, average for power gen" xr:uid="{781250D3-74FF-4AAC-876D-B170419E0026}"/>
    <hyperlink ref="E4" r:id="rId8" display="Seider et al: $0.27/m3; Alerte et al: $0.0145/kg" xr:uid="{428FA07D-32E1-4E39-B95F-F3FC1495D338}"/>
    <hyperlink ref="E10" r:id="rId9" display="Brandl et al" xr:uid="{EF89FF7B-65AC-4D83-8890-C13EE030FEED}"/>
    <hyperlink ref="E5" r:id="rId10" location="fig2" display="Badgett, Cortright (J Cleaner Prod 2022)" xr:uid="{13C42B5A-CBC8-4B1A-A9AB-3BCDE19ECC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5"/>
  <sheetViews>
    <sheetView zoomScale="85" zoomScaleNormal="85" workbookViewId="0">
      <pane xSplit="1" topLeftCell="B1" activePane="topRight" state="frozen"/>
      <selection pane="topRight" activeCell="E18" sqref="E18"/>
    </sheetView>
  </sheetViews>
  <sheetFormatPr defaultRowHeight="14.25" x14ac:dyDescent="0.2"/>
  <cols>
    <col min="1" max="1" width="13" style="4" bestFit="1" customWidth="1"/>
    <col min="2" max="2" width="13" style="4" customWidth="1"/>
    <col min="3" max="3" width="15" style="4" bestFit="1" customWidth="1"/>
    <col min="4" max="4" width="18.7109375" style="4" bestFit="1" customWidth="1"/>
    <col min="5" max="5" width="18.7109375" style="4" customWidth="1"/>
    <col min="6" max="6" width="15.7109375" style="4" bestFit="1" customWidth="1"/>
    <col min="7" max="7" width="15.7109375" style="44" customWidth="1"/>
    <col min="8" max="8" width="17.7109375" style="4" bestFit="1" customWidth="1"/>
    <col min="9" max="9" width="17.7109375" style="4" customWidth="1"/>
    <col min="10" max="10" width="16.42578125" style="4" bestFit="1" customWidth="1"/>
    <col min="11" max="11" width="13.28515625" style="4" bestFit="1" customWidth="1"/>
    <col min="12" max="12" width="15.140625" style="4" bestFit="1" customWidth="1"/>
    <col min="13" max="15" width="15.140625" style="4" customWidth="1"/>
    <col min="16" max="16" width="15.7109375" style="4" customWidth="1"/>
    <col min="17" max="17" width="20.85546875" style="45" customWidth="1"/>
    <col min="18" max="16384" width="9.140625" style="4"/>
  </cols>
  <sheetData>
    <row r="1" spans="1:17" ht="58.5" x14ac:dyDescent="0.2">
      <c r="A1" s="7" t="s">
        <v>53</v>
      </c>
      <c r="B1" s="7" t="s">
        <v>69</v>
      </c>
      <c r="C1" s="7" t="s">
        <v>54</v>
      </c>
      <c r="D1" s="7" t="s">
        <v>63</v>
      </c>
      <c r="E1" s="7" t="s">
        <v>64</v>
      </c>
      <c r="F1" s="7" t="s">
        <v>55</v>
      </c>
      <c r="G1" s="28" t="s">
        <v>73</v>
      </c>
      <c r="H1" s="7" t="s">
        <v>67</v>
      </c>
      <c r="I1" s="7" t="s">
        <v>68</v>
      </c>
      <c r="J1" s="7" t="s">
        <v>56</v>
      </c>
      <c r="K1" s="7" t="s">
        <v>57</v>
      </c>
      <c r="L1" s="7" t="s">
        <v>65</v>
      </c>
      <c r="M1" s="7" t="s">
        <v>78</v>
      </c>
      <c r="N1" s="7" t="s">
        <v>84</v>
      </c>
      <c r="O1" s="7" t="s">
        <v>85</v>
      </c>
      <c r="P1" s="12" t="s">
        <v>24</v>
      </c>
      <c r="Q1" s="12" t="s">
        <v>66</v>
      </c>
    </row>
    <row r="2" spans="1:17" ht="17.25" x14ac:dyDescent="0.2">
      <c r="A2" s="5" t="s">
        <v>62</v>
      </c>
      <c r="B2" s="5" t="s">
        <v>70</v>
      </c>
      <c r="C2" s="9">
        <f>1.007947*2</f>
        <v>2.0158939999999999</v>
      </c>
      <c r="D2" s="5">
        <v>2</v>
      </c>
      <c r="E2" s="5">
        <v>0</v>
      </c>
      <c r="F2" s="25">
        <v>120087</v>
      </c>
      <c r="G2" s="9">
        <v>2</v>
      </c>
      <c r="H2" s="5">
        <v>0</v>
      </c>
      <c r="I2" s="9">
        <v>0</v>
      </c>
      <c r="J2" s="6"/>
      <c r="K2" s="6"/>
      <c r="L2" s="6"/>
      <c r="M2" s="6"/>
      <c r="N2" s="6"/>
      <c r="O2" s="6"/>
      <c r="P2" s="5"/>
      <c r="Q2" s="5"/>
    </row>
    <row r="3" spans="1:17" ht="85.5" x14ac:dyDescent="0.2">
      <c r="A3" s="5" t="s">
        <v>52</v>
      </c>
      <c r="B3" s="5" t="s">
        <v>70</v>
      </c>
      <c r="C3" s="9">
        <v>28.010100000000001</v>
      </c>
      <c r="D3" s="5">
        <v>2</v>
      </c>
      <c r="E3" s="5">
        <v>1</v>
      </c>
      <c r="F3" s="25">
        <v>10160</v>
      </c>
      <c r="G3" s="9">
        <v>0.6</v>
      </c>
      <c r="H3" s="10">
        <v>-0.06</v>
      </c>
      <c r="I3" s="9">
        <v>-0.1</v>
      </c>
      <c r="J3" s="6">
        <v>-0.44</v>
      </c>
      <c r="K3" s="6">
        <f>-0.23*1000</f>
        <v>-230</v>
      </c>
      <c r="L3" s="6">
        <v>10</v>
      </c>
      <c r="M3" s="6">
        <v>0.95</v>
      </c>
      <c r="N3" s="40">
        <v>0.1148</v>
      </c>
      <c r="O3" s="41">
        <v>472.1</v>
      </c>
      <c r="P3" s="24" t="s">
        <v>20</v>
      </c>
      <c r="Q3" s="42" t="s">
        <v>156</v>
      </c>
    </row>
    <row r="4" spans="1:17" ht="57" x14ac:dyDescent="0.2">
      <c r="A4" s="6" t="s">
        <v>58</v>
      </c>
      <c r="B4" s="6" t="s">
        <v>70</v>
      </c>
      <c r="C4" s="9">
        <v>28.053999999999998</v>
      </c>
      <c r="D4" s="5">
        <v>12</v>
      </c>
      <c r="E4" s="5">
        <v>2</v>
      </c>
      <c r="F4" s="25">
        <v>47741</v>
      </c>
      <c r="G4" s="9">
        <v>1.3</v>
      </c>
      <c r="H4" s="6">
        <v>0.09</v>
      </c>
      <c r="I4" s="9">
        <v>0.08</v>
      </c>
      <c r="J4" s="6">
        <v>-0.30599999999999999</v>
      </c>
      <c r="K4" s="6">
        <v>-426</v>
      </c>
      <c r="L4" s="6">
        <v>1</v>
      </c>
      <c r="M4" s="6">
        <v>0.7</v>
      </c>
      <c r="N4" s="40">
        <v>2.6550000000000001E-2</v>
      </c>
      <c r="O4" s="41">
        <v>435.9</v>
      </c>
      <c r="P4" s="24" t="s">
        <v>20</v>
      </c>
      <c r="Q4" s="42" t="s">
        <v>155</v>
      </c>
    </row>
    <row r="5" spans="1:17" s="43" customFormat="1" ht="57" x14ac:dyDescent="0.2">
      <c r="A5" s="26" t="s">
        <v>24</v>
      </c>
      <c r="B5" s="27" t="s">
        <v>71</v>
      </c>
      <c r="C5" s="27" t="s">
        <v>71</v>
      </c>
      <c r="D5" s="24" t="s">
        <v>157</v>
      </c>
      <c r="E5" s="27" t="s">
        <v>71</v>
      </c>
      <c r="F5" s="24" t="s">
        <v>59</v>
      </c>
      <c r="G5" s="27" t="s">
        <v>76</v>
      </c>
      <c r="H5" s="24" t="s">
        <v>158</v>
      </c>
      <c r="I5" s="24" t="s">
        <v>157</v>
      </c>
      <c r="J5" s="27" t="s">
        <v>61</v>
      </c>
      <c r="K5" s="27" t="s">
        <v>61</v>
      </c>
      <c r="L5" s="27" t="s">
        <v>61</v>
      </c>
      <c r="M5" s="27"/>
      <c r="N5" s="27"/>
      <c r="O5" s="27"/>
      <c r="P5" s="26"/>
      <c r="Q5" s="26"/>
    </row>
  </sheetData>
  <phoneticPr fontId="18" type="noConversion"/>
  <hyperlinks>
    <hyperlink ref="P3" r:id="rId1" xr:uid="{A4F65FF6-C6EC-40B1-9701-93F5858A18BD}"/>
    <hyperlink ref="D5" r:id="rId2" display="Nitopi Jaramillo Chem Rev 2019" xr:uid="{A6CEC16A-5A29-4C4B-B6DC-2F13839F3E5E}"/>
    <hyperlink ref="F5" r:id="rId3" display="Engineering Toolbox" xr:uid="{0D86F13D-1D29-453A-84F4-38B2E4DB70A8}"/>
    <hyperlink ref="H5" r:id="rId4" display="Bui Weber Chem Rev 2022" xr:uid="{D54C8481-3AD6-4B97-878B-D2C90AD4D097}"/>
    <hyperlink ref="I5" r:id="rId5" display="Nitopi Jaramillo Chem Rev 2019" xr:uid="{15A9F7F2-24C4-4947-B8AC-CCED0C43AB79}"/>
    <hyperlink ref="P4" r:id="rId6" xr:uid="{9E5C44A6-93F6-4ED1-B804-8649E4167F70}"/>
    <hyperlink ref="Q3" r:id="rId7" display="Jouny, Jiao I&amp;EC 2018" xr:uid="{10B5C8FC-32D4-41B8-BAEB-C077AC9722AB}"/>
  </hyperlinks>
  <pageMargins left="0.7" right="0.7" top="0.75" bottom="0.75" header="0.3" footer="0.3"/>
  <legacyDrawing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E8" sqref="E8"/>
    </sheetView>
  </sheetViews>
  <sheetFormatPr defaultColWidth="9.140625" defaultRowHeight="15" x14ac:dyDescent="0.25"/>
  <cols>
    <col min="1" max="1" width="28.28515625" style="14" bestFit="1" customWidth="1"/>
    <col min="2" max="2" width="19.5703125" style="34" bestFit="1" customWidth="1"/>
    <col min="3" max="3" width="23.7109375" style="3" bestFit="1" customWidth="1"/>
    <col min="4" max="4" width="23.5703125" style="3" bestFit="1" customWidth="1"/>
    <col min="5" max="5" width="22.7109375" style="3" bestFit="1" customWidth="1"/>
    <col min="6" max="6" width="12.140625" style="3" customWidth="1"/>
    <col min="7" max="16384" width="9.140625" style="3"/>
  </cols>
  <sheetData>
    <row r="1" spans="1:6" s="2" customFormat="1" ht="34.5" x14ac:dyDescent="0.25">
      <c r="A1" s="23" t="s">
        <v>0</v>
      </c>
      <c r="B1" s="31" t="s">
        <v>4</v>
      </c>
      <c r="C1" s="13" t="s">
        <v>30</v>
      </c>
      <c r="D1" s="1" t="s">
        <v>24</v>
      </c>
    </row>
    <row r="2" spans="1:6" x14ac:dyDescent="0.25">
      <c r="A2" s="17"/>
      <c r="B2" s="32"/>
      <c r="C2" s="21"/>
      <c r="D2" s="22"/>
    </row>
    <row r="3" spans="1:6" ht="75" customHeight="1" x14ac:dyDescent="0.25">
      <c r="A3" s="18" t="s">
        <v>5</v>
      </c>
      <c r="B3" s="32">
        <v>2.4E-2</v>
      </c>
      <c r="C3" s="21">
        <v>50</v>
      </c>
      <c r="D3" s="30" t="s">
        <v>159</v>
      </c>
      <c r="E3" s="70" t="s">
        <v>161</v>
      </c>
      <c r="F3" s="69" t="s">
        <v>162</v>
      </c>
    </row>
    <row r="4" spans="1:6" ht="28.5" x14ac:dyDescent="0.25">
      <c r="A4" s="18" t="s">
        <v>87</v>
      </c>
      <c r="B4" s="32">
        <v>2.4E-2</v>
      </c>
      <c r="C4" s="21">
        <v>20</v>
      </c>
      <c r="D4" s="30" t="s">
        <v>159</v>
      </c>
      <c r="E4" s="70"/>
      <c r="F4" s="69"/>
    </row>
    <row r="5" spans="1:6" ht="28.5" x14ac:dyDescent="0.25">
      <c r="A5" s="18" t="s">
        <v>86</v>
      </c>
      <c r="B5" s="32">
        <v>4.2000000000000003E-2</v>
      </c>
      <c r="C5" s="21"/>
      <c r="D5" s="30" t="s">
        <v>160</v>
      </c>
    </row>
    <row r="6" spans="1:6" ht="57" x14ac:dyDescent="0.25">
      <c r="A6" s="18" t="s">
        <v>2</v>
      </c>
      <c r="B6" s="32">
        <f>16.05/1000</f>
        <v>1.6050000000000002E-2</v>
      </c>
      <c r="C6" s="46">
        <f>[1]Electric!$G$557/kWh_per_mmBtu</f>
        <v>230.93061430996579</v>
      </c>
      <c r="D6" s="30" t="s">
        <v>163</v>
      </c>
    </row>
    <row r="7" spans="1:6" ht="57" x14ac:dyDescent="0.25">
      <c r="A7" s="18" t="s">
        <v>1</v>
      </c>
      <c r="B7" s="32">
        <f>7.62/100</f>
        <v>7.6200000000000004E-2</v>
      </c>
      <c r="C7" s="46" cm="1">
        <f t="array" ref="C7">[1]!Electricity_upstream_fuel_CO2/kWh_per_mmBtu</f>
        <v>414.10433834299573</v>
      </c>
      <c r="D7" s="30" t="s">
        <v>163</v>
      </c>
    </row>
    <row r="8" spans="1:6" ht="71.25" x14ac:dyDescent="0.25">
      <c r="A8" s="18" t="s">
        <v>3</v>
      </c>
      <c r="B8" s="32">
        <f>2.22/kWh_per_mmBtu</f>
        <v>7.5691136219420956E-3</v>
      </c>
      <c r="C8" s="46">
        <f>70.66/1000*kJ_per_kWh</f>
        <v>254.376</v>
      </c>
      <c r="D8" s="19" t="s">
        <v>164</v>
      </c>
    </row>
    <row r="9" spans="1:6" ht="28.5" x14ac:dyDescent="0.25">
      <c r="A9" s="18" t="s">
        <v>48</v>
      </c>
      <c r="B9" s="32">
        <v>0.03</v>
      </c>
      <c r="C9" s="47"/>
      <c r="D9" s="38" t="s">
        <v>20</v>
      </c>
    </row>
    <row r="10" spans="1:6" x14ac:dyDescent="0.25">
      <c r="A10" s="18"/>
      <c r="B10" s="32"/>
      <c r="C10" s="47"/>
      <c r="D10" s="37"/>
    </row>
    <row r="11" spans="1:6" x14ac:dyDescent="0.25">
      <c r="A11" s="18" t="s">
        <v>25</v>
      </c>
      <c r="B11" s="32">
        <f>B7</f>
        <v>7.6200000000000004E-2</v>
      </c>
      <c r="C11" s="47">
        <f>C7</f>
        <v>414.10433834299573</v>
      </c>
      <c r="D11" s="37"/>
    </row>
    <row r="12" spans="1:6" x14ac:dyDescent="0.25">
      <c r="A12" s="20" t="s">
        <v>26</v>
      </c>
      <c r="B12" s="33">
        <f>B8</f>
        <v>7.5691136219420956E-3</v>
      </c>
      <c r="C12" s="47">
        <f>C8</f>
        <v>254.376</v>
      </c>
      <c r="D12" s="37"/>
    </row>
    <row r="13" spans="1:6" x14ac:dyDescent="0.25">
      <c r="A13" s="20"/>
      <c r="B13" s="33"/>
      <c r="C13" s="37"/>
      <c r="D13" s="37"/>
    </row>
    <row r="14" spans="1:6" x14ac:dyDescent="0.25">
      <c r="A14" s="18" t="s">
        <v>77</v>
      </c>
      <c r="B14" s="32">
        <v>200</v>
      </c>
      <c r="C14" s="37"/>
      <c r="D14" s="38" t="s">
        <v>128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CF3A-7D65-46DF-B766-523F8464614A}">
  <dimension ref="A1:P104"/>
  <sheetViews>
    <sheetView zoomScale="85" zoomScaleNormal="85" workbookViewId="0">
      <selection activeCell="I10" sqref="I10"/>
    </sheetView>
  </sheetViews>
  <sheetFormatPr defaultColWidth="13.7109375" defaultRowHeight="14.25" x14ac:dyDescent="0.2"/>
  <cols>
    <col min="1" max="1" width="19.140625" style="51" bestFit="1" customWidth="1"/>
    <col min="2" max="2" width="20.85546875" style="51" bestFit="1" customWidth="1"/>
    <col min="3" max="3" width="19.140625" style="51" bestFit="1" customWidth="1"/>
    <col min="4" max="4" width="16" style="51" bestFit="1" customWidth="1"/>
    <col min="5" max="5" width="18" style="51" bestFit="1" customWidth="1"/>
    <col min="6" max="6" width="16" style="51" bestFit="1" customWidth="1"/>
    <col min="7" max="7" width="13.7109375" style="51"/>
    <col min="8" max="8" width="14.7109375" style="51" bestFit="1" customWidth="1"/>
    <col min="9" max="12" width="14.7109375" style="52" bestFit="1" customWidth="1"/>
    <col min="13" max="13" width="15.42578125" style="52" bestFit="1" customWidth="1"/>
    <col min="14" max="15" width="14.7109375" style="52" bestFit="1" customWidth="1"/>
    <col min="16" max="16" width="21" style="52" bestFit="1" customWidth="1"/>
    <col min="17" max="25" width="13.7109375" style="51"/>
    <col min="26" max="26" width="18.42578125" style="51" bestFit="1" customWidth="1"/>
    <col min="27" max="16384" width="13.7109375" style="51"/>
  </cols>
  <sheetData>
    <row r="1" spans="1:12" x14ac:dyDescent="0.2">
      <c r="A1" s="48" t="s">
        <v>132</v>
      </c>
      <c r="B1" s="49"/>
      <c r="C1" s="50"/>
      <c r="D1" s="50"/>
      <c r="E1" s="51" t="s">
        <v>171</v>
      </c>
    </row>
    <row r="2" spans="1:12" s="52" customFormat="1" ht="17.25" x14ac:dyDescent="0.2">
      <c r="A2" s="48" t="s">
        <v>165</v>
      </c>
      <c r="B2" s="49"/>
      <c r="C2" s="50"/>
      <c r="D2" s="50"/>
      <c r="E2" s="68" t="s">
        <v>172</v>
      </c>
      <c r="F2" s="51"/>
    </row>
    <row r="3" spans="1:12" s="52" customFormat="1" x14ac:dyDescent="0.2">
      <c r="A3" s="51"/>
      <c r="C3" s="51"/>
      <c r="D3" s="51"/>
      <c r="F3" s="51"/>
    </row>
    <row r="4" spans="1:12" x14ac:dyDescent="0.2">
      <c r="A4" s="53" t="s">
        <v>6</v>
      </c>
      <c r="B4" s="53" t="s">
        <v>7</v>
      </c>
      <c r="C4" s="53" t="s">
        <v>8</v>
      </c>
      <c r="D4" s="54" t="s">
        <v>136</v>
      </c>
    </row>
    <row r="5" spans="1:12" x14ac:dyDescent="0.2">
      <c r="A5" s="55" t="s">
        <v>9</v>
      </c>
      <c r="B5" s="55">
        <v>8.3144720000000003</v>
      </c>
      <c r="C5" s="55" t="s">
        <v>10</v>
      </c>
      <c r="D5" s="55"/>
    </row>
    <row r="6" spans="1:12" ht="15.75" x14ac:dyDescent="0.2">
      <c r="A6" s="56" t="s">
        <v>11</v>
      </c>
      <c r="B6" s="56">
        <v>96485.33212331</v>
      </c>
      <c r="C6" s="56" t="s">
        <v>12</v>
      </c>
      <c r="D6" s="56"/>
    </row>
    <row r="7" spans="1:12" s="52" customFormat="1" x14ac:dyDescent="0.2">
      <c r="A7" s="55" t="s">
        <v>13</v>
      </c>
      <c r="B7" s="55">
        <v>273.14999999999998</v>
      </c>
      <c r="C7" s="55" t="s">
        <v>14</v>
      </c>
      <c r="D7" s="55"/>
      <c r="E7" s="51"/>
      <c r="F7" s="51"/>
    </row>
    <row r="8" spans="1:12" s="52" customFormat="1" x14ac:dyDescent="0.2">
      <c r="A8" s="56" t="s">
        <v>15</v>
      </c>
      <c r="B8" s="56">
        <v>101325</v>
      </c>
      <c r="C8" s="56" t="s">
        <v>16</v>
      </c>
      <c r="D8" s="56"/>
      <c r="E8" s="51"/>
      <c r="F8" s="51"/>
    </row>
    <row r="9" spans="1:12" s="52" customFormat="1" x14ac:dyDescent="0.2">
      <c r="A9" s="55" t="s">
        <v>166</v>
      </c>
      <c r="B9" s="55">
        <v>273.14999999999998</v>
      </c>
      <c r="C9" s="55" t="s">
        <v>14</v>
      </c>
      <c r="D9" s="55"/>
      <c r="E9" s="51"/>
      <c r="F9" s="51"/>
      <c r="L9" s="51"/>
    </row>
    <row r="10" spans="1:12" s="52" customFormat="1" ht="28.5" x14ac:dyDescent="0.2">
      <c r="A10" s="56" t="s">
        <v>137</v>
      </c>
      <c r="B10" s="56">
        <f>1/60/(100^3)*P/(R_*B7+20)</f>
        <v>7.3709198831561756E-7</v>
      </c>
      <c r="C10" s="56" t="s">
        <v>133</v>
      </c>
      <c r="D10" s="56"/>
      <c r="E10" s="51"/>
      <c r="F10" s="51"/>
      <c r="L10" s="51"/>
    </row>
    <row r="11" spans="1:12" s="52" customFormat="1" x14ac:dyDescent="0.2">
      <c r="A11" s="55" t="s">
        <v>133</v>
      </c>
      <c r="B11" s="55">
        <f>1/60/(100^3)*P/(R_*B7)</f>
        <v>7.4358305104930494E-7</v>
      </c>
      <c r="C11" s="55" t="s">
        <v>133</v>
      </c>
      <c r="D11" s="55"/>
      <c r="E11" s="51"/>
      <c r="F11" s="51"/>
      <c r="G11" s="51"/>
    </row>
    <row r="12" spans="1:12" s="52" customFormat="1" ht="30" x14ac:dyDescent="0.2">
      <c r="A12" s="56" t="s">
        <v>134</v>
      </c>
      <c r="B12" s="56">
        <f>1/(1000*2*F)</f>
        <v>5.182134828131088E-9</v>
      </c>
      <c r="C12" s="56" t="s">
        <v>135</v>
      </c>
      <c r="D12" s="56"/>
      <c r="E12" s="51"/>
      <c r="F12" s="51"/>
      <c r="G12" s="51"/>
    </row>
    <row r="13" spans="1:12" s="52" customFormat="1" x14ac:dyDescent="0.2">
      <c r="A13" s="51"/>
      <c r="C13" s="51"/>
      <c r="D13" s="51"/>
      <c r="E13" s="51"/>
      <c r="F13" s="51"/>
      <c r="G13" s="51"/>
    </row>
    <row r="14" spans="1:12" x14ac:dyDescent="0.2">
      <c r="B14" s="52"/>
    </row>
    <row r="17" spans="1:16" x14ac:dyDescent="0.2">
      <c r="A17" s="72" t="s">
        <v>138</v>
      </c>
      <c r="B17" s="72"/>
      <c r="C17" s="72"/>
      <c r="D17" s="72"/>
      <c r="E17" s="72"/>
      <c r="F17" s="72"/>
      <c r="H17" s="72" t="s">
        <v>139</v>
      </c>
      <c r="I17" s="72"/>
      <c r="J17" s="72"/>
      <c r="K17" s="72"/>
      <c r="L17" s="72"/>
      <c r="M17" s="72"/>
      <c r="N17" s="72"/>
      <c r="O17" s="72"/>
      <c r="P17" s="72"/>
    </row>
    <row r="18" spans="1:16" x14ac:dyDescent="0.2">
      <c r="A18" s="71" t="s">
        <v>129</v>
      </c>
      <c r="B18" s="71"/>
      <c r="C18" s="71" t="s">
        <v>130</v>
      </c>
      <c r="D18" s="71"/>
      <c r="E18" s="71" t="s">
        <v>131</v>
      </c>
      <c r="F18" s="71"/>
      <c r="G18" s="58"/>
      <c r="H18" s="71" t="s">
        <v>129</v>
      </c>
      <c r="I18" s="71"/>
      <c r="J18" s="71"/>
      <c r="K18" s="71" t="s">
        <v>130</v>
      </c>
      <c r="L18" s="71"/>
      <c r="M18" s="71"/>
      <c r="N18" s="71" t="s">
        <v>131</v>
      </c>
      <c r="O18" s="71"/>
      <c r="P18" s="71"/>
    </row>
    <row r="19" spans="1:16" ht="17.25" x14ac:dyDescent="0.3">
      <c r="A19" s="57" t="s">
        <v>167</v>
      </c>
      <c r="B19" s="57" t="s">
        <v>168</v>
      </c>
      <c r="C19" s="57" t="s">
        <v>167</v>
      </c>
      <c r="D19" s="57" t="s">
        <v>168</v>
      </c>
      <c r="E19" s="57" t="s">
        <v>167</v>
      </c>
      <c r="F19" s="57" t="s">
        <v>168</v>
      </c>
      <c r="G19" s="58"/>
      <c r="H19" s="59" t="s">
        <v>168</v>
      </c>
      <c r="I19" s="59" t="s">
        <v>169</v>
      </c>
      <c r="J19" s="60" t="s">
        <v>170</v>
      </c>
      <c r="K19" s="59" t="s">
        <v>168</v>
      </c>
      <c r="L19" s="59" t="s">
        <v>169</v>
      </c>
      <c r="M19" s="60" t="s">
        <v>170</v>
      </c>
      <c r="N19" s="59" t="s">
        <v>168</v>
      </c>
      <c r="O19" s="59" t="s">
        <v>169</v>
      </c>
      <c r="P19" s="60" t="s">
        <v>170</v>
      </c>
    </row>
    <row r="20" spans="1:16" x14ac:dyDescent="0.2">
      <c r="A20" s="61">
        <v>-51.5244564886654</v>
      </c>
      <c r="B20" s="61">
        <v>96.069921944646296</v>
      </c>
      <c r="C20" s="61">
        <v>-270.69144156650799</v>
      </c>
      <c r="D20" s="61">
        <v>95.274625944703203</v>
      </c>
      <c r="E20" s="61">
        <v>-100.20956778631199</v>
      </c>
      <c r="F20" s="61">
        <v>95.562695969348596</v>
      </c>
      <c r="H20" s="62">
        <f t="shared" ref="H20:H58" si="0">B20/100</f>
        <v>0.96069921944646297</v>
      </c>
      <c r="I20" s="62">
        <f t="shared" ref="I20:I58" si="1">(-A20*H20*mol_s_per_mA/mol_s_per_sccm)/15</f>
        <v>2.2997934048565084E-2</v>
      </c>
      <c r="J20" s="62">
        <f t="shared" ref="J20:J41" si="2">0.9607-H20</f>
        <v>7.805535370275507E-7</v>
      </c>
      <c r="K20" s="63">
        <f t="shared" ref="K20:K47" si="3">D20/100</f>
        <v>0.95274625944703206</v>
      </c>
      <c r="L20" s="63">
        <f t="shared" ref="L20:L47" si="4">(-C20*K20*mol_s_per_mA/mol_s_per_sccm)/10</f>
        <v>0.17973431608477702</v>
      </c>
      <c r="M20" s="63">
        <f t="shared" ref="M20:M41" si="5">0.9607-K20</f>
        <v>7.9537405529679361E-3</v>
      </c>
      <c r="N20" s="63">
        <f t="shared" ref="N20:N31" si="6">F20/100</f>
        <v>0.95562695969348599</v>
      </c>
      <c r="O20" s="63">
        <f t="shared" ref="O20:O31" si="7">(-E20*N20*mol_s_per_mA/mol_s_per_sccm)/5</f>
        <v>0.13347711284619851</v>
      </c>
      <c r="P20" s="63">
        <f t="shared" ref="P20:P31" si="8">0.9607-N20</f>
        <v>5.0730403065140095E-3</v>
      </c>
    </row>
    <row r="21" spans="1:16" x14ac:dyDescent="0.2">
      <c r="A21" s="61">
        <v>-89.797974315320403</v>
      </c>
      <c r="B21" s="61">
        <v>96.042029369108704</v>
      </c>
      <c r="C21" s="61">
        <v>-308.956377062228</v>
      </c>
      <c r="D21" s="61">
        <v>95.0947545921981</v>
      </c>
      <c r="E21" s="61">
        <v>-138.476342352947</v>
      </c>
      <c r="F21" s="61">
        <v>95.415391497622196</v>
      </c>
      <c r="H21" s="62">
        <f t="shared" si="0"/>
        <v>0.96042029369108706</v>
      </c>
      <c r="I21" s="62">
        <f>(-A21*H21*mol_s_per_mA/mol_s_per_sccm)/15</f>
        <v>4.0069676396611777E-2</v>
      </c>
      <c r="J21" s="62">
        <f t="shared" si="2"/>
        <v>2.7970630891294146E-4</v>
      </c>
      <c r="K21" s="63">
        <f t="shared" si="3"/>
        <v>0.95094754592198105</v>
      </c>
      <c r="L21" s="63">
        <f t="shared" si="4"/>
        <v>0.20475426268967606</v>
      </c>
      <c r="M21" s="63">
        <f t="shared" si="5"/>
        <v>9.7524540780189461E-3</v>
      </c>
      <c r="N21" s="63">
        <f t="shared" si="6"/>
        <v>0.95415391497622193</v>
      </c>
      <c r="O21" s="63">
        <f t="shared" si="7"/>
        <v>0.18416336519532248</v>
      </c>
      <c r="P21" s="63">
        <f t="shared" si="8"/>
        <v>6.5460850237780699E-3</v>
      </c>
    </row>
    <row r="22" spans="1:16" x14ac:dyDescent="0.2">
      <c r="A22" s="61">
        <v>-128.06720097650799</v>
      </c>
      <c r="B22" s="61">
        <v>95.938147405087406</v>
      </c>
      <c r="C22" s="61">
        <v>-347.224990699778</v>
      </c>
      <c r="D22" s="61">
        <v>94.980017001250502</v>
      </c>
      <c r="E22" s="61">
        <v>-176.73943877775201</v>
      </c>
      <c r="F22" s="61">
        <v>95.202953264338404</v>
      </c>
      <c r="H22" s="62">
        <f t="shared" si="0"/>
        <v>0.95938147405087404</v>
      </c>
      <c r="I22" s="62">
        <f t="shared" si="1"/>
        <v>5.7084370034302737E-2</v>
      </c>
      <c r="J22" s="62">
        <f t="shared" si="2"/>
        <v>1.3185259491259593E-3</v>
      </c>
      <c r="K22" s="63">
        <f t="shared" si="3"/>
        <v>0.94980017001250505</v>
      </c>
      <c r="L22" s="63">
        <f t="shared" si="4"/>
        <v>0.22983832294016246</v>
      </c>
      <c r="M22" s="63">
        <f t="shared" si="5"/>
        <v>1.0899829987494947E-2</v>
      </c>
      <c r="N22" s="63">
        <f t="shared" si="6"/>
        <v>0.95202953264338408</v>
      </c>
      <c r="O22" s="63">
        <f t="shared" si="7"/>
        <v>0.23452714358904414</v>
      </c>
      <c r="P22" s="63">
        <f t="shared" si="8"/>
        <v>8.6704673566159185E-3</v>
      </c>
    </row>
    <row r="23" spans="1:16" x14ac:dyDescent="0.2">
      <c r="A23" s="61">
        <v>-166.34194485043901</v>
      </c>
      <c r="B23" s="61">
        <v>95.931966083402301</v>
      </c>
      <c r="C23" s="61">
        <v>-385.49483038460301</v>
      </c>
      <c r="D23" s="61">
        <v>94.886990664155405</v>
      </c>
      <c r="E23" s="61">
        <v>-214.99701798981499</v>
      </c>
      <c r="F23" s="61">
        <v>94.892814388718193</v>
      </c>
      <c r="H23" s="62">
        <f t="shared" si="0"/>
        <v>0.95931966083402298</v>
      </c>
      <c r="I23" s="62">
        <f t="shared" si="1"/>
        <v>7.4140086301005395E-2</v>
      </c>
      <c r="J23" s="62">
        <f t="shared" si="2"/>
        <v>1.3803391659770181E-3</v>
      </c>
      <c r="K23" s="63">
        <f t="shared" si="3"/>
        <v>0.94886990664155402</v>
      </c>
      <c r="L23" s="63">
        <f t="shared" si="4"/>
        <v>0.25492032163776229</v>
      </c>
      <c r="M23" s="63">
        <f t="shared" si="5"/>
        <v>1.1830093358445981E-2</v>
      </c>
      <c r="N23" s="63">
        <f t="shared" si="6"/>
        <v>0.94892814388718194</v>
      </c>
      <c r="O23" s="63">
        <f t="shared" si="7"/>
        <v>0.28436424285775436</v>
      </c>
      <c r="P23" s="63">
        <f t="shared" si="8"/>
        <v>1.1771856112818058E-2</v>
      </c>
    </row>
    <row r="24" spans="1:16" x14ac:dyDescent="0.2">
      <c r="A24" s="61">
        <v>-204.613623606179</v>
      </c>
      <c r="B24" s="61">
        <v>95.871506627086006</v>
      </c>
      <c r="C24" s="61">
        <v>-423.758539833047</v>
      </c>
      <c r="D24" s="61">
        <v>94.685408057797801</v>
      </c>
      <c r="E24" s="61">
        <v>-253.244788823666</v>
      </c>
      <c r="F24" s="61">
        <v>94.408985482277998</v>
      </c>
      <c r="H24" s="62">
        <f t="shared" si="0"/>
        <v>0.95871506627086012</v>
      </c>
      <c r="I24" s="62">
        <f t="shared" si="1"/>
        <v>9.1140638350711872E-2</v>
      </c>
      <c r="J24" s="62">
        <f t="shared" si="2"/>
        <v>1.9849337291398816E-3</v>
      </c>
      <c r="K24" s="63">
        <f t="shared" si="3"/>
        <v>0.94685408057797804</v>
      </c>
      <c r="L24" s="63">
        <f t="shared" si="4"/>
        <v>0.27962805684568059</v>
      </c>
      <c r="M24" s="63">
        <f t="shared" si="5"/>
        <v>1.3845919422021957E-2</v>
      </c>
      <c r="N24" s="63">
        <f t="shared" si="6"/>
        <v>0.94408985482277996</v>
      </c>
      <c r="O24" s="63">
        <f t="shared" si="7"/>
        <v>0.33324456103737476</v>
      </c>
      <c r="P24" s="63">
        <f t="shared" si="8"/>
        <v>1.6610145177220037E-2</v>
      </c>
    </row>
    <row r="25" spans="1:16" x14ac:dyDescent="0.2">
      <c r="A25" s="61">
        <v>-242.881624220091</v>
      </c>
      <c r="B25" s="61">
        <v>95.745913409212093</v>
      </c>
      <c r="C25" s="61">
        <v>-462.027153470597</v>
      </c>
      <c r="D25" s="61">
        <v>94.570670466850203</v>
      </c>
      <c r="E25" s="61">
        <v>-291.48642942113503</v>
      </c>
      <c r="F25" s="61">
        <v>93.816600306575296</v>
      </c>
      <c r="H25" s="62">
        <f t="shared" si="0"/>
        <v>0.95745913409212091</v>
      </c>
      <c r="I25" s="62">
        <f t="shared" si="1"/>
        <v>0.1080445517892699</v>
      </c>
      <c r="J25" s="62">
        <f t="shared" si="2"/>
        <v>3.2408659078790869E-3</v>
      </c>
      <c r="K25" s="63">
        <f t="shared" si="3"/>
        <v>0.94570670466850204</v>
      </c>
      <c r="L25" s="63">
        <f t="shared" si="4"/>
        <v>0.30451114626070497</v>
      </c>
      <c r="M25" s="63">
        <f t="shared" si="5"/>
        <v>1.4993295331497958E-2</v>
      </c>
      <c r="N25" s="63">
        <f t="shared" si="6"/>
        <v>0.93816600306575293</v>
      </c>
      <c r="O25" s="63">
        <f t="shared" si="7"/>
        <v>0.38115994292359628</v>
      </c>
      <c r="P25" s="63">
        <f t="shared" si="8"/>
        <v>2.2533996934247069E-2</v>
      </c>
    </row>
    <row r="26" spans="1:16" x14ac:dyDescent="0.2">
      <c r="A26" s="61">
        <v>-281.15268995219299</v>
      </c>
      <c r="B26" s="61">
        <v>95.674598325969598</v>
      </c>
      <c r="C26" s="61">
        <v>-500.28779780085</v>
      </c>
      <c r="D26" s="61">
        <v>94.314809725861295</v>
      </c>
      <c r="E26" s="61">
        <v>-329.710905356735</v>
      </c>
      <c r="F26" s="61">
        <v>92.920257576937502</v>
      </c>
      <c r="H26" s="62">
        <f t="shared" si="0"/>
        <v>0.95674598325969595</v>
      </c>
      <c r="I26" s="62">
        <f t="shared" si="1"/>
        <v>0.12497606826753388</v>
      </c>
      <c r="J26" s="62">
        <f t="shared" si="2"/>
        <v>3.9540167403040449E-3</v>
      </c>
      <c r="K26" s="63">
        <f t="shared" si="3"/>
        <v>0.94314809725861293</v>
      </c>
      <c r="L26" s="63">
        <f t="shared" si="4"/>
        <v>0.3288357521967914</v>
      </c>
      <c r="M26" s="63">
        <f t="shared" si="5"/>
        <v>1.7551902741387071E-2</v>
      </c>
      <c r="N26" s="63">
        <f t="shared" si="6"/>
        <v>0.92920257576937504</v>
      </c>
      <c r="O26" s="63">
        <f t="shared" si="7"/>
        <v>0.4270246434197687</v>
      </c>
      <c r="P26" s="63">
        <f t="shared" si="8"/>
        <v>3.149742423062496E-2</v>
      </c>
    </row>
    <row r="27" spans="1:16" x14ac:dyDescent="0.2">
      <c r="A27" s="61">
        <v>-319.427433826124</v>
      </c>
      <c r="B27" s="61">
        <v>95.668417004284507</v>
      </c>
      <c r="C27" s="61">
        <v>-538.54353794199801</v>
      </c>
      <c r="D27" s="61">
        <v>93.972103969462395</v>
      </c>
      <c r="E27" s="61">
        <v>-367.89001754310902</v>
      </c>
      <c r="F27" s="61">
        <v>91.220598454756896</v>
      </c>
      <c r="H27" s="62">
        <f t="shared" si="0"/>
        <v>0.95668417004284512</v>
      </c>
      <c r="I27" s="62">
        <f t="shared" si="1"/>
        <v>0.14198052165390951</v>
      </c>
      <c r="J27" s="62">
        <f t="shared" si="2"/>
        <v>4.0158299571548817E-3</v>
      </c>
      <c r="K27" s="63">
        <f t="shared" si="3"/>
        <v>0.93972103969462395</v>
      </c>
      <c r="L27" s="63">
        <f t="shared" si="4"/>
        <v>0.35269475055807387</v>
      </c>
      <c r="M27" s="63">
        <f t="shared" si="5"/>
        <v>2.0978960305376049E-2</v>
      </c>
      <c r="N27" s="63">
        <f t="shared" si="6"/>
        <v>0.91220598454756896</v>
      </c>
      <c r="O27" s="63">
        <f t="shared" si="7"/>
        <v>0.46775683538720408</v>
      </c>
      <c r="P27" s="63">
        <f t="shared" si="8"/>
        <v>4.8494015452431039E-2</v>
      </c>
    </row>
    <row r="28" spans="1:16" x14ac:dyDescent="0.2">
      <c r="A28" s="61">
        <v>-357.69420839275898</v>
      </c>
      <c r="B28" s="61">
        <v>95.521112532558107</v>
      </c>
      <c r="C28" s="61">
        <v>-576.79682598859199</v>
      </c>
      <c r="D28" s="61">
        <v>93.585975705358507</v>
      </c>
      <c r="E28" s="61">
        <v>-395.56423406075902</v>
      </c>
      <c r="F28" s="61">
        <v>88.348046314160797</v>
      </c>
      <c r="H28" s="62">
        <f t="shared" si="0"/>
        <v>0.95521112532558106</v>
      </c>
      <c r="I28" s="62">
        <f t="shared" si="1"/>
        <v>0.15874470475517963</v>
      </c>
      <c r="J28" s="62">
        <f t="shared" si="2"/>
        <v>5.4888746744189421E-3</v>
      </c>
      <c r="K28" s="63">
        <f t="shared" si="3"/>
        <v>0.93585975705358504</v>
      </c>
      <c r="L28" s="63">
        <f t="shared" si="4"/>
        <v>0.37619486272754976</v>
      </c>
      <c r="M28" s="63">
        <f t="shared" si="5"/>
        <v>2.4840242946414959E-2</v>
      </c>
      <c r="N28" s="63">
        <f t="shared" si="6"/>
        <v>0.883480463141608</v>
      </c>
      <c r="O28" s="63">
        <f t="shared" si="7"/>
        <v>0.48710567446559017</v>
      </c>
      <c r="P28" s="63">
        <f t="shared" si="8"/>
        <v>7.7219536858392002E-2</v>
      </c>
    </row>
    <row r="29" spans="1:16" x14ac:dyDescent="0.2">
      <c r="A29" s="61">
        <v>-395.96343505394702</v>
      </c>
      <c r="B29" s="61">
        <v>95.417230568536795</v>
      </c>
      <c r="C29" s="61">
        <v>-615.04888798791103</v>
      </c>
      <c r="D29" s="61">
        <v>93.178136187402004</v>
      </c>
      <c r="E29" s="61">
        <v>-411.05822260887902</v>
      </c>
      <c r="F29" s="61">
        <v>85.443808514265896</v>
      </c>
      <c r="H29" s="62">
        <f t="shared" si="0"/>
        <v>0.95417230568536793</v>
      </c>
      <c r="I29" s="62">
        <f t="shared" si="1"/>
        <v>0.17553747925232432</v>
      </c>
      <c r="J29" s="62">
        <f t="shared" si="2"/>
        <v>6.5276943146320709E-3</v>
      </c>
      <c r="K29" s="63">
        <f t="shared" si="3"/>
        <v>0.93178136187402005</v>
      </c>
      <c r="L29" s="63">
        <f t="shared" si="4"/>
        <v>0.39939523842258728</v>
      </c>
      <c r="M29" s="63">
        <f t="shared" si="5"/>
        <v>2.8918638125979945E-2</v>
      </c>
      <c r="N29" s="63">
        <f t="shared" si="6"/>
        <v>0.85443808514265895</v>
      </c>
      <c r="O29" s="63">
        <f t="shared" si="7"/>
        <v>0.48954560947328296</v>
      </c>
      <c r="P29" s="63">
        <f t="shared" si="8"/>
        <v>0.10626191485734104</v>
      </c>
    </row>
    <row r="30" spans="1:16" x14ac:dyDescent="0.2">
      <c r="A30" s="61">
        <v>-434.23572683332497</v>
      </c>
      <c r="B30" s="61">
        <v>95.367626739146701</v>
      </c>
      <c r="C30" s="61">
        <v>-653.292367656294</v>
      </c>
      <c r="D30" s="61">
        <v>92.618317892478103</v>
      </c>
      <c r="E30" s="61">
        <v>-22.3691530400998</v>
      </c>
      <c r="F30" s="61">
        <v>96.088498964897695</v>
      </c>
      <c r="H30" s="62">
        <f t="shared" si="0"/>
        <v>0.95367626739146705</v>
      </c>
      <c r="I30" s="62">
        <f t="shared" si="1"/>
        <v>0.19240417629290971</v>
      </c>
      <c r="J30" s="62">
        <f t="shared" si="2"/>
        <v>7.023732608532951E-3</v>
      </c>
      <c r="K30" s="63">
        <f t="shared" si="3"/>
        <v>0.92618317892478108</v>
      </c>
      <c r="L30" s="63">
        <f t="shared" si="4"/>
        <v>0.42168067631027412</v>
      </c>
      <c r="M30" s="63">
        <f t="shared" si="5"/>
        <v>3.4516821075218918E-2</v>
      </c>
      <c r="N30" s="63">
        <f t="shared" si="6"/>
        <v>0.96088498964897695</v>
      </c>
      <c r="O30" s="63">
        <f t="shared" si="7"/>
        <v>2.9959197207860659E-2</v>
      </c>
      <c r="P30" s="63">
        <f t="shared" si="8"/>
        <v>-1.8498964897695203E-4</v>
      </c>
    </row>
    <row r="31" spans="1:16" x14ac:dyDescent="0.2">
      <c r="A31" s="61">
        <v>-472.50188837632197</v>
      </c>
      <c r="B31" s="61">
        <v>95.209466640494099</v>
      </c>
      <c r="C31" s="61">
        <v>-691.53339523012505</v>
      </c>
      <c r="D31" s="61">
        <v>92.0150770898491</v>
      </c>
      <c r="E31" s="61">
        <v>-53.427693317890302</v>
      </c>
      <c r="F31" s="61">
        <v>96.083483050770099</v>
      </c>
      <c r="H31" s="62">
        <f t="shared" si="0"/>
        <v>0.952094666404941</v>
      </c>
      <c r="I31" s="62">
        <f t="shared" si="1"/>
        <v>0.20901220546271423</v>
      </c>
      <c r="J31" s="62">
        <f t="shared" si="2"/>
        <v>8.6053335950589949E-3</v>
      </c>
      <c r="K31" s="63">
        <f t="shared" si="3"/>
        <v>0.92015077089849096</v>
      </c>
      <c r="L31" s="63">
        <f t="shared" si="4"/>
        <v>0.44345686062990214</v>
      </c>
      <c r="M31" s="63">
        <f t="shared" si="5"/>
        <v>4.0549229101509043E-2</v>
      </c>
      <c r="N31" s="63">
        <f t="shared" si="6"/>
        <v>0.96083483050770102</v>
      </c>
      <c r="O31" s="63">
        <f t="shared" si="7"/>
        <v>7.1552429457515387E-2</v>
      </c>
      <c r="P31" s="63">
        <f t="shared" si="8"/>
        <v>-1.3483050770102256E-4</v>
      </c>
    </row>
    <row r="32" spans="1:16" x14ac:dyDescent="0.2">
      <c r="A32" s="61">
        <v>-510.774180155701</v>
      </c>
      <c r="B32" s="61">
        <v>95.159862811104006</v>
      </c>
      <c r="C32" s="61">
        <v>-729.75909721300195</v>
      </c>
      <c r="D32" s="61">
        <v>91.140445614063793</v>
      </c>
      <c r="E32" s="61"/>
      <c r="F32" s="61"/>
      <c r="H32" s="62">
        <f t="shared" si="0"/>
        <v>0.95159862811104001</v>
      </c>
      <c r="I32" s="62">
        <f t="shared" si="1"/>
        <v>0.22582431925537669</v>
      </c>
      <c r="J32" s="62">
        <f t="shared" si="2"/>
        <v>9.1013718889599859E-3</v>
      </c>
      <c r="K32" s="63">
        <f t="shared" si="3"/>
        <v>0.91140445614063792</v>
      </c>
      <c r="L32" s="63">
        <f t="shared" si="4"/>
        <v>0.46352150869834574</v>
      </c>
      <c r="M32" s="63">
        <f t="shared" si="5"/>
        <v>4.9295543859362079E-2</v>
      </c>
      <c r="N32" s="63"/>
      <c r="O32" s="63"/>
      <c r="P32" s="63"/>
    </row>
    <row r="33" spans="1:16" x14ac:dyDescent="0.2">
      <c r="A33" s="61">
        <v>-549.04095472233598</v>
      </c>
      <c r="B33" s="61">
        <v>95.012558339377705</v>
      </c>
      <c r="C33" s="61">
        <v>-767.97989500677295</v>
      </c>
      <c r="D33" s="61">
        <v>90.178969122868494</v>
      </c>
      <c r="E33" s="61"/>
      <c r="F33" s="61"/>
      <c r="H33" s="62">
        <f t="shared" si="0"/>
        <v>0.95012558339377706</v>
      </c>
      <c r="I33" s="62">
        <f t="shared" si="1"/>
        <v>0.24236713011424937</v>
      </c>
      <c r="J33" s="62">
        <f t="shared" si="2"/>
        <v>1.0574416606222936E-2</v>
      </c>
      <c r="K33" s="63">
        <f t="shared" si="3"/>
        <v>0.90178969122868491</v>
      </c>
      <c r="L33" s="63">
        <f t="shared" si="4"/>
        <v>0.48265225909718695</v>
      </c>
      <c r="M33" s="63">
        <f t="shared" si="5"/>
        <v>5.891030877131509E-2</v>
      </c>
      <c r="N33" s="63"/>
      <c r="O33" s="63"/>
      <c r="P33" s="63"/>
    </row>
    <row r="34" spans="1:16" x14ac:dyDescent="0.2">
      <c r="A34" s="61">
        <v>-587.30895533624698</v>
      </c>
      <c r="B34" s="61">
        <v>94.886965121503806</v>
      </c>
      <c r="C34" s="61">
        <v>-806.18352813867398</v>
      </c>
      <c r="D34" s="61">
        <v>88.913535077738004</v>
      </c>
      <c r="E34" s="61"/>
      <c r="F34" s="61"/>
      <c r="H34" s="62">
        <f t="shared" si="0"/>
        <v>0.94886965121503808</v>
      </c>
      <c r="I34" s="62">
        <f t="shared" si="1"/>
        <v>0.25891734586657894</v>
      </c>
      <c r="J34" s="62">
        <f t="shared" si="2"/>
        <v>1.1830348784961919E-2</v>
      </c>
      <c r="K34" s="63">
        <f t="shared" si="3"/>
        <v>0.88913535077738004</v>
      </c>
      <c r="L34" s="63">
        <f t="shared" si="4"/>
        <v>0.49955237047214929</v>
      </c>
      <c r="M34" s="63">
        <f t="shared" si="5"/>
        <v>7.1564649222619958E-2</v>
      </c>
      <c r="N34" s="63"/>
      <c r="O34" s="63"/>
      <c r="P34" s="63"/>
    </row>
    <row r="35" spans="1:16" x14ac:dyDescent="0.2">
      <c r="A35" s="61">
        <v>-625.57511687924398</v>
      </c>
      <c r="B35" s="61">
        <v>94.728805022851205</v>
      </c>
      <c r="C35" s="61">
        <v>-844.37857893964099</v>
      </c>
      <c r="D35" s="61">
        <v>87.496122255640103</v>
      </c>
      <c r="E35" s="61"/>
      <c r="F35" s="61"/>
      <c r="H35" s="62">
        <f t="shared" si="0"/>
        <v>0.94728805022851204</v>
      </c>
      <c r="I35" s="62">
        <f t="shared" si="1"/>
        <v>0.27532743679881172</v>
      </c>
      <c r="J35" s="62">
        <f t="shared" si="2"/>
        <v>1.3411949771487963E-2</v>
      </c>
      <c r="K35" s="63">
        <f t="shared" si="3"/>
        <v>0.87496122255640107</v>
      </c>
      <c r="L35" s="63">
        <f t="shared" si="4"/>
        <v>0.51487907148586731</v>
      </c>
      <c r="M35" s="63">
        <f t="shared" si="5"/>
        <v>8.5738777443598924E-2</v>
      </c>
      <c r="N35" s="63"/>
      <c r="O35" s="63"/>
      <c r="P35" s="63"/>
    </row>
    <row r="36" spans="1:16" x14ac:dyDescent="0.2">
      <c r="A36" s="61">
        <v>-663.84066539860203</v>
      </c>
      <c r="B36" s="61">
        <v>94.559789297272403</v>
      </c>
      <c r="C36" s="61">
        <v>-882.55830414965305</v>
      </c>
      <c r="D36" s="61">
        <v>85.807318760385797</v>
      </c>
      <c r="E36" s="61"/>
      <c r="F36" s="61"/>
      <c r="H36" s="62">
        <f t="shared" si="0"/>
        <v>0.94559789297272401</v>
      </c>
      <c r="I36" s="62">
        <f t="shared" si="1"/>
        <v>0.29164753874763422</v>
      </c>
      <c r="J36" s="62">
        <f t="shared" si="2"/>
        <v>1.5102107027275991E-2</v>
      </c>
      <c r="K36" s="63">
        <f t="shared" si="3"/>
        <v>0.85807318760385798</v>
      </c>
      <c r="L36" s="63">
        <f t="shared" si="4"/>
        <v>0.52777275067529761</v>
      </c>
      <c r="M36" s="63">
        <f t="shared" si="5"/>
        <v>0.10262681239614202</v>
      </c>
      <c r="N36" s="63"/>
      <c r="O36" s="63"/>
      <c r="P36" s="63"/>
    </row>
    <row r="37" spans="1:16" x14ac:dyDescent="0.2">
      <c r="A37" s="61">
        <v>-702.104987870684</v>
      </c>
      <c r="B37" s="61">
        <v>94.369062317840999</v>
      </c>
      <c r="C37" s="61">
        <v>-920.72576888690105</v>
      </c>
      <c r="D37" s="61">
        <v>83.901402726606406</v>
      </c>
      <c r="E37" s="61"/>
      <c r="F37" s="61"/>
      <c r="H37" s="62">
        <f t="shared" si="0"/>
        <v>0.94369062317841002</v>
      </c>
      <c r="I37" s="62">
        <f t="shared" si="1"/>
        <v>0.30783618288424536</v>
      </c>
      <c r="J37" s="62">
        <f t="shared" si="2"/>
        <v>1.7009376821589983E-2</v>
      </c>
      <c r="K37" s="63">
        <f t="shared" si="3"/>
        <v>0.83901402726606411</v>
      </c>
      <c r="L37" s="63">
        <f t="shared" si="4"/>
        <v>0.53836739018897783</v>
      </c>
      <c r="M37" s="63">
        <f t="shared" si="5"/>
        <v>0.12168597273393589</v>
      </c>
      <c r="N37" s="63"/>
      <c r="O37" s="63"/>
      <c r="P37" s="63"/>
    </row>
    <row r="38" spans="1:16" x14ac:dyDescent="0.2">
      <c r="A38" s="61">
        <v>-740.36747127185197</v>
      </c>
      <c r="B38" s="61">
        <v>94.145768457630894</v>
      </c>
      <c r="C38" s="61">
        <v>-958.88526431685295</v>
      </c>
      <c r="D38" s="61">
        <v>81.854363542785805</v>
      </c>
      <c r="E38" s="61"/>
      <c r="F38" s="61"/>
      <c r="H38" s="62">
        <f t="shared" si="0"/>
        <v>0.94145768457630896</v>
      </c>
      <c r="I38" s="62">
        <f t="shared" si="1"/>
        <v>0.32384418347196781</v>
      </c>
      <c r="J38" s="62">
        <f t="shared" si="2"/>
        <v>1.9242315423691037E-2</v>
      </c>
      <c r="K38" s="63">
        <f t="shared" si="3"/>
        <v>0.81854363542785802</v>
      </c>
      <c r="L38" s="63">
        <f t="shared" si="4"/>
        <v>0.54700047920598593</v>
      </c>
      <c r="M38" s="63">
        <f t="shared" si="5"/>
        <v>0.14215636457214198</v>
      </c>
      <c r="N38" s="63"/>
      <c r="O38" s="63"/>
      <c r="P38" s="63"/>
    </row>
    <row r="39" spans="1:16" x14ac:dyDescent="0.2">
      <c r="A39" s="61">
        <v>-778.62934164938099</v>
      </c>
      <c r="B39" s="61">
        <v>93.911618970494501</v>
      </c>
      <c r="C39" s="61">
        <v>-997.04108160497594</v>
      </c>
      <c r="D39" s="61">
        <v>79.7421905974076</v>
      </c>
      <c r="E39" s="61"/>
      <c r="F39" s="61"/>
      <c r="H39" s="62">
        <f t="shared" si="0"/>
        <v>0.93911618970494504</v>
      </c>
      <c r="I39" s="62">
        <f t="shared" si="1"/>
        <v>0.33973325501759533</v>
      </c>
      <c r="J39" s="62">
        <f t="shared" si="2"/>
        <v>2.1583810295054962E-2</v>
      </c>
      <c r="K39" s="63">
        <f t="shared" si="3"/>
        <v>0.79742190597407603</v>
      </c>
      <c r="L39" s="63">
        <f t="shared" si="4"/>
        <v>0.55409016462049432</v>
      </c>
      <c r="M39" s="63">
        <f t="shared" si="5"/>
        <v>0.16327809402592397</v>
      </c>
      <c r="N39" s="63"/>
      <c r="O39" s="63"/>
      <c r="P39" s="63"/>
    </row>
    <row r="40" spans="1:16" x14ac:dyDescent="0.2">
      <c r="A40" s="61">
        <v>-816.88814690872005</v>
      </c>
      <c r="B40" s="61">
        <v>93.623191348726806</v>
      </c>
      <c r="C40" s="61">
        <v>-1028.26158732466</v>
      </c>
      <c r="D40" s="61">
        <v>78.051409371130205</v>
      </c>
      <c r="E40" s="61"/>
      <c r="F40" s="61"/>
      <c r="H40" s="62">
        <f t="shared" si="0"/>
        <v>0.93623191348726809</v>
      </c>
      <c r="I40" s="62">
        <f t="shared" si="1"/>
        <v>0.3553317399203158</v>
      </c>
      <c r="J40" s="62">
        <f t="shared" si="2"/>
        <v>2.4468086512731912E-2</v>
      </c>
      <c r="K40" s="63">
        <f t="shared" si="3"/>
        <v>0.78051409371130209</v>
      </c>
      <c r="L40" s="63">
        <f t="shared" si="4"/>
        <v>0.55932417131297307</v>
      </c>
      <c r="M40" s="63">
        <f t="shared" si="5"/>
        <v>0.18018590628869791</v>
      </c>
      <c r="N40" s="63"/>
      <c r="O40" s="63"/>
      <c r="P40" s="63"/>
    </row>
    <row r="41" spans="1:16" x14ac:dyDescent="0.2">
      <c r="A41" s="61">
        <v>-855.14633914442004</v>
      </c>
      <c r="B41" s="61">
        <v>93.323908100032895</v>
      </c>
      <c r="C41" s="61">
        <v>-28.0161603633345</v>
      </c>
      <c r="D41" s="61">
        <v>96.087586980510906</v>
      </c>
      <c r="E41" s="61"/>
      <c r="F41" s="61"/>
      <c r="H41" s="62">
        <f t="shared" si="0"/>
        <v>0.93323908100032893</v>
      </c>
      <c r="I41" s="62">
        <f t="shared" si="1"/>
        <v>0.37078429028268828</v>
      </c>
      <c r="J41" s="62">
        <f t="shared" si="2"/>
        <v>2.7460918999671069E-2</v>
      </c>
      <c r="K41" s="63">
        <f t="shared" si="3"/>
        <v>0.96087586980510908</v>
      </c>
      <c r="L41" s="63">
        <f t="shared" si="4"/>
        <v>1.8760963045002035E-2</v>
      </c>
      <c r="M41" s="63">
        <f t="shared" si="5"/>
        <v>-1.7586980510908568E-4</v>
      </c>
      <c r="N41" s="63"/>
      <c r="O41" s="63"/>
      <c r="P41" s="63"/>
    </row>
    <row r="42" spans="1:16" x14ac:dyDescent="0.2">
      <c r="A42" s="61">
        <v>-893.40453138012003</v>
      </c>
      <c r="B42" s="61">
        <v>93.024624851338999</v>
      </c>
      <c r="C42" s="61">
        <v>-138.12185935376701</v>
      </c>
      <c r="D42" s="61">
        <v>95.876006602766907</v>
      </c>
      <c r="E42" s="61"/>
      <c r="F42" s="61"/>
      <c r="H42" s="64">
        <f t="shared" si="0"/>
        <v>0.93024624851338999</v>
      </c>
      <c r="I42" s="64">
        <f t="shared" si="1"/>
        <v>0.38613044476352726</v>
      </c>
      <c r="J42" s="64">
        <f t="shared" ref="J42:J58" si="9">0.9607-H42</f>
        <v>3.0453751486610003E-2</v>
      </c>
      <c r="K42" s="63">
        <f t="shared" si="3"/>
        <v>0.95876006602766906</v>
      </c>
      <c r="L42" s="63">
        <f t="shared" si="4"/>
        <v>9.2289348217208481E-2</v>
      </c>
      <c r="M42" s="63">
        <f>0.9607-K42</f>
        <v>1.9399339723309428E-3</v>
      </c>
      <c r="N42" s="63"/>
      <c r="O42" s="63"/>
      <c r="P42" s="63"/>
    </row>
    <row r="43" spans="1:16" x14ac:dyDescent="0.2">
      <c r="A43" s="61">
        <v>-931.65781942671504</v>
      </c>
      <c r="B43" s="61">
        <v>92.638496587235096</v>
      </c>
      <c r="C43" s="61">
        <v>-177.65091061640999</v>
      </c>
      <c r="D43" s="61">
        <v>95.869622712059098</v>
      </c>
      <c r="E43" s="61"/>
      <c r="F43" s="61"/>
      <c r="H43" s="64">
        <f t="shared" si="0"/>
        <v>0.92638496587235097</v>
      </c>
      <c r="I43" s="64">
        <f t="shared" si="1"/>
        <v>0.4009921758963842</v>
      </c>
      <c r="J43" s="64">
        <f t="shared" si="9"/>
        <v>3.4315034127649024E-2</v>
      </c>
      <c r="K43" s="63">
        <f t="shared" si="3"/>
        <v>0.95869622712059099</v>
      </c>
      <c r="L43" s="63">
        <f t="shared" si="4"/>
        <v>0.11869370387694884</v>
      </c>
      <c r="M43" s="63">
        <f t="shared" ref="M43:M47" si="10">0.9607-K43</f>
        <v>2.0037728794090048E-3</v>
      </c>
      <c r="N43" s="63"/>
      <c r="O43" s="63"/>
      <c r="P43" s="63"/>
    </row>
    <row r="44" spans="1:16" x14ac:dyDescent="0.2">
      <c r="A44" s="61">
        <v>-969.90988142603396</v>
      </c>
      <c r="B44" s="61">
        <v>92.230657069278706</v>
      </c>
      <c r="C44" s="61">
        <v>-214.35645821743501</v>
      </c>
      <c r="D44" s="61">
        <v>95.863694813544797</v>
      </c>
      <c r="E44" s="61"/>
      <c r="F44" s="61"/>
      <c r="H44" s="64">
        <f t="shared" si="0"/>
        <v>0.9223065706927871</v>
      </c>
      <c r="I44" s="64">
        <f t="shared" si="1"/>
        <v>0.4156182923872962</v>
      </c>
      <c r="J44" s="64">
        <f t="shared" si="9"/>
        <v>3.8393429307212901E-2</v>
      </c>
      <c r="K44" s="63">
        <f t="shared" si="3"/>
        <v>0.95863694813544797</v>
      </c>
      <c r="L44" s="63">
        <f t="shared" si="4"/>
        <v>0.14320888470136703</v>
      </c>
      <c r="M44" s="63">
        <f t="shared" si="10"/>
        <v>2.0630518645520235E-3</v>
      </c>
      <c r="N44" s="63"/>
      <c r="O44" s="63"/>
      <c r="P44" s="63"/>
    </row>
    <row r="45" spans="1:16" x14ac:dyDescent="0.2">
      <c r="A45" s="61">
        <v>-1008.15397411805</v>
      </c>
      <c r="B45" s="61">
        <v>91.681694401281007</v>
      </c>
      <c r="C45" s="61">
        <v>-245.40405468258299</v>
      </c>
      <c r="D45" s="61">
        <v>95.664882217216402</v>
      </c>
      <c r="E45" s="61"/>
      <c r="F45" s="61"/>
      <c r="H45" s="64">
        <f t="shared" si="0"/>
        <v>0.91681694401281011</v>
      </c>
      <c r="I45" s="64">
        <f t="shared" si="1"/>
        <v>0.42943502667027428</v>
      </c>
      <c r="J45" s="64">
        <f t="shared" si="9"/>
        <v>4.388305598718989E-2</v>
      </c>
      <c r="K45" s="63">
        <f t="shared" si="3"/>
        <v>0.95664882217216407</v>
      </c>
      <c r="L45" s="63">
        <f t="shared" si="4"/>
        <v>0.16361137758515118</v>
      </c>
      <c r="M45" s="63">
        <f t="shared" si="10"/>
        <v>4.0511778278359278E-3</v>
      </c>
      <c r="N45" s="63"/>
      <c r="O45" s="63"/>
      <c r="P45" s="63"/>
    </row>
    <row r="46" spans="1:16" x14ac:dyDescent="0.2">
      <c r="A46" s="61">
        <v>-1046.3962277391599</v>
      </c>
      <c r="B46" s="61">
        <v>91.100164852504506</v>
      </c>
      <c r="C46" s="61">
        <v>-56.273084604791499</v>
      </c>
      <c r="D46" s="61">
        <v>96.4706204229783</v>
      </c>
      <c r="E46" s="61"/>
      <c r="F46" s="61"/>
      <c r="H46" s="64">
        <f t="shared" si="0"/>
        <v>0.91100164852504506</v>
      </c>
      <c r="I46" s="64">
        <f t="shared" si="1"/>
        <v>0.44289756776749095</v>
      </c>
      <c r="J46" s="64">
        <f t="shared" si="9"/>
        <v>4.9698351474954938E-2</v>
      </c>
      <c r="K46" s="63">
        <f t="shared" si="3"/>
        <v>0.96470620422978304</v>
      </c>
      <c r="L46" s="63">
        <f t="shared" si="4"/>
        <v>3.7833369271189528E-2</v>
      </c>
      <c r="M46" s="63">
        <f t="shared" si="10"/>
        <v>-4.0062042297830391E-3</v>
      </c>
      <c r="N46" s="63"/>
      <c r="O46" s="63"/>
      <c r="P46" s="63"/>
    </row>
    <row r="47" spans="1:16" x14ac:dyDescent="0.2">
      <c r="A47" s="61">
        <v>-1084.6305120529701</v>
      </c>
      <c r="B47" s="61">
        <v>90.377512153686695</v>
      </c>
      <c r="C47" s="61">
        <v>-95.780248242149995</v>
      </c>
      <c r="D47" s="61">
        <v>96.076643167868895</v>
      </c>
      <c r="E47" s="61"/>
      <c r="F47" s="61"/>
      <c r="H47" s="64">
        <f t="shared" si="0"/>
        <v>0.9037751215368669</v>
      </c>
      <c r="I47" s="64">
        <f t="shared" si="1"/>
        <v>0.45543894715911687</v>
      </c>
      <c r="J47" s="64">
        <f t="shared" si="9"/>
        <v>5.69248784631331E-2</v>
      </c>
      <c r="K47" s="63">
        <f t="shared" si="3"/>
        <v>0.96076643167868891</v>
      </c>
      <c r="L47" s="63">
        <f t="shared" si="4"/>
        <v>6.4131737349320012E-2</v>
      </c>
      <c r="M47" s="63">
        <f t="shared" si="10"/>
        <v>-6.6431678688916307E-5</v>
      </c>
      <c r="N47" s="63"/>
      <c r="O47" s="63"/>
      <c r="P47" s="63"/>
    </row>
    <row r="48" spans="1:16" x14ac:dyDescent="0.2">
      <c r="A48" s="61">
        <v>-1122.8660224140599</v>
      </c>
      <c r="B48" s="61">
        <v>89.676570708721499</v>
      </c>
      <c r="C48" s="61"/>
      <c r="D48" s="61"/>
      <c r="E48" s="61"/>
      <c r="F48" s="61"/>
      <c r="H48" s="64">
        <f t="shared" si="0"/>
        <v>0.89676570708721504</v>
      </c>
      <c r="I48" s="64">
        <f t="shared" si="1"/>
        <v>0.46783735943015631</v>
      </c>
      <c r="J48" s="64">
        <f t="shared" si="9"/>
        <v>6.3934292912784962E-2</v>
      </c>
      <c r="K48" s="63"/>
      <c r="L48" s="63"/>
      <c r="M48" s="63"/>
      <c r="N48" s="63"/>
      <c r="O48" s="63"/>
      <c r="P48" s="63"/>
    </row>
    <row r="49" spans="1:16" x14ac:dyDescent="0.2">
      <c r="A49" s="61">
        <v>-1161.08743323147</v>
      </c>
      <c r="B49" s="61">
        <v>88.725949844452401</v>
      </c>
      <c r="C49" s="61"/>
      <c r="D49" s="61"/>
      <c r="E49" s="61"/>
      <c r="F49" s="61"/>
      <c r="H49" s="64">
        <f t="shared" si="0"/>
        <v>0.88725949844452401</v>
      </c>
      <c r="I49" s="64">
        <f t="shared" si="1"/>
        <v>0.47863400366300879</v>
      </c>
      <c r="J49" s="64">
        <f t="shared" si="9"/>
        <v>7.344050155547599E-2</v>
      </c>
      <c r="K49" s="63"/>
      <c r="L49" s="63"/>
      <c r="M49" s="63"/>
      <c r="N49" s="63"/>
      <c r="O49" s="63"/>
      <c r="P49" s="63"/>
    </row>
    <row r="50" spans="1:16" x14ac:dyDescent="0.2">
      <c r="A50" s="61">
        <v>-1199.30516590705</v>
      </c>
      <c r="B50" s="61">
        <v>87.710195218625799</v>
      </c>
      <c r="C50" s="61"/>
      <c r="D50" s="61"/>
      <c r="E50" s="61"/>
      <c r="F50" s="61"/>
      <c r="H50" s="64">
        <f t="shared" si="0"/>
        <v>0.87710195218625797</v>
      </c>
      <c r="I50" s="64">
        <f t="shared" si="1"/>
        <v>0.48872859410433517</v>
      </c>
      <c r="J50" s="64">
        <f t="shared" si="9"/>
        <v>8.3598047813742027E-2</v>
      </c>
      <c r="K50" s="63"/>
      <c r="L50" s="63"/>
      <c r="M50" s="63"/>
      <c r="N50" s="63"/>
      <c r="O50" s="63"/>
      <c r="P50" s="63"/>
    </row>
    <row r="51" spans="1:16" x14ac:dyDescent="0.2">
      <c r="A51" s="61">
        <v>-1237.5192204407999</v>
      </c>
      <c r="B51" s="61">
        <v>86.629306831241706</v>
      </c>
      <c r="C51" s="61"/>
      <c r="D51" s="61"/>
      <c r="E51" s="61"/>
      <c r="F51" s="61"/>
      <c r="H51" s="64">
        <f t="shared" si="0"/>
        <v>0.86629306831241704</v>
      </c>
      <c r="I51" s="64">
        <f t="shared" si="1"/>
        <v>0.49808648675762501</v>
      </c>
      <c r="J51" s="64">
        <f t="shared" si="9"/>
        <v>9.4406931687582962E-2</v>
      </c>
      <c r="K51" s="63"/>
      <c r="L51" s="63"/>
      <c r="M51" s="63"/>
      <c r="N51" s="63"/>
      <c r="O51" s="63"/>
      <c r="P51" s="63"/>
    </row>
    <row r="52" spans="1:16" x14ac:dyDescent="0.2">
      <c r="A52" s="61">
        <v>-1275.72530566725</v>
      </c>
      <c r="B52" s="61">
        <v>85.407295293816304</v>
      </c>
      <c r="C52" s="61"/>
      <c r="D52" s="61"/>
      <c r="E52" s="61"/>
      <c r="F52" s="61"/>
      <c r="H52" s="64">
        <f t="shared" si="0"/>
        <v>0.85407295293816299</v>
      </c>
      <c r="I52" s="64">
        <f t="shared" si="1"/>
        <v>0.50622094031681064</v>
      </c>
      <c r="J52" s="64">
        <f t="shared" si="9"/>
        <v>0.10662704706183701</v>
      </c>
      <c r="K52" s="63"/>
      <c r="L52" s="63"/>
      <c r="M52" s="63"/>
      <c r="N52" s="63"/>
      <c r="O52" s="63"/>
      <c r="P52" s="63"/>
    </row>
    <row r="53" spans="1:16" x14ac:dyDescent="0.2">
      <c r="A53" s="61">
        <v>-1313.9283257755101</v>
      </c>
      <c r="B53" s="61">
        <v>84.131005621759599</v>
      </c>
      <c r="C53" s="61"/>
      <c r="D53" s="61"/>
      <c r="E53" s="61"/>
      <c r="F53" s="61"/>
      <c r="H53" s="64">
        <f t="shared" si="0"/>
        <v>0.84131005621759603</v>
      </c>
      <c r="I53" s="64">
        <f t="shared" si="1"/>
        <v>0.51358901063162188</v>
      </c>
      <c r="J53" s="64">
        <f t="shared" si="9"/>
        <v>0.11938994378240397</v>
      </c>
      <c r="K53" s="63"/>
      <c r="L53" s="63"/>
      <c r="M53" s="63"/>
      <c r="N53" s="63"/>
      <c r="O53" s="63"/>
      <c r="P53" s="63"/>
    </row>
    <row r="54" spans="1:16" x14ac:dyDescent="0.2">
      <c r="A54" s="61">
        <v>-1352.1258286710299</v>
      </c>
      <c r="B54" s="61">
        <v>82.757015307366601</v>
      </c>
      <c r="C54" s="61"/>
      <c r="D54" s="61"/>
      <c r="E54" s="61"/>
      <c r="F54" s="61"/>
      <c r="H54" s="64">
        <f t="shared" si="0"/>
        <v>0.82757015307366599</v>
      </c>
      <c r="I54" s="64">
        <f t="shared" si="1"/>
        <v>0.51988812196851808</v>
      </c>
      <c r="J54" s="64">
        <f t="shared" si="9"/>
        <v>0.13312984692633401</v>
      </c>
      <c r="K54" s="63"/>
      <c r="L54" s="63"/>
      <c r="M54" s="63"/>
      <c r="N54" s="63"/>
      <c r="O54" s="63"/>
      <c r="P54" s="63"/>
    </row>
    <row r="55" spans="1:16" x14ac:dyDescent="0.2">
      <c r="A55" s="61">
        <v>-1390.3306878502101</v>
      </c>
      <c r="B55" s="61">
        <v>81.513292516088697</v>
      </c>
      <c r="C55" s="61"/>
      <c r="D55" s="61"/>
      <c r="E55" s="61"/>
      <c r="F55" s="61"/>
      <c r="H55" s="64">
        <f t="shared" si="0"/>
        <v>0.81513292516088698</v>
      </c>
      <c r="I55" s="64">
        <f t="shared" si="1"/>
        <v>0.52654380991188665</v>
      </c>
      <c r="J55" s="64">
        <f t="shared" si="9"/>
        <v>0.14556707483911302</v>
      </c>
      <c r="K55" s="63"/>
      <c r="L55" s="63"/>
      <c r="M55" s="63"/>
      <c r="N55" s="63"/>
      <c r="O55" s="63"/>
      <c r="P55" s="63"/>
    </row>
    <row r="56" spans="1:16" x14ac:dyDescent="0.2">
      <c r="A56" s="61">
        <v>-1428.5300298166501</v>
      </c>
      <c r="B56" s="61">
        <v>80.171869082474501</v>
      </c>
      <c r="C56" s="61"/>
      <c r="D56" s="61"/>
      <c r="E56" s="61"/>
      <c r="F56" s="61"/>
      <c r="H56" s="64">
        <f t="shared" si="0"/>
        <v>0.80171869082474501</v>
      </c>
      <c r="I56" s="64">
        <f t="shared" si="1"/>
        <v>0.53210746291493216</v>
      </c>
      <c r="J56" s="64">
        <f t="shared" si="9"/>
        <v>0.15898130917525499</v>
      </c>
      <c r="K56" s="63"/>
      <c r="L56" s="63"/>
      <c r="M56" s="63"/>
      <c r="N56" s="63"/>
      <c r="O56" s="63"/>
      <c r="P56" s="63"/>
    </row>
    <row r="57" spans="1:16" x14ac:dyDescent="0.2">
      <c r="A57" s="61">
        <v>-1466.7189503812299</v>
      </c>
      <c r="B57" s="61">
        <v>78.645899991114007</v>
      </c>
      <c r="C57" s="61"/>
      <c r="D57" s="61"/>
      <c r="E57" s="61"/>
      <c r="F57" s="61"/>
      <c r="H57" s="64">
        <f t="shared" si="0"/>
        <v>0.7864589999111401</v>
      </c>
      <c r="I57" s="64">
        <f t="shared" si="1"/>
        <v>0.53593356457098895</v>
      </c>
      <c r="J57" s="64">
        <f t="shared" si="9"/>
        <v>0.1742410000888599</v>
      </c>
      <c r="K57" s="63"/>
      <c r="L57" s="63"/>
      <c r="M57" s="63"/>
      <c r="N57" s="63"/>
      <c r="O57" s="63"/>
      <c r="P57" s="63"/>
    </row>
    <row r="58" spans="1:16" x14ac:dyDescent="0.2">
      <c r="A58" s="61">
        <v>-1499.6968635093899</v>
      </c>
      <c r="B58" s="61">
        <v>77.267324770760496</v>
      </c>
      <c r="C58" s="61"/>
      <c r="D58" s="61"/>
      <c r="E58" s="61"/>
      <c r="F58" s="61"/>
      <c r="H58" s="64">
        <f t="shared" si="0"/>
        <v>0.77267324770760493</v>
      </c>
      <c r="I58" s="64">
        <f t="shared" si="1"/>
        <v>0.53837802652041589</v>
      </c>
      <c r="J58" s="64">
        <f t="shared" si="9"/>
        <v>0.18802675229239507</v>
      </c>
      <c r="K58" s="63"/>
      <c r="L58" s="63"/>
      <c r="M58" s="63"/>
      <c r="N58" s="63"/>
      <c r="O58" s="63"/>
      <c r="P58" s="63"/>
    </row>
    <row r="62" spans="1:16" x14ac:dyDescent="0.2">
      <c r="J62" s="65"/>
      <c r="K62" s="51"/>
      <c r="L62" s="51"/>
      <c r="M62" s="51"/>
      <c r="N62" s="51"/>
      <c r="O62" s="51"/>
      <c r="P62" s="51"/>
    </row>
    <row r="63" spans="1:16" x14ac:dyDescent="0.2">
      <c r="H63" s="71" t="s">
        <v>132</v>
      </c>
      <c r="I63" s="71"/>
      <c r="J63" s="65"/>
      <c r="K63" s="51"/>
      <c r="L63" s="51"/>
      <c r="M63" s="51"/>
      <c r="N63" s="51"/>
      <c r="O63" s="51"/>
      <c r="P63" s="51"/>
    </row>
    <row r="64" spans="1:16" ht="17.25" x14ac:dyDescent="0.3">
      <c r="H64" s="66" t="s">
        <v>169</v>
      </c>
      <c r="I64" s="66" t="s">
        <v>168</v>
      </c>
      <c r="J64" s="51"/>
      <c r="K64" s="51"/>
      <c r="L64" s="51"/>
      <c r="M64" s="51"/>
      <c r="N64" s="51"/>
      <c r="O64" s="51"/>
      <c r="P64" s="51"/>
    </row>
    <row r="65" spans="8:16" x14ac:dyDescent="0.2">
      <c r="H65" s="67">
        <v>2.2997934048565084E-2</v>
      </c>
      <c r="I65" s="67">
        <f>0.9607-4.7306*H65^5.4936</f>
        <v>0.96069999527186412</v>
      </c>
      <c r="J65" s="51"/>
      <c r="K65" s="51"/>
      <c r="L65" s="51"/>
      <c r="M65" s="51"/>
      <c r="N65" s="51"/>
      <c r="O65" s="51"/>
      <c r="P65" s="51"/>
    </row>
    <row r="66" spans="8:16" x14ac:dyDescent="0.2">
      <c r="H66" s="67">
        <v>4.0069676396611777E-2</v>
      </c>
      <c r="I66" s="67">
        <f t="shared" ref="I66:I103" si="11">0.9607-4.7306*H66^5.4936</f>
        <v>0.96069990015063689</v>
      </c>
      <c r="J66" s="51"/>
      <c r="K66" s="51"/>
      <c r="L66" s="51"/>
      <c r="M66" s="51"/>
      <c r="N66" s="51"/>
      <c r="O66" s="51"/>
      <c r="P66" s="51"/>
    </row>
    <row r="67" spans="8:16" x14ac:dyDescent="0.2">
      <c r="H67" s="67">
        <v>5.7084370034302737E-2</v>
      </c>
      <c r="I67" s="67">
        <f t="shared" si="11"/>
        <v>0.96069930221892419</v>
      </c>
      <c r="J67" s="51"/>
      <c r="K67" s="51"/>
      <c r="L67" s="51"/>
      <c r="M67" s="51"/>
      <c r="N67" s="51"/>
      <c r="O67" s="51"/>
      <c r="P67" s="51"/>
    </row>
    <row r="68" spans="8:16" x14ac:dyDescent="0.2">
      <c r="H68" s="67">
        <v>7.4140086301005395E-2</v>
      </c>
      <c r="I68" s="67">
        <f t="shared" si="11"/>
        <v>0.96069706613674799</v>
      </c>
      <c r="J68" s="51"/>
      <c r="K68" s="51"/>
      <c r="L68" s="51"/>
      <c r="M68" s="51"/>
      <c r="N68" s="51"/>
      <c r="O68" s="51"/>
      <c r="P68" s="51"/>
    </row>
    <row r="69" spans="8:16" x14ac:dyDescent="0.2">
      <c r="H69" s="67">
        <v>9.1140638350711872E-2</v>
      </c>
      <c r="I69" s="67">
        <f t="shared" si="11"/>
        <v>0.96069088009249737</v>
      </c>
      <c r="J69" s="51"/>
      <c r="K69" s="51"/>
      <c r="L69" s="51"/>
      <c r="M69" s="51"/>
      <c r="N69" s="51"/>
      <c r="O69" s="51"/>
      <c r="P69" s="51"/>
    </row>
    <row r="70" spans="8:16" x14ac:dyDescent="0.2">
      <c r="H70" s="67">
        <v>0.1080445517892699</v>
      </c>
      <c r="I70" s="67">
        <f t="shared" si="11"/>
        <v>0.96067677707250532</v>
      </c>
      <c r="J70" s="51"/>
      <c r="K70" s="51"/>
      <c r="L70" s="51"/>
      <c r="M70" s="51"/>
      <c r="N70" s="51"/>
      <c r="O70" s="51"/>
      <c r="P70" s="51"/>
    </row>
    <row r="71" spans="8:16" x14ac:dyDescent="0.2">
      <c r="H71" s="67">
        <v>0.12497606826753388</v>
      </c>
      <c r="I71" s="67">
        <f t="shared" si="11"/>
        <v>0.96064832931097455</v>
      </c>
      <c r="J71" s="51"/>
      <c r="K71" s="51"/>
      <c r="L71" s="51"/>
      <c r="M71" s="51"/>
      <c r="N71" s="51"/>
      <c r="O71" s="51"/>
      <c r="P71" s="51"/>
    </row>
    <row r="72" spans="8:16" x14ac:dyDescent="0.2">
      <c r="H72" s="67">
        <v>0.14198052165390951</v>
      </c>
      <c r="I72" s="67">
        <f t="shared" si="11"/>
        <v>0.96059586416959553</v>
      </c>
      <c r="J72" s="51"/>
      <c r="K72" s="51"/>
      <c r="L72" s="51"/>
      <c r="M72" s="51"/>
      <c r="N72" s="51"/>
      <c r="O72" s="51"/>
      <c r="P72" s="51"/>
    </row>
    <row r="73" spans="8:16" x14ac:dyDescent="0.2">
      <c r="H73" s="67">
        <v>0.15874470475517963</v>
      </c>
      <c r="I73" s="67">
        <f t="shared" si="11"/>
        <v>0.96050774501333469</v>
      </c>
      <c r="J73" s="51"/>
      <c r="K73" s="51"/>
      <c r="L73" s="51"/>
      <c r="M73" s="51"/>
      <c r="N73" s="51"/>
      <c r="O73" s="51"/>
      <c r="P73" s="51"/>
    </row>
    <row r="74" spans="8:16" x14ac:dyDescent="0.2">
      <c r="H74" s="67">
        <v>0.17553747925232432</v>
      </c>
      <c r="I74" s="67">
        <f t="shared" si="11"/>
        <v>0.96036596922840622</v>
      </c>
      <c r="J74" s="51"/>
      <c r="K74" s="51"/>
      <c r="L74" s="51"/>
      <c r="M74" s="51"/>
      <c r="N74" s="51"/>
      <c r="O74" s="51"/>
      <c r="P74" s="51"/>
    </row>
    <row r="75" spans="8:16" x14ac:dyDescent="0.2">
      <c r="H75" s="67">
        <v>0.19240417629290971</v>
      </c>
      <c r="I75" s="67">
        <f t="shared" si="11"/>
        <v>0.96014706131596883</v>
      </c>
      <c r="J75" s="51"/>
      <c r="K75" s="51"/>
      <c r="L75" s="51"/>
      <c r="M75" s="51"/>
      <c r="N75" s="51"/>
      <c r="O75" s="51"/>
      <c r="P75" s="51"/>
    </row>
    <row r="76" spans="8:16" x14ac:dyDescent="0.2">
      <c r="H76" s="67">
        <v>0.20901220546271423</v>
      </c>
      <c r="I76" s="67">
        <f t="shared" si="11"/>
        <v>0.95982861276776754</v>
      </c>
      <c r="J76" s="51"/>
      <c r="K76" s="51"/>
      <c r="L76" s="51"/>
      <c r="M76" s="51"/>
      <c r="N76" s="51"/>
      <c r="O76" s="51"/>
      <c r="P76" s="51"/>
    </row>
    <row r="77" spans="8:16" x14ac:dyDescent="0.2">
      <c r="H77" s="67">
        <v>0.22582431925537669</v>
      </c>
      <c r="I77" s="67">
        <f t="shared" si="11"/>
        <v>0.95936712016249115</v>
      </c>
      <c r="J77" s="51"/>
      <c r="K77" s="51"/>
      <c r="L77" s="51"/>
      <c r="M77" s="51"/>
      <c r="N77" s="51"/>
      <c r="O77" s="51"/>
      <c r="P77" s="51"/>
    </row>
    <row r="78" spans="8:16" x14ac:dyDescent="0.2">
      <c r="H78" s="67">
        <v>0.24236713011424937</v>
      </c>
      <c r="I78" s="67">
        <f t="shared" si="11"/>
        <v>0.9587345542649145</v>
      </c>
      <c r="J78" s="51"/>
      <c r="K78" s="51"/>
      <c r="L78" s="51"/>
      <c r="M78" s="51"/>
      <c r="N78" s="51"/>
      <c r="O78" s="51"/>
      <c r="P78" s="51"/>
    </row>
    <row r="79" spans="8:16" x14ac:dyDescent="0.2">
      <c r="H79" s="67">
        <v>0.25891734586657894</v>
      </c>
      <c r="I79" s="67">
        <f t="shared" si="11"/>
        <v>0.95787474077490498</v>
      </c>
      <c r="J79" s="51"/>
      <c r="K79" s="51"/>
      <c r="L79" s="51"/>
      <c r="M79" s="51"/>
      <c r="N79" s="51"/>
      <c r="O79" s="51"/>
      <c r="P79" s="51"/>
    </row>
    <row r="80" spans="8:16" x14ac:dyDescent="0.2">
      <c r="H80" s="67">
        <v>0.27532743679881172</v>
      </c>
      <c r="I80" s="67">
        <f t="shared" si="11"/>
        <v>0.95674019869147686</v>
      </c>
      <c r="J80" s="51"/>
      <c r="K80" s="51"/>
      <c r="L80" s="51"/>
      <c r="M80" s="51"/>
      <c r="N80" s="51"/>
      <c r="O80" s="51"/>
      <c r="P80" s="51"/>
    </row>
    <row r="81" spans="8:16" x14ac:dyDescent="0.2">
      <c r="H81" s="67">
        <v>0.29164753874763422</v>
      </c>
      <c r="I81" s="67">
        <f t="shared" si="11"/>
        <v>0.9552667227022632</v>
      </c>
      <c r="J81" s="51"/>
      <c r="K81" s="51"/>
      <c r="L81" s="51"/>
      <c r="M81" s="51"/>
      <c r="N81" s="51"/>
      <c r="O81" s="51"/>
      <c r="P81" s="51"/>
    </row>
    <row r="82" spans="8:16" x14ac:dyDescent="0.2">
      <c r="H82" s="67">
        <v>0.30783618288424536</v>
      </c>
      <c r="I82" s="67">
        <f t="shared" si="11"/>
        <v>0.95338946534358604</v>
      </c>
      <c r="J82" s="51"/>
      <c r="K82" s="51"/>
      <c r="L82" s="51"/>
      <c r="M82" s="51"/>
      <c r="N82" s="51"/>
      <c r="O82" s="51"/>
      <c r="P82" s="51"/>
    </row>
    <row r="83" spans="8:16" x14ac:dyDescent="0.2">
      <c r="H83" s="67">
        <v>0.32384418347196781</v>
      </c>
      <c r="I83" s="67">
        <f t="shared" si="11"/>
        <v>0.9510417457754462</v>
      </c>
      <c r="J83" s="51"/>
      <c r="K83" s="51"/>
      <c r="L83" s="51"/>
      <c r="M83" s="51"/>
      <c r="N83" s="51"/>
      <c r="O83" s="51"/>
      <c r="P83" s="51"/>
    </row>
    <row r="84" spans="8:16" x14ac:dyDescent="0.2">
      <c r="H84" s="67">
        <v>0.33973325501759533</v>
      </c>
      <c r="I84" s="67">
        <f t="shared" si="11"/>
        <v>0.94813460125871862</v>
      </c>
      <c r="J84" s="51"/>
      <c r="K84" s="51"/>
      <c r="L84" s="51"/>
      <c r="M84" s="51"/>
      <c r="N84" s="51"/>
      <c r="O84" s="51"/>
      <c r="P84" s="51"/>
    </row>
    <row r="85" spans="8:16" x14ac:dyDescent="0.2">
      <c r="H85" s="67">
        <v>0.3553317399203158</v>
      </c>
      <c r="I85" s="67">
        <f t="shared" si="11"/>
        <v>0.94462025403007932</v>
      </c>
      <c r="J85" s="51"/>
      <c r="K85" s="51"/>
      <c r="L85" s="51"/>
      <c r="M85" s="51"/>
      <c r="N85" s="51"/>
      <c r="O85" s="51"/>
      <c r="P85" s="51"/>
    </row>
    <row r="86" spans="8:16" x14ac:dyDescent="0.2">
      <c r="H86" s="67">
        <v>0.37078429028268828</v>
      </c>
      <c r="I86" s="67">
        <f t="shared" si="11"/>
        <v>0.94038386265996798</v>
      </c>
      <c r="J86" s="51"/>
      <c r="K86" s="51"/>
      <c r="L86" s="51"/>
      <c r="M86" s="51"/>
      <c r="N86" s="51"/>
      <c r="O86" s="51"/>
      <c r="P86" s="51"/>
    </row>
    <row r="87" spans="8:16" x14ac:dyDescent="0.2">
      <c r="H87" s="67">
        <v>0.38613044476352726</v>
      </c>
      <c r="I87" s="67">
        <f t="shared" si="11"/>
        <v>0.93531376017433265</v>
      </c>
      <c r="J87" s="51"/>
      <c r="K87" s="51"/>
      <c r="L87" s="51"/>
      <c r="M87" s="51"/>
      <c r="N87" s="51"/>
      <c r="O87" s="51"/>
      <c r="P87" s="51"/>
    </row>
    <row r="88" spans="8:16" x14ac:dyDescent="0.2">
      <c r="H88" s="67">
        <v>0.4009921758963842</v>
      </c>
      <c r="I88" s="67">
        <f t="shared" si="11"/>
        <v>0.9294605340280836</v>
      </c>
      <c r="J88" s="51"/>
      <c r="K88" s="51"/>
      <c r="L88" s="51"/>
      <c r="M88" s="51"/>
      <c r="N88" s="51"/>
      <c r="O88" s="51"/>
      <c r="P88" s="51"/>
    </row>
    <row r="89" spans="8:16" x14ac:dyDescent="0.2">
      <c r="H89" s="67">
        <v>0.4156182923872962</v>
      </c>
      <c r="I89" s="67">
        <f t="shared" si="11"/>
        <v>0.92266554681116675</v>
      </c>
      <c r="J89" s="51"/>
      <c r="K89" s="51"/>
      <c r="L89" s="51"/>
      <c r="M89" s="51"/>
      <c r="N89" s="51"/>
      <c r="O89" s="51"/>
      <c r="P89" s="51"/>
    </row>
    <row r="90" spans="8:16" x14ac:dyDescent="0.2">
      <c r="H90" s="67">
        <v>0.42943502667027428</v>
      </c>
      <c r="I90" s="67">
        <f t="shared" si="11"/>
        <v>0.91518005393160451</v>
      </c>
      <c r="J90" s="51"/>
      <c r="K90" s="51"/>
      <c r="L90" s="51"/>
      <c r="M90" s="51"/>
      <c r="N90" s="51"/>
      <c r="O90" s="51"/>
      <c r="P90" s="51"/>
    </row>
    <row r="91" spans="8:16" x14ac:dyDescent="0.2">
      <c r="H91" s="67">
        <v>0.44289756776749095</v>
      </c>
      <c r="I91" s="67">
        <f t="shared" si="11"/>
        <v>0.90676781562690745</v>
      </c>
      <c r="J91" s="51"/>
      <c r="K91" s="51"/>
      <c r="L91" s="51"/>
      <c r="M91" s="51"/>
      <c r="N91" s="51"/>
      <c r="O91" s="51"/>
      <c r="P91" s="51"/>
    </row>
    <row r="92" spans="8:16" x14ac:dyDescent="0.2">
      <c r="H92" s="67">
        <v>0.45543894715911687</v>
      </c>
      <c r="I92" s="67">
        <f t="shared" si="11"/>
        <v>0.8978264196536544</v>
      </c>
      <c r="J92" s="51"/>
      <c r="K92" s="51"/>
      <c r="L92" s="51"/>
      <c r="M92" s="51"/>
      <c r="N92" s="51"/>
      <c r="O92" s="51"/>
      <c r="P92" s="51"/>
    </row>
    <row r="93" spans="8:16" x14ac:dyDescent="0.2">
      <c r="H93" s="67">
        <v>0.46783735943015631</v>
      </c>
      <c r="I93" s="67">
        <f t="shared" si="11"/>
        <v>0.88782986594798696</v>
      </c>
      <c r="J93" s="51"/>
      <c r="K93" s="51"/>
      <c r="L93" s="51"/>
      <c r="M93" s="51"/>
      <c r="N93" s="51"/>
      <c r="O93" s="51"/>
      <c r="P93" s="51"/>
    </row>
    <row r="94" spans="8:16" x14ac:dyDescent="0.2">
      <c r="H94" s="67">
        <v>0.47863400366300879</v>
      </c>
      <c r="I94" s="67">
        <f t="shared" si="11"/>
        <v>0.87809930065247099</v>
      </c>
      <c r="J94" s="51"/>
      <c r="K94" s="51"/>
      <c r="L94" s="51"/>
      <c r="M94" s="51"/>
      <c r="N94" s="51"/>
      <c r="O94" s="51"/>
      <c r="P94" s="51"/>
    </row>
    <row r="95" spans="8:16" x14ac:dyDescent="0.2">
      <c r="H95" s="67">
        <v>0.48872859410433517</v>
      </c>
      <c r="I95" s="67">
        <f t="shared" si="11"/>
        <v>0.86806420907654658</v>
      </c>
      <c r="J95" s="51"/>
      <c r="K95" s="51"/>
      <c r="L95" s="51"/>
      <c r="M95" s="51"/>
      <c r="N95" s="51"/>
      <c r="O95" s="51"/>
      <c r="P95" s="51"/>
    </row>
    <row r="96" spans="8:16" x14ac:dyDescent="0.2">
      <c r="H96" s="67">
        <v>0.49808648675762501</v>
      </c>
      <c r="I96" s="67">
        <f t="shared" si="11"/>
        <v>0.85789135070590561</v>
      </c>
      <c r="J96" s="51"/>
      <c r="K96" s="51"/>
      <c r="L96" s="51"/>
      <c r="M96" s="51"/>
      <c r="N96" s="51"/>
      <c r="O96" s="51"/>
      <c r="P96" s="51"/>
    </row>
    <row r="97" spans="8:16" x14ac:dyDescent="0.2">
      <c r="H97" s="67">
        <v>0.50622094031681064</v>
      </c>
      <c r="I97" s="67">
        <f t="shared" si="11"/>
        <v>0.84832258576955888</v>
      </c>
      <c r="J97" s="51"/>
      <c r="K97" s="51"/>
      <c r="L97" s="51"/>
      <c r="M97" s="51"/>
      <c r="N97" s="51"/>
      <c r="O97" s="51"/>
      <c r="P97" s="51"/>
    </row>
    <row r="98" spans="8:16" x14ac:dyDescent="0.2">
      <c r="H98" s="67">
        <v>0.51358901063162188</v>
      </c>
      <c r="I98" s="67">
        <f t="shared" si="11"/>
        <v>0.83903805353871075</v>
      </c>
      <c r="J98" s="51"/>
      <c r="K98" s="51"/>
      <c r="L98" s="51"/>
      <c r="M98" s="51"/>
      <c r="N98" s="51"/>
      <c r="O98" s="51"/>
      <c r="P98" s="51"/>
    </row>
    <row r="99" spans="8:16" x14ac:dyDescent="0.2">
      <c r="H99" s="67">
        <v>0.51988812196851808</v>
      </c>
      <c r="I99" s="67">
        <f t="shared" si="11"/>
        <v>0.83061152362625557</v>
      </c>
      <c r="J99" s="51"/>
      <c r="K99" s="51"/>
      <c r="L99" s="51"/>
      <c r="M99" s="51"/>
      <c r="N99" s="51"/>
      <c r="O99" s="51"/>
      <c r="P99" s="51"/>
    </row>
    <row r="100" spans="8:16" x14ac:dyDescent="0.2">
      <c r="H100" s="67">
        <v>0.52654380991188665</v>
      </c>
      <c r="I100" s="67">
        <f t="shared" si="11"/>
        <v>0.82119529340907471</v>
      </c>
      <c r="J100" s="51"/>
      <c r="K100" s="51"/>
      <c r="L100" s="51"/>
      <c r="M100" s="51"/>
      <c r="N100" s="51"/>
      <c r="O100" s="51"/>
      <c r="P100" s="51"/>
    </row>
    <row r="101" spans="8:16" x14ac:dyDescent="0.2">
      <c r="H101" s="67">
        <v>0.53210746291493216</v>
      </c>
      <c r="I101" s="67">
        <f t="shared" si="11"/>
        <v>0.81290278287272222</v>
      </c>
      <c r="J101" s="51"/>
      <c r="K101" s="51"/>
      <c r="L101" s="51"/>
      <c r="M101" s="51"/>
      <c r="N101" s="51"/>
      <c r="O101" s="51"/>
      <c r="P101" s="51"/>
    </row>
    <row r="102" spans="8:16" x14ac:dyDescent="0.2">
      <c r="H102" s="67">
        <v>0.53593356457098895</v>
      </c>
      <c r="I102" s="67">
        <f t="shared" si="11"/>
        <v>0.80696945006335929</v>
      </c>
      <c r="J102" s="51"/>
      <c r="K102" s="51"/>
      <c r="L102" s="51"/>
      <c r="M102" s="51"/>
      <c r="N102" s="51"/>
      <c r="O102" s="51"/>
      <c r="P102" s="51"/>
    </row>
    <row r="103" spans="8:16" x14ac:dyDescent="0.2">
      <c r="H103" s="67">
        <v>0.53837802652041589</v>
      </c>
      <c r="I103" s="67">
        <f t="shared" si="11"/>
        <v>0.80307773548823957</v>
      </c>
      <c r="J103" s="51"/>
      <c r="K103" s="51"/>
      <c r="L103" s="51"/>
      <c r="M103" s="51"/>
      <c r="N103" s="51"/>
      <c r="O103" s="51"/>
      <c r="P103" s="51"/>
    </row>
    <row r="104" spans="8:16" x14ac:dyDescent="0.2">
      <c r="K104" s="51"/>
      <c r="L104" s="51"/>
      <c r="M104" s="51"/>
      <c r="N104" s="51"/>
      <c r="O104" s="51"/>
      <c r="P104" s="51"/>
    </row>
  </sheetData>
  <mergeCells count="9">
    <mergeCell ref="N18:P18"/>
    <mergeCell ref="H17:P17"/>
    <mergeCell ref="A17:F17"/>
    <mergeCell ref="H63:I63"/>
    <mergeCell ref="A18:B18"/>
    <mergeCell ref="C18:D18"/>
    <mergeCell ref="E18:F18"/>
    <mergeCell ref="H18:J18"/>
    <mergeCell ref="K18:M18"/>
  </mergeCells>
  <hyperlinks>
    <hyperlink ref="E2" r:id="rId1" display="https://doi.org/10.1021/acs.iecr.2c00352" xr:uid="{0BA947E2-F37F-424F-97AE-A56D801E84D9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Constants and assumptions</vt:lpstr>
      <vt:lpstr>Products</vt:lpstr>
      <vt:lpstr>Utilities</vt:lpstr>
      <vt:lpstr>Kas Smith curvefit (copy)</vt:lpstr>
      <vt:lpstr>CO2_elec</vt:lpstr>
      <vt:lpstr>CO2_heat</vt:lpstr>
      <vt:lpstr>cost_elec</vt:lpstr>
      <vt:lpstr>cost_heat</vt:lpstr>
      <vt:lpstr>crossover_acid</vt:lpstr>
      <vt:lpstr>crossover_alkaline</vt:lpstr>
      <vt:lpstr>crossover_neutral</vt:lpstr>
      <vt:lpstr>F</vt:lpstr>
      <vt:lpstr>K_to_C</vt:lpstr>
      <vt:lpstr>kJ_per_kWh</vt:lpstr>
      <vt:lpstr>kJ_per_mmBtu</vt:lpstr>
      <vt:lpstr>kWh_per_mmBtu</vt:lpstr>
      <vt:lpstr>mol_s_per_mA</vt:lpstr>
      <vt:lpstr>mol_s_per_sccm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2024-07-01T15:47:08Z</dcterms:modified>
</cp:coreProperties>
</file>