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drawings/drawing1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queryTables/queryTable45.xml" ContentType="application/vnd.openxmlformats-officedocument.spreadsheetml.queryTable+xml"/>
  <Override PartName="/xl/tables/table46.xml" ContentType="application/vnd.openxmlformats-officedocument.spreadsheetml.table+xml"/>
  <Override PartName="/xl/queryTables/queryTable46.xml" ContentType="application/vnd.openxmlformats-officedocument.spreadsheetml.queryTable+xml"/>
  <Override PartName="/xl/tables/table47.xml" ContentType="application/vnd.openxmlformats-officedocument.spreadsheetml.table+xml"/>
  <Override PartName="/xl/queryTables/queryTable47.xml" ContentType="application/vnd.openxmlformats-officedocument.spreadsheetml.queryTable+xml"/>
  <Override PartName="/xl/tables/table48.xml" ContentType="application/vnd.openxmlformats-officedocument.spreadsheetml.table+xml"/>
  <Override PartName="/xl/queryTables/queryTable48.xml" ContentType="application/vnd.openxmlformats-officedocument.spreadsheetml.queryTable+xml"/>
  <Override PartName="/xl/tables/table49.xml" ContentType="application/vnd.openxmlformats-officedocument.spreadsheetml.table+xml"/>
  <Override PartName="/xl/queryTables/queryTable49.xml" ContentType="application/vnd.openxmlformats-officedocument.spreadsheetml.queryTable+xml"/>
  <Override PartName="/xl/tables/table50.xml" ContentType="application/vnd.openxmlformats-officedocument.spreadsheetml.table+xml"/>
  <Override PartName="/xl/queryTables/queryTable50.xml" ContentType="application/vnd.openxmlformats-officedocument.spreadsheetml.queryTable+xml"/>
  <Override PartName="/xl/tables/table51.xml" ContentType="application/vnd.openxmlformats-officedocument.spreadsheetml.table+xml"/>
  <Override PartName="/xl/queryTables/queryTable51.xml" ContentType="application/vnd.openxmlformats-officedocument.spreadsheetml.queryTable+xml"/>
  <Override PartName="/xl/tables/table52.xml" ContentType="application/vnd.openxmlformats-officedocument.spreadsheetml.table+xml"/>
  <Override PartName="/xl/queryTables/queryTable52.xml" ContentType="application/vnd.openxmlformats-officedocument.spreadsheetml.queryTable+xml"/>
  <Override PartName="/xl/tables/table53.xml" ContentType="application/vnd.openxmlformats-officedocument.spreadsheetml.table+xml"/>
  <Override PartName="/xl/queryTables/queryTable53.xml" ContentType="application/vnd.openxmlformats-officedocument.spreadsheetml.queryTable+xml"/>
  <Override PartName="/xl/tables/table54.xml" ContentType="application/vnd.openxmlformats-officedocument.spreadsheetml.table+xml"/>
  <Override PartName="/xl/queryTables/queryTable54.xml" ContentType="application/vnd.openxmlformats-officedocument.spreadsheetml.queryTable+xml"/>
  <Override PartName="/xl/tables/table55.xml" ContentType="application/vnd.openxmlformats-officedocument.spreadsheetml.table+xml"/>
  <Override PartName="/xl/queryTables/queryTable55.xml" ContentType="application/vnd.openxmlformats-officedocument.spreadsheetml.queryTable+xml"/>
  <Override PartName="/xl/tables/table56.xml" ContentType="application/vnd.openxmlformats-officedocument.spreadsheetml.table+xml"/>
  <Override PartName="/xl/queryTables/queryTable5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tables/table57.xml" ContentType="application/vnd.openxmlformats-officedocument.spreadsheetml.table+xml"/>
  <Override PartName="/xl/queryTables/queryTable57.xml" ContentType="application/vnd.openxmlformats-officedocument.spreadsheetml.queryTable+xml"/>
  <Override PartName="/xl/tables/table58.xml" ContentType="application/vnd.openxmlformats-officedocument.spreadsheetml.table+xml"/>
  <Override PartName="/xl/queryTables/queryTable58.xml" ContentType="application/vnd.openxmlformats-officedocument.spreadsheetml.queryTable+xml"/>
  <Override PartName="/xl/tables/table59.xml" ContentType="application/vnd.openxmlformats-officedocument.spreadsheetml.table+xml"/>
  <Override PartName="/xl/queryTables/queryTable59.xml" ContentType="application/vnd.openxmlformats-officedocument.spreadsheetml.queryTable+xml"/>
  <Override PartName="/xl/tables/table60.xml" ContentType="application/vnd.openxmlformats-officedocument.spreadsheetml.table+xml"/>
  <Override PartName="/xl/queryTables/queryTable60.xml" ContentType="application/vnd.openxmlformats-officedocument.spreadsheetml.queryTable+xml"/>
  <Override PartName="/xl/tables/table61.xml" ContentType="application/vnd.openxmlformats-officedocument.spreadsheetml.table+xml"/>
  <Override PartName="/xl/queryTables/queryTable61.xml" ContentType="application/vnd.openxmlformats-officedocument.spreadsheetml.queryTable+xml"/>
  <Override PartName="/xl/tables/table62.xml" ContentType="application/vnd.openxmlformats-officedocument.spreadsheetml.table+xml"/>
  <Override PartName="/xl/queryTables/queryTable62.xml" ContentType="application/vnd.openxmlformats-officedocument.spreadsheetml.queryTable+xml"/>
  <Override PartName="/xl/tables/table63.xml" ContentType="application/vnd.openxmlformats-officedocument.spreadsheetml.table+xml"/>
  <Override PartName="/xl/queryTables/queryTable63.xml" ContentType="application/vnd.openxmlformats-officedocument.spreadsheetml.queryTable+xml"/>
  <Override PartName="/xl/tables/table64.xml" ContentType="application/vnd.openxmlformats-officedocument.spreadsheetml.table+xml"/>
  <Override PartName="/xl/queryTables/queryTable64.xml" ContentType="application/vnd.openxmlformats-officedocument.spreadsheetml.queryTable+xml"/>
  <Override PartName="/xl/tables/table65.xml" ContentType="application/vnd.openxmlformats-officedocument.spreadsheetml.table+xml"/>
  <Override PartName="/xl/queryTables/queryTable65.xml" ContentType="application/vnd.openxmlformats-officedocument.spreadsheetml.queryTable+xml"/>
  <Override PartName="/xl/tables/table66.xml" ContentType="application/vnd.openxmlformats-officedocument.spreadsheetml.table+xml"/>
  <Override PartName="/xl/queryTables/queryTable66.xml" ContentType="application/vnd.openxmlformats-officedocument.spreadsheetml.queryTable+xml"/>
  <Override PartName="/xl/tables/table67.xml" ContentType="application/vnd.openxmlformats-officedocument.spreadsheetml.table+xml"/>
  <Override PartName="/xl/queryTables/queryTable67.xml" ContentType="application/vnd.openxmlformats-officedocument.spreadsheetml.queryTable+xml"/>
  <Override PartName="/xl/tables/table68.xml" ContentType="application/vnd.openxmlformats-officedocument.spreadsheetml.table+xml"/>
  <Override PartName="/xl/queryTables/queryTable68.xml" ContentType="application/vnd.openxmlformats-officedocument.spreadsheetml.queryTable+xml"/>
  <Override PartName="/xl/tables/table69.xml" ContentType="application/vnd.openxmlformats-officedocument.spreadsheetml.table+xml"/>
  <Override PartName="/xl/queryTables/queryTable69.xml" ContentType="application/vnd.openxmlformats-officedocument.spreadsheetml.queryTable+xml"/>
  <Override PartName="/xl/tables/table70.xml" ContentType="application/vnd.openxmlformats-officedocument.spreadsheetml.table+xml"/>
  <Override PartName="/xl/queryTables/queryTable70.xml" ContentType="application/vnd.openxmlformats-officedocument.spreadsheetml.queryTable+xml"/>
  <Override PartName="/xl/tables/table71.xml" ContentType="application/vnd.openxmlformats-officedocument.spreadsheetml.table+xml"/>
  <Override PartName="/xl/queryTables/queryTable71.xml" ContentType="application/vnd.openxmlformats-officedocument.spreadsheetml.queryTable+xml"/>
  <Override PartName="/xl/tables/table72.xml" ContentType="application/vnd.openxmlformats-officedocument.spreadsheetml.table+xml"/>
  <Override PartName="/xl/queryTables/queryTable72.xml" ContentType="application/vnd.openxmlformats-officedocument.spreadsheetml.queryTable+xml"/>
  <Override PartName="/xl/tables/table73.xml" ContentType="application/vnd.openxmlformats-officedocument.spreadsheetml.table+xml"/>
  <Override PartName="/xl/queryTables/queryTable73.xml" ContentType="application/vnd.openxmlformats-officedocument.spreadsheetml.queryTable+xml"/>
  <Override PartName="/xl/tables/table74.xml" ContentType="application/vnd.openxmlformats-officedocument.spreadsheetml.table+xml"/>
  <Override PartName="/xl/queryTables/queryTable74.xml" ContentType="application/vnd.openxmlformats-officedocument.spreadsheetml.queryTable+xml"/>
  <Override PartName="/xl/tables/table75.xml" ContentType="application/vnd.openxmlformats-officedocument.spreadsheetml.table+xml"/>
  <Override PartName="/xl/queryTables/queryTable75.xml" ContentType="application/vnd.openxmlformats-officedocument.spreadsheetml.queryTable+xml"/>
  <Override PartName="/xl/tables/table76.xml" ContentType="application/vnd.openxmlformats-officedocument.spreadsheetml.table+xml"/>
  <Override PartName="/xl/queryTables/queryTable76.xml" ContentType="application/vnd.openxmlformats-officedocument.spreadsheetml.queryTable+xml"/>
  <Override PartName="/xl/tables/table77.xml" ContentType="application/vnd.openxmlformats-officedocument.spreadsheetml.table+xml"/>
  <Override PartName="/xl/queryTables/queryTable77.xml" ContentType="application/vnd.openxmlformats-officedocument.spreadsheetml.queryTable+xml"/>
  <Override PartName="/xl/tables/table78.xml" ContentType="application/vnd.openxmlformats-officedocument.spreadsheetml.table+xml"/>
  <Override PartName="/xl/queryTables/queryTable78.xml" ContentType="application/vnd.openxmlformats-officedocument.spreadsheetml.queryTable+xml"/>
  <Override PartName="/xl/tables/table79.xml" ContentType="application/vnd.openxmlformats-officedocument.spreadsheetml.table+xml"/>
  <Override PartName="/xl/queryTables/queryTable79.xml" ContentType="application/vnd.openxmlformats-officedocument.spreadsheetml.queryTable+xml"/>
  <Override PartName="/xl/tables/table80.xml" ContentType="application/vnd.openxmlformats-officedocument.spreadsheetml.table+xml"/>
  <Override PartName="/xl/queryTables/queryTable80.xml" ContentType="application/vnd.openxmlformats-officedocument.spreadsheetml.queryTable+xml"/>
  <Override PartName="/xl/tables/table81.xml" ContentType="application/vnd.openxmlformats-officedocument.spreadsheetml.table+xml"/>
  <Override PartName="/xl/queryTables/queryTable81.xml" ContentType="application/vnd.openxmlformats-officedocument.spreadsheetml.queryTable+xml"/>
  <Override PartName="/xl/tables/table82.xml" ContentType="application/vnd.openxmlformats-officedocument.spreadsheetml.table+xml"/>
  <Override PartName="/xl/queryTables/queryTable82.xml" ContentType="application/vnd.openxmlformats-officedocument.spreadsheetml.queryTable+xml"/>
  <Override PartName="/xl/tables/table83.xml" ContentType="application/vnd.openxmlformats-officedocument.spreadsheetml.table+xml"/>
  <Override PartName="/xl/queryTables/queryTable83.xml" ContentType="application/vnd.openxmlformats-officedocument.spreadsheetml.queryTable+xml"/>
  <Override PartName="/xl/tables/table84.xml" ContentType="application/vnd.openxmlformats-officedocument.spreadsheetml.table+xml"/>
  <Override PartName="/xl/queryTables/queryTable84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85.xml" ContentType="application/vnd.openxmlformats-officedocument.spreadsheetml.table+xml"/>
  <Override PartName="/xl/queryTables/queryTable85.xml" ContentType="application/vnd.openxmlformats-officedocument.spreadsheetml.queryTable+xml"/>
  <Override PartName="/xl/tables/table86.xml" ContentType="application/vnd.openxmlformats-officedocument.spreadsheetml.table+xml"/>
  <Override PartName="/xl/queryTables/queryTable86.xml" ContentType="application/vnd.openxmlformats-officedocument.spreadsheetml.queryTable+xml"/>
  <Override PartName="/xl/tables/table87.xml" ContentType="application/vnd.openxmlformats-officedocument.spreadsheetml.table+xml"/>
  <Override PartName="/xl/queryTables/queryTable87.xml" ContentType="application/vnd.openxmlformats-officedocument.spreadsheetml.queryTable+xml"/>
  <Override PartName="/xl/tables/table88.xml" ContentType="application/vnd.openxmlformats-officedocument.spreadsheetml.table+xml"/>
  <Override PartName="/xl/queryTables/queryTable88.xml" ContentType="application/vnd.openxmlformats-officedocument.spreadsheetml.queryTable+xml"/>
  <Override PartName="/xl/tables/table89.xml" ContentType="application/vnd.openxmlformats-officedocument.spreadsheetml.table+xml"/>
  <Override PartName="/xl/queryTables/queryTable89.xml" ContentType="application/vnd.openxmlformats-officedocument.spreadsheetml.queryTable+xml"/>
  <Override PartName="/xl/tables/table90.xml" ContentType="application/vnd.openxmlformats-officedocument.spreadsheetml.table+xml"/>
  <Override PartName="/xl/queryTables/queryTable90.xml" ContentType="application/vnd.openxmlformats-officedocument.spreadsheetml.queryTable+xml"/>
  <Override PartName="/xl/tables/table91.xml" ContentType="application/vnd.openxmlformats-officedocument.spreadsheetml.table+xml"/>
  <Override PartName="/xl/queryTables/queryTable91.xml" ContentType="application/vnd.openxmlformats-officedocument.spreadsheetml.queryTable+xml"/>
  <Override PartName="/xl/tables/table92.xml" ContentType="application/vnd.openxmlformats-officedocument.spreadsheetml.table+xml"/>
  <Override PartName="/xl/queryTables/queryTable92.xml" ContentType="application/vnd.openxmlformats-officedocument.spreadsheetml.queryTable+xml"/>
  <Override PartName="/xl/tables/table93.xml" ContentType="application/vnd.openxmlformats-officedocument.spreadsheetml.table+xml"/>
  <Override PartName="/xl/queryTables/queryTable93.xml" ContentType="application/vnd.openxmlformats-officedocument.spreadsheetml.queryTable+xml"/>
  <Override PartName="/xl/tables/table94.xml" ContentType="application/vnd.openxmlformats-officedocument.spreadsheetml.table+xml"/>
  <Override PartName="/xl/queryTables/queryTable94.xml" ContentType="application/vnd.openxmlformats-officedocument.spreadsheetml.queryTable+xml"/>
  <Override PartName="/xl/tables/table95.xml" ContentType="application/vnd.openxmlformats-officedocument.spreadsheetml.table+xml"/>
  <Override PartName="/xl/queryTables/queryTable95.xml" ContentType="application/vnd.openxmlformats-officedocument.spreadsheetml.queryTable+xml"/>
  <Override PartName="/xl/tables/table96.xml" ContentType="application/vnd.openxmlformats-officedocument.spreadsheetml.table+xml"/>
  <Override PartName="/xl/queryTables/queryTable96.xml" ContentType="application/vnd.openxmlformats-officedocument.spreadsheetml.queryTable+xml"/>
  <Override PartName="/xl/tables/table97.xml" ContentType="application/vnd.openxmlformats-officedocument.spreadsheetml.table+xml"/>
  <Override PartName="/xl/queryTables/queryTable97.xml" ContentType="application/vnd.openxmlformats-officedocument.spreadsheetml.queryTable+xml"/>
  <Override PartName="/xl/tables/table98.xml" ContentType="application/vnd.openxmlformats-officedocument.spreadsheetml.table+xml"/>
  <Override PartName="/xl/queryTables/queryTable98.xml" ContentType="application/vnd.openxmlformats-officedocument.spreadsheetml.queryTable+xml"/>
  <Override PartName="/xl/tables/table99.xml" ContentType="application/vnd.openxmlformats-officedocument.spreadsheetml.table+xml"/>
  <Override PartName="/xl/queryTables/queryTable99.xml" ContentType="application/vnd.openxmlformats-officedocument.spreadsheetml.queryTable+xml"/>
  <Override PartName="/xl/tables/table100.xml" ContentType="application/vnd.openxmlformats-officedocument.spreadsheetml.table+xml"/>
  <Override PartName="/xl/queryTables/queryTable100.xml" ContentType="application/vnd.openxmlformats-officedocument.spreadsheetml.queryTable+xml"/>
  <Override PartName="/xl/tables/table101.xml" ContentType="application/vnd.openxmlformats-officedocument.spreadsheetml.table+xml"/>
  <Override PartName="/xl/queryTables/queryTable101.xml" ContentType="application/vnd.openxmlformats-officedocument.spreadsheetml.queryTable+xml"/>
  <Override PartName="/xl/tables/table102.xml" ContentType="application/vnd.openxmlformats-officedocument.spreadsheetml.table+xml"/>
  <Override PartName="/xl/queryTables/queryTable102.xml" ContentType="application/vnd.openxmlformats-officedocument.spreadsheetml.queryTable+xml"/>
  <Override PartName="/xl/tables/table103.xml" ContentType="application/vnd.openxmlformats-officedocument.spreadsheetml.table+xml"/>
  <Override PartName="/xl/queryTables/queryTable103.xml" ContentType="application/vnd.openxmlformats-officedocument.spreadsheetml.queryTable+xml"/>
  <Override PartName="/xl/tables/table104.xml" ContentType="application/vnd.openxmlformats-officedocument.spreadsheetml.table+xml"/>
  <Override PartName="/xl/queryTables/queryTable104.xml" ContentType="application/vnd.openxmlformats-officedocument.spreadsheetml.queryTable+xml"/>
  <Override PartName="/xl/tables/table105.xml" ContentType="application/vnd.openxmlformats-officedocument.spreadsheetml.table+xml"/>
  <Override PartName="/xl/queryTables/queryTable10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tables/table106.xml" ContentType="application/vnd.openxmlformats-officedocument.spreadsheetml.table+xml"/>
  <Override PartName="/xl/queryTables/queryTable106.xml" ContentType="application/vnd.openxmlformats-officedocument.spreadsheetml.queryTable+xml"/>
  <Override PartName="/xl/tables/table107.xml" ContentType="application/vnd.openxmlformats-officedocument.spreadsheetml.table+xml"/>
  <Override PartName="/xl/queryTables/queryTable107.xml" ContentType="application/vnd.openxmlformats-officedocument.spreadsheetml.queryTable+xml"/>
  <Override PartName="/xl/tables/table108.xml" ContentType="application/vnd.openxmlformats-officedocument.spreadsheetml.table+xml"/>
  <Override PartName="/xl/queryTables/queryTable108.xml" ContentType="application/vnd.openxmlformats-officedocument.spreadsheetml.queryTable+xml"/>
  <Override PartName="/xl/tables/table109.xml" ContentType="application/vnd.openxmlformats-officedocument.spreadsheetml.table+xml"/>
  <Override PartName="/xl/queryTables/queryTable109.xml" ContentType="application/vnd.openxmlformats-officedocument.spreadsheetml.queryTable+xml"/>
  <Override PartName="/xl/tables/table110.xml" ContentType="application/vnd.openxmlformats-officedocument.spreadsheetml.table+xml"/>
  <Override PartName="/xl/queryTables/queryTable110.xml" ContentType="application/vnd.openxmlformats-officedocument.spreadsheetml.queryTable+xml"/>
  <Override PartName="/xl/tables/table111.xml" ContentType="application/vnd.openxmlformats-officedocument.spreadsheetml.table+xml"/>
  <Override PartName="/xl/queryTables/queryTable111.xml" ContentType="application/vnd.openxmlformats-officedocument.spreadsheetml.queryTable+xml"/>
  <Override PartName="/xl/tables/table112.xml" ContentType="application/vnd.openxmlformats-officedocument.spreadsheetml.table+xml"/>
  <Override PartName="/xl/queryTables/queryTable112.xml" ContentType="application/vnd.openxmlformats-officedocument.spreadsheetml.queryTable+xml"/>
  <Override PartName="/xl/tables/table113.xml" ContentType="application/vnd.openxmlformats-officedocument.spreadsheetml.table+xml"/>
  <Override PartName="/xl/queryTables/queryTable113.xml" ContentType="application/vnd.openxmlformats-officedocument.spreadsheetml.queryTable+xml"/>
  <Override PartName="/xl/tables/table114.xml" ContentType="application/vnd.openxmlformats-officedocument.spreadsheetml.table+xml"/>
  <Override PartName="/xl/queryTables/queryTable114.xml" ContentType="application/vnd.openxmlformats-officedocument.spreadsheetml.queryTable+xml"/>
  <Override PartName="/xl/tables/table115.xml" ContentType="application/vnd.openxmlformats-officedocument.spreadsheetml.table+xml"/>
  <Override PartName="/xl/queryTables/queryTable115.xml" ContentType="application/vnd.openxmlformats-officedocument.spreadsheetml.queryTable+xml"/>
  <Override PartName="/xl/tables/table116.xml" ContentType="application/vnd.openxmlformats-officedocument.spreadsheetml.table+xml"/>
  <Override PartName="/xl/queryTables/queryTable116.xml" ContentType="application/vnd.openxmlformats-officedocument.spreadsheetml.queryTable+xml"/>
  <Override PartName="/xl/tables/table117.xml" ContentType="application/vnd.openxmlformats-officedocument.spreadsheetml.table+xml"/>
  <Override PartName="/xl/queryTables/queryTable117.xml" ContentType="application/vnd.openxmlformats-officedocument.spreadsheetml.queryTable+xml"/>
  <Override PartName="/xl/tables/table118.xml" ContentType="application/vnd.openxmlformats-officedocument.spreadsheetml.table+xml"/>
  <Override PartName="/xl/queryTables/queryTable118.xml" ContentType="application/vnd.openxmlformats-officedocument.spreadsheetml.queryTable+xml"/>
  <Override PartName="/xl/tables/table119.xml" ContentType="application/vnd.openxmlformats-officedocument.spreadsheetml.table+xml"/>
  <Override PartName="/xl/queryTables/queryTable119.xml" ContentType="application/vnd.openxmlformats-officedocument.spreadsheetml.queryTable+xml"/>
  <Override PartName="/xl/tables/table120.xml" ContentType="application/vnd.openxmlformats-officedocument.spreadsheetml.table+xml"/>
  <Override PartName="/xl/queryTables/queryTable120.xml" ContentType="application/vnd.openxmlformats-officedocument.spreadsheetml.queryTable+xml"/>
  <Override PartName="/xl/tables/table121.xml" ContentType="application/vnd.openxmlformats-officedocument.spreadsheetml.table+xml"/>
  <Override PartName="/xl/queryTables/queryTable121.xml" ContentType="application/vnd.openxmlformats-officedocument.spreadsheetml.queryTable+xml"/>
  <Override PartName="/xl/tables/table122.xml" ContentType="application/vnd.openxmlformats-officedocument.spreadsheetml.table+xml"/>
  <Override PartName="/xl/queryTables/queryTable122.xml" ContentType="application/vnd.openxmlformats-officedocument.spreadsheetml.queryTable+xml"/>
  <Override PartName="/xl/tables/table123.xml" ContentType="application/vnd.openxmlformats-officedocument.spreadsheetml.table+xml"/>
  <Override PartName="/xl/queryTables/queryTable123.xml" ContentType="application/vnd.openxmlformats-officedocument.spreadsheetml.queryTable+xml"/>
  <Override PartName="/xl/tables/table124.xml" ContentType="application/vnd.openxmlformats-officedocument.spreadsheetml.table+xml"/>
  <Override PartName="/xl/queryTables/queryTable124.xml" ContentType="application/vnd.openxmlformats-officedocument.spreadsheetml.queryTable+xml"/>
  <Override PartName="/xl/tables/table125.xml" ContentType="application/vnd.openxmlformats-officedocument.spreadsheetml.table+xml"/>
  <Override PartName="/xl/queryTables/queryTable125.xml" ContentType="application/vnd.openxmlformats-officedocument.spreadsheetml.queryTable+xml"/>
  <Override PartName="/xl/tables/table126.xml" ContentType="application/vnd.openxmlformats-officedocument.spreadsheetml.table+xml"/>
  <Override PartName="/xl/queryTables/queryTable126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eunigaerospace.sharepoint.com/sites/LongBeamFacility/Freigegebene Dokumente/Metrology System/Work documentation/"/>
    </mc:Choice>
  </mc:AlternateContent>
  <xr:revisionPtr revIDLastSave="2371" documentId="8_{48192371-2E78-46CE-9773-A946CE644DCE}" xr6:coauthVersionLast="46" xr6:coauthVersionMax="46" xr10:uidLastSave="{932AE073-EABB-4C72-B0A7-A7BDB128B5C4}"/>
  <bookViews>
    <workbookView xWindow="-120" yWindow="-120" windowWidth="29040" windowHeight="17640" activeTab="1" xr2:uid="{E327A006-B045-40EA-9F7B-DCD577EB8D2F}"/>
  </bookViews>
  <sheets>
    <sheet name="World Cartesian" sheetId="1" r:id="rId1"/>
    <sheet name="World Spherical (theory)" sheetId="2" r:id="rId2"/>
    <sheet name="World Spherical (SA)" sheetId="6" r:id="rId3"/>
    <sheet name="Without window" sheetId="3" r:id="rId4"/>
    <sheet name="Refrence without window" sheetId="4" r:id="rId5"/>
  </sheets>
  <definedNames>
    <definedName name="ExternalData_1" localSheetId="4" hidden="1">'Refrence without window'!$B$3:$E$7</definedName>
    <definedName name="ExternalData_1" localSheetId="3" hidden="1">'Without window'!$B$3:$E$7</definedName>
    <definedName name="ExternalData_1" localSheetId="0" hidden="1">'World Cartesian'!$B$3:$E$7</definedName>
    <definedName name="ExternalData_1" localSheetId="2" hidden="1">'World Spherical (SA)'!$B$3:$E$7</definedName>
    <definedName name="ExternalData_1" localSheetId="1" hidden="1">'World Spherical (theory)'!$B$3:$E$7</definedName>
    <definedName name="ExternalData_10" localSheetId="4" hidden="1">'Refrence without window'!$G$15:$J$19</definedName>
    <definedName name="ExternalData_10" localSheetId="3" hidden="1">'Without window'!$G$15:$J$19</definedName>
    <definedName name="ExternalData_10" localSheetId="0" hidden="1">'World Cartesian'!$G$17:$J$21</definedName>
    <definedName name="ExternalData_10" localSheetId="2" hidden="1">'World Spherical (SA)'!$G$17:$J$21</definedName>
    <definedName name="ExternalData_10" localSheetId="1" hidden="1">'World Spherical (theory)'!$L$17:$O$21</definedName>
    <definedName name="ExternalData_11" localSheetId="4" hidden="1">'Refrence without window'!$G$21:$J$25</definedName>
    <definedName name="ExternalData_11" localSheetId="3" hidden="1">'Without window'!$G$21:$J$25</definedName>
    <definedName name="ExternalData_11" localSheetId="0" hidden="1">'World Cartesian'!$G$24:$J$28</definedName>
    <definedName name="ExternalData_11" localSheetId="2" hidden="1">'World Spherical (SA)'!$G$24:$J$28</definedName>
    <definedName name="ExternalData_11" localSheetId="1" hidden="1">'World Spherical (theory)'!$L$24:$O$28</definedName>
    <definedName name="ExternalData_12" localSheetId="4" hidden="1">'Refrence without window'!$G$27:$J$31</definedName>
    <definedName name="ExternalData_12" localSheetId="3" hidden="1">'Without window'!$G$27:$J$31</definedName>
    <definedName name="ExternalData_12" localSheetId="0" hidden="1">'World Cartesian'!$G$31:$J$35</definedName>
    <definedName name="ExternalData_12" localSheetId="2" hidden="1">'World Spherical (SA)'!$G$31:$J$35</definedName>
    <definedName name="ExternalData_12" localSheetId="1" hidden="1">'World Spherical (theory)'!$L$31:$O$35</definedName>
    <definedName name="ExternalData_13" localSheetId="4" hidden="1">'Refrence without window'!$G$33:$J$37</definedName>
    <definedName name="ExternalData_13" localSheetId="3" hidden="1">'Without window'!$G$33:$J$37</definedName>
    <definedName name="ExternalData_13" localSheetId="0" hidden="1">'World Cartesian'!$G$38:$J$42</definedName>
    <definedName name="ExternalData_13" localSheetId="2" hidden="1">'World Spherical (SA)'!$G$38:$J$42</definedName>
    <definedName name="ExternalData_13" localSheetId="1" hidden="1">'World Spherical (theory)'!$L$38:$O$42</definedName>
    <definedName name="ExternalData_14" localSheetId="4" hidden="1">'Refrence without window'!$G$39:$J$43</definedName>
    <definedName name="ExternalData_14" localSheetId="3" hidden="1">'Without window'!$G$39:$J$43</definedName>
    <definedName name="ExternalData_14" localSheetId="0" hidden="1">'World Cartesian'!$G$45:$J$49</definedName>
    <definedName name="ExternalData_14" localSheetId="2" hidden="1">'World Spherical (SA)'!$G$45:$J$49</definedName>
    <definedName name="ExternalData_14" localSheetId="1" hidden="1">'World Spherical (theory)'!$L$45:$O$49</definedName>
    <definedName name="ExternalData_15" localSheetId="4" hidden="1">'Refrence without window'!$L$3:$O$7</definedName>
    <definedName name="ExternalData_15" localSheetId="3" hidden="1">'Without window'!$L$3:$O$7</definedName>
    <definedName name="ExternalData_15" localSheetId="0" hidden="1">'World Cartesian'!$L$3:$O$7</definedName>
    <definedName name="ExternalData_15" localSheetId="2" hidden="1">'World Spherical (SA)'!$L$3:$O$7</definedName>
    <definedName name="ExternalData_15" localSheetId="1" hidden="1">'World Spherical (theory)'!$V$3:$Y$7</definedName>
    <definedName name="ExternalData_16" localSheetId="4" hidden="1">'Refrence without window'!$L$9:$O$13</definedName>
    <definedName name="ExternalData_16" localSheetId="3" hidden="1">'Without window'!$L$9:$O$13</definedName>
    <definedName name="ExternalData_16" localSheetId="0" hidden="1">'World Cartesian'!$L$10:$O$14</definedName>
    <definedName name="ExternalData_16" localSheetId="2" hidden="1">'World Spherical (SA)'!$L$10:$O$14</definedName>
    <definedName name="ExternalData_16" localSheetId="1" hidden="1">'World Spherical (theory)'!$V$10:$Y$14</definedName>
    <definedName name="ExternalData_17" localSheetId="4" hidden="1">'Refrence without window'!$L$15:$O$19</definedName>
    <definedName name="ExternalData_17" localSheetId="3" hidden="1">'Without window'!$L$15:$O$19</definedName>
    <definedName name="ExternalData_17" localSheetId="0" hidden="1">'World Cartesian'!$L$17:$O$21</definedName>
    <definedName name="ExternalData_17" localSheetId="2" hidden="1">'World Spherical (SA)'!$L$17:$O$21</definedName>
    <definedName name="ExternalData_17" localSheetId="1" hidden="1">'World Spherical (theory)'!$V$17:$Y$21</definedName>
    <definedName name="ExternalData_18" localSheetId="4" hidden="1">'Refrence without window'!$L$21:$O$25</definedName>
    <definedName name="ExternalData_18" localSheetId="3" hidden="1">'Without window'!$L$21:$O$25</definedName>
    <definedName name="ExternalData_18" localSheetId="0" hidden="1">'World Cartesian'!$L$24:$O$28</definedName>
    <definedName name="ExternalData_18" localSheetId="2" hidden="1">'World Spherical (SA)'!$L$24:$O$28</definedName>
    <definedName name="ExternalData_18" localSheetId="1" hidden="1">'World Spherical (theory)'!$V$24:$Y$28</definedName>
    <definedName name="ExternalData_19" localSheetId="4" hidden="1">'Refrence without window'!$L$27:$O$31</definedName>
    <definedName name="ExternalData_19" localSheetId="3" hidden="1">'Without window'!$L$27:$O$31</definedName>
    <definedName name="ExternalData_19" localSheetId="0" hidden="1">'World Cartesian'!$L$31:$O$35</definedName>
    <definedName name="ExternalData_19" localSheetId="2" hidden="1">'World Spherical (SA)'!$L$31:$O$35</definedName>
    <definedName name="ExternalData_19" localSheetId="1" hidden="1">'World Spherical (theory)'!$V$31:$Y$35</definedName>
    <definedName name="ExternalData_2" localSheetId="4" hidden="1">'Refrence without window'!$B$9:$E$13</definedName>
    <definedName name="ExternalData_2" localSheetId="3" hidden="1">'Without window'!$B$9:$E$13</definedName>
    <definedName name="ExternalData_2" localSheetId="0" hidden="1">'World Cartesian'!$B$10:$E$14</definedName>
    <definedName name="ExternalData_2" localSheetId="2" hidden="1">'World Spherical (SA)'!$B$10:$E$14</definedName>
    <definedName name="ExternalData_2" localSheetId="1" hidden="1">'World Spherical (theory)'!$B$10:$E$14</definedName>
    <definedName name="ExternalData_20" localSheetId="4" hidden="1">'Refrence without window'!$L$33:$O$37</definedName>
    <definedName name="ExternalData_20" localSheetId="3" hidden="1">'Without window'!$L$33:$O$37</definedName>
    <definedName name="ExternalData_20" localSheetId="0" hidden="1">'World Cartesian'!$L$38:$O$42</definedName>
    <definedName name="ExternalData_20" localSheetId="2" hidden="1">'World Spherical (SA)'!$L$38:$O$42</definedName>
    <definedName name="ExternalData_20" localSheetId="1" hidden="1">'World Spherical (theory)'!$V$38:$Y$42</definedName>
    <definedName name="ExternalData_21" localSheetId="4" hidden="1">'Refrence without window'!$L$39:$O$43</definedName>
    <definedName name="ExternalData_21" localSheetId="3" hidden="1">'Without window'!$L$39:$O$43</definedName>
    <definedName name="ExternalData_21" localSheetId="0" hidden="1">'World Cartesian'!$L$45:$O$49</definedName>
    <definedName name="ExternalData_21" localSheetId="2" hidden="1">'World Spherical (SA)'!$L$45:$O$49</definedName>
    <definedName name="ExternalData_21" localSheetId="1" hidden="1">'World Spherical (theory)'!$V$45:$Y$49</definedName>
    <definedName name="ExternalData_22" localSheetId="2" hidden="1">'World Spherical (SA)'!$Q$3:$T$7</definedName>
    <definedName name="ExternalData_22" localSheetId="1" hidden="1">'World Spherical (theory)'!$G$3:$J$7</definedName>
    <definedName name="ExternalData_23" localSheetId="2" hidden="1">'World Spherical (SA)'!$Q$10:$T$14</definedName>
    <definedName name="ExternalData_23" localSheetId="1" hidden="1">'World Spherical (theory)'!$G$10:$J$14</definedName>
    <definedName name="ExternalData_24" localSheetId="2" hidden="1">'World Spherical (SA)'!$Q$17:$T$21</definedName>
    <definedName name="ExternalData_24" localSheetId="1" hidden="1">'World Spherical (theory)'!$G$17:$J$21</definedName>
    <definedName name="ExternalData_25" localSheetId="2" hidden="1">'World Spherical (SA)'!$Q$24:$T$28</definedName>
    <definedName name="ExternalData_25" localSheetId="1" hidden="1">'World Spherical (theory)'!$G$24:$J$28</definedName>
    <definedName name="ExternalData_26" localSheetId="2" hidden="1">'World Spherical (SA)'!$Q$31:$T$35</definedName>
    <definedName name="ExternalData_26" localSheetId="1" hidden="1">'World Spherical (theory)'!$G$31:$J$35</definedName>
    <definedName name="ExternalData_27" localSheetId="2" hidden="1">'World Spherical (SA)'!$Q$38:$T$42</definedName>
    <definedName name="ExternalData_27" localSheetId="1" hidden="1">'World Spherical (theory)'!$G$38:$J$42</definedName>
    <definedName name="ExternalData_28" localSheetId="2" hidden="1">'World Spherical (SA)'!$Q$45:$T$49</definedName>
    <definedName name="ExternalData_28" localSheetId="1" hidden="1">'World Spherical (theory)'!$G$45:$J$49</definedName>
    <definedName name="ExternalData_29" localSheetId="1" hidden="1">'World Spherical (theory)'!$Q$3:$T$7</definedName>
    <definedName name="ExternalData_3" localSheetId="4" hidden="1">'Refrence without window'!$B$15:$E$19</definedName>
    <definedName name="ExternalData_3" localSheetId="3" hidden="1">'Without window'!$B$15:$E$19</definedName>
    <definedName name="ExternalData_3" localSheetId="0" hidden="1">'World Cartesian'!$B$17:$E$21</definedName>
    <definedName name="ExternalData_3" localSheetId="2" hidden="1">'World Spherical (SA)'!$B$17:$E$21</definedName>
    <definedName name="ExternalData_3" localSheetId="1" hidden="1">'World Spherical (theory)'!$B$17:$E$21</definedName>
    <definedName name="ExternalData_30" localSheetId="1" hidden="1">'World Spherical (theory)'!$Q$10:$T$14</definedName>
    <definedName name="ExternalData_31" localSheetId="1" hidden="1">'World Spherical (theory)'!$Q$17:$T$21</definedName>
    <definedName name="ExternalData_32" localSheetId="1" hidden="1">'World Spherical (theory)'!$Q$24:$T$28</definedName>
    <definedName name="ExternalData_33" localSheetId="1" hidden="1">'World Spherical (theory)'!$Q$31:$T$35</definedName>
    <definedName name="ExternalData_34" localSheetId="1" hidden="1">'World Spherical (theory)'!$Q$38:$T$42</definedName>
    <definedName name="ExternalData_35" localSheetId="1" hidden="1">'World Spherical (theory)'!$Q$45:$T$49</definedName>
    <definedName name="ExternalData_4" localSheetId="4" hidden="1">'Refrence without window'!$B$21:$E$25</definedName>
    <definedName name="ExternalData_4" localSheetId="3" hidden="1">'Without window'!$B$21:$E$25</definedName>
    <definedName name="ExternalData_4" localSheetId="0" hidden="1">'World Cartesian'!$B$24:$E$28</definedName>
    <definedName name="ExternalData_4" localSheetId="2" hidden="1">'World Spherical (SA)'!$B$24:$E$28</definedName>
    <definedName name="ExternalData_4" localSheetId="1" hidden="1">'World Spherical (theory)'!$B$24:$E$28</definedName>
    <definedName name="ExternalData_5" localSheetId="4" hidden="1">'Refrence without window'!$B$27:$E$31</definedName>
    <definedName name="ExternalData_5" localSheetId="3" hidden="1">'Without window'!$B$27:$E$31</definedName>
    <definedName name="ExternalData_5" localSheetId="0" hidden="1">'World Cartesian'!$B$31:$E$35</definedName>
    <definedName name="ExternalData_5" localSheetId="2" hidden="1">'World Spherical (SA)'!$B$31:$E$35</definedName>
    <definedName name="ExternalData_5" localSheetId="1" hidden="1">'World Spherical (theory)'!$B$31:$E$35</definedName>
    <definedName name="ExternalData_6" localSheetId="4" hidden="1">'Refrence without window'!$B$33:$E$37</definedName>
    <definedName name="ExternalData_6" localSheetId="3" hidden="1">'Without window'!$B$33:$E$37</definedName>
    <definedName name="ExternalData_6" localSheetId="0" hidden="1">'World Cartesian'!$B$38:$E$42</definedName>
    <definedName name="ExternalData_6" localSheetId="2" hidden="1">'World Spherical (SA)'!$B$38:$E$42</definedName>
    <definedName name="ExternalData_6" localSheetId="1" hidden="1">'World Spherical (theory)'!$B$38:$E$42</definedName>
    <definedName name="ExternalData_7" localSheetId="4" hidden="1">'Refrence without window'!$B$39:$E$43</definedName>
    <definedName name="ExternalData_7" localSheetId="3" hidden="1">'Without window'!$B$39:$E$43</definedName>
    <definedName name="ExternalData_7" localSheetId="0" hidden="1">'World Cartesian'!$B$45:$E$49</definedName>
    <definedName name="ExternalData_7" localSheetId="2" hidden="1">'World Spherical (SA)'!$B$45:$E$49</definedName>
    <definedName name="ExternalData_7" localSheetId="1" hidden="1">'World Spherical (theory)'!$B$45:$E$49</definedName>
    <definedName name="ExternalData_8" localSheetId="4" hidden="1">'Refrence without window'!$G$3:$J$7</definedName>
    <definedName name="ExternalData_8" localSheetId="3" hidden="1">'Without window'!$G$3:$J$7</definedName>
    <definedName name="ExternalData_8" localSheetId="0" hidden="1">'World Cartesian'!$G$3:$J$7</definedName>
    <definedName name="ExternalData_8" localSheetId="2" hidden="1">'World Spherical (SA)'!$G$3:$J$7</definedName>
    <definedName name="ExternalData_8" localSheetId="1" hidden="1">'World Spherical (theory)'!$L$3:$O$7</definedName>
    <definedName name="ExternalData_9" localSheetId="4" hidden="1">'Refrence without window'!$G$9:$J$13</definedName>
    <definedName name="ExternalData_9" localSheetId="3" hidden="1">'Without window'!$G$9:$J$13</definedName>
    <definedName name="ExternalData_9" localSheetId="0" hidden="1">'World Cartesian'!$G$10:$J$14</definedName>
    <definedName name="ExternalData_9" localSheetId="2" hidden="1">'World Spherical (SA)'!$G$10:$J$14</definedName>
    <definedName name="ExternalData_9" localSheetId="1" hidden="1">'World Spherical (theory)'!$L$10:$O$14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51" i="2" l="1"/>
  <c r="AU5" i="2"/>
  <c r="AU6" i="2"/>
  <c r="AU7" i="2"/>
  <c r="AU11" i="2"/>
  <c r="AU12" i="2"/>
  <c r="AU13" i="2"/>
  <c r="AU14" i="2"/>
  <c r="AU18" i="2"/>
  <c r="AU19" i="2"/>
  <c r="AU20" i="2"/>
  <c r="AU21" i="2"/>
  <c r="AU25" i="2"/>
  <c r="AU26" i="2"/>
  <c r="AU27" i="2"/>
  <c r="AU28" i="2"/>
  <c r="AU32" i="2"/>
  <c r="AU33" i="2"/>
  <c r="AU34" i="2"/>
  <c r="AU35" i="2"/>
  <c r="AU39" i="2"/>
  <c r="AU40" i="2"/>
  <c r="AU41" i="2"/>
  <c r="AU42" i="2"/>
  <c r="AU46" i="2"/>
  <c r="AU47" i="2"/>
  <c r="AU48" i="2"/>
  <c r="AU49" i="2"/>
  <c r="AU4" i="2"/>
  <c r="AM51" i="2"/>
  <c r="AI52" i="2"/>
  <c r="AQ47" i="2"/>
  <c r="AQ48" i="2"/>
  <c r="AQ49" i="2"/>
  <c r="AQ46" i="2"/>
  <c r="AI50" i="2"/>
  <c r="AQ40" i="2"/>
  <c r="AQ41" i="2"/>
  <c r="AQ42" i="2"/>
  <c r="AQ39" i="2"/>
  <c r="AI43" i="2"/>
  <c r="AQ33" i="2"/>
  <c r="AQ34" i="2"/>
  <c r="AQ35" i="2"/>
  <c r="AQ32" i="2"/>
  <c r="AI36" i="2"/>
  <c r="AQ26" i="2"/>
  <c r="AQ27" i="2"/>
  <c r="AQ28" i="2"/>
  <c r="AQ25" i="2"/>
  <c r="AI29" i="2"/>
  <c r="AQ19" i="2"/>
  <c r="AQ20" i="2"/>
  <c r="AQ21" i="2"/>
  <c r="AQ18" i="2"/>
  <c r="AI22" i="2"/>
  <c r="AQ12" i="2"/>
  <c r="AQ13" i="2"/>
  <c r="AQ14" i="2"/>
  <c r="AQ11" i="2"/>
  <c r="AI15" i="2"/>
  <c r="AQ7" i="2"/>
  <c r="AQ6" i="2"/>
  <c r="AQ5" i="2"/>
  <c r="AQ4" i="2"/>
  <c r="AI8" i="2"/>
  <c r="AD51" i="6"/>
  <c r="AD47" i="6"/>
  <c r="AD48" i="6"/>
  <c r="AD49" i="6"/>
  <c r="AD46" i="6"/>
  <c r="AD40" i="6"/>
  <c r="AD41" i="6"/>
  <c r="AD42" i="6"/>
  <c r="AD39" i="6"/>
  <c r="AD33" i="6"/>
  <c r="AD34" i="6"/>
  <c r="AD35" i="6"/>
  <c r="AD32" i="6"/>
  <c r="AD26" i="6"/>
  <c r="AD27" i="6"/>
  <c r="AD28" i="6"/>
  <c r="AD25" i="6"/>
  <c r="AD19" i="6"/>
  <c r="AD20" i="6"/>
  <c r="AD21" i="6"/>
  <c r="AD18" i="6"/>
  <c r="AD12" i="6"/>
  <c r="AD13" i="6"/>
  <c r="AD14" i="6"/>
  <c r="AD11" i="6"/>
  <c r="AD5" i="6"/>
  <c r="AD6" i="6"/>
  <c r="AD7" i="6"/>
  <c r="AD4" i="6"/>
  <c r="AA47" i="6"/>
  <c r="AB47" i="6"/>
  <c r="AA48" i="6"/>
  <c r="AB48" i="6"/>
  <c r="AA49" i="6"/>
  <c r="AB49" i="6"/>
  <c r="AB46" i="6"/>
  <c r="AA46" i="6"/>
  <c r="Z47" i="6"/>
  <c r="Z48" i="6"/>
  <c r="Z49" i="6"/>
  <c r="Z46" i="6"/>
  <c r="AA40" i="6"/>
  <c r="AB40" i="6"/>
  <c r="AA41" i="6"/>
  <c r="AB41" i="6"/>
  <c r="AA42" i="6"/>
  <c r="AB42" i="6"/>
  <c r="AB39" i="6"/>
  <c r="AA39" i="6"/>
  <c r="Z40" i="6"/>
  <c r="Z41" i="6"/>
  <c r="Z42" i="6"/>
  <c r="Z39" i="6"/>
  <c r="AA33" i="6"/>
  <c r="AB33" i="6"/>
  <c r="AA34" i="6"/>
  <c r="AB34" i="6"/>
  <c r="AA35" i="6"/>
  <c r="AB35" i="6"/>
  <c r="AB32" i="6"/>
  <c r="AA32" i="6"/>
  <c r="Z33" i="6"/>
  <c r="Z34" i="6"/>
  <c r="Z35" i="6"/>
  <c r="Z32" i="6"/>
  <c r="AA26" i="6"/>
  <c r="AB26" i="6"/>
  <c r="AA27" i="6"/>
  <c r="AB27" i="6"/>
  <c r="AA28" i="6"/>
  <c r="AB28" i="6"/>
  <c r="AB25" i="6"/>
  <c r="AA25" i="6"/>
  <c r="Z26" i="6"/>
  <c r="Z27" i="6"/>
  <c r="Z28" i="6"/>
  <c r="Z25" i="6"/>
  <c r="AA19" i="6"/>
  <c r="AB19" i="6"/>
  <c r="AA20" i="6"/>
  <c r="AB20" i="6"/>
  <c r="AA21" i="6"/>
  <c r="AB21" i="6"/>
  <c r="AB18" i="6"/>
  <c r="AA18" i="6"/>
  <c r="Z19" i="6"/>
  <c r="Z20" i="6"/>
  <c r="Z21" i="6"/>
  <c r="Z18" i="6"/>
  <c r="AA12" i="6"/>
  <c r="AB12" i="6"/>
  <c r="AA13" i="6"/>
  <c r="AB13" i="6"/>
  <c r="AA14" i="6"/>
  <c r="AB14" i="6"/>
  <c r="AB11" i="6"/>
  <c r="AA11" i="6"/>
  <c r="Z12" i="6"/>
  <c r="Z13" i="6"/>
  <c r="Z14" i="6"/>
  <c r="Z11" i="6"/>
  <c r="AA5" i="6"/>
  <c r="AB5" i="6"/>
  <c r="AA6" i="6"/>
  <c r="AB6" i="6"/>
  <c r="AA7" i="6"/>
  <c r="AB7" i="6"/>
  <c r="AB4" i="6"/>
  <c r="AA4" i="6"/>
  <c r="Z5" i="6"/>
  <c r="Z6" i="6"/>
  <c r="Z7" i="6"/>
  <c r="Z4" i="6"/>
  <c r="W47" i="6"/>
  <c r="X47" i="6"/>
  <c r="W48" i="6"/>
  <c r="X48" i="6"/>
  <c r="W49" i="6"/>
  <c r="X49" i="6"/>
  <c r="X46" i="6"/>
  <c r="W46" i="6"/>
  <c r="V47" i="6"/>
  <c r="V48" i="6"/>
  <c r="V49" i="6"/>
  <c r="V46" i="6"/>
  <c r="W40" i="6"/>
  <c r="X40" i="6"/>
  <c r="W41" i="6"/>
  <c r="X41" i="6"/>
  <c r="W42" i="6"/>
  <c r="X42" i="6"/>
  <c r="X39" i="6"/>
  <c r="W39" i="6"/>
  <c r="V40" i="6"/>
  <c r="V41" i="6"/>
  <c r="V42" i="6"/>
  <c r="V39" i="6"/>
  <c r="W33" i="6"/>
  <c r="X33" i="6"/>
  <c r="W34" i="6"/>
  <c r="X34" i="6"/>
  <c r="W35" i="6"/>
  <c r="X35" i="6"/>
  <c r="X32" i="6"/>
  <c r="W32" i="6"/>
  <c r="V33" i="6"/>
  <c r="V34" i="6"/>
  <c r="V35" i="6"/>
  <c r="V32" i="6"/>
  <c r="W26" i="6"/>
  <c r="X26" i="6"/>
  <c r="W27" i="6"/>
  <c r="X27" i="6"/>
  <c r="W28" i="6"/>
  <c r="X28" i="6"/>
  <c r="X25" i="6"/>
  <c r="W25" i="6"/>
  <c r="V26" i="6"/>
  <c r="V27" i="6"/>
  <c r="V28" i="6"/>
  <c r="V25" i="6"/>
  <c r="W19" i="6"/>
  <c r="X19" i="6"/>
  <c r="W20" i="6"/>
  <c r="X20" i="6"/>
  <c r="W21" i="6"/>
  <c r="X21" i="6"/>
  <c r="X18" i="6"/>
  <c r="W18" i="6"/>
  <c r="V19" i="6"/>
  <c r="V20" i="6"/>
  <c r="V21" i="6"/>
  <c r="V18" i="6"/>
  <c r="W12" i="6"/>
  <c r="X12" i="6"/>
  <c r="W13" i="6"/>
  <c r="X13" i="6"/>
  <c r="W14" i="6"/>
  <c r="X14" i="6"/>
  <c r="X11" i="6"/>
  <c r="W11" i="6"/>
  <c r="V12" i="6"/>
  <c r="V13" i="6"/>
  <c r="V14" i="6"/>
  <c r="V11" i="6"/>
  <c r="W5" i="6"/>
  <c r="X5" i="6"/>
  <c r="W6" i="6"/>
  <c r="X6" i="6"/>
  <c r="W7" i="6"/>
  <c r="X7" i="6"/>
  <c r="X4" i="6"/>
  <c r="W4" i="6"/>
  <c r="V5" i="6"/>
  <c r="V6" i="6"/>
  <c r="V7" i="6"/>
  <c r="V4" i="6"/>
  <c r="G55" i="2"/>
  <c r="E55" i="2"/>
  <c r="C55" i="2"/>
  <c r="AJ47" i="2"/>
  <c r="AK47" i="2"/>
  <c r="AJ48" i="2"/>
  <c r="AK48" i="2"/>
  <c r="AJ49" i="2"/>
  <c r="AK49" i="2"/>
  <c r="AK46" i="2"/>
  <c r="AJ46" i="2"/>
  <c r="AI47" i="2"/>
  <c r="AI48" i="2"/>
  <c r="AI49" i="2"/>
  <c r="AI46" i="2"/>
  <c r="AJ40" i="2"/>
  <c r="AK40" i="2"/>
  <c r="AJ41" i="2"/>
  <c r="AK41" i="2"/>
  <c r="AJ42" i="2"/>
  <c r="AK42" i="2"/>
  <c r="AK39" i="2"/>
  <c r="AJ39" i="2"/>
  <c r="AI40" i="2"/>
  <c r="AI41" i="2"/>
  <c r="AI42" i="2"/>
  <c r="AI39" i="2"/>
  <c r="AJ33" i="2"/>
  <c r="AK33" i="2"/>
  <c r="AJ34" i="2"/>
  <c r="AK34" i="2"/>
  <c r="AJ35" i="2"/>
  <c r="AK35" i="2"/>
  <c r="AK32" i="2"/>
  <c r="AJ32" i="2"/>
  <c r="AI33" i="2"/>
  <c r="AI34" i="2"/>
  <c r="AI35" i="2"/>
  <c r="AI32" i="2"/>
  <c r="AJ26" i="2"/>
  <c r="AK26" i="2"/>
  <c r="AJ27" i="2"/>
  <c r="AK27" i="2"/>
  <c r="AJ28" i="2"/>
  <c r="AK28" i="2"/>
  <c r="AK25" i="2"/>
  <c r="AJ25" i="2"/>
  <c r="AI26" i="2"/>
  <c r="AI27" i="2"/>
  <c r="AI28" i="2"/>
  <c r="AI25" i="2"/>
  <c r="AJ19" i="2"/>
  <c r="AK19" i="2"/>
  <c r="AJ20" i="2"/>
  <c r="AK20" i="2"/>
  <c r="AJ21" i="2"/>
  <c r="AK21" i="2"/>
  <c r="AK18" i="2"/>
  <c r="AJ18" i="2"/>
  <c r="AI19" i="2"/>
  <c r="AI20" i="2"/>
  <c r="AI21" i="2"/>
  <c r="AI18" i="2"/>
  <c r="AJ12" i="2"/>
  <c r="AK12" i="2"/>
  <c r="AJ13" i="2"/>
  <c r="AK13" i="2"/>
  <c r="AJ14" i="2"/>
  <c r="AK14" i="2"/>
  <c r="AK11" i="2"/>
  <c r="AJ11" i="2"/>
  <c r="AI12" i="2"/>
  <c r="AI13" i="2"/>
  <c r="AI14" i="2"/>
  <c r="AI11" i="2"/>
  <c r="AJ5" i="2"/>
  <c r="AK5" i="2"/>
  <c r="AJ6" i="2"/>
  <c r="AK6" i="2"/>
  <c r="AJ7" i="2"/>
  <c r="AK7" i="2"/>
  <c r="AK4" i="2"/>
  <c r="AJ4" i="2"/>
  <c r="AI5" i="2"/>
  <c r="AI6" i="2"/>
  <c r="AI7" i="2"/>
  <c r="AI4" i="2"/>
  <c r="AB47" i="2"/>
  <c r="AC47" i="2"/>
  <c r="AB48" i="2"/>
  <c r="AC48" i="2"/>
  <c r="AB49" i="2"/>
  <c r="AC49" i="2"/>
  <c r="AC46" i="2"/>
  <c r="AB46" i="2"/>
  <c r="AA47" i="2"/>
  <c r="AA48" i="2"/>
  <c r="AA49" i="2"/>
  <c r="AA46" i="2"/>
  <c r="AB40" i="2"/>
  <c r="AC40" i="2"/>
  <c r="AB41" i="2"/>
  <c r="AC41" i="2"/>
  <c r="AB42" i="2"/>
  <c r="AC42" i="2"/>
  <c r="AC39" i="2"/>
  <c r="AB39" i="2"/>
  <c r="AA40" i="2"/>
  <c r="AA41" i="2"/>
  <c r="AA42" i="2"/>
  <c r="AA39" i="2"/>
  <c r="AB33" i="2"/>
  <c r="AC33" i="2"/>
  <c r="AB34" i="2"/>
  <c r="AC34" i="2"/>
  <c r="AB35" i="2"/>
  <c r="AC35" i="2"/>
  <c r="AC32" i="2"/>
  <c r="AB32" i="2"/>
  <c r="AA33" i="2"/>
  <c r="AA34" i="2"/>
  <c r="AA35" i="2"/>
  <c r="AA32" i="2"/>
  <c r="AB26" i="2"/>
  <c r="AC26" i="2"/>
  <c r="AB27" i="2"/>
  <c r="AC27" i="2"/>
  <c r="AB28" i="2"/>
  <c r="AC28" i="2"/>
  <c r="AC25" i="2"/>
  <c r="AB25" i="2"/>
  <c r="AA26" i="2"/>
  <c r="AA27" i="2"/>
  <c r="AA28" i="2"/>
  <c r="AA25" i="2"/>
  <c r="AB19" i="2"/>
  <c r="AC19" i="2"/>
  <c r="AB20" i="2"/>
  <c r="AC20" i="2"/>
  <c r="AB21" i="2"/>
  <c r="AC21" i="2"/>
  <c r="AC18" i="2"/>
  <c r="AB18" i="2"/>
  <c r="AA12" i="2"/>
  <c r="AA13" i="2"/>
  <c r="AA14" i="2"/>
  <c r="AA11" i="2"/>
  <c r="AA19" i="2"/>
  <c r="AA20" i="2"/>
  <c r="AA21" i="2"/>
  <c r="AA18" i="2"/>
  <c r="AB12" i="2"/>
  <c r="AC12" i="2"/>
  <c r="AB13" i="2"/>
  <c r="AC13" i="2"/>
  <c r="AB14" i="2"/>
  <c r="AC14" i="2"/>
  <c r="AC11" i="2"/>
  <c r="AB11" i="2"/>
  <c r="AB5" i="2"/>
  <c r="AC5" i="2"/>
  <c r="AB6" i="2"/>
  <c r="AC6" i="2"/>
  <c r="AB7" i="2"/>
  <c r="AC7" i="2"/>
  <c r="AC4" i="2"/>
  <c r="AB4" i="2"/>
  <c r="AA5" i="2"/>
  <c r="AA6" i="2"/>
  <c r="AA7" i="2"/>
  <c r="AA4" i="2"/>
  <c r="Y41" i="4"/>
  <c r="Y42" i="4"/>
  <c r="Y43" i="4"/>
  <c r="Y40" i="4"/>
  <c r="V41" i="4"/>
  <c r="W41" i="4"/>
  <c r="X41" i="4"/>
  <c r="V42" i="4"/>
  <c r="W42" i="4"/>
  <c r="X42" i="4"/>
  <c r="V43" i="4"/>
  <c r="W43" i="4"/>
  <c r="X43" i="4"/>
  <c r="W40" i="4"/>
  <c r="X40" i="4"/>
  <c r="V40" i="4"/>
  <c r="Y35" i="4"/>
  <c r="Y36" i="4"/>
  <c r="Y37" i="4"/>
  <c r="Y34" i="4"/>
  <c r="V35" i="4"/>
  <c r="W35" i="4"/>
  <c r="X35" i="4"/>
  <c r="V36" i="4"/>
  <c r="W36" i="4"/>
  <c r="X36" i="4"/>
  <c r="V37" i="4"/>
  <c r="W37" i="4"/>
  <c r="X37" i="4"/>
  <c r="W34" i="4"/>
  <c r="X34" i="4"/>
  <c r="V34" i="4"/>
  <c r="Y29" i="4"/>
  <c r="Y30" i="4"/>
  <c r="Y31" i="4"/>
  <c r="Y28" i="4"/>
  <c r="V29" i="4"/>
  <c r="W29" i="4"/>
  <c r="X29" i="4"/>
  <c r="V30" i="4"/>
  <c r="W30" i="4"/>
  <c r="X30" i="4"/>
  <c r="V31" i="4"/>
  <c r="W31" i="4"/>
  <c r="X31" i="4"/>
  <c r="W28" i="4"/>
  <c r="X28" i="4"/>
  <c r="V28" i="4"/>
  <c r="Y23" i="4"/>
  <c r="Y24" i="4"/>
  <c r="Y25" i="4"/>
  <c r="Y22" i="4"/>
  <c r="V23" i="4"/>
  <c r="W23" i="4"/>
  <c r="X23" i="4"/>
  <c r="V24" i="4"/>
  <c r="W24" i="4"/>
  <c r="X24" i="4"/>
  <c r="V25" i="4"/>
  <c r="W25" i="4"/>
  <c r="X25" i="4"/>
  <c r="W22" i="4"/>
  <c r="X22" i="4"/>
  <c r="V22" i="4"/>
  <c r="Y17" i="4"/>
  <c r="Y18" i="4"/>
  <c r="Y19" i="4"/>
  <c r="Y16" i="4"/>
  <c r="V17" i="4"/>
  <c r="W17" i="4"/>
  <c r="X17" i="4"/>
  <c r="V18" i="4"/>
  <c r="W18" i="4"/>
  <c r="X18" i="4"/>
  <c r="V19" i="4"/>
  <c r="W19" i="4"/>
  <c r="X19" i="4"/>
  <c r="W16" i="4"/>
  <c r="X16" i="4"/>
  <c r="V16" i="4"/>
  <c r="Y11" i="4"/>
  <c r="Y12" i="4"/>
  <c r="Y13" i="4"/>
  <c r="Y10" i="4"/>
  <c r="V11" i="4"/>
  <c r="W11" i="4"/>
  <c r="X11" i="4"/>
  <c r="V12" i="4"/>
  <c r="W12" i="4"/>
  <c r="X12" i="4"/>
  <c r="V13" i="4"/>
  <c r="W13" i="4"/>
  <c r="X13" i="4"/>
  <c r="W10" i="4"/>
  <c r="X10" i="4"/>
  <c r="V10" i="4"/>
  <c r="Y5" i="4"/>
  <c r="Y6" i="4"/>
  <c r="Y7" i="4"/>
  <c r="Y4" i="4"/>
  <c r="V5" i="4"/>
  <c r="W5" i="4"/>
  <c r="X5" i="4"/>
  <c r="V6" i="4"/>
  <c r="W6" i="4"/>
  <c r="X6" i="4"/>
  <c r="V7" i="4"/>
  <c r="W7" i="4"/>
  <c r="X7" i="4"/>
  <c r="W4" i="4"/>
  <c r="X4" i="4"/>
  <c r="V4" i="4"/>
  <c r="T41" i="4"/>
  <c r="T42" i="4"/>
  <c r="T43" i="4"/>
  <c r="T40" i="4"/>
  <c r="Q41" i="4"/>
  <c r="R41" i="4"/>
  <c r="S41" i="4"/>
  <c r="Q42" i="4"/>
  <c r="R42" i="4"/>
  <c r="S42" i="4"/>
  <c r="Q43" i="4"/>
  <c r="R43" i="4"/>
  <c r="S43" i="4"/>
  <c r="R40" i="4"/>
  <c r="S40" i="4"/>
  <c r="Q40" i="4"/>
  <c r="T35" i="4"/>
  <c r="T36" i="4"/>
  <c r="T37" i="4"/>
  <c r="T34" i="4"/>
  <c r="Q35" i="4"/>
  <c r="R35" i="4"/>
  <c r="S35" i="4"/>
  <c r="Q36" i="4"/>
  <c r="R36" i="4"/>
  <c r="S36" i="4"/>
  <c r="Q37" i="4"/>
  <c r="R37" i="4"/>
  <c r="S37" i="4"/>
  <c r="R34" i="4"/>
  <c r="S34" i="4"/>
  <c r="Q34" i="4"/>
  <c r="T29" i="4"/>
  <c r="T30" i="4"/>
  <c r="T31" i="4"/>
  <c r="T28" i="4"/>
  <c r="Q29" i="4"/>
  <c r="R29" i="4"/>
  <c r="S29" i="4"/>
  <c r="Q30" i="4"/>
  <c r="R30" i="4"/>
  <c r="S30" i="4"/>
  <c r="Q31" i="4"/>
  <c r="R31" i="4"/>
  <c r="S31" i="4"/>
  <c r="R28" i="4"/>
  <c r="S28" i="4"/>
  <c r="Q28" i="4"/>
  <c r="T23" i="4"/>
  <c r="T24" i="4"/>
  <c r="T25" i="4"/>
  <c r="T22" i="4"/>
  <c r="Q23" i="4"/>
  <c r="R23" i="4"/>
  <c r="S23" i="4"/>
  <c r="Q24" i="4"/>
  <c r="R24" i="4"/>
  <c r="S24" i="4"/>
  <c r="Q25" i="4"/>
  <c r="R25" i="4"/>
  <c r="S25" i="4"/>
  <c r="R22" i="4"/>
  <c r="S22" i="4"/>
  <c r="Q22" i="4"/>
  <c r="T17" i="4"/>
  <c r="T18" i="4"/>
  <c r="T19" i="4"/>
  <c r="T16" i="4"/>
  <c r="Q17" i="4"/>
  <c r="R17" i="4"/>
  <c r="S17" i="4"/>
  <c r="Q18" i="4"/>
  <c r="R18" i="4"/>
  <c r="S18" i="4"/>
  <c r="Q19" i="4"/>
  <c r="R19" i="4"/>
  <c r="S19" i="4"/>
  <c r="R16" i="4"/>
  <c r="S16" i="4"/>
  <c r="Q16" i="4"/>
  <c r="T11" i="4"/>
  <c r="T12" i="4"/>
  <c r="T13" i="4"/>
  <c r="T10" i="4"/>
  <c r="Q11" i="4"/>
  <c r="R11" i="4"/>
  <c r="S11" i="4"/>
  <c r="Q12" i="4"/>
  <c r="R12" i="4"/>
  <c r="S12" i="4"/>
  <c r="Q13" i="4"/>
  <c r="R13" i="4"/>
  <c r="S13" i="4"/>
  <c r="R10" i="4"/>
  <c r="S10" i="4"/>
  <c r="Q10" i="4"/>
  <c r="T5" i="4"/>
  <c r="T6" i="4"/>
  <c r="T7" i="4"/>
  <c r="T4" i="4"/>
  <c r="Q5" i="4"/>
  <c r="R5" i="4"/>
  <c r="S5" i="4"/>
  <c r="Q6" i="4"/>
  <c r="R6" i="4"/>
  <c r="S6" i="4"/>
  <c r="Q7" i="4"/>
  <c r="R7" i="4"/>
  <c r="S7" i="4"/>
  <c r="R4" i="4"/>
  <c r="S4" i="4"/>
  <c r="Q4" i="4"/>
  <c r="V41" i="3"/>
  <c r="W41" i="3"/>
  <c r="X41" i="3"/>
  <c r="V42" i="3"/>
  <c r="W42" i="3"/>
  <c r="X42" i="3"/>
  <c r="V43" i="3"/>
  <c r="W43" i="3"/>
  <c r="X43" i="3"/>
  <c r="W40" i="3"/>
  <c r="X40" i="3"/>
  <c r="V40" i="3"/>
  <c r="Y40" i="3" s="1"/>
  <c r="V35" i="3"/>
  <c r="W35" i="3"/>
  <c r="X35" i="3"/>
  <c r="V36" i="3"/>
  <c r="W36" i="3"/>
  <c r="X36" i="3"/>
  <c r="V37" i="3"/>
  <c r="W37" i="3"/>
  <c r="X37" i="3"/>
  <c r="W34" i="3"/>
  <c r="X34" i="3"/>
  <c r="V34" i="3"/>
  <c r="Y34" i="3" s="1"/>
  <c r="V29" i="3"/>
  <c r="W29" i="3"/>
  <c r="X29" i="3"/>
  <c r="V30" i="3"/>
  <c r="W30" i="3"/>
  <c r="X30" i="3"/>
  <c r="V31" i="3"/>
  <c r="W31" i="3"/>
  <c r="X31" i="3"/>
  <c r="Y31" i="3" s="1"/>
  <c r="W28" i="3"/>
  <c r="X28" i="3"/>
  <c r="V28" i="3"/>
  <c r="V23" i="3"/>
  <c r="W23" i="3"/>
  <c r="X23" i="3"/>
  <c r="V24" i="3"/>
  <c r="W24" i="3"/>
  <c r="X24" i="3"/>
  <c r="V25" i="3"/>
  <c r="W25" i="3"/>
  <c r="X25" i="3"/>
  <c r="W22" i="3"/>
  <c r="X22" i="3"/>
  <c r="V22" i="3"/>
  <c r="V17" i="3"/>
  <c r="W17" i="3"/>
  <c r="X17" i="3"/>
  <c r="V18" i="3"/>
  <c r="W18" i="3"/>
  <c r="X18" i="3"/>
  <c r="V19" i="3"/>
  <c r="W19" i="3"/>
  <c r="X19" i="3"/>
  <c r="W16" i="3"/>
  <c r="X16" i="3"/>
  <c r="V16" i="3"/>
  <c r="V11" i="3"/>
  <c r="W11" i="3"/>
  <c r="X11" i="3"/>
  <c r="V12" i="3"/>
  <c r="W12" i="3"/>
  <c r="X12" i="3"/>
  <c r="V13" i="3"/>
  <c r="W13" i="3"/>
  <c r="X13" i="3"/>
  <c r="Y13" i="3" s="1"/>
  <c r="W10" i="3"/>
  <c r="X10" i="3"/>
  <c r="V10" i="3"/>
  <c r="V5" i="3"/>
  <c r="W5" i="3"/>
  <c r="X5" i="3"/>
  <c r="V6" i="3"/>
  <c r="W6" i="3"/>
  <c r="X6" i="3"/>
  <c r="V7" i="3"/>
  <c r="W7" i="3"/>
  <c r="X7" i="3"/>
  <c r="W4" i="3"/>
  <c r="X4" i="3"/>
  <c r="V4" i="3"/>
  <c r="Q41" i="3"/>
  <c r="R41" i="3"/>
  <c r="S41" i="3"/>
  <c r="Q42" i="3"/>
  <c r="R42" i="3"/>
  <c r="S42" i="3"/>
  <c r="Q43" i="3"/>
  <c r="R43" i="3"/>
  <c r="S43" i="3"/>
  <c r="R40" i="3"/>
  <c r="S40" i="3"/>
  <c r="Q40" i="3"/>
  <c r="Q35" i="3"/>
  <c r="R35" i="3"/>
  <c r="S35" i="3"/>
  <c r="Q36" i="3"/>
  <c r="R36" i="3"/>
  <c r="S36" i="3"/>
  <c r="Q37" i="3"/>
  <c r="R37" i="3"/>
  <c r="S37" i="3"/>
  <c r="R34" i="3"/>
  <c r="S34" i="3"/>
  <c r="Q34" i="3"/>
  <c r="Q29" i="3"/>
  <c r="R29" i="3"/>
  <c r="S29" i="3"/>
  <c r="Q30" i="3"/>
  <c r="R30" i="3"/>
  <c r="S30" i="3"/>
  <c r="Q31" i="3"/>
  <c r="R31" i="3"/>
  <c r="S31" i="3"/>
  <c r="R28" i="3"/>
  <c r="S28" i="3"/>
  <c r="Q28" i="3"/>
  <c r="Q23" i="3"/>
  <c r="R23" i="3"/>
  <c r="S23" i="3"/>
  <c r="Q24" i="3"/>
  <c r="R24" i="3"/>
  <c r="S24" i="3"/>
  <c r="Q25" i="3"/>
  <c r="R25" i="3"/>
  <c r="S25" i="3"/>
  <c r="R22" i="3"/>
  <c r="S22" i="3"/>
  <c r="Q22" i="3"/>
  <c r="Q17" i="3"/>
  <c r="R17" i="3"/>
  <c r="S17" i="3"/>
  <c r="Q18" i="3"/>
  <c r="R18" i="3"/>
  <c r="S18" i="3"/>
  <c r="Q19" i="3"/>
  <c r="R19" i="3"/>
  <c r="S19" i="3"/>
  <c r="R16" i="3"/>
  <c r="S16" i="3"/>
  <c r="Q16" i="3"/>
  <c r="T16" i="3" s="1"/>
  <c r="Q11" i="3"/>
  <c r="R11" i="3"/>
  <c r="S11" i="3"/>
  <c r="Q12" i="3"/>
  <c r="R12" i="3"/>
  <c r="S12" i="3"/>
  <c r="Q13" i="3"/>
  <c r="R13" i="3"/>
  <c r="S13" i="3"/>
  <c r="R10" i="3"/>
  <c r="S10" i="3"/>
  <c r="Q10" i="3"/>
  <c r="T10" i="3" s="1"/>
  <c r="Q5" i="3"/>
  <c r="R5" i="3"/>
  <c r="S5" i="3"/>
  <c r="Q6" i="3"/>
  <c r="R6" i="3"/>
  <c r="S6" i="3"/>
  <c r="Q7" i="3"/>
  <c r="R7" i="3"/>
  <c r="S7" i="3"/>
  <c r="R4" i="3"/>
  <c r="S4" i="3"/>
  <c r="Q4" i="3"/>
  <c r="T4" i="3" s="1"/>
  <c r="AN47" i="2"/>
  <c r="AO47" i="2"/>
  <c r="AN48" i="2"/>
  <c r="AO48" i="2"/>
  <c r="AN49" i="2"/>
  <c r="AO49" i="2"/>
  <c r="AO46" i="2"/>
  <c r="AN46" i="2"/>
  <c r="AM47" i="2"/>
  <c r="AM48" i="2"/>
  <c r="AM49" i="2"/>
  <c r="AM46" i="2"/>
  <c r="AN40" i="2"/>
  <c r="AO40" i="2"/>
  <c r="AN41" i="2"/>
  <c r="AO41" i="2"/>
  <c r="AN42" i="2"/>
  <c r="AO42" i="2"/>
  <c r="AO39" i="2"/>
  <c r="AN39" i="2"/>
  <c r="AM40" i="2"/>
  <c r="AM41" i="2"/>
  <c r="AM42" i="2"/>
  <c r="AM39" i="2"/>
  <c r="AN33" i="2"/>
  <c r="AO33" i="2"/>
  <c r="AN34" i="2"/>
  <c r="AO34" i="2"/>
  <c r="AN35" i="2"/>
  <c r="AO35" i="2"/>
  <c r="AO32" i="2"/>
  <c r="AN32" i="2"/>
  <c r="AM33" i="2"/>
  <c r="AM34" i="2"/>
  <c r="AM35" i="2"/>
  <c r="AM32" i="2"/>
  <c r="AN26" i="2"/>
  <c r="AO26" i="2"/>
  <c r="AN27" i="2"/>
  <c r="AO27" i="2"/>
  <c r="AN28" i="2"/>
  <c r="AO28" i="2"/>
  <c r="AO25" i="2"/>
  <c r="AN25" i="2"/>
  <c r="AM26" i="2"/>
  <c r="AM27" i="2"/>
  <c r="AM28" i="2"/>
  <c r="AM25" i="2"/>
  <c r="AN19" i="2"/>
  <c r="AO19" i="2"/>
  <c r="AN20" i="2"/>
  <c r="AO20" i="2"/>
  <c r="AN21" i="2"/>
  <c r="AO21" i="2"/>
  <c r="AO18" i="2"/>
  <c r="AN18" i="2"/>
  <c r="AM19" i="2"/>
  <c r="AM20" i="2"/>
  <c r="AM21" i="2"/>
  <c r="AM18" i="2"/>
  <c r="AN12" i="2"/>
  <c r="AO12" i="2"/>
  <c r="AN13" i="2"/>
  <c r="AO13" i="2"/>
  <c r="AN14" i="2"/>
  <c r="AO14" i="2"/>
  <c r="AO11" i="2"/>
  <c r="AN11" i="2"/>
  <c r="AM12" i="2"/>
  <c r="AM13" i="2"/>
  <c r="AM14" i="2"/>
  <c r="AM11" i="2"/>
  <c r="AN5" i="2"/>
  <c r="AO5" i="2"/>
  <c r="AN6" i="2"/>
  <c r="AO6" i="2"/>
  <c r="AN7" i="2"/>
  <c r="AO7" i="2"/>
  <c r="AO4" i="2"/>
  <c r="AN4" i="2"/>
  <c r="AM5" i="2"/>
  <c r="AM6" i="2"/>
  <c r="AM7" i="2"/>
  <c r="AM4" i="2"/>
  <c r="AF47" i="2"/>
  <c r="AG47" i="2"/>
  <c r="AF48" i="2"/>
  <c r="AG48" i="2"/>
  <c r="AF49" i="2"/>
  <c r="AG49" i="2"/>
  <c r="AG46" i="2"/>
  <c r="AF46" i="2"/>
  <c r="AE47" i="2"/>
  <c r="AE48" i="2"/>
  <c r="AE49" i="2"/>
  <c r="AE46" i="2"/>
  <c r="AF40" i="2"/>
  <c r="AG40" i="2"/>
  <c r="AF41" i="2"/>
  <c r="AG41" i="2"/>
  <c r="AF42" i="2"/>
  <c r="AG42" i="2"/>
  <c r="AG39" i="2"/>
  <c r="AF39" i="2"/>
  <c r="AE40" i="2"/>
  <c r="AE41" i="2"/>
  <c r="AE42" i="2"/>
  <c r="AE39" i="2"/>
  <c r="AF33" i="2"/>
  <c r="AG33" i="2"/>
  <c r="AF34" i="2"/>
  <c r="AG34" i="2"/>
  <c r="AF35" i="2"/>
  <c r="AG35" i="2"/>
  <c r="AG32" i="2"/>
  <c r="AF32" i="2"/>
  <c r="AE33" i="2"/>
  <c r="AE34" i="2"/>
  <c r="AE35" i="2"/>
  <c r="AE32" i="2"/>
  <c r="AF26" i="2"/>
  <c r="AG26" i="2"/>
  <c r="AF27" i="2"/>
  <c r="AG27" i="2"/>
  <c r="AF28" i="2"/>
  <c r="AG28" i="2"/>
  <c r="AG25" i="2"/>
  <c r="AF25" i="2"/>
  <c r="AE26" i="2"/>
  <c r="AE27" i="2"/>
  <c r="AE28" i="2"/>
  <c r="AE25" i="2"/>
  <c r="AF19" i="2"/>
  <c r="AG19" i="2"/>
  <c r="AF20" i="2"/>
  <c r="AG20" i="2"/>
  <c r="AF21" i="2"/>
  <c r="AG21" i="2"/>
  <c r="AG18" i="2"/>
  <c r="AF18" i="2"/>
  <c r="AE19" i="2"/>
  <c r="AE20" i="2"/>
  <c r="AE21" i="2"/>
  <c r="AE18" i="2"/>
  <c r="AF12" i="2"/>
  <c r="AG12" i="2"/>
  <c r="AF13" i="2"/>
  <c r="AG13" i="2"/>
  <c r="AF14" i="2"/>
  <c r="AG14" i="2"/>
  <c r="AG11" i="2"/>
  <c r="AF11" i="2"/>
  <c r="AE12" i="2"/>
  <c r="AE13" i="2"/>
  <c r="AE14" i="2"/>
  <c r="AE11" i="2"/>
  <c r="AF5" i="2"/>
  <c r="AG5" i="2"/>
  <c r="AF6" i="2"/>
  <c r="AG6" i="2"/>
  <c r="AF7" i="2"/>
  <c r="AG7" i="2"/>
  <c r="AG4" i="2"/>
  <c r="AF4" i="2"/>
  <c r="AE5" i="2"/>
  <c r="AE6" i="2"/>
  <c r="AE7" i="2"/>
  <c r="AE4" i="2"/>
  <c r="Y47" i="1"/>
  <c r="Y48" i="1"/>
  <c r="Y49" i="1"/>
  <c r="Y46" i="1"/>
  <c r="V47" i="1"/>
  <c r="W47" i="1"/>
  <c r="X47" i="1"/>
  <c r="V48" i="1"/>
  <c r="W48" i="1"/>
  <c r="X48" i="1"/>
  <c r="V49" i="1"/>
  <c r="W49" i="1"/>
  <c r="X49" i="1"/>
  <c r="W46" i="1"/>
  <c r="X46" i="1"/>
  <c r="V46" i="1"/>
  <c r="Y40" i="1"/>
  <c r="Y41" i="1"/>
  <c r="Y42" i="1"/>
  <c r="Y39" i="1"/>
  <c r="V40" i="1"/>
  <c r="W40" i="1"/>
  <c r="X40" i="1"/>
  <c r="V41" i="1"/>
  <c r="W41" i="1"/>
  <c r="X41" i="1"/>
  <c r="V42" i="1"/>
  <c r="W42" i="1"/>
  <c r="X42" i="1"/>
  <c r="W39" i="1"/>
  <c r="X39" i="1"/>
  <c r="V39" i="1"/>
  <c r="Y33" i="1"/>
  <c r="Y34" i="1"/>
  <c r="Y35" i="1"/>
  <c r="Y32" i="1"/>
  <c r="V33" i="1"/>
  <c r="W33" i="1"/>
  <c r="X33" i="1"/>
  <c r="V34" i="1"/>
  <c r="W34" i="1"/>
  <c r="X34" i="1"/>
  <c r="V35" i="1"/>
  <c r="W35" i="1"/>
  <c r="X35" i="1"/>
  <c r="W32" i="1"/>
  <c r="X32" i="1"/>
  <c r="V32" i="1"/>
  <c r="Y26" i="1"/>
  <c r="Y27" i="1"/>
  <c r="Y28" i="1"/>
  <c r="Y25" i="1"/>
  <c r="V26" i="1"/>
  <c r="W26" i="1"/>
  <c r="X26" i="1"/>
  <c r="V27" i="1"/>
  <c r="W27" i="1"/>
  <c r="X27" i="1"/>
  <c r="V28" i="1"/>
  <c r="W28" i="1"/>
  <c r="X28" i="1"/>
  <c r="W25" i="1"/>
  <c r="X25" i="1"/>
  <c r="V25" i="1"/>
  <c r="Y19" i="1"/>
  <c r="Y20" i="1"/>
  <c r="Y21" i="1"/>
  <c r="Y18" i="1"/>
  <c r="V19" i="1"/>
  <c r="W19" i="1"/>
  <c r="X19" i="1"/>
  <c r="V20" i="1"/>
  <c r="W20" i="1"/>
  <c r="X20" i="1"/>
  <c r="V21" i="1"/>
  <c r="W21" i="1"/>
  <c r="X21" i="1"/>
  <c r="W18" i="1"/>
  <c r="X18" i="1"/>
  <c r="V18" i="1"/>
  <c r="Y12" i="1"/>
  <c r="Y13" i="1"/>
  <c r="Y14" i="1"/>
  <c r="Y11" i="1"/>
  <c r="V12" i="1"/>
  <c r="W12" i="1"/>
  <c r="X12" i="1"/>
  <c r="V13" i="1"/>
  <c r="W13" i="1"/>
  <c r="X13" i="1"/>
  <c r="V14" i="1"/>
  <c r="W14" i="1"/>
  <c r="X14" i="1"/>
  <c r="W11" i="1"/>
  <c r="X11" i="1"/>
  <c r="V11" i="1"/>
  <c r="Y5" i="1"/>
  <c r="Y6" i="1"/>
  <c r="Y7" i="1"/>
  <c r="Y4" i="1"/>
  <c r="V5" i="1"/>
  <c r="W5" i="1"/>
  <c r="X5" i="1"/>
  <c r="V6" i="1"/>
  <c r="W6" i="1"/>
  <c r="X6" i="1"/>
  <c r="V7" i="1"/>
  <c r="W7" i="1"/>
  <c r="X7" i="1"/>
  <c r="W4" i="1"/>
  <c r="X4" i="1"/>
  <c r="V4" i="1"/>
  <c r="T47" i="1"/>
  <c r="T48" i="1"/>
  <c r="T49" i="1"/>
  <c r="T46" i="1"/>
  <c r="Q47" i="1"/>
  <c r="R47" i="1"/>
  <c r="S47" i="1"/>
  <c r="Q48" i="1"/>
  <c r="R48" i="1"/>
  <c r="S48" i="1"/>
  <c r="Q49" i="1"/>
  <c r="R49" i="1"/>
  <c r="S49" i="1"/>
  <c r="R46" i="1"/>
  <c r="S46" i="1"/>
  <c r="Q46" i="1"/>
  <c r="T40" i="1"/>
  <c r="T41" i="1"/>
  <c r="T42" i="1"/>
  <c r="T39" i="1"/>
  <c r="Q40" i="1"/>
  <c r="R40" i="1"/>
  <c r="S40" i="1"/>
  <c r="Q41" i="1"/>
  <c r="R41" i="1"/>
  <c r="S41" i="1"/>
  <c r="Q42" i="1"/>
  <c r="R42" i="1"/>
  <c r="S42" i="1"/>
  <c r="R39" i="1"/>
  <c r="S39" i="1"/>
  <c r="Q39" i="1"/>
  <c r="T33" i="1"/>
  <c r="T34" i="1"/>
  <c r="T35" i="1"/>
  <c r="T32" i="1"/>
  <c r="Q33" i="1"/>
  <c r="R33" i="1"/>
  <c r="S33" i="1"/>
  <c r="Q34" i="1"/>
  <c r="R34" i="1"/>
  <c r="S34" i="1"/>
  <c r="Q35" i="1"/>
  <c r="R35" i="1"/>
  <c r="S35" i="1"/>
  <c r="R32" i="1"/>
  <c r="S32" i="1"/>
  <c r="Q32" i="1"/>
  <c r="T26" i="1"/>
  <c r="T27" i="1"/>
  <c r="T28" i="1"/>
  <c r="T25" i="1"/>
  <c r="Q26" i="1"/>
  <c r="R26" i="1"/>
  <c r="S26" i="1"/>
  <c r="Q27" i="1"/>
  <c r="R27" i="1"/>
  <c r="S27" i="1"/>
  <c r="Q28" i="1"/>
  <c r="R28" i="1"/>
  <c r="S28" i="1"/>
  <c r="R25" i="1"/>
  <c r="S25" i="1"/>
  <c r="Q25" i="1"/>
  <c r="T19" i="1"/>
  <c r="T20" i="1"/>
  <c r="T21" i="1"/>
  <c r="T18" i="1"/>
  <c r="Q19" i="1"/>
  <c r="R19" i="1"/>
  <c r="S19" i="1"/>
  <c r="Q20" i="1"/>
  <c r="R20" i="1"/>
  <c r="S20" i="1"/>
  <c r="Q21" i="1"/>
  <c r="R21" i="1"/>
  <c r="S21" i="1"/>
  <c r="R18" i="1"/>
  <c r="S18" i="1"/>
  <c r="Q18" i="1"/>
  <c r="T14" i="1"/>
  <c r="Q12" i="1"/>
  <c r="T12" i="1" s="1"/>
  <c r="R12" i="1"/>
  <c r="S12" i="1"/>
  <c r="Q13" i="1"/>
  <c r="T13" i="1" s="1"/>
  <c r="R13" i="1"/>
  <c r="S13" i="1"/>
  <c r="Q14" i="1"/>
  <c r="R14" i="1"/>
  <c r="S14" i="1"/>
  <c r="R11" i="1"/>
  <c r="S11" i="1"/>
  <c r="Q11" i="1"/>
  <c r="T11" i="1" s="1"/>
  <c r="T6" i="1"/>
  <c r="T7" i="1"/>
  <c r="Q5" i="1"/>
  <c r="T5" i="1" s="1"/>
  <c r="R5" i="1"/>
  <c r="S5" i="1"/>
  <c r="Q6" i="1"/>
  <c r="R6" i="1"/>
  <c r="S6" i="1"/>
  <c r="Q7" i="1"/>
  <c r="R7" i="1"/>
  <c r="S7" i="1"/>
  <c r="R4" i="1"/>
  <c r="S4" i="1"/>
  <c r="Q4" i="1"/>
  <c r="T4" i="1" s="1"/>
  <c r="AA51" i="2" l="1"/>
  <c r="T23" i="3"/>
  <c r="T35" i="3"/>
  <c r="Y35" i="3"/>
  <c r="Y41" i="3"/>
  <c r="T19" i="3"/>
  <c r="Y37" i="3"/>
  <c r="Y36" i="3"/>
  <c r="T17" i="3"/>
  <c r="Y29" i="3"/>
  <c r="Y42" i="3"/>
  <c r="Y11" i="3"/>
  <c r="Y12" i="3"/>
  <c r="T37" i="3"/>
  <c r="T18" i="3"/>
  <c r="T43" i="3"/>
  <c r="Y7" i="3"/>
  <c r="T6" i="3"/>
  <c r="T12" i="3"/>
  <c r="T36" i="3"/>
  <c r="Y19" i="3"/>
  <c r="Y25" i="3"/>
  <c r="T24" i="3"/>
  <c r="T30" i="3"/>
  <c r="Y43" i="3"/>
  <c r="T42" i="3"/>
  <c r="Y6" i="3"/>
  <c r="Y30" i="3"/>
  <c r="T5" i="3"/>
  <c r="T11" i="3"/>
  <c r="Y18" i="3"/>
  <c r="Y24" i="3"/>
  <c r="T29" i="3"/>
  <c r="T31" i="3"/>
  <c r="T22" i="3"/>
  <c r="T28" i="3"/>
  <c r="T34" i="3"/>
  <c r="T41" i="3"/>
  <c r="Y5" i="3"/>
  <c r="T7" i="3"/>
  <c r="T40" i="3"/>
  <c r="Y4" i="3"/>
  <c r="Y10" i="3"/>
  <c r="Y17" i="3"/>
  <c r="Y23" i="3"/>
  <c r="T13" i="3"/>
  <c r="T25" i="3"/>
  <c r="Y16" i="3"/>
  <c r="Y22" i="3"/>
  <c r="Y2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78990E-03DC-4270-9105-F089765AB533}" keepAlive="1" name="Query - vacuum (step 1)" description="Connection to the 'vacuum (step 1)' query in the workbook." type="5" refreshedVersion="6" background="1" saveData="1">
    <dbPr connection="Provider=Microsoft.Mashup.OleDb.1;Data Source=$Workbook$;Location=&quot;vacuum (step 1)&quot;;Extended Properties=&quot;&quot;" command="SELECT * FROM [vacuum (step 1)]"/>
  </connection>
  <connection id="2" xr16:uid="{ABEB244C-711E-4059-9B4B-9D26E5B185F1}" keepAlive="1" name="Query - vacuum (step 1) (corrected)" description="Connection to the 'vacuum (step 1) (corrected)' query in the workbook." type="5" refreshedVersion="6" background="1" saveData="1">
    <dbPr connection="Provider=Microsoft.Mashup.OleDb.1;Data Source=$Workbook$;Location=&quot;vacuum (step 1) (corrected)&quot;;Extended Properties=&quot;&quot;" command="SELECT * FROM [vacuum (step 1) (corrected)]"/>
  </connection>
  <connection id="3" xr16:uid="{2FB9D4D7-6C26-489A-A740-E35839B47EFE}" keepAlive="1" name="Query - vacuum (step 1) (corrected) (2)" description="Connection to the 'vacuum (step 1) (corrected) (2)' query in the workbook." type="5" refreshedVersion="6" background="1" saveData="1">
    <dbPr connection="Provider=Microsoft.Mashup.OleDb.1;Data Source=$Workbook$;Location=&quot;vacuum (step 1) (corrected) (2)&quot;;Extended Properties=&quot;&quot;" command="SELECT * FROM [vacuum (step 1) (corrected) (2)]"/>
  </connection>
  <connection id="4" xr16:uid="{E02BCC0A-1E67-4B3C-B9E4-48617A44F5A1}" keepAlive="1" name="Query - vacuum (step 1) (corrected) (3)" description="Connection to the 'vacuum (step 1) (corrected) (3)' query in the workbook." type="5" refreshedVersion="6" background="1" saveData="1">
    <dbPr connection="Provider=Microsoft.Mashup.OleDb.1;Data Source=$Workbook$;Location=&quot;vacuum (step 1) (corrected) (3)&quot;;Extended Properties=&quot;&quot;" command="SELECT * FROM [vacuum (step 1) (corrected) (3)]"/>
  </connection>
  <connection id="5" xr16:uid="{635B26EB-0EB0-4E3D-A124-1D7282D987FD}" keepAlive="1" name="Query - vacuum (step 1) (corrected) (4)" description="Connection to the 'vacuum (step 1) (corrected) (4)' query in the workbook." type="5" refreshedVersion="6" background="1" saveData="1">
    <dbPr connection="Provider=Microsoft.Mashup.OleDb.1;Data Source=$Workbook$;Location=&quot;vacuum (step 1) (corrected) (4)&quot;;Extended Properties=&quot;&quot;" command="SELECT * FROM [vacuum (step 1) (corrected) (4)]"/>
  </connection>
  <connection id="6" xr16:uid="{B4ECF78D-AD11-49BD-B087-F996F5A44923}" keepAlive="1" name="Query - vacuum (step 1) (corrected) (5)" description="Connection to the 'vacuum (step 1) (corrected) (5)' query in the workbook." type="5" refreshedVersion="6" background="1" saveData="1">
    <dbPr connection="Provider=Microsoft.Mashup.OleDb.1;Data Source=$Workbook$;Location=&quot;vacuum (step 1) (corrected) (5)&quot;;Extended Properties=&quot;&quot;" command="SELECT * FROM [vacuum (step 1) (corrected) (5)]"/>
  </connection>
  <connection id="7" xr16:uid="{2DC43E73-83A0-4B88-B7F1-3DDDF67C8B52}" keepAlive="1" name="Query - Vacuum (step 1) (SA)" description="Connection to the 'Vacuum (step 1) (SA)' query in the workbook." type="5" refreshedVersion="6" background="1" saveData="1">
    <dbPr connection="Provider=Microsoft.Mashup.OleDb.1;Data Source=$Workbook$;Location=&quot;Vacuum (step 1) (SA)&quot;;Extended Properties=&quot;&quot;" command="SELECT * FROM [Vacuum (step 1) (SA)]"/>
  </connection>
  <connection id="8" xr16:uid="{3D58FC27-7460-4ED9-ACF6-4B7E1BCC9F04}" keepAlive="1" name="Query - Vacuum (step 1) (test)" description="Connection to the 'Vacuum (step 1) (test)' query in the workbook." type="5" refreshedVersion="6" background="1" saveData="1">
    <dbPr connection="Provider=Microsoft.Mashup.OleDb.1;Data Source=$Workbook$;Location=&quot;Vacuum (step 1) (test)&quot;;Extended Properties=&quot;&quot;" command="SELECT * FROM [Vacuum (step 1) (test)]"/>
  </connection>
  <connection id="9" xr16:uid="{D3C64B29-7B27-48DC-8B46-F2B8E2F45847}" keepAlive="1" name="Query - vacuum (step 2)" description="Connection to the 'vacuum (step 2)' query in the workbook." type="5" refreshedVersion="6" background="1" saveData="1">
    <dbPr connection="Provider=Microsoft.Mashup.OleDb.1;Data Source=$Workbook$;Location=&quot;vacuum (step 2)&quot;;Extended Properties=&quot;&quot;" command="SELECT * FROM [vacuum (step 2)]"/>
  </connection>
  <connection id="10" xr16:uid="{7B4C890C-5859-4632-9B1A-81DFA961225F}" keepAlive="1" name="Query - vacuum (step 2) (corrected)" description="Connection to the 'vacuum (step 2) (corrected)' query in the workbook." type="5" refreshedVersion="6" background="1" saveData="1">
    <dbPr connection="Provider=Microsoft.Mashup.OleDb.1;Data Source=$Workbook$;Location=&quot;vacuum (step 2) (corrected)&quot;;Extended Properties=&quot;&quot;" command="SELECT * FROM [vacuum (step 2) (corrected)]"/>
  </connection>
  <connection id="11" xr16:uid="{D5FE9F85-0C24-480B-9DF6-198D4C86C54C}" keepAlive="1" name="Query - vacuum (step 2) (corrected) (2)" description="Connection to the 'vacuum (step 2) (corrected) (2)' query in the workbook." type="5" refreshedVersion="6" background="1" saveData="1">
    <dbPr connection="Provider=Microsoft.Mashup.OleDb.1;Data Source=$Workbook$;Location=&quot;vacuum (step 2) (corrected) (2)&quot;;Extended Properties=&quot;&quot;" command="SELECT * FROM [vacuum (step 2) (corrected) (2)]"/>
  </connection>
  <connection id="12" xr16:uid="{FE7B2557-70A6-4975-B40B-0DEAA52FABCC}" keepAlive="1" name="Query - vacuum (step 2) (corrected) (3)" description="Connection to the 'vacuum (step 2) (corrected) (3)' query in the workbook." type="5" refreshedVersion="6" background="1" saveData="1">
    <dbPr connection="Provider=Microsoft.Mashup.OleDb.1;Data Source=$Workbook$;Location=&quot;vacuum (step 2) (corrected) (3)&quot;;Extended Properties=&quot;&quot;" command="SELECT * FROM [vacuum (step 2) (corrected) (3)]"/>
  </connection>
  <connection id="13" xr16:uid="{B03A823A-6121-4D74-8882-78C22BE322B6}" keepAlive="1" name="Query - vacuum (step 2) (corrected) (4)" description="Connection to the 'vacuum (step 2) (corrected) (4)' query in the workbook." type="5" refreshedVersion="6" background="1" saveData="1">
    <dbPr connection="Provider=Microsoft.Mashup.OleDb.1;Data Source=$Workbook$;Location=&quot;vacuum (step 2) (corrected) (4)&quot;;Extended Properties=&quot;&quot;" command="SELECT * FROM [vacuum (step 2) (corrected) (4)]"/>
  </connection>
  <connection id="14" xr16:uid="{483E8054-6673-4806-9871-13853CD0A687}" keepAlive="1" name="Query - vacuum (step 2) (corrected) (5)" description="Connection to the 'vacuum (step 2) (corrected) (5)' query in the workbook." type="5" refreshedVersion="6" background="1" saveData="1">
    <dbPr connection="Provider=Microsoft.Mashup.OleDb.1;Data Source=$Workbook$;Location=&quot;vacuum (step 2) (corrected) (5)&quot;;Extended Properties=&quot;&quot;" command="SELECT * FROM [vacuum (step 2) (corrected) (5)]"/>
  </connection>
  <connection id="15" xr16:uid="{C19BC26B-0710-4590-8036-D17020541768}" keepAlive="1" name="Query - Vacuum (step 2) (SA)" description="Connection to the 'Vacuum (step 2) (SA)' query in the workbook." type="5" refreshedVersion="6" background="1" saveData="1">
    <dbPr connection="Provider=Microsoft.Mashup.OleDb.1;Data Source=$Workbook$;Location=&quot;Vacuum (step 2) (SA)&quot;;Extended Properties=&quot;&quot;" command="SELECT * FROM [Vacuum (step 2) (SA)]"/>
  </connection>
  <connection id="16" xr16:uid="{D571135C-816A-471B-A438-9A8A02D20334}" keepAlive="1" name="Query - Vacuum (step 2) (test)" description="Connection to the 'Vacuum (step 2) (test)' query in the workbook." type="5" refreshedVersion="6" background="1" saveData="1">
    <dbPr connection="Provider=Microsoft.Mashup.OleDb.1;Data Source=$Workbook$;Location=&quot;Vacuum (step 2) (test)&quot;;Extended Properties=&quot;&quot;" command="SELECT * FROM [Vacuum (step 2) (test)]"/>
  </connection>
  <connection id="17" xr16:uid="{48717471-6168-4A98-9AF2-E0CA0B1958F3}" keepAlive="1" name="Query - vacuum (step 3)" description="Connection to the 'vacuum (step 3)' query in the workbook." type="5" refreshedVersion="6" background="1" saveData="1">
    <dbPr connection="Provider=Microsoft.Mashup.OleDb.1;Data Source=$Workbook$;Location=&quot;vacuum (step 3)&quot;;Extended Properties=&quot;&quot;" command="SELECT * FROM [vacuum (step 3)]"/>
  </connection>
  <connection id="18" xr16:uid="{84BE1FED-2723-4716-AABE-1B348B9E0CA1}" keepAlive="1" name="Query - vacuum (step 3) (corrected)" description="Connection to the 'vacuum (step 3) (corrected)' query in the workbook." type="5" refreshedVersion="6" background="1" saveData="1">
    <dbPr connection="Provider=Microsoft.Mashup.OleDb.1;Data Source=$Workbook$;Location=&quot;vacuum (step 3) (corrected)&quot;;Extended Properties=&quot;&quot;" command="SELECT * FROM [vacuum (step 3) (corrected)]"/>
  </connection>
  <connection id="19" xr16:uid="{09DE9A1B-2C1E-4AC8-A3E6-2915BB230923}" keepAlive="1" name="Query - vacuum (step 3) (corrected) (2)" description="Connection to the 'vacuum (step 3) (corrected) (2)' query in the workbook." type="5" refreshedVersion="6" background="1" saveData="1">
    <dbPr connection="Provider=Microsoft.Mashup.OleDb.1;Data Source=$Workbook$;Location=&quot;vacuum (step 3) (corrected) (2)&quot;;Extended Properties=&quot;&quot;" command="SELECT * FROM [vacuum (step 3) (corrected) (2)]"/>
  </connection>
  <connection id="20" xr16:uid="{E9C4C65B-E358-4529-948E-C7667EE6C4D6}" keepAlive="1" name="Query - vacuum (step 3) (corrected) (3)" description="Connection to the 'vacuum (step 3) (corrected) (3)' query in the workbook." type="5" refreshedVersion="6" background="1" saveData="1">
    <dbPr connection="Provider=Microsoft.Mashup.OleDb.1;Data Source=$Workbook$;Location=&quot;vacuum (step 3) (corrected) (3)&quot;;Extended Properties=&quot;&quot;" command="SELECT * FROM [vacuum (step 3) (corrected) (3)]"/>
  </connection>
  <connection id="21" xr16:uid="{85BBDA39-DF2B-439C-802C-E81ABEDBEA44}" keepAlive="1" name="Query - vacuum (step 3) (corrected) (4)" description="Connection to the 'vacuum (step 3) (corrected) (4)' query in the workbook." type="5" refreshedVersion="6" background="1" saveData="1">
    <dbPr connection="Provider=Microsoft.Mashup.OleDb.1;Data Source=$Workbook$;Location=&quot;vacuum (step 3) (corrected) (4)&quot;;Extended Properties=&quot;&quot;" command="SELECT * FROM [vacuum (step 3) (corrected) (4)]"/>
  </connection>
  <connection id="22" xr16:uid="{714282B1-3E0C-48B2-B316-20E52513E2D0}" keepAlive="1" name="Query - Vacuum (step 3) (SA)" description="Connection to the 'Vacuum (step 3) (SA)' query in the workbook." type="5" refreshedVersion="6" background="1" saveData="1">
    <dbPr connection="Provider=Microsoft.Mashup.OleDb.1;Data Source=$Workbook$;Location=&quot;Vacuum (step 3) (SA)&quot;;Extended Properties=&quot;&quot;" command="SELECT * FROM [Vacuum (step 3) (SA)]"/>
  </connection>
  <connection id="23" xr16:uid="{036C5098-EF41-4EFD-B41D-49E51B44464D}" keepAlive="1" name="Query - Vacuum (step 3) (test)" description="Connection to the 'Vacuum (step 3) (test)' query in the workbook." type="5" refreshedVersion="6" background="1" saveData="1">
    <dbPr connection="Provider=Microsoft.Mashup.OleDb.1;Data Source=$Workbook$;Location=&quot;Vacuum (step 3) (test)&quot;;Extended Properties=&quot;&quot;" command="SELECT * FROM [Vacuum (step 3) (test)]"/>
  </connection>
  <connection id="24" xr16:uid="{B1915B6F-BE9C-4E25-87FF-68FC5063B631}" keepAlive="1" name="Query - vacuum (step 4 1)" description="Connection to the 'vacuum (step 4 1)' query in the workbook." type="5" refreshedVersion="6" background="1" saveData="1">
    <dbPr connection="Provider=Microsoft.Mashup.OleDb.1;Data Source=$Workbook$;Location=&quot;vacuum (step 4 1)&quot;;Extended Properties=&quot;&quot;" command="SELECT * FROM [vacuum (step 4 1)]"/>
  </connection>
  <connection id="25" xr16:uid="{0A94E527-E4F2-4011-A390-06BA7CE1E195}" keepAlive="1" name="Query - vacuum (step 4 1) (corrected)" description="Connection to the 'vacuum (step 4 1) (corrected)' query in the workbook." type="5" refreshedVersion="6" background="1" saveData="1">
    <dbPr connection="Provider=Microsoft.Mashup.OleDb.1;Data Source=$Workbook$;Location=&quot;vacuum (step 4 1) (corrected)&quot;;Extended Properties=&quot;&quot;" command="SELECT * FROM [vacuum (step 4 1) (corrected)]"/>
  </connection>
  <connection id="26" xr16:uid="{B17EF8EF-00B2-4DEB-BAAD-3818582BF70C}" keepAlive="1" name="Query - vacuum (step 4 1) (corrected) (2)" description="Connection to the 'vacuum (step 4 1) (corrected) (2)' query in the workbook." type="5" refreshedVersion="6" background="1" saveData="1">
    <dbPr connection="Provider=Microsoft.Mashup.OleDb.1;Data Source=$Workbook$;Location=&quot;vacuum (step 4 1) (corrected) (2)&quot;;Extended Properties=&quot;&quot;" command="SELECT * FROM [vacuum (step 4 1) (corrected) (2)]"/>
  </connection>
  <connection id="27" xr16:uid="{838B6BEB-9739-4E93-9AA0-D68C76648895}" keepAlive="1" name="Query - vacuum (step 4 1) (corrected) (3)" description="Connection to the 'vacuum (step 4 1) (corrected) (3)' query in the workbook." type="5" refreshedVersion="6" background="1" saveData="1">
    <dbPr connection="Provider=Microsoft.Mashup.OleDb.1;Data Source=$Workbook$;Location=&quot;vacuum (step 4 1) (corrected) (3)&quot;;Extended Properties=&quot;&quot;" command="SELECT * FROM [vacuum (step 4 1) (corrected) (3)]"/>
  </connection>
  <connection id="28" xr16:uid="{7B174229-4473-4A8B-B6DB-F3DE0D1D96C7}" keepAlive="1" name="Query - vacuum (step 4 1) (corrected) (4)" description="Connection to the 'vacuum (step 4 1) (corrected) (4)' query in the workbook." type="5" refreshedVersion="6" background="1" saveData="1">
    <dbPr connection="Provider=Microsoft.Mashup.OleDb.1;Data Source=$Workbook$;Location=&quot;vacuum (step 4 1) (corrected) (4)&quot;;Extended Properties=&quot;&quot;" command="SELECT * FROM [vacuum (step 4 1) (corrected) (4)]"/>
  </connection>
  <connection id="29" xr16:uid="{9695971D-112D-4834-A318-ECD521A43C46}" keepAlive="1" name="Query - Vacuum (step 4 1) (SA)" description="Connection to the 'Vacuum (step 4 1) (SA)' query in the workbook." type="5" refreshedVersion="6" background="1" saveData="1">
    <dbPr connection="Provider=Microsoft.Mashup.OleDb.1;Data Source=$Workbook$;Location=&quot;Vacuum (step 4 1) (SA)&quot;;Extended Properties=&quot;&quot;" command="SELECT * FROM [Vacuum (step 4 1) (SA)]"/>
  </connection>
  <connection id="30" xr16:uid="{8C14A788-B41A-48E3-8575-89823C4BB31C}" keepAlive="1" name="Query - Vacuum (step 4 1) (test)" description="Connection to the 'Vacuum (step 4 1) (test)' query in the workbook." type="5" refreshedVersion="6" background="1" saveData="1">
    <dbPr connection="Provider=Microsoft.Mashup.OleDb.1;Data Source=$Workbook$;Location=&quot;Vacuum (step 4 1) (test)&quot;;Extended Properties=&quot;&quot;" command="SELECT * FROM [Vacuum (step 4 1) (test)]"/>
  </connection>
  <connection id="31" xr16:uid="{86D66196-1C9F-43EA-A869-339619870D7C}" keepAlive="1" name="Query - vacuum (step 4)" description="Connection to the 'vacuum (step 4)' query in the workbook." type="5" refreshedVersion="6" background="1" saveData="1">
    <dbPr connection="Provider=Microsoft.Mashup.OleDb.1;Data Source=$Workbook$;Location=&quot;vacuum (step 4)&quot;;Extended Properties=&quot;&quot;" command="SELECT * FROM [vacuum (step 4)]"/>
  </connection>
  <connection id="32" xr16:uid="{802C5196-4094-4AE6-8614-EDF6C5D4DF60}" keepAlive="1" name="Query - vacuum (step 4) (corrected)" description="Connection to the 'vacuum (step 4) (corrected)' query in the workbook." type="5" refreshedVersion="6" background="1" saveData="1">
    <dbPr connection="Provider=Microsoft.Mashup.OleDb.1;Data Source=$Workbook$;Location=&quot;vacuum (step 4) (corrected)&quot;;Extended Properties=&quot;&quot;" command="SELECT * FROM [vacuum (step 4) (corrected)]"/>
  </connection>
  <connection id="33" xr16:uid="{13C4AE9C-EA28-4866-BC90-DD8A1D36B442}" keepAlive="1" name="Query - vacuum (step 4) (corrected) (2)" description="Connection to the 'vacuum (step 4) (corrected) (2)' query in the workbook." type="5" refreshedVersion="6" background="1" saveData="1">
    <dbPr connection="Provider=Microsoft.Mashup.OleDb.1;Data Source=$Workbook$;Location=&quot;vacuum (step 4) (corrected) (2)&quot;;Extended Properties=&quot;&quot;" command="SELECT * FROM [vacuum (step 4) (corrected) (2)]"/>
  </connection>
  <connection id="34" xr16:uid="{718D4121-22BC-4486-9916-B11036A76052}" keepAlive="1" name="Query - vacuum (step 4) (corrected) (3)" description="Connection to the 'vacuum (step 4) (corrected) (3)' query in the workbook." type="5" refreshedVersion="6" background="1" saveData="1">
    <dbPr connection="Provider=Microsoft.Mashup.OleDb.1;Data Source=$Workbook$;Location=&quot;vacuum (step 4) (corrected) (3)&quot;;Extended Properties=&quot;&quot;" command="SELECT * FROM [vacuum (step 4) (corrected) (3)]"/>
  </connection>
  <connection id="35" xr16:uid="{BB5086D2-F6F2-4559-A454-70EFE06BF29A}" keepAlive="1" name="Query - vacuum (step 4) (corrected) (4)" description="Connection to the 'vacuum (step 4) (corrected) (4)' query in the workbook." type="5" refreshedVersion="6" background="1" saveData="1">
    <dbPr connection="Provider=Microsoft.Mashup.OleDb.1;Data Source=$Workbook$;Location=&quot;vacuum (step 4) (corrected) (4)&quot;;Extended Properties=&quot;&quot;" command="SELECT * FROM [vacuum (step 4) (corrected) (4)]"/>
  </connection>
  <connection id="36" xr16:uid="{22844F37-3221-4EB2-9604-2985955D480F}" keepAlive="1" name="Query - Vacuum (step 4) (SA)" description="Connection to the 'Vacuum (step 4) (SA)' query in the workbook." type="5" refreshedVersion="6" background="1" saveData="1">
    <dbPr connection="Provider=Microsoft.Mashup.OleDb.1;Data Source=$Workbook$;Location=&quot;Vacuum (step 4) (SA)&quot;;Extended Properties=&quot;&quot;" command="SELECT * FROM [Vacuum (step 4) (SA)]"/>
  </connection>
  <connection id="37" xr16:uid="{A004E4B2-70E8-4D33-A1D2-ABF3992C9DCD}" keepAlive="1" name="Query - Vacuum (step 4) (test)" description="Connection to the 'Vacuum (step 4) (test)' query in the workbook." type="5" refreshedVersion="6" background="1" saveData="1">
    <dbPr connection="Provider=Microsoft.Mashup.OleDb.1;Data Source=$Workbook$;Location=&quot;Vacuum (step 4) (test)&quot;;Extended Properties=&quot;&quot;" command="SELECT * FROM [Vacuum (step 4) (test)]"/>
  </connection>
  <connection id="38" xr16:uid="{0E9F7A92-085B-416F-AC44-919FD796FAF0}" keepAlive="1" name="Query - vacuum (step 5 1)" description="Connection to the 'vacuum (step 5 1)' query in the workbook." type="5" refreshedVersion="6" background="1" saveData="1">
    <dbPr connection="Provider=Microsoft.Mashup.OleDb.1;Data Source=$Workbook$;Location=&quot;vacuum (step 5 1)&quot;;Extended Properties=&quot;&quot;" command="SELECT * FROM [vacuum (step 5 1)]"/>
  </connection>
  <connection id="39" xr16:uid="{9890C2D3-A09A-4823-8F43-092B4D8263B8}" keepAlive="1" name="Query - vacuum (step 5 1) (corrected)" description="Connection to the 'vacuum (step 5 1) (corrected)' query in the workbook." type="5" refreshedVersion="6" background="1" saveData="1">
    <dbPr connection="Provider=Microsoft.Mashup.OleDb.1;Data Source=$Workbook$;Location=&quot;vacuum (step 5 1) (corrected)&quot;;Extended Properties=&quot;&quot;" command="SELECT * FROM [vacuum (step 5 1) (corrected)]"/>
  </connection>
  <connection id="40" xr16:uid="{E4202918-72D7-4B59-A056-09E914C8396B}" keepAlive="1" name="Query - vacuum (step 5 1) (corrected) (2)" description="Connection to the 'vacuum (step 5 1) (corrected) (2)' query in the workbook." type="5" refreshedVersion="6" background="1" saveData="1">
    <dbPr connection="Provider=Microsoft.Mashup.OleDb.1;Data Source=$Workbook$;Location=&quot;vacuum (step 5 1) (corrected) (2)&quot;;Extended Properties=&quot;&quot;" command="SELECT * FROM [vacuum (step 5 1) (corrected) (2)]"/>
  </connection>
  <connection id="41" xr16:uid="{0C2416DB-EE8E-4D66-9042-46F865D7D60D}" keepAlive="1" name="Query - vacuum (step 5 1) (corrected) (3)" description="Connection to the 'vacuum (step 5 1) (corrected) (3)' query in the workbook." type="5" refreshedVersion="6" background="1" saveData="1">
    <dbPr connection="Provider=Microsoft.Mashup.OleDb.1;Data Source=$Workbook$;Location=&quot;vacuum (step 5 1) (corrected) (3)&quot;;Extended Properties=&quot;&quot;" command="SELECT * FROM [vacuum (step 5 1) (corrected) (3)]"/>
  </connection>
  <connection id="42" xr16:uid="{F16DC4C3-84AC-4D59-8118-A2293219F61B}" keepAlive="1" name="Query - vacuum (step 5 1) (corrected) (4)" description="Connection to the 'vacuum (step 5 1) (corrected) (4)' query in the workbook." type="5" refreshedVersion="6" background="1" saveData="1">
    <dbPr connection="Provider=Microsoft.Mashup.OleDb.1;Data Source=$Workbook$;Location=&quot;vacuum (step 5 1) (corrected) (4)&quot;;Extended Properties=&quot;&quot;" command="SELECT * FROM [vacuum (step 5 1) (corrected) (4)]"/>
  </connection>
  <connection id="43" xr16:uid="{ED495DFD-C09E-49AB-AC5B-FF20111C5FC1}" keepAlive="1" name="Query - Vacuum (step 5 1) (SA)" description="Connection to the 'Vacuum (step 5 1) (SA)' query in the workbook." type="5" refreshedVersion="6" background="1" saveData="1">
    <dbPr connection="Provider=Microsoft.Mashup.OleDb.1;Data Source=$Workbook$;Location=&quot;Vacuum (step 5 1) (SA)&quot;;Extended Properties=&quot;&quot;" command="SELECT * FROM [Vacuum (step 5 1) (SA)]"/>
  </connection>
  <connection id="44" xr16:uid="{41A27196-5727-4306-B11E-2399636B763E}" keepAlive="1" name="Query - vacuum (step 5)" description="Connection to the 'vacuum (step 5)' query in the workbook." type="5" refreshedVersion="6" background="1" saveData="1">
    <dbPr connection="Provider=Microsoft.Mashup.OleDb.1;Data Source=$Workbook$;Location=&quot;vacuum (step 5)&quot;;Extended Properties=&quot;&quot;" command="SELECT * FROM [vacuum (step 5)]"/>
  </connection>
  <connection id="45" xr16:uid="{78D45F11-CACC-4D4F-B2F3-4BB63000EF80}" keepAlive="1" name="Query - vacuum (step 5) (corrected)" description="Connection to the 'vacuum (step 5) (corrected)' query in the workbook." type="5" refreshedVersion="6" background="1" saveData="1">
    <dbPr connection="Provider=Microsoft.Mashup.OleDb.1;Data Source=$Workbook$;Location=&quot;vacuum (step 5) (corrected)&quot;;Extended Properties=&quot;&quot;" command="SELECT * FROM [vacuum (step 5) (corrected)]"/>
  </connection>
  <connection id="46" xr16:uid="{1EB9A8BF-5D26-4D02-A9F7-37633DB5B49E}" keepAlive="1" name="Query - vacuum (step 5) (corrected) (2)" description="Connection to the 'vacuum (step 5) (corrected) (2)' query in the workbook." type="5" refreshedVersion="6" background="1" saveData="1">
    <dbPr connection="Provider=Microsoft.Mashup.OleDb.1;Data Source=$Workbook$;Location=&quot;vacuum (step 5) (corrected) (2)&quot;;Extended Properties=&quot;&quot;" command="SELECT * FROM [vacuum (step 5) (corrected) (2)]"/>
  </connection>
  <connection id="47" xr16:uid="{42CFD7FA-30E3-4815-B778-E1643A45408A}" keepAlive="1" name="Query - vacuum (step 5) (corrected) (3)" description="Connection to the 'vacuum (step 5) (corrected) (3)' query in the workbook." type="5" refreshedVersion="6" background="1" saveData="1">
    <dbPr connection="Provider=Microsoft.Mashup.OleDb.1;Data Source=$Workbook$;Location=&quot;vacuum (step 5) (corrected) (3)&quot;;Extended Properties=&quot;&quot;" command="SELECT * FROM [vacuum (step 5) (corrected) (3)]"/>
  </connection>
  <connection id="48" xr16:uid="{2CD0D3D1-6FE9-40A8-AD85-C271E1FBD5A8}" keepAlive="1" name="Query - vacuum (step 5) (corrected) (4)" description="Connection to the 'vacuum (step 5) (corrected) (4)' query in the workbook." type="5" refreshedVersion="6" background="1" saveData="1">
    <dbPr connection="Provider=Microsoft.Mashup.OleDb.1;Data Source=$Workbook$;Location=&quot;vacuum (step 5) (corrected) (4)&quot;;Extended Properties=&quot;&quot;" command="SELECT * FROM [vacuum (step 5) (corrected) (4)]"/>
  </connection>
  <connection id="49" xr16:uid="{4860B8DE-899F-4062-84A4-64CB7B4BAEFB}" keepAlive="1" name="Query - vacuum (step 5) (corrected) (5)" description="Connection to the 'vacuum (step 5) (corrected) (5)' query in the workbook." type="5" refreshedVersion="6" background="1" saveData="1">
    <dbPr connection="Provider=Microsoft.Mashup.OleDb.1;Data Source=$Workbook$;Location=&quot;vacuum (step 5) (corrected) (5)&quot;;Extended Properties=&quot;&quot;" command="SELECT * FROM [vacuum (step 5) (corrected) (5)]"/>
  </connection>
  <connection id="50" xr16:uid="{BEC92616-D7E9-463F-BD4B-87A55C562510}" keepAlive="1" name="Query - Vacuum (step 5) (SA)" description="Connection to the 'Vacuum (step 5) (SA)' query in the workbook." type="5" refreshedVersion="6" background="1" saveData="1">
    <dbPr connection="Provider=Microsoft.Mashup.OleDb.1;Data Source=$Workbook$;Location=&quot;Vacuum (step 5) (SA)&quot;;Extended Properties=&quot;&quot;" command="SELECT * FROM [Vacuum (step 5) (SA)]"/>
  </connection>
  <connection id="51" xr16:uid="{E8B1B375-A203-492A-B08D-5D4EF36D927D}" keepAlive="1" name="Query - Vacuum (step 5) (test)" description="Connection to the 'Vacuum (step 5) (test)' query in the workbook." type="5" refreshedVersion="6" background="1" saveData="1">
    <dbPr connection="Provider=Microsoft.Mashup.OleDb.1;Data Source=$Workbook$;Location=&quot;Vacuum (step 5) (test)&quot;;Extended Properties=&quot;&quot;" command="SELECT * FROM [Vacuum (step 5) (test)]"/>
  </connection>
  <connection id="52" xr16:uid="{3C3EF5AC-E461-4A9A-8701-CCA3B5DE8052}" keepAlive="1" name="Query - Vacuum (step5 1) (test)" description="Connection to the 'Vacuum (step5 1) (test)' query in the workbook." type="5" refreshedVersion="6" background="1" saveData="1">
    <dbPr connection="Provider=Microsoft.Mashup.OleDb.1;Data Source=$Workbook$;Location=&quot;Vacuum (step5 1) (test)&quot;;Extended Properties=&quot;&quot;" command="SELECT * FROM [Vacuum (step5 1) (test)]"/>
  </connection>
  <connection id="53" xr16:uid="{CE430524-CD32-4DE4-BC12-5E9245483225}" keepAlive="1" name="Query - with window (step 1)" description="Connection to the 'with window (step 1)' query in the workbook." type="5" refreshedVersion="6" background="1" saveData="1">
    <dbPr connection="Provider=Microsoft.Mashup.OleDb.1;Data Source=$Workbook$;Location=&quot;with window (step 1)&quot;;Extended Properties=&quot;&quot;" command="SELECT * FROM [with window (step 1)]"/>
  </connection>
  <connection id="54" xr16:uid="{EFB838AF-3FF7-4D90-98D1-85D5B185231E}" keepAlive="1" name="Query - With window (step 1) (corrected)" description="Connection to the 'With window (step 1) (corrected)' query in the workbook." type="5" refreshedVersion="6" background="1" saveData="1">
    <dbPr connection="Provider=Microsoft.Mashup.OleDb.1;Data Source=$Workbook$;Location=&quot;With window (step 1) (corrected)&quot;;Extended Properties=&quot;&quot;" command="SELECT * FROM [With window (step 1) (corrected)]"/>
  </connection>
  <connection id="55" xr16:uid="{D2A3C040-2B4C-4331-8C47-A2C8C8F9D51A}" keepAlive="1" name="Query - With window (step 1) (corrected) (2)" description="Connection to the 'With window (step 1) (corrected) (2)' query in the workbook." type="5" refreshedVersion="6" background="1" saveData="1">
    <dbPr connection="Provider=Microsoft.Mashup.OleDb.1;Data Source=$Workbook$;Location=&quot;With window (step 1) (corrected) (2)&quot;;Extended Properties=&quot;&quot;" command="SELECT * FROM [With window (step 1) (corrected) (2)]"/>
  </connection>
  <connection id="56" xr16:uid="{D405615F-F7F7-49BA-82F3-7A78D7DFCB8F}" keepAlive="1" name="Query - With window (step 1) (corrected) (3)" description="Connection to the 'With window (step 1) (corrected) (3)' query in the workbook." type="5" refreshedVersion="6" background="1" saveData="1">
    <dbPr connection="Provider=Microsoft.Mashup.OleDb.1;Data Source=$Workbook$;Location=&quot;With window (step 1) (corrected) (3)&quot;;Extended Properties=&quot;&quot;" command="SELECT * FROM [With window (step 1) (corrected) (3)]"/>
  </connection>
  <connection id="57" xr16:uid="{46D52FAB-1236-47EE-B337-BB8B1EDE292C}" keepAlive="1" name="Query - With window (step 1) (corrected) (4)" description="Connection to the 'With window (step 1) (corrected) (4)' query in the workbook." type="5" refreshedVersion="6" background="1" saveData="1">
    <dbPr connection="Provider=Microsoft.Mashup.OleDb.1;Data Source=$Workbook$;Location=&quot;With window (step 1) (corrected) (4)&quot;;Extended Properties=&quot;&quot;" command="SELECT * FROM [With window (step 1) (corrected) (4)]"/>
  </connection>
  <connection id="58" xr16:uid="{574EA384-A3E9-4C45-982D-BB0188FC5407}" keepAlive="1" name="Query - With window (step 1) (corrected) (5)" description="Connection to the 'With window (step 1) (corrected) (5)' query in the workbook." type="5" refreshedVersion="6" background="1" saveData="1">
    <dbPr connection="Provider=Microsoft.Mashup.OleDb.1;Data Source=$Workbook$;Location=&quot;With window (step 1) (corrected) (5)&quot;;Extended Properties=&quot;&quot;" command="SELECT * FROM [With window (step 1) (corrected) (5)]"/>
  </connection>
  <connection id="59" xr16:uid="{09C3F890-3D09-4387-B6E1-11EAC9F72AB3}" keepAlive="1" name="Query - With window (step 1) (SA)" description="Connection to the 'With window (step 1) (SA)' query in the workbook." type="5" refreshedVersion="6" background="1" saveData="1">
    <dbPr connection="Provider=Microsoft.Mashup.OleDb.1;Data Source=$Workbook$;Location=&quot;With window (step 1) (SA)&quot;;Extended Properties=&quot;&quot;" command="SELECT * FROM [With window (step 1) (SA)]"/>
  </connection>
  <connection id="60" xr16:uid="{CAEDBFE0-986A-4DA7-B7EF-DE22598A3D46}" keepAlive="1" name="Query - with window (step 2)" description="Connection to the 'with window (step 2)' query in the workbook." type="5" refreshedVersion="6" background="1" saveData="1">
    <dbPr connection="Provider=Microsoft.Mashup.OleDb.1;Data Source=$Workbook$;Location=&quot;with window (step 2)&quot;;Extended Properties=&quot;&quot;" command="SELECT * FROM [with window (step 2)]"/>
  </connection>
  <connection id="61" xr16:uid="{F3D58F40-AE8F-406F-932C-B633B24EFED3}" keepAlive="1" name="Query - with window (step 2) (corrected)" description="Connection to the 'with window (step 2) (corrected)' query in the workbook." type="5" refreshedVersion="6" background="1" saveData="1">
    <dbPr connection="Provider=Microsoft.Mashup.OleDb.1;Data Source=$Workbook$;Location=&quot;with window (step 2) (corrected)&quot;;Extended Properties=&quot;&quot;" command="SELECT * FROM [with window (step 2) (corrected)]"/>
  </connection>
  <connection id="62" xr16:uid="{BDFC3D98-3CBC-4941-970A-F185743CBAB0}" keepAlive="1" name="Query - with window (step 2) (corrected) (2)" description="Connection to the 'with window (step 2) (corrected) (2)' query in the workbook." type="5" refreshedVersion="6" background="1" saveData="1">
    <dbPr connection="Provider=Microsoft.Mashup.OleDb.1;Data Source=$Workbook$;Location=&quot;with window (step 2) (corrected) (2)&quot;;Extended Properties=&quot;&quot;" command="SELECT * FROM [with window (step 2) (corrected) (2)]"/>
  </connection>
  <connection id="63" xr16:uid="{42FCF22F-815E-4F07-905A-75577F4E54B4}" keepAlive="1" name="Query - with window (step 2) (corrected) (3)" description="Connection to the 'with window (step 2) (corrected) (3)' query in the workbook." type="5" refreshedVersion="6" background="1" saveData="1">
    <dbPr connection="Provider=Microsoft.Mashup.OleDb.1;Data Source=$Workbook$;Location=&quot;with window (step 2) (corrected) (3)&quot;;Extended Properties=&quot;&quot;" command="SELECT * FROM [with window (step 2) (corrected) (3)]"/>
  </connection>
  <connection id="64" xr16:uid="{F6BB41EB-E415-4510-A60C-9C71DF768067}" keepAlive="1" name="Query - with window (step 2) (corrected) (4)" description="Connection to the 'with window (step 2) (corrected) (4)' query in the workbook." type="5" refreshedVersion="6" background="1" saveData="1">
    <dbPr connection="Provider=Microsoft.Mashup.OleDb.1;Data Source=$Workbook$;Location=&quot;with window (step 2) (corrected) (4)&quot;;Extended Properties=&quot;&quot;" command="SELECT * FROM [with window (step 2) (corrected) (4)]"/>
  </connection>
  <connection id="65" xr16:uid="{2C963721-5D20-432C-9E9F-32FE33C71D79}" keepAlive="1" name="Query - with window (step 2) (corrected) (5)" description="Connection to the 'with window (step 2) (corrected) (5)' query in the workbook." type="5" refreshedVersion="6" background="1" saveData="1">
    <dbPr connection="Provider=Microsoft.Mashup.OleDb.1;Data Source=$Workbook$;Location=&quot;with window (step 2) (corrected) (5)&quot;;Extended Properties=&quot;&quot;" command="SELECT * FROM [with window (step 2) (corrected) (5)]"/>
  </connection>
  <connection id="66" xr16:uid="{DD3D4B69-79C7-415E-92ED-D68882121464}" keepAlive="1" name="Query - With window (step 2) (SA)" description="Connection to the 'With window (step 2) (SA)' query in the workbook." type="5" refreshedVersion="6" background="1" saveData="1">
    <dbPr connection="Provider=Microsoft.Mashup.OleDb.1;Data Source=$Workbook$;Location=&quot;With window (step 2) (SA)&quot;;Extended Properties=&quot;&quot;" command="SELECT * FROM [With window (step 2) (SA)]"/>
  </connection>
  <connection id="67" xr16:uid="{86EBD90E-42B4-4ECC-A86E-C79513B14DA7}" keepAlive="1" name="Query - with window (step 3)" description="Connection to the 'with window (step 3)' query in the workbook." type="5" refreshedVersion="6" background="1" saveData="1">
    <dbPr connection="Provider=Microsoft.Mashup.OleDb.1;Data Source=$Workbook$;Location=&quot;with window (step 3)&quot;;Extended Properties=&quot;&quot;" command="SELECT * FROM [with window (step 3)]"/>
  </connection>
  <connection id="68" xr16:uid="{CA952A35-2FF7-4829-9288-2D10554CE764}" keepAlive="1" name="Query - with window (step 3) (2)" description="Connection to the 'with window (step 3) (2)' query in the workbook." type="5" refreshedVersion="6" background="1" saveData="1">
    <dbPr connection="Provider=Microsoft.Mashup.OleDb.1;Data Source=$Workbook$;Location=&quot;with window (step 3) (2)&quot;;Extended Properties=&quot;&quot;" command="SELECT * FROM [with window (step 3) (2)]"/>
  </connection>
  <connection id="69" xr16:uid="{4836CF1C-986A-4738-95EC-EF0EFDDADA03}" keepAlive="1" name="Query - with window (step 3) (corrected)" description="Connection to the 'with window (step 3) (corrected)' query in the workbook." type="5" refreshedVersion="6" background="1" saveData="1">
    <dbPr connection="Provider=Microsoft.Mashup.OleDb.1;Data Source=$Workbook$;Location=&quot;with window (step 3) (corrected)&quot;;Extended Properties=&quot;&quot;" command="SELECT * FROM [with window (step 3) (corrected)]"/>
  </connection>
  <connection id="70" xr16:uid="{57E74DC3-70E5-4D26-9CC4-C3C1628C8616}" keepAlive="1" name="Query - with window (step 3) (corrected) (2)" description="Connection to the 'with window (step 3) (corrected) (2)' query in the workbook." type="5" refreshedVersion="6" background="1" saveData="1">
    <dbPr connection="Provider=Microsoft.Mashup.OleDb.1;Data Source=$Workbook$;Location=&quot;with window (step 3) (corrected) (2)&quot;;Extended Properties=&quot;&quot;" command="SELECT * FROM [with window (step 3) (corrected) (2)]"/>
  </connection>
  <connection id="71" xr16:uid="{F34F67D5-E5A6-497E-91A1-E58107ED7076}" keepAlive="1" name="Query - with window (step 3) (corrected) (3)" description="Connection to the 'with window (step 3) (corrected) (3)' query in the workbook." type="5" refreshedVersion="6" background="1" saveData="1">
    <dbPr connection="Provider=Microsoft.Mashup.OleDb.1;Data Source=$Workbook$;Location=&quot;with window (step 3) (corrected) (3)&quot;;Extended Properties=&quot;&quot;" command="SELECT * FROM [with window (step 3) (corrected) (3)]"/>
  </connection>
  <connection id="72" xr16:uid="{7AE70656-17D2-450F-A212-223FA6F985A4}" keepAlive="1" name="Query - with window (step 3) (corrected) (4)" description="Connection to the 'with window (step 3) (corrected) (4)' query in the workbook." type="5" refreshedVersion="6" background="1" saveData="1">
    <dbPr connection="Provider=Microsoft.Mashup.OleDb.1;Data Source=$Workbook$;Location=&quot;with window (step 3) (corrected) (4)&quot;;Extended Properties=&quot;&quot;" command="SELECT * FROM [with window (step 3) (corrected) (4)]"/>
  </connection>
  <connection id="73" xr16:uid="{324DB481-5D77-4ABA-AEFE-0F8067746D9B}" keepAlive="1" name="Query - with window (step 3) (corrected) (5)" description="Connection to the 'with window (step 3) (corrected) (5)' query in the workbook." type="5" refreshedVersion="6" background="1" saveData="1">
    <dbPr connection="Provider=Microsoft.Mashup.OleDb.1;Data Source=$Workbook$;Location=&quot;with window (step 3) (corrected) (5)&quot;;Extended Properties=&quot;&quot;" command="SELECT * FROM [with window (step 3) (corrected) (5)]"/>
  </connection>
  <connection id="74" xr16:uid="{D61AF258-1234-40CA-BA87-63150DA283DD}" keepAlive="1" name="Query - With window (step 3) (SA)" description="Connection to the 'With window (step 3) (SA)' query in the workbook." type="5" refreshedVersion="6" background="1" saveData="1">
    <dbPr connection="Provider=Microsoft.Mashup.OleDb.1;Data Source=$Workbook$;Location=&quot;With window (step 3) (SA)&quot;;Extended Properties=&quot;&quot;" command="SELECT * FROM [With window (step 3) (SA)]"/>
  </connection>
  <connection id="75" xr16:uid="{31C9ED14-9740-4B85-AE99-7B0C15B552B0}" keepAlive="1" name="Query - with window (step 4 1)" description="Connection to the 'with window (step 4 1)' query in the workbook." type="5" refreshedVersion="6" background="1" saveData="1">
    <dbPr connection="Provider=Microsoft.Mashup.OleDb.1;Data Source=$Workbook$;Location=&quot;with window (step 4 1)&quot;;Extended Properties=&quot;&quot;" command="SELECT * FROM [with window (step 4 1)]"/>
  </connection>
  <connection id="76" xr16:uid="{9C8CF500-74BC-4370-B80E-A2FA87EF041F}" keepAlive="1" name="Query - with window (step 4 1) (corrected)" description="Connection to the 'with window (step 4 1) (corrected)' query in the workbook." type="5" refreshedVersion="6" background="1" saveData="1">
    <dbPr connection="Provider=Microsoft.Mashup.OleDb.1;Data Source=$Workbook$;Location=&quot;with window (step 4 1) (corrected)&quot;;Extended Properties=&quot;&quot;" command="SELECT * FROM [with window (step 4 1) (corrected)]"/>
  </connection>
  <connection id="77" xr16:uid="{EECCEB11-4539-4DCA-9D50-E4E1E6C58C45}" keepAlive="1" name="Query - with window (step 4 1) (corrected) (2)" description="Connection to the 'with window (step 4 1) (corrected) (2)' query in the workbook." type="5" refreshedVersion="6" background="1" saveData="1">
    <dbPr connection="Provider=Microsoft.Mashup.OleDb.1;Data Source=$Workbook$;Location=&quot;with window (step 4 1) (corrected) (2)&quot;;Extended Properties=&quot;&quot;" command="SELECT * FROM [with window (step 4 1) (corrected) (2)]"/>
  </connection>
  <connection id="78" xr16:uid="{FE5C3587-EE34-4CAF-AD07-B6B8F0AAD483}" keepAlive="1" name="Query - with window (step 4 1) (corrected) (3)" description="Connection to the 'with window (step 4 1) (corrected) (3)' query in the workbook." type="5" refreshedVersion="6" background="1" saveData="1">
    <dbPr connection="Provider=Microsoft.Mashup.OleDb.1;Data Source=$Workbook$;Location=&quot;with window (step 4 1) (corrected) (3)&quot;;Extended Properties=&quot;&quot;" command="SELECT * FROM [with window (step 4 1) (corrected) (3)]"/>
  </connection>
  <connection id="79" xr16:uid="{ECBC664D-496B-444C-83BB-18EE4F31E7CE}" keepAlive="1" name="Query - with window (step 4 1) (corrected) (4)" description="Connection to the 'with window (step 4 1) (corrected) (4)' query in the workbook." type="5" refreshedVersion="6" background="1" saveData="1">
    <dbPr connection="Provider=Microsoft.Mashup.OleDb.1;Data Source=$Workbook$;Location=&quot;with window (step 4 1) (corrected) (4)&quot;;Extended Properties=&quot;&quot;" command="SELECT * FROM [with window (step 4 1) (corrected) (4)]"/>
  </connection>
  <connection id="80" xr16:uid="{F1EEBB6B-DFF2-4680-A65D-67278566CF32}" keepAlive="1" name="Query - with window (step 4 1) (corrected) (5)" description="Connection to the 'with window (step 4 1) (corrected) (5)' query in the workbook." type="5" refreshedVersion="6" background="1" saveData="1">
    <dbPr connection="Provider=Microsoft.Mashup.OleDb.1;Data Source=$Workbook$;Location=&quot;with window (step 4 1) (corrected) (5)&quot;;Extended Properties=&quot;&quot;" command="SELECT * FROM [with window (step 4 1) (corrected) (5)]"/>
  </connection>
  <connection id="81" xr16:uid="{942A656C-CCA0-4006-B9E5-05656E96C0E5}" keepAlive="1" name="Query - With window (step 4 1) (SA)" description="Connection to the 'With window (step 4 1) (SA)' query in the workbook." type="5" refreshedVersion="6" background="1" saveData="1">
    <dbPr connection="Provider=Microsoft.Mashup.OleDb.1;Data Source=$Workbook$;Location=&quot;With window (step 4 1) (SA)&quot;;Extended Properties=&quot;&quot;" command="SELECT * FROM [With window (step 4 1) (SA)]"/>
  </connection>
  <connection id="82" xr16:uid="{DDBFB87F-896B-464B-A476-7E64321A85A2}" keepAlive="1" name="Query - with window (step 4)" description="Connection to the 'with window (step 4)' query in the workbook." type="5" refreshedVersion="6" background="1" saveData="1">
    <dbPr connection="Provider=Microsoft.Mashup.OleDb.1;Data Source=$Workbook$;Location=&quot;with window (step 4)&quot;;Extended Properties=&quot;&quot;" command="SELECT * FROM [with window (step 4)]"/>
  </connection>
  <connection id="83" xr16:uid="{FD56B84D-EC64-4857-9927-C43DAF3A095F}" keepAlive="1" name="Query - with window (step 4) (corrected)" description="Connection to the 'with window (step 4) (corrected)' query in the workbook." type="5" refreshedVersion="6" background="1" saveData="1">
    <dbPr connection="Provider=Microsoft.Mashup.OleDb.1;Data Source=$Workbook$;Location=&quot;with window (step 4) (corrected)&quot;;Extended Properties=&quot;&quot;" command="SELECT * FROM [with window (step 4) (corrected)]"/>
  </connection>
  <connection id="84" xr16:uid="{4ACEDD3D-0574-4DBA-8DB6-07ACA7A26110}" keepAlive="1" name="Query - with window (step 4) (corrected) (2)" description="Connection to the 'with window (step 4) (corrected) (2)' query in the workbook." type="5" refreshedVersion="6" background="1" saveData="1">
    <dbPr connection="Provider=Microsoft.Mashup.OleDb.1;Data Source=$Workbook$;Location=&quot;with window (step 4) (corrected) (2)&quot;;Extended Properties=&quot;&quot;" command="SELECT * FROM [with window (step 4) (corrected) (2)]"/>
  </connection>
  <connection id="85" xr16:uid="{75005421-2B13-4329-87AE-BB401432EB50}" keepAlive="1" name="Query - with window (step 4) (corrected) (3)" description="Connection to the 'with window (step 4) (corrected) (3)' query in the workbook." type="5" refreshedVersion="6" background="1" saveData="1">
    <dbPr connection="Provider=Microsoft.Mashup.OleDb.1;Data Source=$Workbook$;Location=&quot;with window (step 4) (corrected) (3)&quot;;Extended Properties=&quot;&quot;" command="SELECT * FROM [with window (step 4) (corrected) (3)]"/>
  </connection>
  <connection id="86" xr16:uid="{53A5DB95-CF2E-4E1E-82A8-08BFADFAC511}" keepAlive="1" name="Query - with window (step 4) (corrected) (4)" description="Connection to the 'with window (step 4) (corrected) (4)' query in the workbook." type="5" refreshedVersion="6" background="1" saveData="1">
    <dbPr connection="Provider=Microsoft.Mashup.OleDb.1;Data Source=$Workbook$;Location=&quot;with window (step 4) (corrected) (4)&quot;;Extended Properties=&quot;&quot;" command="SELECT * FROM [with window (step 4) (corrected) (4)]"/>
  </connection>
  <connection id="87" xr16:uid="{985177F8-E2D7-439F-BDD3-206731EA83B0}" keepAlive="1" name="Query - with window (step 4) (corrected) (5)" description="Connection to the 'with window (step 4) (corrected) (5)' query in the workbook." type="5" refreshedVersion="6" background="1" saveData="1">
    <dbPr connection="Provider=Microsoft.Mashup.OleDb.1;Data Source=$Workbook$;Location=&quot;with window (step 4) (corrected) (5)&quot;;Extended Properties=&quot;&quot;" command="SELECT * FROM [with window (step 4) (corrected) (5)]"/>
  </connection>
  <connection id="88" xr16:uid="{5A9C84BC-0ABB-4199-A353-BEF415B40667}" keepAlive="1" name="Query - With window (step 4) (SA)" description="Connection to the 'With window (step 4) (SA)' query in the workbook." type="5" refreshedVersion="6" background="1" saveData="1">
    <dbPr connection="Provider=Microsoft.Mashup.OleDb.1;Data Source=$Workbook$;Location=&quot;With window (step 4) (SA)&quot;;Extended Properties=&quot;&quot;" command="SELECT * FROM [With window (step 4) (SA)]"/>
  </connection>
  <connection id="89" xr16:uid="{811D17C0-FE47-4952-BB5F-9E22EF4F0A39}" keepAlive="1" name="Query - with window (step 5 1)" description="Connection to the 'with window (step 5 1)' query in the workbook." type="5" refreshedVersion="6" background="1" saveData="1">
    <dbPr connection="Provider=Microsoft.Mashup.OleDb.1;Data Source=$Workbook$;Location=&quot;with window (step 5 1)&quot;;Extended Properties=&quot;&quot;" command="SELECT * FROM [with window (step 5 1)]"/>
  </connection>
  <connection id="90" xr16:uid="{AA801EB5-371F-453C-AE2D-962A5B1B8653}" keepAlive="1" name="Query - with window (step 5 1) (corrected)" description="Connection to the 'with window (step 5 1) (corrected)' query in the workbook." type="5" refreshedVersion="6" background="1" saveData="1">
    <dbPr connection="Provider=Microsoft.Mashup.OleDb.1;Data Source=$Workbook$;Location=&quot;with window (step 5 1) (corrected)&quot;;Extended Properties=&quot;&quot;" command="SELECT * FROM [with window (step 5 1) (corrected)]"/>
  </connection>
  <connection id="91" xr16:uid="{984377B3-C88F-4D2F-8CC9-687496FC4CEC}" keepAlive="1" name="Query - with window (step 5 1) (corrected) (2)" description="Connection to the 'with window (step 5 1) (corrected) (2)' query in the workbook." type="5" refreshedVersion="6" background="1" saveData="1">
    <dbPr connection="Provider=Microsoft.Mashup.OleDb.1;Data Source=$Workbook$;Location=&quot;with window (step 5 1) (corrected) (2)&quot;;Extended Properties=&quot;&quot;" command="SELECT * FROM [with window (step 5 1) (corrected) (2)]"/>
  </connection>
  <connection id="92" xr16:uid="{94FEA453-9D49-4352-A0D6-BECEB72C7C0B}" keepAlive="1" name="Query - with window (step 5 1) (corrected) (3)" description="Connection to the 'with window (step 5 1) (corrected) (3)' query in the workbook." type="5" refreshedVersion="6" background="1" saveData="1">
    <dbPr connection="Provider=Microsoft.Mashup.OleDb.1;Data Source=$Workbook$;Location=&quot;with window (step 5 1) (corrected) (3)&quot;;Extended Properties=&quot;&quot;" command="SELECT * FROM [with window (step 5 1) (corrected) (3)]"/>
  </connection>
  <connection id="93" xr16:uid="{839D6425-58E8-42F0-BE6A-D7B692C7E617}" keepAlive="1" name="Query - with window (step 5 1) (corrected) (4)" description="Connection to the 'with window (step 5 1) (corrected) (4)' query in the workbook." type="5" refreshedVersion="6" background="1" saveData="1">
    <dbPr connection="Provider=Microsoft.Mashup.OleDb.1;Data Source=$Workbook$;Location=&quot;with window (step 5 1) (corrected) (4)&quot;;Extended Properties=&quot;&quot;" command="SELECT * FROM [with window (step 5 1) (corrected) (4)]"/>
  </connection>
  <connection id="94" xr16:uid="{B64233BB-7A7B-4AFD-920A-2AE69DA63CB3}" keepAlive="1" name="Query - with window (step 5 1) (corrected) (5)" description="Connection to the 'with window (step 5 1) (corrected) (5)' query in the workbook." type="5" refreshedVersion="6" background="1" saveData="1">
    <dbPr connection="Provider=Microsoft.Mashup.OleDb.1;Data Source=$Workbook$;Location=&quot;with window (step 5 1) (corrected) (5)&quot;;Extended Properties=&quot;&quot;" command="SELECT * FROM [with window (step 5 1) (corrected) (5)]"/>
  </connection>
  <connection id="95" xr16:uid="{99478F01-A204-4A54-A5E6-9BA4CC277401}" keepAlive="1" name="Query - With window (step 5 1) (SA)" description="Connection to the 'With window (step 5 1) (SA)' query in the workbook." type="5" refreshedVersion="6" background="1" saveData="1">
    <dbPr connection="Provider=Microsoft.Mashup.OleDb.1;Data Source=$Workbook$;Location=&quot;With window (step 5 1) (SA)&quot;;Extended Properties=&quot;&quot;" command="SELECT * FROM [With window (step 5 1) (SA)]"/>
  </connection>
  <connection id="96" xr16:uid="{464CB2AC-4751-4B25-949E-18E45A5DC0AF}" keepAlive="1" name="Query - with window (step 5)" description="Connection to the 'with window (step 5)' query in the workbook." type="5" refreshedVersion="6" background="1" saveData="1">
    <dbPr connection="Provider=Microsoft.Mashup.OleDb.1;Data Source=$Workbook$;Location=&quot;with window (step 5)&quot;;Extended Properties=&quot;&quot;" command="SELECT * FROM [with window (step 5)]"/>
  </connection>
  <connection id="97" xr16:uid="{406D20B5-0037-426A-A430-8B2889B971F4}" keepAlive="1" name="Query - with window (step 5) (corrected)" description="Connection to the 'with window (step 5) (corrected)' query in the workbook." type="5" refreshedVersion="6" background="1" saveData="1">
    <dbPr connection="Provider=Microsoft.Mashup.OleDb.1;Data Source=$Workbook$;Location=&quot;with window (step 5) (corrected)&quot;;Extended Properties=&quot;&quot;" command="SELECT * FROM [with window (step 5) (corrected)]"/>
  </connection>
  <connection id="98" xr16:uid="{035E3F33-127B-4112-8254-331DD12ACF97}" keepAlive="1" name="Query - with window (step 5) (corrected) (2)" description="Connection to the 'with window (step 5) (corrected) (2)' query in the workbook." type="5" refreshedVersion="6" background="1" saveData="1">
    <dbPr connection="Provider=Microsoft.Mashup.OleDb.1;Data Source=$Workbook$;Location=&quot;with window (step 5) (corrected) (2)&quot;;Extended Properties=&quot;&quot;" command="SELECT * FROM [with window (step 5) (corrected) (2)]"/>
  </connection>
  <connection id="99" xr16:uid="{4F4328FA-ED99-4B6E-9467-B74B3FEEADC0}" keepAlive="1" name="Query - with window (step 5) (corrected) (3)" description="Connection to the 'with window (step 5) (corrected) (3)' query in the workbook." type="5" refreshedVersion="6" background="1" saveData="1">
    <dbPr connection="Provider=Microsoft.Mashup.OleDb.1;Data Source=$Workbook$;Location=&quot;with window (step 5) (corrected) (3)&quot;;Extended Properties=&quot;&quot;" command="SELECT * FROM [with window (step 5) (corrected) (3)]"/>
  </connection>
  <connection id="100" xr16:uid="{269EDBDA-90DA-4530-B647-860D8B9E963A}" keepAlive="1" name="Query - with window (step 5) (corrected) (4)" description="Connection to the 'with window (step 5) (corrected) (4)' query in the workbook." type="5" refreshedVersion="6" background="1" saveData="1">
    <dbPr connection="Provider=Microsoft.Mashup.OleDb.1;Data Source=$Workbook$;Location=&quot;with window (step 5) (corrected) (4)&quot;;Extended Properties=&quot;&quot;" command="SELECT * FROM [with window (step 5) (corrected) (4)]"/>
  </connection>
  <connection id="101" xr16:uid="{37D301ED-FBFF-4F6F-9F0F-3AC92BADD3AA}" keepAlive="1" name="Query - with window (step 5) (corrected) (5)" description="Connection to the 'with window (step 5) (corrected) (5)' query in the workbook." type="5" refreshedVersion="6" background="1" saveData="1">
    <dbPr connection="Provider=Microsoft.Mashup.OleDb.1;Data Source=$Workbook$;Location=&quot;with window (step 5) (corrected) (5)&quot;;Extended Properties=&quot;&quot;" command="SELECT * FROM [with window (step 5) (corrected) (5)]"/>
  </connection>
  <connection id="102" xr16:uid="{6F11EFD5-6510-4447-942A-C63E0B4E7B7D}" keepAlive="1" name="Query - With window (Step 5) (SA)" description="Connection to the 'With window (Step 5) (SA)' query in the workbook." type="5" refreshedVersion="6" background="1" saveData="1">
    <dbPr connection="Provider=Microsoft.Mashup.OleDb.1;Data Source=$Workbook$;Location=&quot;With window (Step 5) (SA)&quot;;Extended Properties=&quot;&quot;" command="SELECT * FROM [With window (Step 5) (SA)]"/>
  </connection>
  <connection id="103" xr16:uid="{30F54AEB-DF0A-418C-8E11-38ABA12250CF}" keepAlive="1" name="Query - without window (step 1) (1 7m)" description="Connection to the 'without window (step 1) (1 7m)' query in the workbook." type="5" refreshedVersion="6" background="1" saveData="1">
    <dbPr connection="Provider=Microsoft.Mashup.OleDb.1;Data Source=$Workbook$;Location=&quot;without window (step 1) (1 7m)&quot;;Extended Properties=&quot;&quot;" command="SELECT * FROM [without window (step 1) (1 7m)]"/>
  </connection>
  <connection id="104" xr16:uid="{700A2D88-53E6-4263-8E2C-B78A58157F22}" keepAlive="1" name="Query - without window (step 1) (1 7m) (2)" description="Connection to the 'without window (step 1) (1 7m) (2)' query in the workbook." type="5" refreshedVersion="6" background="1" saveData="1">
    <dbPr connection="Provider=Microsoft.Mashup.OleDb.1;Data Source=$Workbook$;Location=&quot;without window (step 1) (1 7m) (2)&quot;;Extended Properties=&quot;&quot;" command="SELECT * FROM [without window (step 1) (1 7m) (2)]"/>
  </connection>
  <connection id="105" xr16:uid="{728A01BB-CB1A-4499-8142-56473D4E8B28}" keepAlive="1" name="Query - without window (step 1) (1 7m) (3)" description="Connection to the 'without window (step 1) (1 7m) (3)' query in the workbook." type="5" refreshedVersion="6" background="1" saveData="1">
    <dbPr connection="Provider=Microsoft.Mashup.OleDb.1;Data Source=$Workbook$;Location=&quot;without window (step 1) (1 7m) (3)&quot;;Extended Properties=&quot;&quot;" command="SELECT * FROM [without window (step 1) (1 7m) (3)]"/>
  </connection>
  <connection id="106" xr16:uid="{6046B748-9C06-4241-AF63-F3C350003F48}" keepAlive="1" name="Query - without window (step 1) (1 7m) (4)" description="Connection to the 'without window (step 1) (1 7m) (4)' query in the workbook." type="5" refreshedVersion="0" background="1">
    <dbPr connection="Provider=Microsoft.Mashup.OleDb.1;Data Source=$Workbook$;Location=&quot;without window (step 1) (1 7m) (4)&quot;;Extended Properties=&quot;&quot;" command="SELECT * FROM [without window (step 1) (1 7m) (4)]"/>
  </connection>
  <connection id="107" xr16:uid="{293CB5D4-E5A3-49F4-9234-BE06F064DA93}" keepAlive="1" name="Query - without window (step 1) (1 7m) (5)" description="Connection to the 'without window (step 1) (1 7m) (5)' query in the workbook." type="5" refreshedVersion="6" background="1" saveData="1">
    <dbPr connection="Provider=Microsoft.Mashup.OleDb.1;Data Source=$Workbook$;Location=&quot;without window (step 1) (1 7m) (5)&quot;;Extended Properties=&quot;&quot;" command="SELECT * FROM [without window (step 1) (1 7m) (5)]"/>
  </connection>
  <connection id="108" xr16:uid="{D48C83D8-2F92-40F4-8E3A-4EAEF9C5F607}" keepAlive="1" name="Query - without window (step 1) (1 7m) (6)" description="Connection to the 'without window (step 1) (1 7m) (6)' query in the workbook." type="5" refreshedVersion="6" background="1" saveData="1">
    <dbPr connection="Provider=Microsoft.Mashup.OleDb.1;Data Source=$Workbook$;Location=&quot;without window (step 1) (1 7m) (6)&quot;;Extended Properties=&quot;&quot;" command="SELECT * FROM [without window (step 1) (1 7m) (6)]"/>
  </connection>
  <connection id="109" xr16:uid="{DE1DFE22-6C8A-411B-AFBF-99065BC56A0A}" keepAlive="1" name="Query - without window (step 1) (1 7m) (7)" description="Connection to the 'without window (step 1) (1 7m) (7)' query in the workbook." type="5" refreshedVersion="6" background="1" saveData="1">
    <dbPr connection="Provider=Microsoft.Mashup.OleDb.1;Data Source=$Workbook$;Location=&quot;without window (step 1) (1 7m) (7)&quot;;Extended Properties=&quot;&quot;" command="SELECT * FROM [without window (step 1) (1 7m) (7)]"/>
  </connection>
  <connection id="110" xr16:uid="{4856163F-750C-4C15-B5C8-C4B138E039EA}" keepAlive="1" name="Query - without window (step 2) (1 99m)" description="Connection to the 'without window (step 2) (1 99m)' query in the workbook." type="5" refreshedVersion="6" background="1" saveData="1">
    <dbPr connection="Provider=Microsoft.Mashup.OleDb.1;Data Source=$Workbook$;Location=&quot;without window (step 2) (1 99m)&quot;;Extended Properties=&quot;&quot;" command="SELECT * FROM [without window (step 2) (1 99m)]"/>
  </connection>
  <connection id="111" xr16:uid="{01100646-4BA7-4A58-ADD6-3FE1E9EA28C2}" keepAlive="1" name="Query - without window (step 2) (1 99m) (2)" description="Connection to the 'without window (step 2) (1 99m) (2)' query in the workbook." type="5" refreshedVersion="6" background="1" saveData="1">
    <dbPr connection="Provider=Microsoft.Mashup.OleDb.1;Data Source=$Workbook$;Location=&quot;without window (step 2) (1 99m) (2)&quot;;Extended Properties=&quot;&quot;" command="SELECT * FROM [without window (step 2) (1 99m) (2)]"/>
  </connection>
  <connection id="112" xr16:uid="{D935B5B8-A485-4DF4-9DB6-DDC3D5054483}" keepAlive="1" name="Query - without window (step 2) (1 99m) (3)" description="Connection to the 'without window (step 2) (1 99m) (3)' query in the workbook." type="5" refreshedVersion="6" background="1" saveData="1">
    <dbPr connection="Provider=Microsoft.Mashup.OleDb.1;Data Source=$Workbook$;Location=&quot;without window (step 2) (1 99m) (3)&quot;;Extended Properties=&quot;&quot;" command="SELECT * FROM [without window (step 2) (1 99m) (3)]"/>
  </connection>
  <connection id="113" xr16:uid="{CDCBA85C-877B-4407-9A67-269A3AB90727}" keepAlive="1" name="Query - without window (step 2) (1 99m) (4)" description="Connection to the 'without window (step 2) (1 99m) (4)' query in the workbook." type="5" refreshedVersion="6" background="1" saveData="1">
    <dbPr connection="Provider=Microsoft.Mashup.OleDb.1;Data Source=$Workbook$;Location=&quot;without window (step 2) (1 99m) (4)&quot;;Extended Properties=&quot;&quot;" command="SELECT * FROM [without window (step 2) (1 99m) (4)]"/>
  </connection>
  <connection id="114" xr16:uid="{2400A8B7-1BE3-480C-97ED-2B45D74AA40A}" keepAlive="1" name="Query - without window (step 2) (1 99m) (5)" description="Connection to the 'without window (step 2) (1 99m) (5)' query in the workbook." type="5" refreshedVersion="6" background="1" saveData="1">
    <dbPr connection="Provider=Microsoft.Mashup.OleDb.1;Data Source=$Workbook$;Location=&quot;without window (step 2) (1 99m) (5)&quot;;Extended Properties=&quot;&quot;" command="SELECT * FROM [without window (step 2) (1 99m) (5)]"/>
  </connection>
  <connection id="115" xr16:uid="{CEDA47EA-A28A-404A-B92A-A19154F6DA25}" keepAlive="1" name="Query - without window (step 3) (2 28m)" description="Connection to the 'without window (step 3) (2 28m)' query in the workbook." type="5" refreshedVersion="6" background="1" saveData="1">
    <dbPr connection="Provider=Microsoft.Mashup.OleDb.1;Data Source=$Workbook$;Location=&quot;without window (step 3) (2 28m)&quot;;Extended Properties=&quot;&quot;" command="SELECT * FROM [without window (step 3) (2 28m)]"/>
  </connection>
  <connection id="116" xr16:uid="{049CEE19-F335-4E42-A230-F3D2E3A8E514}" keepAlive="1" name="Query - without window (step 3) (2 28m) (2)" description="Connection to the 'without window (step 3) (2 28m) (2)' query in the workbook." type="5" refreshedVersion="6" background="1" saveData="1">
    <dbPr connection="Provider=Microsoft.Mashup.OleDb.1;Data Source=$Workbook$;Location=&quot;without window (step 3) (2 28m) (2)&quot;;Extended Properties=&quot;&quot;" command="SELECT * FROM [without window (step 3) (2 28m) (2)]"/>
  </connection>
  <connection id="117" xr16:uid="{331E58E4-EAB2-4C93-AF2B-453F33D5CE95}" keepAlive="1" name="Query - without window (step 3) (2 28m) (3)" description="Connection to the 'without window (step 3) (2 28m) (3)' query in the workbook." type="5" refreshedVersion="6" background="1" saveData="1">
    <dbPr connection="Provider=Microsoft.Mashup.OleDb.1;Data Source=$Workbook$;Location=&quot;without window (step 3) (2 28m) (3)&quot;;Extended Properties=&quot;&quot;" command="SELECT * FROM [without window (step 3) (2 28m) (3)]"/>
  </connection>
  <connection id="118" xr16:uid="{ED39360C-A91F-4774-AD05-60ABBCAD76D4}" keepAlive="1" name="Query - without window (step 3) (2 28m) (4)" description="Connection to the 'without window (step 3) (2 28m) (4)' query in the workbook." type="5" refreshedVersion="6" background="1" saveData="1">
    <dbPr connection="Provider=Microsoft.Mashup.OleDb.1;Data Source=$Workbook$;Location=&quot;without window (step 3) (2 28m) (4)&quot;;Extended Properties=&quot;&quot;" command="SELECT * FROM [without window (step 3) (2 28m) (4)]"/>
  </connection>
  <connection id="119" xr16:uid="{9F5D19E2-4D49-4849-BE69-99EF469ADF77}" keepAlive="1" name="Query - without window (step 3) (2 28m) (5)" description="Connection to the 'without window (step 3) (2 28m) (5)' query in the workbook." type="5" refreshedVersion="6" background="1" saveData="1">
    <dbPr connection="Provider=Microsoft.Mashup.OleDb.1;Data Source=$Workbook$;Location=&quot;without window (step 3) (2 28m) (5)&quot;;Extended Properties=&quot;&quot;" command="SELECT * FROM [without window (step 3) (2 28m) (5)]"/>
  </connection>
  <connection id="120" xr16:uid="{34ADC31D-07A5-4ADE-BB67-3C63129464CF}" keepAlive="1" name="Query - without window (step 4 1) (2 58m)" description="Connection to the 'without window (step 4 1) (2 58m)' query in the workbook." type="5" refreshedVersion="6" background="1" saveData="1">
    <dbPr connection="Provider=Microsoft.Mashup.OleDb.1;Data Source=$Workbook$;Location=&quot;without window (step 4 1) (2 58m)&quot;;Extended Properties=&quot;&quot;" command="SELECT * FROM [without window (step 4 1) (2 58m)]"/>
  </connection>
  <connection id="121" xr16:uid="{E285A94D-E246-4238-A310-3401A5B7830B}" keepAlive="1" name="Query - without window (step 4 1) (2 58m) (2)" description="Connection to the 'without window (step 4 1) (2 58m) (2)' query in the workbook." type="5" refreshedVersion="6" background="1" saveData="1">
    <dbPr connection="Provider=Microsoft.Mashup.OleDb.1;Data Source=$Workbook$;Location=&quot;without window (step 4 1) (2 58m) (2)&quot;;Extended Properties=&quot;&quot;" command="SELECT * FROM [without window (step 4 1) (2 58m) (2)]"/>
  </connection>
  <connection id="122" xr16:uid="{FF0BD9A6-862B-4539-A630-D7AEA1E0E2B2}" keepAlive="1" name="Query - without window (step 4 1) (2 58m) (3)" description="Connection to the 'without window (step 4 1) (2 58m) (3)' query in the workbook." type="5" refreshedVersion="6" background="1" saveData="1">
    <dbPr connection="Provider=Microsoft.Mashup.OleDb.1;Data Source=$Workbook$;Location=&quot;without window (step 4 1) (2 58m) (3)&quot;;Extended Properties=&quot;&quot;" command="SELECT * FROM [without window (step 4 1) (2 58m) (3)]"/>
  </connection>
  <connection id="123" xr16:uid="{45E8C5B1-ADCC-41AB-8915-7F9F5B2B9660}" keepAlive="1" name="Query - without window (step 4 1) (2 58m) (4)" description="Connection to the 'without window (step 4 1) (2 58m) (4)' query in the workbook." type="5" refreshedVersion="6" background="1" saveData="1">
    <dbPr connection="Provider=Microsoft.Mashup.OleDb.1;Data Source=$Workbook$;Location=&quot;without window (step 4 1) (2 58m) (4)&quot;;Extended Properties=&quot;&quot;" command="SELECT * FROM [without window (step 4 1) (2 58m) (4)]"/>
  </connection>
  <connection id="124" xr16:uid="{5F470CE8-E420-4101-B65C-1A9E543BE08B}" keepAlive="1" name="Query - without window (step 4 1) (2 58m) (5)" description="Connection to the 'without window (step 4 1) (2 58m) (5)' query in the workbook." type="5" refreshedVersion="6" background="1" saveData="1">
    <dbPr connection="Provider=Microsoft.Mashup.OleDb.1;Data Source=$Workbook$;Location=&quot;without window (step 4 1) (2 58m) (5)&quot;;Extended Properties=&quot;&quot;" command="SELECT * FROM [without window (step 4 1) (2 58m) (5)]"/>
  </connection>
  <connection id="125" xr16:uid="{695A2E15-0068-4680-8CFF-29E49A5F3DF7}" keepAlive="1" name="Query - without window (step 4) (2 58m)" description="Connection to the 'without window (step 4) (2 58m)' query in the workbook." type="5" refreshedVersion="6" background="1" saveData="1">
    <dbPr connection="Provider=Microsoft.Mashup.OleDb.1;Data Source=$Workbook$;Location=&quot;without window (step 4) (2 58m)&quot;;Extended Properties=&quot;&quot;" command="SELECT * FROM [without window (step 4) (2 58m)]"/>
  </connection>
  <connection id="126" xr16:uid="{5D57E7FE-853B-47B7-9A9C-C36EE6DEAFDA}" keepAlive="1" name="Query - without window (step 4) (2 58m) (2)" description="Connection to the 'without window (step 4) (2 58m) (2)' query in the workbook." type="5" refreshedVersion="6" background="1" saveData="1">
    <dbPr connection="Provider=Microsoft.Mashup.OleDb.1;Data Source=$Workbook$;Location=&quot;without window (step 4) (2 58m) (2)&quot;;Extended Properties=&quot;&quot;" command="SELECT * FROM [without window (step 4) (2 58m) (2)]"/>
  </connection>
  <connection id="127" xr16:uid="{85CBDE2B-D487-4CF9-9100-3B1A42B8FC4C}" keepAlive="1" name="Query - without window (step 4) (2 58m) (3)" description="Connection to the 'without window (step 4) (2 58m) (3)' query in the workbook." type="5" refreshedVersion="6" background="1" saveData="1">
    <dbPr connection="Provider=Microsoft.Mashup.OleDb.1;Data Source=$Workbook$;Location=&quot;without window (step 4) (2 58m) (3)&quot;;Extended Properties=&quot;&quot;" command="SELECT * FROM [without window (step 4) (2 58m) (3)]"/>
  </connection>
  <connection id="128" xr16:uid="{C1EEA634-C329-4677-8376-A0C60BFCB828}" keepAlive="1" name="Query - without window (step 4) (2 58m) (4)" description="Connection to the 'without window (step 4) (2 58m) (4)' query in the workbook." type="5" refreshedVersion="6" background="1" saveData="1">
    <dbPr connection="Provider=Microsoft.Mashup.OleDb.1;Data Source=$Workbook$;Location=&quot;without window (step 4) (2 58m) (4)&quot;;Extended Properties=&quot;&quot;" command="SELECT * FROM [without window (step 4) (2 58m) (4)]"/>
  </connection>
  <connection id="129" xr16:uid="{7B5613D3-5E07-4E27-AAF4-60FEDB1BDE36}" keepAlive="1" name="Query - without window (step 4) (2 58m) (5)" description="Connection to the 'without window (step 4) (2 58m) (5)' query in the workbook." type="5" refreshedVersion="6" background="1" saveData="1">
    <dbPr connection="Provider=Microsoft.Mashup.OleDb.1;Data Source=$Workbook$;Location=&quot;without window (step 4) (2 58m) (5)&quot;;Extended Properties=&quot;&quot;" command="SELECT * FROM [without window (step 4) (2 58m) (5)]"/>
  </connection>
  <connection id="130" xr16:uid="{2561FC73-7449-4C28-B6B7-CB8C007B4C40}" keepAlive="1" name="Query - without window (step 5 1) (2 87m)" description="Connection to the 'without window (step 5 1) (2 87m)' query in the workbook." type="5" refreshedVersion="6" background="1" saveData="1">
    <dbPr connection="Provider=Microsoft.Mashup.OleDb.1;Data Source=$Workbook$;Location=&quot;without window (step 5 1) (2 87m)&quot;;Extended Properties=&quot;&quot;" command="SELECT * FROM [without window (step 5 1) (2 87m)]"/>
  </connection>
  <connection id="131" xr16:uid="{C0358D9A-8DCF-4577-8AD6-BA5504AA907F}" keepAlive="1" name="Query - without window (step 5 1) (2 87m) (2)" description="Connection to the 'without window (step 5 1) (2 87m) (2)' query in the workbook." type="5" refreshedVersion="6" background="1" saveData="1">
    <dbPr connection="Provider=Microsoft.Mashup.OleDb.1;Data Source=$Workbook$;Location=&quot;without window (step 5 1) (2 87m) (2)&quot;;Extended Properties=&quot;&quot;" command="SELECT * FROM [without window (step 5 1) (2 87m) (2)]"/>
  </connection>
  <connection id="132" xr16:uid="{424F0E9C-2679-4205-81E0-DF9495313263}" keepAlive="1" name="Query - without window (step 5 1) (2 87m) (3)" description="Connection to the 'without window (step 5 1) (2 87m) (3)' query in the workbook." type="5" refreshedVersion="6" background="1" saveData="1">
    <dbPr connection="Provider=Microsoft.Mashup.OleDb.1;Data Source=$Workbook$;Location=&quot;without window (step 5 1) (2 87m) (3)&quot;;Extended Properties=&quot;&quot;" command="SELECT * FROM [without window (step 5 1) (2 87m) (3)]"/>
  </connection>
  <connection id="133" xr16:uid="{EA536EFA-F14B-457C-9DDC-196276422476}" keepAlive="1" name="Query - without window (step 5 1) (2 87m) (4)" description="Connection to the 'without window (step 5 1) (2 87m) (4)' query in the workbook." type="5" refreshedVersion="6" background="1" saveData="1">
    <dbPr connection="Provider=Microsoft.Mashup.OleDb.1;Data Source=$Workbook$;Location=&quot;without window (step 5 1) (2 87m) (4)&quot;;Extended Properties=&quot;&quot;" command="SELECT * FROM [without window (step 5 1) (2 87m) (4)]"/>
  </connection>
  <connection id="134" xr16:uid="{772B4D4F-0667-464D-8119-1843DE5372F0}" keepAlive="1" name="Query - without window (step 5 1) (2 87m) (5)" description="Connection to the 'without window (step 5 1) (2 87m) (5)' query in the workbook." type="5" refreshedVersion="6" background="1" saveData="1">
    <dbPr connection="Provider=Microsoft.Mashup.OleDb.1;Data Source=$Workbook$;Location=&quot;without window (step 5 1) (2 87m) (5)&quot;;Extended Properties=&quot;&quot;" command="SELECT * FROM [without window (step 5 1) (2 87m) (5)]"/>
  </connection>
  <connection id="135" xr16:uid="{CFCF5F21-2899-466B-B12E-085934339A44}" keepAlive="1" name="Query - without window (step 5) (2 87m)" description="Connection to the 'without window (step 5) (2 87m)' query in the workbook." type="5" refreshedVersion="6" background="1" saveData="1">
    <dbPr connection="Provider=Microsoft.Mashup.OleDb.1;Data Source=$Workbook$;Location=&quot;without window (step 5) (2 87m)&quot;;Extended Properties=&quot;&quot;" command="SELECT * FROM [without window (step 5) (2 87m)]"/>
  </connection>
  <connection id="136" xr16:uid="{898529F7-0151-4C7D-9AE7-3B469E66C077}" keepAlive="1" name="Query - without window (step 5) (2 87m) (2)" description="Connection to the 'without window (step 5) (2 87m) (2)' query in the workbook." type="5" refreshedVersion="6" background="1" saveData="1">
    <dbPr connection="Provider=Microsoft.Mashup.OleDb.1;Data Source=$Workbook$;Location=&quot;without window (step 5) (2 87m) (2)&quot;;Extended Properties=&quot;&quot;" command="SELECT * FROM [without window (step 5) (2 87m) (2)]"/>
  </connection>
  <connection id="137" xr16:uid="{2C155C26-264D-44F3-9C6B-6AB7E50A302C}" keepAlive="1" name="Query - without window (step 5) (2 87m) (3)" description="Connection to the 'without window (step 5) (2 87m) (3)' query in the workbook." type="5" refreshedVersion="6" background="1" saveData="1">
    <dbPr connection="Provider=Microsoft.Mashup.OleDb.1;Data Source=$Workbook$;Location=&quot;without window (step 5) (2 87m) (3)&quot;;Extended Properties=&quot;&quot;" command="SELECT * FROM [without window (step 5) (2 87m) (3)]"/>
  </connection>
  <connection id="138" xr16:uid="{AE110AF7-2E72-4DB2-BB4D-5E3DED761E36}" keepAlive="1" name="Query - without window (step 5) (2 87m) (4)" description="Connection to the 'without window (step 5) (2 87m) (4)' query in the workbook." type="5" refreshedVersion="6" background="1" saveData="1">
    <dbPr connection="Provider=Microsoft.Mashup.OleDb.1;Data Source=$Workbook$;Location=&quot;without window (step 5) (2 87m) (4)&quot;;Extended Properties=&quot;&quot;" command="SELECT * FROM [without window (step 5) (2 87m) (4)]"/>
  </connection>
  <connection id="139" xr16:uid="{3F16367E-B934-41E5-A287-03C972A7E57E}" keepAlive="1" name="Query - without window (step 5) (2 87m) (5)" description="Connection to the 'without window (step 5) (2 87m) (5)' query in the workbook." type="5" refreshedVersion="6" background="1" saveData="1">
    <dbPr connection="Provider=Microsoft.Mashup.OleDb.1;Data Source=$Workbook$;Location=&quot;without window (step 5) (2 87m) (5)&quot;;Extended Properties=&quot;&quot;" command="SELECT * FROM [without window (step 5) (2 87m) (5)]"/>
  </connection>
</connections>
</file>

<file path=xl/sharedStrings.xml><?xml version="1.0" encoding="utf-8"?>
<sst xmlns="http://schemas.openxmlformats.org/spreadsheetml/2006/main" count="1131" uniqueCount="138">
  <si>
    <t>Step</t>
  </si>
  <si>
    <t>Without window</t>
  </si>
  <si>
    <t>With window (corrected)</t>
  </si>
  <si>
    <t>In vacuum (corrected)</t>
  </si>
  <si>
    <t>Delta window</t>
  </si>
  <si>
    <t>Delta vacuum</t>
  </si>
  <si>
    <t>Point</t>
  </si>
  <si>
    <t>X</t>
  </si>
  <si>
    <t>Y</t>
  </si>
  <si>
    <t>Z</t>
  </si>
  <si>
    <t>dX</t>
  </si>
  <si>
    <t>dY</t>
  </si>
  <si>
    <t>dZ</t>
  </si>
  <si>
    <t>dSUM</t>
  </si>
  <si>
    <t>P1</t>
  </si>
  <si>
    <t>with window (step 1)-P1</t>
  </si>
  <si>
    <t>vacuum (step 1)-P1</t>
  </si>
  <si>
    <t>P2</t>
  </si>
  <si>
    <t>with window (step 1)-P2</t>
  </si>
  <si>
    <t>vacuum (step 1)-P2</t>
  </si>
  <si>
    <t>P3</t>
  </si>
  <si>
    <t>with window (step 1)-P3</t>
  </si>
  <si>
    <t>vacuum (step 1)-P3</t>
  </si>
  <si>
    <t>P4</t>
  </si>
  <si>
    <t>with window (step 1)-P4</t>
  </si>
  <si>
    <t>vacuum (step 1)-P4</t>
  </si>
  <si>
    <t xml:space="preserve">Point </t>
  </si>
  <si>
    <t>with window (step 2)-P1</t>
  </si>
  <si>
    <t>vacuum (step 2)-P1</t>
  </si>
  <si>
    <t>with window (step 2)-P2</t>
  </si>
  <si>
    <t>vacuum (step 2)-P2</t>
  </si>
  <si>
    <t>with window (step 2)-P3</t>
  </si>
  <si>
    <t>vacuum (step 2)-P3</t>
  </si>
  <si>
    <t>with window (step 2)-P4</t>
  </si>
  <si>
    <t>vacuum (step 2)-P4</t>
  </si>
  <si>
    <t>vacuum (step 3)-P1</t>
  </si>
  <si>
    <t>vacuum (step 3)-P2</t>
  </si>
  <si>
    <t>vacuum (step 3)-P3</t>
  </si>
  <si>
    <t>vacuum (step 3)-P4</t>
  </si>
  <si>
    <t>Point X</t>
  </si>
  <si>
    <t>with window (step 4)-P1</t>
  </si>
  <si>
    <t>vacuum (step 4)-P1</t>
  </si>
  <si>
    <t>with window (step 4)-P2</t>
  </si>
  <si>
    <t>vacuum (step 4)-P2</t>
  </si>
  <si>
    <t>with window (step 4)-P3</t>
  </si>
  <si>
    <t>vacuum (step 4)-P3</t>
  </si>
  <si>
    <t>with window (step 4)-P4</t>
  </si>
  <si>
    <t>vacuum (step 4)-P4</t>
  </si>
  <si>
    <t>with window (step 4.1)-P1</t>
  </si>
  <si>
    <t>vacuum (step 4.1)-P1</t>
  </si>
  <si>
    <t>with window (step 4.1)-P2</t>
  </si>
  <si>
    <t>vacuum (step 4.1)-P2</t>
  </si>
  <si>
    <t>with window (step 4.1)-P3</t>
  </si>
  <si>
    <t>vacuum (step 4.1)-P3</t>
  </si>
  <si>
    <t>with window (step 4.1)-P4</t>
  </si>
  <si>
    <t>vacuum (step 4.1)-P4</t>
  </si>
  <si>
    <t>vacuum (step 5)-P1</t>
  </si>
  <si>
    <t>vacuum (step 5)-P2</t>
  </si>
  <si>
    <t>vacuum (step 5)-P3</t>
  </si>
  <si>
    <t>vacuum (step 5)-P4</t>
  </si>
  <si>
    <t>with window (step 5.1)-P1</t>
  </si>
  <si>
    <t>vacuum (step 5.1)-P1</t>
  </si>
  <si>
    <t>with window (step 5.1)-P2</t>
  </si>
  <si>
    <t>vacuum (step 5.1)-P2</t>
  </si>
  <si>
    <t>with window (step 5.1)-P3</t>
  </si>
  <si>
    <t>vacuum (step 5.1)-P3</t>
  </si>
  <si>
    <t>with window (step 5.1)-P4</t>
  </si>
  <si>
    <t>vacuum (step 5.1)-P4</t>
  </si>
  <si>
    <t>delta Window (corrected)</t>
  </si>
  <si>
    <t>delta Vacuum (corrected)</t>
  </si>
  <si>
    <t>R</t>
  </si>
  <si>
    <t>T</t>
  </si>
  <si>
    <t>P</t>
  </si>
  <si>
    <t>dR</t>
  </si>
  <si>
    <t>dT (arcsec)</t>
  </si>
  <si>
    <t>dP (arcsec)</t>
  </si>
  <si>
    <t>delta Window</t>
  </si>
  <si>
    <t>delta Vacuum</t>
  </si>
  <si>
    <t>point</t>
  </si>
  <si>
    <t>with window (corrected)</t>
  </si>
  <si>
    <t>delta vacuum</t>
  </si>
  <si>
    <t>With window</t>
  </si>
  <si>
    <t>In vacuum</t>
  </si>
  <si>
    <t>dTheta</t>
  </si>
  <si>
    <t>dPhi</t>
  </si>
  <si>
    <t>Axis marks</t>
  </si>
  <si>
    <t>S1P1</t>
  </si>
  <si>
    <t>S1P2</t>
  </si>
  <si>
    <t>S1P3</t>
  </si>
  <si>
    <t>S1P4</t>
  </si>
  <si>
    <t>S2P1</t>
  </si>
  <si>
    <t>S2P2</t>
  </si>
  <si>
    <t>S2P3</t>
  </si>
  <si>
    <t>S2P4</t>
  </si>
  <si>
    <t>S3P1</t>
  </si>
  <si>
    <t>S3P2</t>
  </si>
  <si>
    <t>S3P3</t>
  </si>
  <si>
    <t>S3P4</t>
  </si>
  <si>
    <t>S4P1</t>
  </si>
  <si>
    <t>S4P2</t>
  </si>
  <si>
    <t>S4P3</t>
  </si>
  <si>
    <t>S4P4</t>
  </si>
  <si>
    <t>S4.1P1</t>
  </si>
  <si>
    <t>S4.1P2</t>
  </si>
  <si>
    <t>S4.1P3</t>
  </si>
  <si>
    <t>S4.1P4</t>
  </si>
  <si>
    <t>S5P1</t>
  </si>
  <si>
    <t>S5P2</t>
  </si>
  <si>
    <t>S5P3</t>
  </si>
  <si>
    <t>S5P4</t>
  </si>
  <si>
    <t>S5.1P1</t>
  </si>
  <si>
    <t>S5.1P2</t>
  </si>
  <si>
    <t>S5.1P3</t>
  </si>
  <si>
    <t>S5.1P4</t>
  </si>
  <si>
    <t>Steps</t>
  </si>
  <si>
    <t>mean</t>
  </si>
  <si>
    <t>With window (SA)</t>
  </si>
  <si>
    <t>with window (step 3)-P1</t>
  </si>
  <si>
    <t>with window (step 3)-P2</t>
  </si>
  <si>
    <t>with window (step 3)-P3</t>
  </si>
  <si>
    <t>with window (step 3)-P4</t>
  </si>
  <si>
    <t>with window (step 5)-P1</t>
  </si>
  <si>
    <t>with window (step 5)-P2</t>
  </si>
  <si>
    <t>with window (step 5)-P3</t>
  </si>
  <si>
    <t>with window (step 5)-P4</t>
  </si>
  <si>
    <t>vacuum (SA)</t>
  </si>
  <si>
    <t>dT</t>
  </si>
  <si>
    <t>dP</t>
  </si>
  <si>
    <t xml:space="preserve">Step </t>
  </si>
  <si>
    <t>Column1</t>
  </si>
  <si>
    <t>Column2</t>
  </si>
  <si>
    <t>Column3</t>
  </si>
  <si>
    <t>Column4</t>
  </si>
  <si>
    <t>Vacuum (test)</t>
  </si>
  <si>
    <t>delta Vacuum test</t>
  </si>
  <si>
    <t>delta offset</t>
  </si>
  <si>
    <t>Over all mean</t>
  </si>
  <si>
    <t>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</si>
</sst>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1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Absolute distance measured by the Laser Tracker  in case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(theory)'!$C$4,'World Spherical (theory)'!$C$11,'World Spherical (theory)'!$C$18,'World Spherical (theory)'!$C$25,'World Spherical (theory)'!$C$32,'World Spherical (theory)'!$C$39,'World Spherical (theory)'!$C$46)</c:f>
              <c:numCache>
                <c:formatCode>General</c:formatCode>
                <c:ptCount val="7"/>
                <c:pt idx="0">
                  <c:v>1686.431</c:v>
                </c:pt>
                <c:pt idx="1">
                  <c:v>1978.08</c:v>
                </c:pt>
                <c:pt idx="2">
                  <c:v>2270.3209999999999</c:v>
                </c:pt>
                <c:pt idx="3">
                  <c:v>2562.3249999999998</c:v>
                </c:pt>
                <c:pt idx="4">
                  <c:v>2566.4699999999998</c:v>
                </c:pt>
                <c:pt idx="5">
                  <c:v>2854.076</c:v>
                </c:pt>
                <c:pt idx="6">
                  <c:v>2857.6489999999999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8B-4666-8BA3-C937A224DB99}"/>
            </c:ext>
          </c:extLst>
        </c:ser>
        <c:ser>
          <c:idx val="1"/>
          <c:order val="1"/>
          <c:tx>
            <c:v>Target 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(theory)'!$C$5,'World Spherical (theory)'!$C$12,'World Spherical (theory)'!$C$19,'World Spherical (theory)'!$C$26,'World Spherical (theory)'!$C$33,'World Spherical (theory)'!$C$40,'World Spherical (theory)'!$C$47)</c:f>
              <c:numCache>
                <c:formatCode>General</c:formatCode>
                <c:ptCount val="7"/>
                <c:pt idx="0">
                  <c:v>1693.7670000000001</c:v>
                </c:pt>
                <c:pt idx="1">
                  <c:v>1984.548</c:v>
                </c:pt>
                <c:pt idx="2">
                  <c:v>2276.2379999999998</c:v>
                </c:pt>
                <c:pt idx="3">
                  <c:v>2567.7139999999999</c:v>
                </c:pt>
                <c:pt idx="4">
                  <c:v>2579.91</c:v>
                </c:pt>
                <c:pt idx="5">
                  <c:v>2859.0079999999998</c:v>
                </c:pt>
                <c:pt idx="6">
                  <c:v>2869.799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8B-4666-8BA3-C937A224DB99}"/>
            </c:ext>
          </c:extLst>
        </c:ser>
        <c:ser>
          <c:idx val="2"/>
          <c:order val="2"/>
          <c:tx>
            <c:v>Target 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(theory)'!$C$6,'World Spherical (theory)'!$C$13,'World Spherical (theory)'!$C$20,'World Spherical (theory)'!$C$27,'World Spherical (theory)'!$C$34,'World Spherical (theory)'!$C$41,'World Spherical (theory)'!$C$48)</c:f>
              <c:numCache>
                <c:formatCode>General</c:formatCode>
                <c:ptCount val="7"/>
                <c:pt idx="0">
                  <c:v>1691.82</c:v>
                </c:pt>
                <c:pt idx="1">
                  <c:v>1982.961</c:v>
                </c:pt>
                <c:pt idx="2">
                  <c:v>2275.1469999999999</c:v>
                </c:pt>
                <c:pt idx="3">
                  <c:v>2566.8339999999998</c:v>
                </c:pt>
                <c:pt idx="4">
                  <c:v>2578.8809999999999</c:v>
                </c:pt>
                <c:pt idx="5">
                  <c:v>2858.2130000000002</c:v>
                </c:pt>
                <c:pt idx="6">
                  <c:v>2868.837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8B-4666-8BA3-C937A224DB99}"/>
            </c:ext>
          </c:extLst>
        </c:ser>
        <c:ser>
          <c:idx val="3"/>
          <c:order val="3"/>
          <c:tx>
            <c:v>Target 4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(theory)'!$C$7,'World Spherical (theory)'!$C$14,'World Spherical (theory)'!$C$21,'World Spherical (theory)'!$C$28,'World Spherical (theory)'!$C$35,'World Spherical (theory)'!$C$42,'World Spherical (theory)'!$C$49)</c:f>
              <c:numCache>
                <c:formatCode>General</c:formatCode>
                <c:ptCount val="7"/>
                <c:pt idx="0">
                  <c:v>1684.52</c:v>
                </c:pt>
                <c:pt idx="1">
                  <c:v>1976.53</c:v>
                </c:pt>
                <c:pt idx="2">
                  <c:v>2269.2689999999998</c:v>
                </c:pt>
                <c:pt idx="3">
                  <c:v>2561.4839999999999</c:v>
                </c:pt>
                <c:pt idx="4">
                  <c:v>2565.4789999999998</c:v>
                </c:pt>
                <c:pt idx="5">
                  <c:v>2853.3209999999999</c:v>
                </c:pt>
                <c:pt idx="6">
                  <c:v>2856.7260000000001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8B-4666-8BA3-C937A224D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880792"/>
        <c:axId val="1473881448"/>
      </c:lineChart>
      <c:catAx>
        <c:axId val="147388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81448"/>
        <c:crosses val="autoZero"/>
        <c:auto val="1"/>
        <c:lblAlgn val="ctr"/>
        <c:lblOffset val="100"/>
        <c:noMultiLvlLbl val="0"/>
      </c:catAx>
      <c:valAx>
        <c:axId val="1473881448"/>
        <c:scaling>
          <c:orientation val="minMax"/>
          <c:max val="2870"/>
          <c:min val="16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Absolute distance from centre of Laser Tracker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80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cap="all" baseline="0"/>
              <a:t>absolute range error in vacuum after applying offset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'World Spherical (SA)'!$AF$2:$AF$8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(SA)'!$AD$4,'World Spherical (SA)'!$AD$11,'World Spherical (SA)'!$AD$18,'World Spherical (SA)'!$AD$25,'World Spherical (SA)'!$AD$32,'World Spherical (SA)'!$AD$39,'World Spherical (SA)'!$AD$46)</c:f>
              <c:numCache>
                <c:formatCode>General</c:formatCode>
                <c:ptCount val="7"/>
                <c:pt idx="0">
                  <c:v>-5.7000000000016371E-2</c:v>
                </c:pt>
                <c:pt idx="1">
                  <c:v>-4.8000000000001819E-2</c:v>
                </c:pt>
                <c:pt idx="2">
                  <c:v>-5.7000000000243745E-2</c:v>
                </c:pt>
                <c:pt idx="3">
                  <c:v>-6.2000000000352884E-2</c:v>
                </c:pt>
                <c:pt idx="4">
                  <c:v>-4.8000000000229193E-2</c:v>
                </c:pt>
                <c:pt idx="5">
                  <c:v>-6.1000000000149157E-2</c:v>
                </c:pt>
                <c:pt idx="6">
                  <c:v>-4.8999999999978172E-2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4-4EEC-BAEE-33E64D7B1E3A}"/>
            </c:ext>
          </c:extLst>
        </c:ser>
        <c:ser>
          <c:idx val="1"/>
          <c:order val="1"/>
          <c:tx>
            <c:v>Target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'World Spherical (SA)'!$AF$2:$AF$8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(SA)'!$AD$5,'World Spherical (SA)'!$AD$12,'World Spherical (SA)'!$AD$19,'World Spherical (SA)'!$AD$26,'World Spherical (SA)'!$AD$33,'World Spherical (SA)'!$AD$40,'World Spherical (SA)'!$AD$47)</c:f>
              <c:numCache>
                <c:formatCode>General</c:formatCode>
                <c:ptCount val="7"/>
                <c:pt idx="0">
                  <c:v>-2.299999999991087E-2</c:v>
                </c:pt>
                <c:pt idx="1">
                  <c:v>-2.1999999999934516E-2</c:v>
                </c:pt>
                <c:pt idx="2">
                  <c:v>-4.1000000000167347E-2</c:v>
                </c:pt>
                <c:pt idx="3">
                  <c:v>-4.500000000007276E-2</c:v>
                </c:pt>
                <c:pt idx="4">
                  <c:v>-3.2000000000152795E-2</c:v>
                </c:pt>
                <c:pt idx="5">
                  <c:v>-5.0000000000181899E-2</c:v>
                </c:pt>
                <c:pt idx="6">
                  <c:v>-4.1999999999916326E-2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4-4EEC-BAEE-33E64D7B1E3A}"/>
            </c:ext>
          </c:extLst>
        </c:ser>
        <c:ser>
          <c:idx val="2"/>
          <c:order val="2"/>
          <c:tx>
            <c:v>Target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'World Spherical (SA)'!$AF$2:$AF$8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(SA)'!$AD$6,'World Spherical (SA)'!$AD$13,'World Spherical (SA)'!$AD$20,'World Spherical (SA)'!$AD$27,'World Spherical (SA)'!$AD$34,'World Spherical (SA)'!$AD$41,'World Spherical (SA)'!$AD$48)</c:f>
              <c:numCache>
                <c:formatCode>General</c:formatCode>
                <c:ptCount val="7"/>
                <c:pt idx="0">
                  <c:v>0</c:v>
                </c:pt>
                <c:pt idx="1">
                  <c:v>-8.0000000000381988E-3</c:v>
                </c:pt>
                <c:pt idx="2">
                  <c:v>-3.2000000000152795E-2</c:v>
                </c:pt>
                <c:pt idx="3">
                  <c:v>-3.5000000000309228E-2</c:v>
                </c:pt>
                <c:pt idx="4">
                  <c:v>-3.0999999999949068E-2</c:v>
                </c:pt>
                <c:pt idx="5">
                  <c:v>-4.4999999999618012E-2</c:v>
                </c:pt>
                <c:pt idx="6">
                  <c:v>-3.4000000000105501E-2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04-4EEC-BAEE-33E64D7B1E3A}"/>
            </c:ext>
          </c:extLst>
        </c:ser>
        <c:ser>
          <c:idx val="3"/>
          <c:order val="3"/>
          <c:tx>
            <c:v>Target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'World Spherical (SA)'!$AF$2:$AF$8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(SA)'!$AD$7,'World Spherical (SA)'!$AD$14,'World Spherical (SA)'!$AD$21,'World Spherical (SA)'!$AD$28,'World Spherical (SA)'!$AD$35,'World Spherical (SA)'!$AD$42,'World Spherical (SA)'!$AD$49)</c:f>
              <c:numCache>
                <c:formatCode>General</c:formatCode>
                <c:ptCount val="7"/>
                <c:pt idx="0">
                  <c:v>-2.8000000000020009E-2</c:v>
                </c:pt>
                <c:pt idx="1">
                  <c:v>-2.7000000000043656E-2</c:v>
                </c:pt>
                <c:pt idx="2">
                  <c:v>-3.8000000000010914E-2</c:v>
                </c:pt>
                <c:pt idx="3">
                  <c:v>-5.2999999999883585E-2</c:v>
                </c:pt>
                <c:pt idx="4">
                  <c:v>-3.9000000000214641E-2</c:v>
                </c:pt>
                <c:pt idx="5">
                  <c:v>-5.6000000000040018E-2</c:v>
                </c:pt>
                <c:pt idx="6">
                  <c:v>-4.1999999999916326E-2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04-4EEC-BAEE-33E64D7B1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625592"/>
        <c:axId val="834626904"/>
      </c:lineChart>
      <c:catAx>
        <c:axId val="834625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26904"/>
        <c:crosses val="autoZero"/>
        <c:auto val="1"/>
        <c:lblAlgn val="ctr"/>
        <c:lblOffset val="100"/>
        <c:noMultiLvlLbl val="0"/>
      </c:catAx>
      <c:valAx>
        <c:axId val="8346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2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 window target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window'!$Q$3</c:f>
              <c:strCache>
                <c:ptCount val="1"/>
                <c:pt idx="0">
                  <c:v>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('Without window'!$Q$4,'Without window'!$Q$10,'Without window'!$Q$16,'Without window'!$Q$22,'Without window'!$Q$28,'Without window'!$Q$34,'Without window'!$Q$40)</c:f>
              <c:numCache>
                <c:formatCode>General</c:formatCode>
                <c:ptCount val="7"/>
                <c:pt idx="0">
                  <c:v>-0.55400000000000005</c:v>
                </c:pt>
                <c:pt idx="1">
                  <c:v>-0.68900000000000006</c:v>
                </c:pt>
                <c:pt idx="2">
                  <c:v>-0.8180000000000005</c:v>
                </c:pt>
                <c:pt idx="3">
                  <c:v>-0.95100000000000051</c:v>
                </c:pt>
                <c:pt idx="4">
                  <c:v>-0.84000000000000341</c:v>
                </c:pt>
                <c:pt idx="5">
                  <c:v>-1.0920000000000005</c:v>
                </c:pt>
                <c:pt idx="6">
                  <c:v>-0.98699999999999477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1-4065-A093-4C5A0764309C}"/>
            </c:ext>
          </c:extLst>
        </c:ser>
        <c:ser>
          <c:idx val="1"/>
          <c:order val="1"/>
          <c:tx>
            <c:strRef>
              <c:f>'Without window'!$R$3</c:f>
              <c:strCache>
                <c:ptCount val="1"/>
                <c:pt idx="0">
                  <c:v>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('Without window'!$R$4,'Without window'!$R$10,'Without window'!$R$16,'Without window'!$R$22,'Without window'!$R$28,'Without window'!$R$34,'Without window'!$R$40)</c:f>
              <c:numCache>
                <c:formatCode>General</c:formatCode>
                <c:ptCount val="7"/>
                <c:pt idx="0">
                  <c:v>-0.65400000000000003</c:v>
                </c:pt>
                <c:pt idx="1">
                  <c:v>-0.79899999999999993</c:v>
                </c:pt>
                <c:pt idx="2">
                  <c:v>-0.93599999999999994</c:v>
                </c:pt>
                <c:pt idx="3">
                  <c:v>-1.0720000000000001</c:v>
                </c:pt>
                <c:pt idx="4">
                  <c:v>-1.0919999999999999</c:v>
                </c:pt>
                <c:pt idx="5">
                  <c:v>-1.2210000000000001</c:v>
                </c:pt>
                <c:pt idx="6">
                  <c:v>-1.2390000000000001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1-4065-A093-4C5A0764309C}"/>
            </c:ext>
          </c:extLst>
        </c:ser>
        <c:ser>
          <c:idx val="2"/>
          <c:order val="2"/>
          <c:tx>
            <c:strRef>
              <c:f>'Without window'!$S$3</c:f>
              <c:strCache>
                <c:ptCount val="1"/>
                <c:pt idx="0">
                  <c:v>dZ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('Without window'!$S$4,'Without window'!$S$10,'Without window'!$S$16,'Without window'!$S$22,'Without window'!$S$28,'Without window'!$S$34,'Without window'!$S$40)</c:f>
              <c:numCache>
                <c:formatCode>General</c:formatCode>
                <c:ptCount val="7"/>
                <c:pt idx="0">
                  <c:v>0.18099999999999999</c:v>
                </c:pt>
                <c:pt idx="1">
                  <c:v>0.1430000000000291</c:v>
                </c:pt>
                <c:pt idx="2">
                  <c:v>0.16100000000005821</c:v>
                </c:pt>
                <c:pt idx="3">
                  <c:v>0.15599999999994907</c:v>
                </c:pt>
                <c:pt idx="4">
                  <c:v>9.5000000000027285E-2</c:v>
                </c:pt>
                <c:pt idx="5">
                  <c:v>0.15499999999997272</c:v>
                </c:pt>
                <c:pt idx="6">
                  <c:v>9.2000000000098225E-2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1-4065-A093-4C5A0764309C}"/>
            </c:ext>
          </c:extLst>
        </c:ser>
        <c:ser>
          <c:idx val="3"/>
          <c:order val="3"/>
          <c:tx>
            <c:strRef>
              <c:f>'Without window'!$T$3</c:f>
              <c:strCache>
                <c:ptCount val="1"/>
                <c:pt idx="0">
                  <c:v>dSUM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('Without window'!$T$4,'Without window'!$T$10,'Without window'!$T$16,'Without window'!$T$22,'Without window'!$T$28,'Without window'!$T$34,'Without window'!$T$40)</c:f>
              <c:numCache>
                <c:formatCode>General</c:formatCode>
                <c:ptCount val="7"/>
                <c:pt idx="0">
                  <c:v>0.87600970314260806</c:v>
                </c:pt>
                <c:pt idx="1">
                  <c:v>1.06469291347318</c:v>
                </c:pt>
                <c:pt idx="2">
                  <c:v>1.2534516344877529</c:v>
                </c:pt>
                <c:pt idx="3">
                  <c:v>1.4414995664237937</c:v>
                </c:pt>
                <c:pt idx="4">
                  <c:v>1.3809739316873475</c:v>
                </c:pt>
                <c:pt idx="5">
                  <c:v>1.6453966087238643</c:v>
                </c:pt>
                <c:pt idx="6">
                  <c:v>1.5867432054368495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A1-4065-A093-4C5A07643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074640"/>
        <c:axId val="532075296"/>
      </c:lineChart>
      <c:catAx>
        <c:axId val="53207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75296"/>
        <c:crosses val="autoZero"/>
        <c:auto val="1"/>
        <c:lblAlgn val="ctr"/>
        <c:lblOffset val="100"/>
        <c:noMultiLvlLbl val="0"/>
      </c:catAx>
      <c:valAx>
        <c:axId val="5320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7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 vacuum target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'Without window'!$V$3</c:f>
              <c:strCache>
                <c:ptCount val="1"/>
                <c:pt idx="0">
                  <c:v>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('Without window'!$V$4,'Without window'!$V$10,'Without window'!$V$16,'Without window'!$V$22,'Without window'!$V$28,'Without window'!$V$34,'Without window'!$V$40)</c:f>
              <c:numCache>
                <c:formatCode>General</c:formatCode>
                <c:ptCount val="7"/>
                <c:pt idx="0">
                  <c:v>-0.51200000000000001</c:v>
                </c:pt>
                <c:pt idx="1">
                  <c:v>-0.67200000000000015</c:v>
                </c:pt>
                <c:pt idx="2">
                  <c:v>-0.84400000000000031</c:v>
                </c:pt>
                <c:pt idx="3">
                  <c:v>-0.99200000000000088</c:v>
                </c:pt>
                <c:pt idx="4">
                  <c:v>-0.88800000000000523</c:v>
                </c:pt>
                <c:pt idx="5">
                  <c:v>-1.1300000000000008</c:v>
                </c:pt>
                <c:pt idx="6">
                  <c:v>-1.0420000000000016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D-463E-A0D0-EAB27585605C}"/>
            </c:ext>
          </c:extLst>
        </c:ser>
        <c:ser>
          <c:idx val="1"/>
          <c:order val="1"/>
          <c:tx>
            <c:strRef>
              <c:f>'Without window'!$W$3</c:f>
              <c:strCache>
                <c:ptCount val="1"/>
                <c:pt idx="0">
                  <c:v>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('Without window'!$W$4,'Without window'!$W$10,'Without window'!$W$16,'Without window'!$W$22,'Without window'!$W$28,'Without window'!$W$34,'Without window'!$W$40)</c:f>
              <c:numCache>
                <c:formatCode>General</c:formatCode>
                <c:ptCount val="7"/>
                <c:pt idx="0">
                  <c:v>-0.59399999999999997</c:v>
                </c:pt>
                <c:pt idx="1">
                  <c:v>-0.74900000000000011</c:v>
                </c:pt>
                <c:pt idx="2">
                  <c:v>-0.8819999999999999</c:v>
                </c:pt>
                <c:pt idx="3">
                  <c:v>-1.018</c:v>
                </c:pt>
                <c:pt idx="4">
                  <c:v>-1.028</c:v>
                </c:pt>
                <c:pt idx="5">
                  <c:v>-1.1499999999999999</c:v>
                </c:pt>
                <c:pt idx="6">
                  <c:v>-1.1540000000000001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D-463E-A0D0-EAB27585605C}"/>
            </c:ext>
          </c:extLst>
        </c:ser>
        <c:ser>
          <c:idx val="2"/>
          <c:order val="2"/>
          <c:tx>
            <c:strRef>
              <c:f>'Without window'!$X$3</c:f>
              <c:strCache>
                <c:ptCount val="1"/>
                <c:pt idx="0">
                  <c:v>dZ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('Without window'!$X$4,'Without window'!$X$10,'Without window'!$X$16,'Without window'!$X$22,'Without window'!$X$28,'Without window'!$X$34,'Without window'!$X$40)</c:f>
              <c:numCache>
                <c:formatCode>General</c:formatCode>
                <c:ptCount val="7"/>
                <c:pt idx="0">
                  <c:v>0.20399999999999999</c:v>
                </c:pt>
                <c:pt idx="1">
                  <c:v>0.19600000000002638</c:v>
                </c:pt>
                <c:pt idx="2">
                  <c:v>0.20300000000008822</c:v>
                </c:pt>
                <c:pt idx="3">
                  <c:v>0.20799999999996999</c:v>
                </c:pt>
                <c:pt idx="4">
                  <c:v>0.14400000000000546</c:v>
                </c:pt>
                <c:pt idx="5">
                  <c:v>0.20599999999990359</c:v>
                </c:pt>
                <c:pt idx="6">
                  <c:v>0.1410000000000764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D-463E-A0D0-EAB27585605C}"/>
            </c:ext>
          </c:extLst>
        </c:ser>
        <c:ser>
          <c:idx val="3"/>
          <c:order val="3"/>
          <c:tx>
            <c:strRef>
              <c:f>'Without window'!$Y$3</c:f>
              <c:strCache>
                <c:ptCount val="1"/>
                <c:pt idx="0">
                  <c:v>dSUM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('Without window'!$Y$4,'Without window'!$Y$10,'Without window'!$Y$16,'Without window'!$Y$22,'Without window'!$Y$28,'Without window'!$Y$34,'Without window'!$Y$40)</c:f>
              <c:numCache>
                <c:formatCode>General</c:formatCode>
                <c:ptCount val="7"/>
                <c:pt idx="0">
                  <c:v>0.81030611499605498</c:v>
                </c:pt>
                <c:pt idx="1">
                  <c:v>1.0251833982268788</c:v>
                </c:pt>
                <c:pt idx="2">
                  <c:v>1.2375253532756556</c:v>
                </c:pt>
                <c:pt idx="3">
                  <c:v>1.4365416805648172</c:v>
                </c:pt>
                <c:pt idx="4">
                  <c:v>1.3660395309067783</c:v>
                </c:pt>
                <c:pt idx="5">
                  <c:v>1.6253725726737123</c:v>
                </c:pt>
                <c:pt idx="6">
                  <c:v>1.5612049833381987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7D-463E-A0D0-EAB275856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629824"/>
        <c:axId val="741630152"/>
      </c:lineChart>
      <c:catAx>
        <c:axId val="74162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30152"/>
        <c:crosses val="autoZero"/>
        <c:auto val="1"/>
        <c:lblAlgn val="ctr"/>
        <c:lblOffset val="100"/>
        <c:noMultiLvlLbl val="0"/>
      </c:catAx>
      <c:valAx>
        <c:axId val="74163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2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 window target</a:t>
            </a:r>
            <a:r>
              <a:rPr lang="en-GB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'Refrence without window'!$Q$3</c:f>
              <c:strCache>
                <c:ptCount val="1"/>
                <c:pt idx="0">
                  <c:v>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window'!$Q$4,'Refrence without window'!$Q$10,'Refrence without window'!$Q$16,'Refrence without window'!$Q$22,'Refrence without window'!$Q$28,'Refrence without window'!$Q$34,'Refrence without window'!$Q$40)</c:f>
              <c:numCache>
                <c:formatCode>General</c:formatCode>
                <c:ptCount val="7"/>
                <c:pt idx="0">
                  <c:v>-0.54700000000002547</c:v>
                </c:pt>
                <c:pt idx="1">
                  <c:v>-0.68200000000001637</c:v>
                </c:pt>
                <c:pt idx="2">
                  <c:v>-0.80699999999995953</c:v>
                </c:pt>
                <c:pt idx="3">
                  <c:v>-0.94099999999997408</c:v>
                </c:pt>
                <c:pt idx="4">
                  <c:v>-0.83100000000001728</c:v>
                </c:pt>
                <c:pt idx="5">
                  <c:v>-1.0799999999999841</c:v>
                </c:pt>
                <c:pt idx="6">
                  <c:v>-0.97700000000003229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0-4784-A945-F193888BE1A9}"/>
            </c:ext>
          </c:extLst>
        </c:ser>
        <c:ser>
          <c:idx val="1"/>
          <c:order val="1"/>
          <c:tx>
            <c:strRef>
              <c:f>'Refrence without window'!$R$3</c:f>
              <c:strCache>
                <c:ptCount val="1"/>
                <c:pt idx="0">
                  <c:v>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window'!$R$4,'Refrence without window'!$R$10,'Refrence without window'!$R$16,'Refrence without window'!$R$22,'Refrence without window'!$R$28,'Refrence without window'!$R$34,'Refrence without window'!$R$40)</c:f>
              <c:numCache>
                <c:formatCode>General</c:formatCode>
                <c:ptCount val="7"/>
                <c:pt idx="0">
                  <c:v>-0.65600000000006276</c:v>
                </c:pt>
                <c:pt idx="1">
                  <c:v>-0.80399999999997362</c:v>
                </c:pt>
                <c:pt idx="2">
                  <c:v>-0.94100000000003092</c:v>
                </c:pt>
                <c:pt idx="3">
                  <c:v>-1.0790000000000646</c:v>
                </c:pt>
                <c:pt idx="4">
                  <c:v>-1.09699999999998</c:v>
                </c:pt>
                <c:pt idx="5">
                  <c:v>-1.2290000000000418</c:v>
                </c:pt>
                <c:pt idx="6">
                  <c:v>-1.2459999999999809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0-4784-A945-F193888BE1A9}"/>
            </c:ext>
          </c:extLst>
        </c:ser>
        <c:ser>
          <c:idx val="2"/>
          <c:order val="2"/>
          <c:tx>
            <c:strRef>
              <c:f>'Refrence without window'!$S$3</c:f>
              <c:strCache>
                <c:ptCount val="1"/>
                <c:pt idx="0">
                  <c:v>dZ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window'!$S$4,'Refrence without window'!$S$10,'Refrence without window'!$S$16,'Refrence without window'!$S$22,'Refrence without window'!$S$28,'Refrence without window'!$S$34,'Refrence without window'!$S$40)</c:f>
              <c:numCache>
                <c:formatCode>General</c:formatCode>
                <c:ptCount val="7"/>
                <c:pt idx="0">
                  <c:v>0.19299999999998363</c:v>
                </c:pt>
                <c:pt idx="1">
                  <c:v>0.15799999999990177</c:v>
                </c:pt>
                <c:pt idx="2">
                  <c:v>0.17800000000011096</c:v>
                </c:pt>
                <c:pt idx="3">
                  <c:v>0.17699999999990723</c:v>
                </c:pt>
                <c:pt idx="4">
                  <c:v>0.11300000000005639</c:v>
                </c:pt>
                <c:pt idx="5">
                  <c:v>0.17800000000011096</c:v>
                </c:pt>
                <c:pt idx="6">
                  <c:v>0.11400000000003274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0-4784-A945-F193888BE1A9}"/>
            </c:ext>
          </c:extLst>
        </c:ser>
        <c:ser>
          <c:idx val="3"/>
          <c:order val="3"/>
          <c:tx>
            <c:strRef>
              <c:f>'Refrence without window'!$T$3</c:f>
              <c:strCache>
                <c:ptCount val="1"/>
                <c:pt idx="0">
                  <c:v>dSUM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window'!$T$4,'Refrence without window'!$T$10,'Refrence without window'!$T$16,'Refrence without window'!$T$22,'Refrence without window'!$T$28,'Refrence without window'!$T$34,'Refrence without window'!$T$40)</c:f>
              <c:numCache>
                <c:formatCode>General</c:formatCode>
                <c:ptCount val="7"/>
                <c:pt idx="0">
                  <c:v>0.87566774520939383</c:v>
                </c:pt>
                <c:pt idx="1">
                  <c:v>1.0660694161263369</c:v>
                </c:pt>
                <c:pt idx="2">
                  <c:v>1.2523633658008495</c:v>
                </c:pt>
                <c:pt idx="3">
                  <c:v>1.4425848328608122</c:v>
                </c:pt>
                <c:pt idx="4">
                  <c:v>1.3808472037122708</c:v>
                </c:pt>
                <c:pt idx="5">
                  <c:v>1.6457597029943671</c:v>
                </c:pt>
                <c:pt idx="6">
                  <c:v>1.5874637003723968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0-4784-A945-F193888BE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435944"/>
        <c:axId val="784438896"/>
      </c:lineChart>
      <c:catAx>
        <c:axId val="78443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38896"/>
        <c:crosses val="autoZero"/>
        <c:auto val="1"/>
        <c:lblAlgn val="ctr"/>
        <c:lblOffset val="100"/>
        <c:noMultiLvlLbl val="0"/>
      </c:catAx>
      <c:valAx>
        <c:axId val="7844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3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 window target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'Refrence without window'!$Q$3</c:f>
              <c:strCache>
                <c:ptCount val="1"/>
                <c:pt idx="0">
                  <c:v>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window'!$Q$5,'Refrence without window'!$Q$11,'Refrence without window'!$Q$17,'Refrence without window'!$Q$23,'Refrence without window'!$Q$29,'Refrence without window'!$Q$35,'Refrence without window'!$Q$41)</c:f>
              <c:numCache>
                <c:formatCode>General</c:formatCode>
                <c:ptCount val="7"/>
                <c:pt idx="0">
                  <c:v>-0.46600000000000819</c:v>
                </c:pt>
                <c:pt idx="1">
                  <c:v>-0.58800000000002228</c:v>
                </c:pt>
                <c:pt idx="2">
                  <c:v>-0.70299999999997453</c:v>
                </c:pt>
                <c:pt idx="3">
                  <c:v>-0.85099999999999909</c:v>
                </c:pt>
                <c:pt idx="4">
                  <c:v>-0.74900000000002365</c:v>
                </c:pt>
                <c:pt idx="5">
                  <c:v>-0.9819999999999709</c:v>
                </c:pt>
                <c:pt idx="6">
                  <c:v>-0.88900000000001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2-4A2E-B281-9527AC8CA6DE}"/>
            </c:ext>
          </c:extLst>
        </c:ser>
        <c:ser>
          <c:idx val="1"/>
          <c:order val="1"/>
          <c:tx>
            <c:strRef>
              <c:f>'Refrence without window'!$R$3</c:f>
              <c:strCache>
                <c:ptCount val="1"/>
                <c:pt idx="0">
                  <c:v>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window'!$R$5,'Refrence without window'!$R$11,'Refrence without window'!$R$17,'Refrence without window'!$R$23,'Refrence without window'!$R$29,'Refrence without window'!$R$35,'Refrence without window'!$R$41)</c:f>
              <c:numCache>
                <c:formatCode>General</c:formatCode>
                <c:ptCount val="7"/>
                <c:pt idx="0">
                  <c:v>-0.66900000000009641</c:v>
                </c:pt>
                <c:pt idx="1">
                  <c:v>-0.81299999999998818</c:v>
                </c:pt>
                <c:pt idx="2">
                  <c:v>-0.95800000000008367</c:v>
                </c:pt>
                <c:pt idx="3">
                  <c:v>-1.0939999999999372</c:v>
                </c:pt>
                <c:pt idx="4">
                  <c:v>-1.1069999999999709</c:v>
                </c:pt>
                <c:pt idx="5">
                  <c:v>-1.2440000000000282</c:v>
                </c:pt>
                <c:pt idx="6">
                  <c:v>-1.2530000000000427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2-4A2E-B281-9527AC8CA6DE}"/>
            </c:ext>
          </c:extLst>
        </c:ser>
        <c:ser>
          <c:idx val="2"/>
          <c:order val="2"/>
          <c:tx>
            <c:strRef>
              <c:f>'Refrence without window'!$S$3</c:f>
              <c:strCache>
                <c:ptCount val="1"/>
                <c:pt idx="0">
                  <c:v>dZ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window'!$S$5,'Refrence without window'!$S$11,'Refrence without window'!$S$17,'Refrence without window'!$S$23,'Refrence without window'!$S$29,'Refrence without window'!$S$35,'Refrence without window'!$S$41)</c:f>
              <c:numCache>
                <c:formatCode>General</c:formatCode>
                <c:ptCount val="7"/>
                <c:pt idx="0">
                  <c:v>0.12999999999999545</c:v>
                </c:pt>
                <c:pt idx="1">
                  <c:v>0.12799999999992906</c:v>
                </c:pt>
                <c:pt idx="2">
                  <c:v>0.12899999999990541</c:v>
                </c:pt>
                <c:pt idx="3">
                  <c:v>0.12099999999986721</c:v>
                </c:pt>
                <c:pt idx="4">
                  <c:v>6.7000000000007276E-2</c:v>
                </c:pt>
                <c:pt idx="5">
                  <c:v>0.11799999999993815</c:v>
                </c:pt>
                <c:pt idx="6">
                  <c:v>6.3999999999850843E-2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2-4A2E-B281-9527AC8CA6DE}"/>
            </c:ext>
          </c:extLst>
        </c:ser>
        <c:ser>
          <c:idx val="3"/>
          <c:order val="3"/>
          <c:tx>
            <c:strRef>
              <c:f>'Refrence without window'!$T$3</c:f>
              <c:strCache>
                <c:ptCount val="1"/>
                <c:pt idx="0">
                  <c:v>dSUM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window'!$T$5,'Refrence without window'!$T$11,'Refrence without window'!$T$17,'Refrence without window'!$T$23,'Refrence without window'!$T$29,'Refrence without window'!$T$35,'Refrence without window'!$T$41)</c:f>
              <c:numCache>
                <c:formatCode>General</c:formatCode>
                <c:ptCount val="7"/>
                <c:pt idx="0">
                  <c:v>0.82560099321653879</c:v>
                </c:pt>
                <c:pt idx="1">
                  <c:v>1.0114825752330037</c:v>
                </c:pt>
                <c:pt idx="2">
                  <c:v>1.1952464181080402</c:v>
                </c:pt>
                <c:pt idx="3">
                  <c:v>1.3912864550479276</c:v>
                </c:pt>
                <c:pt idx="4">
                  <c:v>1.3382596907924755</c:v>
                </c:pt>
                <c:pt idx="5">
                  <c:v>1.5892715312368741</c:v>
                </c:pt>
                <c:pt idx="6">
                  <c:v>1.5376690151004884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F2-4A2E-B281-9527AC8CA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579016"/>
        <c:axId val="693574096"/>
      </c:lineChart>
      <c:catAx>
        <c:axId val="69357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74096"/>
        <c:crosses val="autoZero"/>
        <c:auto val="1"/>
        <c:lblAlgn val="ctr"/>
        <c:lblOffset val="100"/>
        <c:noMultiLvlLbl val="0"/>
      </c:catAx>
      <c:valAx>
        <c:axId val="693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7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 window target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'Refrence without window'!$Q$3</c:f>
              <c:strCache>
                <c:ptCount val="1"/>
                <c:pt idx="0">
                  <c:v>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window'!$Q$6,'Refrence without window'!$Q$12,'Refrence without window'!$Q$18,'Refrence without window'!$Q$24,'Refrence without window'!$Q$30,'Refrence without window'!$Q$36,'Refrence without window'!$Q$42)</c:f>
              <c:numCache>
                <c:formatCode>General</c:formatCode>
                <c:ptCount val="7"/>
                <c:pt idx="0">
                  <c:v>-0.46199999999998909</c:v>
                </c:pt>
                <c:pt idx="1">
                  <c:v>-0.58699999999998909</c:v>
                </c:pt>
                <c:pt idx="2">
                  <c:v>-0.71299999999996544</c:v>
                </c:pt>
                <c:pt idx="3">
                  <c:v>-0.84900000000004638</c:v>
                </c:pt>
                <c:pt idx="4">
                  <c:v>-0.75600000000008549</c:v>
                </c:pt>
                <c:pt idx="5">
                  <c:v>-0.98400000000003729</c:v>
                </c:pt>
                <c:pt idx="6">
                  <c:v>-0.88999999999998636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0-4993-B260-D636871DCA6E}"/>
            </c:ext>
          </c:extLst>
        </c:ser>
        <c:ser>
          <c:idx val="1"/>
          <c:order val="1"/>
          <c:tx>
            <c:strRef>
              <c:f>'Refrence without window'!$R$3</c:f>
              <c:strCache>
                <c:ptCount val="1"/>
                <c:pt idx="0">
                  <c:v>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window'!$R$6,'Refrence without window'!$R$12,'Refrence without window'!$R$18,'Refrence without window'!$R$24,'Refrence without window'!$R$30,'Refrence without window'!$R$36,'Refrence without window'!$R$42)</c:f>
              <c:numCache>
                <c:formatCode>General</c:formatCode>
                <c:ptCount val="7"/>
                <c:pt idx="0">
                  <c:v>-0.58400000000006003</c:v>
                </c:pt>
                <c:pt idx="1">
                  <c:v>-0.71900000000005093</c:v>
                </c:pt>
                <c:pt idx="2">
                  <c:v>-0.86300000000005639</c:v>
                </c:pt>
                <c:pt idx="3">
                  <c:v>-1.0130000000001473</c:v>
                </c:pt>
                <c:pt idx="4">
                  <c:v>-1.0219999999999345</c:v>
                </c:pt>
                <c:pt idx="5">
                  <c:v>-1.1600000000000819</c:v>
                </c:pt>
                <c:pt idx="6">
                  <c:v>-1.1749999999999545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0-4993-B260-D636871DCA6E}"/>
            </c:ext>
          </c:extLst>
        </c:ser>
        <c:ser>
          <c:idx val="2"/>
          <c:order val="2"/>
          <c:tx>
            <c:strRef>
              <c:f>'Refrence without window'!$S$3</c:f>
              <c:strCache>
                <c:ptCount val="1"/>
                <c:pt idx="0">
                  <c:v>dZ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window'!$S$6,'Refrence without window'!$S$12,'Refrence without window'!$S$18,'Refrence without window'!$S$24,'Refrence without window'!$S$30,'Refrence without window'!$S$36,'Refrence without window'!$S$42)</c:f>
              <c:numCache>
                <c:formatCode>General</c:formatCode>
                <c:ptCount val="7"/>
                <c:pt idx="0">
                  <c:v>6.2999999999988177E-2</c:v>
                </c:pt>
                <c:pt idx="1">
                  <c:v>5.999999999994543E-2</c:v>
                </c:pt>
                <c:pt idx="2">
                  <c:v>5.1000000000158252E-2</c:v>
                </c:pt>
                <c:pt idx="3">
                  <c:v>5.2000000000134605E-2</c:v>
                </c:pt>
                <c:pt idx="4">
                  <c:v>-3.9999999999054126E-3</c:v>
                </c:pt>
                <c:pt idx="5">
                  <c:v>5.3999999999859938E-2</c:v>
                </c:pt>
                <c:pt idx="6">
                  <c:v>-4.0000000001327862E-3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0-4993-B260-D636871DCA6E}"/>
            </c:ext>
          </c:extLst>
        </c:ser>
        <c:ser>
          <c:idx val="3"/>
          <c:order val="3"/>
          <c:tx>
            <c:strRef>
              <c:f>'Refrence without window'!$T$3</c:f>
              <c:strCache>
                <c:ptCount val="1"/>
                <c:pt idx="0">
                  <c:v>dSUM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window'!$T$6,'Refrence without window'!$T$12,'Refrence without window'!$T$18,'Refrence without window'!$T$24,'Refrence without window'!$T$30,'Refrence without window'!$T$36,'Refrence without window'!$T$42)</c:f>
              <c:numCache>
                <c:formatCode>General</c:formatCode>
                <c:ptCount val="7"/>
                <c:pt idx="0">
                  <c:v>0.74730783483117491</c:v>
                </c:pt>
                <c:pt idx="1">
                  <c:v>0.93012364769424827</c:v>
                </c:pt>
                <c:pt idx="2">
                  <c:v>1.120597608421535</c:v>
                </c:pt>
                <c:pt idx="3">
                  <c:v>1.3227524333753431</c:v>
                </c:pt>
                <c:pt idx="4">
                  <c:v>1.2712340461142451</c:v>
                </c:pt>
                <c:pt idx="5">
                  <c:v>1.5220946094117305</c:v>
                </c:pt>
                <c:pt idx="6">
                  <c:v>1.474022048681725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0-4993-B260-D636871DC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597384"/>
        <c:axId val="759598040"/>
      </c:lineChart>
      <c:catAx>
        <c:axId val="75959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98040"/>
        <c:crosses val="autoZero"/>
        <c:auto val="1"/>
        <c:lblAlgn val="ctr"/>
        <c:lblOffset val="100"/>
        <c:noMultiLvlLbl val="0"/>
      </c:catAx>
      <c:valAx>
        <c:axId val="75959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9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 window target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'Refrence without window'!$Q$3</c:f>
              <c:strCache>
                <c:ptCount val="1"/>
                <c:pt idx="0">
                  <c:v>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window'!$Q$7,'Refrence without window'!$Q$13,'Refrence without window'!$Q$19,'Refrence without window'!$Q$25,'Refrence without window'!$Q$31,'Refrence without window'!$Q$37,'Refrence without window'!$Q$43)</c:f>
              <c:numCache>
                <c:formatCode>General</c:formatCode>
                <c:ptCount val="7"/>
                <c:pt idx="0">
                  <c:v>-0.55699999999995953</c:v>
                </c:pt>
                <c:pt idx="1">
                  <c:v>-0.68799999999998818</c:v>
                </c:pt>
                <c:pt idx="2">
                  <c:v>-0.81400000000002137</c:v>
                </c:pt>
                <c:pt idx="3">
                  <c:v>-0.95499999999998408</c:v>
                </c:pt>
                <c:pt idx="4">
                  <c:v>-0.82800000000003138</c:v>
                </c:pt>
                <c:pt idx="5">
                  <c:v>-1.0840000000000032</c:v>
                </c:pt>
                <c:pt idx="6">
                  <c:v>-0.97500000000002274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4-4A7B-8D58-060B1988A595}"/>
            </c:ext>
          </c:extLst>
        </c:ser>
        <c:ser>
          <c:idx val="1"/>
          <c:order val="1"/>
          <c:tx>
            <c:strRef>
              <c:f>'Refrence without window'!$R$3</c:f>
              <c:strCache>
                <c:ptCount val="1"/>
                <c:pt idx="0">
                  <c:v>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window'!$R$7,'Refrence without window'!$R$13,'Refrence without window'!$R$19,'Refrence without window'!$R$25,'Refrence without window'!$R$31,'Refrence without window'!$R$37,'Refrence without window'!$R$43)</c:f>
              <c:numCache>
                <c:formatCode>General</c:formatCode>
                <c:ptCount val="7"/>
                <c:pt idx="0">
                  <c:v>-0.57799999999997453</c:v>
                </c:pt>
                <c:pt idx="1">
                  <c:v>-0.71499999999991815</c:v>
                </c:pt>
                <c:pt idx="2">
                  <c:v>-0.85999999999989996</c:v>
                </c:pt>
                <c:pt idx="3">
                  <c:v>-1.0009999999999764</c:v>
                </c:pt>
                <c:pt idx="4">
                  <c:v>-1.0050000000001091</c:v>
                </c:pt>
                <c:pt idx="5">
                  <c:v>-1.1490000000000009</c:v>
                </c:pt>
                <c:pt idx="6">
                  <c:v>-1.1680000000000064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4-4A7B-8D58-060B1988A595}"/>
            </c:ext>
          </c:extLst>
        </c:ser>
        <c:ser>
          <c:idx val="2"/>
          <c:order val="2"/>
          <c:tx>
            <c:strRef>
              <c:f>'Refrence without window'!$S$3</c:f>
              <c:strCache>
                <c:ptCount val="1"/>
                <c:pt idx="0">
                  <c:v>dZ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window'!$S$7,'Refrence without window'!$S$13,'Refrence without window'!$S$19,'Refrence without window'!$S$25,'Refrence without window'!$S$31,'Refrence without window'!$S$37,'Refrence without window'!$S$43)</c:f>
              <c:numCache>
                <c:formatCode>General</c:formatCode>
                <c:ptCount val="7"/>
                <c:pt idx="0">
                  <c:v>0.11199999999996635</c:v>
                </c:pt>
                <c:pt idx="1">
                  <c:v>0.11300000000005639</c:v>
                </c:pt>
                <c:pt idx="2">
                  <c:v>0.10300000000006548</c:v>
                </c:pt>
                <c:pt idx="3">
                  <c:v>0.10999999999989996</c:v>
                </c:pt>
                <c:pt idx="4">
                  <c:v>4.500000000007276E-2</c:v>
                </c:pt>
                <c:pt idx="5">
                  <c:v>0.11400000000003274</c:v>
                </c:pt>
                <c:pt idx="6">
                  <c:v>3.7000000000034561E-2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4-4A7B-8D58-060B1988A595}"/>
            </c:ext>
          </c:extLst>
        </c:ser>
        <c:ser>
          <c:idx val="3"/>
          <c:order val="3"/>
          <c:tx>
            <c:strRef>
              <c:f>'Refrence without window'!$T$3</c:f>
              <c:strCache>
                <c:ptCount val="1"/>
                <c:pt idx="0">
                  <c:v>dSUM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window'!$T$7,'Refrence without window'!$T$13,'Refrence without window'!$T$19,'Refrence without window'!$T$25,'Refrence without window'!$T$31,'Refrence without window'!$T$37,'Refrence without window'!$T$43)</c:f>
              <c:numCache>
                <c:formatCode>General</c:formatCode>
                <c:ptCount val="7"/>
                <c:pt idx="0">
                  <c:v>0.81047948771077349</c:v>
                </c:pt>
                <c:pt idx="1">
                  <c:v>0.99866811303850056</c:v>
                </c:pt>
                <c:pt idx="2">
                  <c:v>1.18861473993884</c:v>
                </c:pt>
                <c:pt idx="3">
                  <c:v>1.3878494154626071</c:v>
                </c:pt>
                <c:pt idx="4">
                  <c:v>1.3029328455451101</c:v>
                </c:pt>
                <c:pt idx="5">
                  <c:v>1.5837465074941812</c:v>
                </c:pt>
                <c:pt idx="6">
                  <c:v>1.5219126124715774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44-4A7B-8D58-060B1988A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636712"/>
        <c:axId val="741638680"/>
      </c:lineChart>
      <c:catAx>
        <c:axId val="74163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38680"/>
        <c:crosses val="autoZero"/>
        <c:auto val="1"/>
        <c:lblAlgn val="ctr"/>
        <c:lblOffset val="100"/>
        <c:noMultiLvlLbl val="0"/>
      </c:catAx>
      <c:valAx>
        <c:axId val="74163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63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 vacuum target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'Refrence without window'!$V$3</c:f>
              <c:strCache>
                <c:ptCount val="1"/>
                <c:pt idx="0">
                  <c:v>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window'!$V$4,'Refrence without window'!$V$10,'Refrence without window'!$V$16,'Refrence without window'!$V$22,'Refrence without window'!$V$28,'Refrence without window'!$V$34,'Refrence without window'!$V$40)</c:f>
              <c:numCache>
                <c:formatCode>General</c:formatCode>
                <c:ptCount val="7"/>
                <c:pt idx="0">
                  <c:v>-0.5040000000000191</c:v>
                </c:pt>
                <c:pt idx="1">
                  <c:v>-0.66399999999998727</c:v>
                </c:pt>
                <c:pt idx="2">
                  <c:v>-0.83400000000000318</c:v>
                </c:pt>
                <c:pt idx="3">
                  <c:v>-0.98099999999999454</c:v>
                </c:pt>
                <c:pt idx="4">
                  <c:v>-0.87800000000004275</c:v>
                </c:pt>
                <c:pt idx="5">
                  <c:v>-1.117999999999995</c:v>
                </c:pt>
                <c:pt idx="6">
                  <c:v>-1.0320000000000391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E-4746-8583-18DBFBEA1D37}"/>
            </c:ext>
          </c:extLst>
        </c:ser>
        <c:ser>
          <c:idx val="1"/>
          <c:order val="1"/>
          <c:tx>
            <c:strRef>
              <c:f>'Refrence without window'!$W$3</c:f>
              <c:strCache>
                <c:ptCount val="1"/>
                <c:pt idx="0">
                  <c:v>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window'!$W$4,'Refrence without window'!$W$10,'Refrence without window'!$W$16,'Refrence without window'!$W$22,'Refrence without window'!$W$28,'Refrence without window'!$W$34,'Refrence without window'!$W$40)</c:f>
              <c:numCache>
                <c:formatCode>General</c:formatCode>
                <c:ptCount val="7"/>
                <c:pt idx="0">
                  <c:v>-0.59600000000000364</c:v>
                </c:pt>
                <c:pt idx="1">
                  <c:v>-0.7540000000000191</c:v>
                </c:pt>
                <c:pt idx="2">
                  <c:v>-0.88699999999994361</c:v>
                </c:pt>
                <c:pt idx="3">
                  <c:v>-1.0250000000000909</c:v>
                </c:pt>
                <c:pt idx="4">
                  <c:v>-1.0330000000000155</c:v>
                </c:pt>
                <c:pt idx="5">
                  <c:v>-1.1570000000000391</c:v>
                </c:pt>
                <c:pt idx="6">
                  <c:v>-1.1620000000000346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FE-4746-8583-18DBFBEA1D37}"/>
            </c:ext>
          </c:extLst>
        </c:ser>
        <c:ser>
          <c:idx val="2"/>
          <c:order val="2"/>
          <c:tx>
            <c:strRef>
              <c:f>'Refrence without window'!$X$3</c:f>
              <c:strCache>
                <c:ptCount val="1"/>
                <c:pt idx="0">
                  <c:v>dZ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window'!$X$4,'Refrence without window'!$X$10,'Refrence without window'!$X$16,'Refrence without window'!$X$22,'Refrence without window'!$X$28,'Refrence without window'!$X$34,'Refrence without window'!$X$40)</c:f>
              <c:numCache>
                <c:formatCode>General</c:formatCode>
                <c:ptCount val="7"/>
                <c:pt idx="0">
                  <c:v>0.21399999999994179</c:v>
                </c:pt>
                <c:pt idx="1">
                  <c:v>0.21000000000003638</c:v>
                </c:pt>
                <c:pt idx="2">
                  <c:v>0.22000000000002728</c:v>
                </c:pt>
                <c:pt idx="3">
                  <c:v>0.22799999999983811</c:v>
                </c:pt>
                <c:pt idx="4">
                  <c:v>0.16300000000001091</c:v>
                </c:pt>
                <c:pt idx="5">
                  <c:v>0.22900000000004184</c:v>
                </c:pt>
                <c:pt idx="6">
                  <c:v>0.16300000000001091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FE-4746-8583-18DBFBEA1D37}"/>
            </c:ext>
          </c:extLst>
        </c:ser>
        <c:ser>
          <c:idx val="3"/>
          <c:order val="3"/>
          <c:tx>
            <c:strRef>
              <c:f>'Refrence without window'!$Y$3</c:f>
              <c:strCache>
                <c:ptCount val="1"/>
                <c:pt idx="0">
                  <c:v>dSUM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window'!$Y$4,'Refrence without window'!$Y$10,'Refrence without window'!$Y$16,'Refrence without window'!$Y$22,'Refrence without window'!$Y$28,'Refrence without window'!$Y$34,'Refrence without window'!$Y$40)</c:f>
              <c:numCache>
                <c:formatCode>General</c:formatCode>
                <c:ptCount val="7"/>
                <c:pt idx="0">
                  <c:v>0.80933800108483633</c:v>
                </c:pt>
                <c:pt idx="1">
                  <c:v>1.0264073265521965</c:v>
                </c:pt>
                <c:pt idx="2">
                  <c:v>1.2372247168562052</c:v>
                </c:pt>
                <c:pt idx="3">
                  <c:v>1.4370003479471054</c:v>
                </c:pt>
                <c:pt idx="4">
                  <c:v>1.3654823323646887</c:v>
                </c:pt>
                <c:pt idx="5">
                  <c:v>1.6251196878999707</c:v>
                </c:pt>
                <c:pt idx="6">
                  <c:v>1.5626378339206319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FE-4746-8583-18DBFBEA1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221432"/>
        <c:axId val="1235221760"/>
      </c:lineChart>
      <c:catAx>
        <c:axId val="123522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221760"/>
        <c:crosses val="autoZero"/>
        <c:auto val="1"/>
        <c:lblAlgn val="ctr"/>
        <c:lblOffset val="100"/>
        <c:noMultiLvlLbl val="0"/>
      </c:catAx>
      <c:valAx>
        <c:axId val="12352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22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 vacuum target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'Refrence without window'!$V$3</c:f>
              <c:strCache>
                <c:ptCount val="1"/>
                <c:pt idx="0">
                  <c:v>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window'!$V$5,'Refrence without window'!$V$11,'Refrence without window'!$V$17,'Refrence without window'!$V$23,'Refrence without window'!$V$29,'Refrence without window'!$V$35,'Refrence without window'!$V$41)</c:f>
              <c:numCache>
                <c:formatCode>General</c:formatCode>
                <c:ptCount val="7"/>
                <c:pt idx="0">
                  <c:v>-0.41899999999998272</c:v>
                </c:pt>
                <c:pt idx="1">
                  <c:v>-0.56999999999999318</c:v>
                </c:pt>
                <c:pt idx="2">
                  <c:v>-0.7319999999999709</c:v>
                </c:pt>
                <c:pt idx="3">
                  <c:v>-0.88700000000000045</c:v>
                </c:pt>
                <c:pt idx="4">
                  <c:v>-0.77499999999997726</c:v>
                </c:pt>
                <c:pt idx="5">
                  <c:v>-1.0199999999999818</c:v>
                </c:pt>
                <c:pt idx="6">
                  <c:v>-0.93899999999996453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8-4F02-99C6-AFB4152012BC}"/>
            </c:ext>
          </c:extLst>
        </c:ser>
        <c:ser>
          <c:idx val="1"/>
          <c:order val="1"/>
          <c:tx>
            <c:strRef>
              <c:f>'Refrence without window'!$W$3</c:f>
              <c:strCache>
                <c:ptCount val="1"/>
                <c:pt idx="0">
                  <c:v>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window'!$W$5,'Refrence without window'!$W$11,'Refrence without window'!$W$17,'Refrence without window'!$W$23,'Refrence without window'!$W$29,'Refrence without window'!$W$35,'Refrence without window'!$W$41)</c:f>
              <c:numCache>
                <c:formatCode>General</c:formatCode>
                <c:ptCount val="7"/>
                <c:pt idx="0">
                  <c:v>-0.62000000000000455</c:v>
                </c:pt>
                <c:pt idx="1">
                  <c:v>-0.76900000000000546</c:v>
                </c:pt>
                <c:pt idx="2">
                  <c:v>-0.8970000000000482</c:v>
                </c:pt>
                <c:pt idx="3">
                  <c:v>-1.0279999999999063</c:v>
                </c:pt>
                <c:pt idx="4">
                  <c:v>-1.04200000000003</c:v>
                </c:pt>
                <c:pt idx="5">
                  <c:v>-1.1680000000000064</c:v>
                </c:pt>
                <c:pt idx="6">
                  <c:v>-1.1639999999999873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8-4F02-99C6-AFB4152012BC}"/>
            </c:ext>
          </c:extLst>
        </c:ser>
        <c:ser>
          <c:idx val="2"/>
          <c:order val="2"/>
          <c:tx>
            <c:strRef>
              <c:f>'Refrence without window'!$X$3</c:f>
              <c:strCache>
                <c:ptCount val="1"/>
                <c:pt idx="0">
                  <c:v>dZ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window'!$X$5,'Refrence without window'!$X$11,'Refrence without window'!$X$17,'Refrence without window'!$X$23,'Refrence without window'!$X$29,'Refrence without window'!$X$35,'Refrence without window'!$X$41)</c:f>
              <c:numCache>
                <c:formatCode>General</c:formatCode>
                <c:ptCount val="7"/>
                <c:pt idx="0">
                  <c:v>0.14800000000002456</c:v>
                </c:pt>
                <c:pt idx="1">
                  <c:v>0.14299999999980173</c:v>
                </c:pt>
                <c:pt idx="2">
                  <c:v>0.15999999999985448</c:v>
                </c:pt>
                <c:pt idx="3">
                  <c:v>0.16200000000003456</c:v>
                </c:pt>
                <c:pt idx="4">
                  <c:v>0.10999999999989996</c:v>
                </c:pt>
                <c:pt idx="5">
                  <c:v>0.16799999999989268</c:v>
                </c:pt>
                <c:pt idx="6">
                  <c:v>0.11400000000003274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8-4F02-99C6-AFB4152012BC}"/>
            </c:ext>
          </c:extLst>
        </c:ser>
        <c:ser>
          <c:idx val="3"/>
          <c:order val="3"/>
          <c:tx>
            <c:strRef>
              <c:f>'Refrence without window'!$Y$3</c:f>
              <c:strCache>
                <c:ptCount val="1"/>
                <c:pt idx="0">
                  <c:v>dSUM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window'!$Y$5,'Refrence without window'!$Y$11,'Refrence without window'!$Y$17,'Refrence without window'!$Y$23,'Refrence without window'!$Y$29,'Refrence without window'!$Y$35,'Refrence without window'!$Y$41)</c:f>
              <c:numCache>
                <c:formatCode>General</c:formatCode>
                <c:ptCount val="7"/>
                <c:pt idx="0">
                  <c:v>0.76280076035620104</c:v>
                </c:pt>
                <c:pt idx="1">
                  <c:v>0.96783779632743416</c:v>
                </c:pt>
                <c:pt idx="2">
                  <c:v>1.1687741441356398</c:v>
                </c:pt>
                <c:pt idx="3">
                  <c:v>1.3674052069521381</c:v>
                </c:pt>
                <c:pt idx="4">
                  <c:v>1.3032609101787735</c:v>
                </c:pt>
                <c:pt idx="5">
                  <c:v>1.5597589557364118</c:v>
                </c:pt>
                <c:pt idx="6">
                  <c:v>1.4998709944524933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C8-4F02-99C6-AFB415201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51648"/>
        <c:axId val="698751976"/>
      </c:lineChart>
      <c:catAx>
        <c:axId val="6987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51976"/>
        <c:crosses val="autoZero"/>
        <c:auto val="1"/>
        <c:lblAlgn val="ctr"/>
        <c:lblOffset val="100"/>
        <c:noMultiLvlLbl val="0"/>
      </c:catAx>
      <c:valAx>
        <c:axId val="6987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5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</a:t>
            </a:r>
            <a:r>
              <a:rPr lang="en-GB" baseline="0"/>
              <a:t> vacuum target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'Refrence without window'!$V$3</c:f>
              <c:strCache>
                <c:ptCount val="1"/>
                <c:pt idx="0">
                  <c:v>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window'!$V$6,'Refrence without window'!$V$12,'Refrence without window'!$V$18,'Refrence without window'!$V$24,'Refrence without window'!$V$30,'Refrence without window'!$V$36,'Refrence without window'!$V$42)</c:f>
              <c:numCache>
                <c:formatCode>General</c:formatCode>
                <c:ptCount val="7"/>
                <c:pt idx="0">
                  <c:v>-0.40500000000002956</c:v>
                </c:pt>
                <c:pt idx="1">
                  <c:v>-0.56299999999998818</c:v>
                </c:pt>
                <c:pt idx="2">
                  <c:v>-0.74000000000000909</c:v>
                </c:pt>
                <c:pt idx="3">
                  <c:v>-0.8970000000000482</c:v>
                </c:pt>
                <c:pt idx="4">
                  <c:v>-0.79100000000005366</c:v>
                </c:pt>
                <c:pt idx="5">
                  <c:v>-1.02800000000002</c:v>
                </c:pt>
                <c:pt idx="6">
                  <c:v>-0.93799999999998818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0-4D6D-8521-2ED529F0890D}"/>
            </c:ext>
          </c:extLst>
        </c:ser>
        <c:ser>
          <c:idx val="1"/>
          <c:order val="1"/>
          <c:tx>
            <c:strRef>
              <c:f>'Refrence without window'!$W$3</c:f>
              <c:strCache>
                <c:ptCount val="1"/>
                <c:pt idx="0">
                  <c:v>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window'!$W$6,'Refrence without window'!$W$12,'Refrence without window'!$W$18,'Refrence without window'!$W$24,'Refrence without window'!$W$30,'Refrence without window'!$W$36,'Refrence without window'!$W$42)</c:f>
              <c:numCache>
                <c:formatCode>General</c:formatCode>
                <c:ptCount val="7"/>
                <c:pt idx="0">
                  <c:v>-0.52999999999997272</c:v>
                </c:pt>
                <c:pt idx="1">
                  <c:v>-0.67800000000011096</c:v>
                </c:pt>
                <c:pt idx="2">
                  <c:v>-0.80100000000015825</c:v>
                </c:pt>
                <c:pt idx="3">
                  <c:v>-0.93700000000012551</c:v>
                </c:pt>
                <c:pt idx="4">
                  <c:v>-0.94699999999988904</c:v>
                </c:pt>
                <c:pt idx="5">
                  <c:v>-1.0810000000000173</c:v>
                </c:pt>
                <c:pt idx="6">
                  <c:v>-1.0779999999999745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0-4D6D-8521-2ED529F0890D}"/>
            </c:ext>
          </c:extLst>
        </c:ser>
        <c:ser>
          <c:idx val="2"/>
          <c:order val="2"/>
          <c:tx>
            <c:strRef>
              <c:f>'Refrence without window'!$X$3</c:f>
              <c:strCache>
                <c:ptCount val="1"/>
                <c:pt idx="0">
                  <c:v>dZ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window'!$X$6,'Refrence without window'!$X$12,'Refrence without window'!$X$18,'Refrence without window'!$X$24,'Refrence without window'!$X$30,'Refrence without window'!$X$36,'Refrence without window'!$X$42)</c:f>
              <c:numCache>
                <c:formatCode>General</c:formatCode>
                <c:ptCount val="7"/>
                <c:pt idx="0">
                  <c:v>7.4999999999931788E-2</c:v>
                </c:pt>
                <c:pt idx="1">
                  <c:v>7.7999999999974534E-2</c:v>
                </c:pt>
                <c:pt idx="2">
                  <c:v>9.6999999999979991E-2</c:v>
                </c:pt>
                <c:pt idx="3">
                  <c:v>9.6000000000003638E-2</c:v>
                </c:pt>
                <c:pt idx="4">
                  <c:v>5.2000000000134605E-2</c:v>
                </c:pt>
                <c:pt idx="5">
                  <c:v>0.10799999999994725</c:v>
                </c:pt>
                <c:pt idx="6">
                  <c:v>4.9999999999954525E-2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20-4D6D-8521-2ED529F0890D}"/>
            </c:ext>
          </c:extLst>
        </c:ser>
        <c:ser>
          <c:idx val="3"/>
          <c:order val="3"/>
          <c:tx>
            <c:strRef>
              <c:f>'Refrence without window'!$Y$3</c:f>
              <c:strCache>
                <c:ptCount val="1"/>
                <c:pt idx="0">
                  <c:v>dSUM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window'!$Y$6,'Refrence without window'!$Y$12,'Refrence without window'!$Y$18,'Refrence without window'!$Y$24,'Refrence without window'!$Y$30,'Refrence without window'!$Y$36,'Refrence without window'!$Y$42)</c:f>
              <c:numCache>
                <c:formatCode>General</c:formatCode>
                <c:ptCount val="7"/>
                <c:pt idx="0">
                  <c:v>0.67123021386107529</c:v>
                </c:pt>
                <c:pt idx="1">
                  <c:v>0.88472425082628603</c:v>
                </c:pt>
                <c:pt idx="2">
                  <c:v>1.0948104858834078</c:v>
                </c:pt>
                <c:pt idx="3">
                  <c:v>1.300689816981867</c:v>
                </c:pt>
                <c:pt idx="4">
                  <c:v>1.2349874493288944</c:v>
                </c:pt>
                <c:pt idx="5">
                  <c:v>1.4956633979609406</c:v>
                </c:pt>
                <c:pt idx="6">
                  <c:v>1.4298349555105718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20-4D6D-8521-2ED529F0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141048"/>
        <c:axId val="744144000"/>
      </c:lineChart>
      <c:catAx>
        <c:axId val="74414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44000"/>
        <c:crosses val="autoZero"/>
        <c:auto val="1"/>
        <c:lblAlgn val="ctr"/>
        <c:lblOffset val="100"/>
        <c:noMultiLvlLbl val="0"/>
      </c:catAx>
      <c:valAx>
        <c:axId val="7441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4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Absolute distance measured by laser tracker in case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(theory)'!$H$4,'World Spherical (theory)'!$H$11,'World Spherical (theory)'!$H$18,'World Spherical (theory)'!$H$25,'World Spherical (theory)'!$H$32,'World Spherical (theory)'!$H$39,'World Spherical (theory)'!$H$46)</c:f>
              <c:numCache>
                <c:formatCode>General</c:formatCode>
                <c:ptCount val="7"/>
                <c:pt idx="0">
                  <c:v>1691.748</c:v>
                </c:pt>
                <c:pt idx="1">
                  <c:v>1983.383</c:v>
                </c:pt>
                <c:pt idx="2">
                  <c:v>2275.6239999999998</c:v>
                </c:pt>
                <c:pt idx="3">
                  <c:v>2567.6219999999998</c:v>
                </c:pt>
                <c:pt idx="4">
                  <c:v>2571.7539999999999</c:v>
                </c:pt>
                <c:pt idx="5">
                  <c:v>2859.366</c:v>
                </c:pt>
                <c:pt idx="6">
                  <c:v>2862.931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2-40CA-AE2E-778FD4DC297D}"/>
            </c:ext>
          </c:extLst>
        </c:ser>
        <c:ser>
          <c:idx val="1"/>
          <c:order val="1"/>
          <c:tx>
            <c:v>Target 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(theory)'!$H$5,'World Spherical (theory)'!$H$12,'World Spherical (theory)'!$H$19,'World Spherical (theory)'!$H$26,'World Spherical (theory)'!$H$33,'World Spherical (theory)'!$H$40,'World Spherical (theory)'!$H$47)</c:f>
              <c:numCache>
                <c:formatCode>General</c:formatCode>
                <c:ptCount val="7"/>
                <c:pt idx="0">
                  <c:v>1699.0630000000001</c:v>
                </c:pt>
                <c:pt idx="1">
                  <c:v>1989.8389999999999</c:v>
                </c:pt>
                <c:pt idx="2">
                  <c:v>2281.5259999999998</c:v>
                </c:pt>
                <c:pt idx="3">
                  <c:v>2573</c:v>
                </c:pt>
                <c:pt idx="4">
                  <c:v>2585.181</c:v>
                </c:pt>
                <c:pt idx="5">
                  <c:v>2864.2910000000002</c:v>
                </c:pt>
                <c:pt idx="6">
                  <c:v>2875.0720000000001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2-40CA-AE2E-778FD4DC297D}"/>
            </c:ext>
          </c:extLst>
        </c:ser>
        <c:ser>
          <c:idx val="2"/>
          <c:order val="2"/>
          <c:tx>
            <c:v>Target 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(theory)'!$H$6,'World Spherical (theory)'!$H$13,'World Spherical (theory)'!$H$20,'World Spherical (theory)'!$H$27,'World Spherical (theory)'!$H$34,'World Spherical (theory)'!$H$41,'World Spherical (theory)'!$H$48)</c:f>
              <c:numCache>
                <c:formatCode>General</c:formatCode>
                <c:ptCount val="7"/>
                <c:pt idx="0">
                  <c:v>1697.1010000000001</c:v>
                </c:pt>
                <c:pt idx="1">
                  <c:v>1988.2360000000001</c:v>
                </c:pt>
                <c:pt idx="2">
                  <c:v>2280.4229999999998</c:v>
                </c:pt>
                <c:pt idx="3">
                  <c:v>2572.1080000000002</c:v>
                </c:pt>
                <c:pt idx="4">
                  <c:v>2584.1410000000001</c:v>
                </c:pt>
                <c:pt idx="5">
                  <c:v>2863.4839999999999</c:v>
                </c:pt>
                <c:pt idx="6">
                  <c:v>2874.1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2-40CA-AE2E-778FD4DC297D}"/>
            </c:ext>
          </c:extLst>
        </c:ser>
        <c:ser>
          <c:idx val="3"/>
          <c:order val="3"/>
          <c:tx>
            <c:v>Target 4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(theory)'!$H$7,'World Spherical (theory)'!$H$14,'World Spherical (theory)'!$H$21,'World Spherical (theory)'!$H$28,'World Spherical (theory)'!$H$35,'World Spherical (theory)'!$H$42,'World Spherical (theory)'!$H$49)</c:f>
              <c:numCache>
                <c:formatCode>General</c:formatCode>
                <c:ptCount val="7"/>
                <c:pt idx="0">
                  <c:v>1689.8130000000001</c:v>
                </c:pt>
                <c:pt idx="1">
                  <c:v>1981.8209999999999</c:v>
                </c:pt>
                <c:pt idx="2">
                  <c:v>2274.5549999999998</c:v>
                </c:pt>
                <c:pt idx="3">
                  <c:v>2566.7669999999998</c:v>
                </c:pt>
                <c:pt idx="4">
                  <c:v>2570.752</c:v>
                </c:pt>
                <c:pt idx="5">
                  <c:v>2858.5970000000002</c:v>
                </c:pt>
                <c:pt idx="6">
                  <c:v>2861.9920000000002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92-40CA-AE2E-778FD4DC2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563904"/>
        <c:axId val="820562592"/>
      </c:lineChart>
      <c:catAx>
        <c:axId val="8205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62592"/>
        <c:crosses val="autoZero"/>
        <c:auto val="1"/>
        <c:lblAlgn val="ctr"/>
        <c:lblOffset val="100"/>
        <c:noMultiLvlLbl val="0"/>
      </c:catAx>
      <c:valAx>
        <c:axId val="820562592"/>
        <c:scaling>
          <c:orientation val="minMax"/>
          <c:max val="2870"/>
          <c:min val="16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Ansolute distance from centre</a:t>
                </a:r>
                <a:r>
                  <a:rPr lang="en-GB" baseline="0"/>
                  <a:t> of LAser tracker (mm)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63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 vacuum target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'Refrence without window'!$V$3</c:f>
              <c:strCache>
                <c:ptCount val="1"/>
                <c:pt idx="0">
                  <c:v>dX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window'!$V$7,'Refrence without window'!$V$13,'Refrence without window'!$V$19,'Refrence without window'!$V$25,'Refrence without window'!$V$31,'Refrence without window'!$V$37,'Refrence without window'!$V$43)</c:f>
              <c:numCache>
                <c:formatCode>General</c:formatCode>
                <c:ptCount val="7"/>
                <c:pt idx="0">
                  <c:v>-0.50399999999996226</c:v>
                </c:pt>
                <c:pt idx="1">
                  <c:v>-0.67000000000001592</c:v>
                </c:pt>
                <c:pt idx="2">
                  <c:v>-0.84800000000001319</c:v>
                </c:pt>
                <c:pt idx="3">
                  <c:v>-0.99900000000002365</c:v>
                </c:pt>
                <c:pt idx="4">
                  <c:v>-0.88299999999998136</c:v>
                </c:pt>
                <c:pt idx="5">
                  <c:v>-1.1279999999999859</c:v>
                </c:pt>
                <c:pt idx="6">
                  <c:v>-1.0430000000000064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E-4D25-ACEF-4100C29B776C}"/>
            </c:ext>
          </c:extLst>
        </c:ser>
        <c:ser>
          <c:idx val="1"/>
          <c:order val="1"/>
          <c:tx>
            <c:strRef>
              <c:f>'Refrence without window'!$W$3</c:f>
              <c:strCache>
                <c:ptCount val="1"/>
                <c:pt idx="0">
                  <c:v>dY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window'!$W$7,'Refrence without window'!$W$13,'Refrence without window'!$W$19,'Refrence without window'!$W$25,'Refrence without window'!$W$31,'Refrence without window'!$W$37,'Refrence without window'!$W$43)</c:f>
              <c:numCache>
                <c:formatCode>General</c:formatCode>
                <c:ptCount val="7"/>
                <c:pt idx="0">
                  <c:v>-0.5180000000000291</c:v>
                </c:pt>
                <c:pt idx="1">
                  <c:v>-0.66699999999991633</c:v>
                </c:pt>
                <c:pt idx="2">
                  <c:v>-0.80299999999988358</c:v>
                </c:pt>
                <c:pt idx="3">
                  <c:v>-0.94100000000003092</c:v>
                </c:pt>
                <c:pt idx="4">
                  <c:v>-0.94000000000005457</c:v>
                </c:pt>
                <c:pt idx="5">
                  <c:v>-1.0690000000000737</c:v>
                </c:pt>
                <c:pt idx="6">
                  <c:v>-1.0919999999999845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E-4D25-ACEF-4100C29B776C}"/>
            </c:ext>
          </c:extLst>
        </c:ser>
        <c:ser>
          <c:idx val="2"/>
          <c:order val="2"/>
          <c:tx>
            <c:strRef>
              <c:f>'Refrence without window'!$X$3</c:f>
              <c:strCache>
                <c:ptCount val="1"/>
                <c:pt idx="0">
                  <c:v>dZ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window'!$X$7,'Refrence without window'!$X$13,'Refrence without window'!$X$19,'Refrence without window'!$X$25,'Refrence without window'!$X$31,'Refrence without window'!$X$37,'Refrence without window'!$X$43)</c:f>
              <c:numCache>
                <c:formatCode>General</c:formatCode>
                <c:ptCount val="7"/>
                <c:pt idx="0">
                  <c:v>0.13799999999991996</c:v>
                </c:pt>
                <c:pt idx="1">
                  <c:v>0.13800000000014734</c:v>
                </c:pt>
                <c:pt idx="2">
                  <c:v>0.14800000000013824</c:v>
                </c:pt>
                <c:pt idx="3">
                  <c:v>0.16399999999998727</c:v>
                </c:pt>
                <c:pt idx="4">
                  <c:v>9.8000000000183718E-2</c:v>
                </c:pt>
                <c:pt idx="5">
                  <c:v>0.16800000000012005</c:v>
                </c:pt>
                <c:pt idx="6">
                  <c:v>9.7999999999956344E-2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E-4D25-ACEF-4100C29B776C}"/>
            </c:ext>
          </c:extLst>
        </c:ser>
        <c:ser>
          <c:idx val="3"/>
          <c:order val="3"/>
          <c:tx>
            <c:strRef>
              <c:f>'Refrence without window'!$Y$3</c:f>
              <c:strCache>
                <c:ptCount val="1"/>
                <c:pt idx="0">
                  <c:v>dSUM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window'!$Y$7,'Refrence without window'!$Y$13,'Refrence without window'!$Y$19,'Refrence without window'!$Y$25,'Refrence without window'!$Y$31,'Refrence without window'!$Y$37,'Refrence without window'!$Y$43)</c:f>
              <c:numCache>
                <c:formatCode>General</c:formatCode>
                <c:ptCount val="7"/>
                <c:pt idx="0">
                  <c:v>0.73578801294936158</c:v>
                </c:pt>
                <c:pt idx="1">
                  <c:v>0.95542294299433195</c:v>
                </c:pt>
                <c:pt idx="2">
                  <c:v>1.1772072884585265</c:v>
                </c:pt>
                <c:pt idx="3">
                  <c:v>1.3821642449434515</c:v>
                </c:pt>
                <c:pt idx="4">
                  <c:v>1.2934036492913206</c:v>
                </c:pt>
                <c:pt idx="5">
                  <c:v>1.563127953815735</c:v>
                </c:pt>
                <c:pt idx="6">
                  <c:v>1.5132471708217303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4E-4D25-ACEF-4100C29B7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873544"/>
        <c:axId val="741877480"/>
      </c:lineChart>
      <c:catAx>
        <c:axId val="74187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77480"/>
        <c:crosses val="autoZero"/>
        <c:auto val="1"/>
        <c:lblAlgn val="ctr"/>
        <c:lblOffset val="100"/>
        <c:noMultiLvlLbl val="0"/>
      </c:catAx>
      <c:valAx>
        <c:axId val="74187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7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cap="all" baseline="0"/>
              <a:t>RMS errors for each target in case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window'!$T$4,'Refrence without window'!$T$10,'Refrence without window'!$T$16,'Refrence without window'!$T$22,'Refrence without window'!$T$28,'Refrence without window'!$T$34,'Refrence without window'!$T$40)</c:f>
              <c:numCache>
                <c:formatCode>General</c:formatCode>
                <c:ptCount val="7"/>
                <c:pt idx="0">
                  <c:v>0.87566774520939383</c:v>
                </c:pt>
                <c:pt idx="1">
                  <c:v>1.0660694161263369</c:v>
                </c:pt>
                <c:pt idx="2">
                  <c:v>1.2523633658008495</c:v>
                </c:pt>
                <c:pt idx="3">
                  <c:v>1.4425848328608122</c:v>
                </c:pt>
                <c:pt idx="4">
                  <c:v>1.3808472037122708</c:v>
                </c:pt>
                <c:pt idx="5">
                  <c:v>1.6457597029943671</c:v>
                </c:pt>
                <c:pt idx="6">
                  <c:v>1.5874637003723968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F-4017-93C5-166308F7E33E}"/>
            </c:ext>
          </c:extLst>
        </c:ser>
        <c:ser>
          <c:idx val="1"/>
          <c:order val="1"/>
          <c:tx>
            <c:v>Target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window'!$T$5,'Refrence without window'!$T$11,'Refrence without window'!$T$17,'Refrence without window'!$T$23,'Refrence without window'!$T$29,'Refrence without window'!$T$35,'Refrence without window'!$T$41)</c:f>
              <c:numCache>
                <c:formatCode>General</c:formatCode>
                <c:ptCount val="7"/>
                <c:pt idx="0">
                  <c:v>0.82560099321653879</c:v>
                </c:pt>
                <c:pt idx="1">
                  <c:v>1.0114825752330037</c:v>
                </c:pt>
                <c:pt idx="2">
                  <c:v>1.1952464181080402</c:v>
                </c:pt>
                <c:pt idx="3">
                  <c:v>1.3912864550479276</c:v>
                </c:pt>
                <c:pt idx="4">
                  <c:v>1.3382596907924755</c:v>
                </c:pt>
                <c:pt idx="5">
                  <c:v>1.5892715312368741</c:v>
                </c:pt>
                <c:pt idx="6">
                  <c:v>1.5376690151004884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5F-4017-93C5-166308F7E33E}"/>
            </c:ext>
          </c:extLst>
        </c:ser>
        <c:ser>
          <c:idx val="2"/>
          <c:order val="2"/>
          <c:tx>
            <c:v>Target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window'!$T$6,'Refrence without window'!$T$12,'Refrence without window'!$T$18,'Refrence without window'!$T$24,'Refrence without window'!$T$30,'Refrence without window'!$T$36,'Refrence without window'!$T$42)</c:f>
              <c:numCache>
                <c:formatCode>General</c:formatCode>
                <c:ptCount val="7"/>
                <c:pt idx="0">
                  <c:v>0.74730783483117491</c:v>
                </c:pt>
                <c:pt idx="1">
                  <c:v>0.93012364769424827</c:v>
                </c:pt>
                <c:pt idx="2">
                  <c:v>1.120597608421535</c:v>
                </c:pt>
                <c:pt idx="3">
                  <c:v>1.3227524333753431</c:v>
                </c:pt>
                <c:pt idx="4">
                  <c:v>1.2712340461142451</c:v>
                </c:pt>
                <c:pt idx="5">
                  <c:v>1.5220946094117305</c:v>
                </c:pt>
                <c:pt idx="6">
                  <c:v>1.474022048681725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5F-4017-93C5-166308F7E33E}"/>
            </c:ext>
          </c:extLst>
        </c:ser>
        <c:ser>
          <c:idx val="3"/>
          <c:order val="3"/>
          <c:tx>
            <c:v>Target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window'!$T$7,'Refrence without window'!$T$13,'Refrence without window'!$T$19,'Refrence without window'!$T$25,'Refrence without window'!$T$31,'Refrence without window'!$T$37,'Refrence without window'!$T$43)</c:f>
              <c:numCache>
                <c:formatCode>General</c:formatCode>
                <c:ptCount val="7"/>
                <c:pt idx="0">
                  <c:v>0.81047948771077349</c:v>
                </c:pt>
                <c:pt idx="1">
                  <c:v>0.99866811303850056</c:v>
                </c:pt>
                <c:pt idx="2">
                  <c:v>1.18861473993884</c:v>
                </c:pt>
                <c:pt idx="3">
                  <c:v>1.3878494154626071</c:v>
                </c:pt>
                <c:pt idx="4">
                  <c:v>1.3029328455451101</c:v>
                </c:pt>
                <c:pt idx="5">
                  <c:v>1.5837465074941812</c:v>
                </c:pt>
                <c:pt idx="6">
                  <c:v>1.5219126124715774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5F-4017-93C5-166308F7E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107144"/>
        <c:axId val="919107472"/>
      </c:lineChart>
      <c:catAx>
        <c:axId val="91910714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07472"/>
        <c:crosses val="autoZero"/>
        <c:auto val="0"/>
        <c:lblAlgn val="ctr"/>
        <c:lblOffset val="100"/>
        <c:noMultiLvlLbl val="0"/>
      </c:catAx>
      <c:valAx>
        <c:axId val="91910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0714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cap="all" baseline="0"/>
              <a:t>RMS error for each target in case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window'!$Y$4,'Refrence without window'!$Y$10,'Refrence without window'!$Y$16,'Refrence without window'!$Y$22,'Refrence without window'!$Y$28,'Refrence without window'!$Y$34,'Refrence without window'!$Y$40)</c:f>
              <c:numCache>
                <c:formatCode>General</c:formatCode>
                <c:ptCount val="7"/>
                <c:pt idx="0">
                  <c:v>0.80933800108483633</c:v>
                </c:pt>
                <c:pt idx="1">
                  <c:v>1.0264073265521965</c:v>
                </c:pt>
                <c:pt idx="2">
                  <c:v>1.2372247168562052</c:v>
                </c:pt>
                <c:pt idx="3">
                  <c:v>1.4370003479471054</c:v>
                </c:pt>
                <c:pt idx="4">
                  <c:v>1.3654823323646887</c:v>
                </c:pt>
                <c:pt idx="5">
                  <c:v>1.6251196878999707</c:v>
                </c:pt>
                <c:pt idx="6">
                  <c:v>1.5626378339206319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A-446F-84B0-8FE5D2E492F1}"/>
            </c:ext>
          </c:extLst>
        </c:ser>
        <c:ser>
          <c:idx val="1"/>
          <c:order val="1"/>
          <c:tx>
            <c:v>Target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window'!$Y$5,'Refrence without window'!$Y$11,'Refrence without window'!$Y$17,'Refrence without window'!$Y$23,'Refrence without window'!$Y$29,'Refrence without window'!$Y$35,'Refrence without window'!$Y$41)</c:f>
              <c:numCache>
                <c:formatCode>General</c:formatCode>
                <c:ptCount val="7"/>
                <c:pt idx="0">
                  <c:v>0.76280076035620104</c:v>
                </c:pt>
                <c:pt idx="1">
                  <c:v>0.96783779632743416</c:v>
                </c:pt>
                <c:pt idx="2">
                  <c:v>1.1687741441356398</c:v>
                </c:pt>
                <c:pt idx="3">
                  <c:v>1.3674052069521381</c:v>
                </c:pt>
                <c:pt idx="4">
                  <c:v>1.3032609101787735</c:v>
                </c:pt>
                <c:pt idx="5">
                  <c:v>1.5597589557364118</c:v>
                </c:pt>
                <c:pt idx="6">
                  <c:v>1.4998709944524933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A-446F-84B0-8FE5D2E492F1}"/>
            </c:ext>
          </c:extLst>
        </c:ser>
        <c:ser>
          <c:idx val="2"/>
          <c:order val="2"/>
          <c:tx>
            <c:v>Target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window'!$Y$6,'Refrence without window'!$Y$12,'Refrence without window'!$Y$18,'Refrence without window'!$Y$24,'Refrence without window'!$Y$30,'Refrence without window'!$Y$36,'Refrence without window'!$Y$42)</c:f>
              <c:numCache>
                <c:formatCode>General</c:formatCode>
                <c:ptCount val="7"/>
                <c:pt idx="0">
                  <c:v>0.67123021386107529</c:v>
                </c:pt>
                <c:pt idx="1">
                  <c:v>0.88472425082628603</c:v>
                </c:pt>
                <c:pt idx="2">
                  <c:v>1.0948104858834078</c:v>
                </c:pt>
                <c:pt idx="3">
                  <c:v>1.300689816981867</c:v>
                </c:pt>
                <c:pt idx="4">
                  <c:v>1.2349874493288944</c:v>
                </c:pt>
                <c:pt idx="5">
                  <c:v>1.4956633979609406</c:v>
                </c:pt>
                <c:pt idx="6">
                  <c:v>1.4298349555105718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FA-446F-84B0-8FE5D2E492F1}"/>
            </c:ext>
          </c:extLst>
        </c:ser>
        <c:ser>
          <c:idx val="3"/>
          <c:order val="3"/>
          <c:tx>
            <c:v>Target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'Refrence without window'!$AB$3:$AB$9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('Refrence without window'!$Y$7,'Refrence without window'!$Y$13,'Refrence without window'!$Y$19,'Refrence without window'!$Y$25,'Refrence without window'!$Y$31,'Refrence without window'!$Y$37,'Refrence without window'!$Y$43)</c:f>
              <c:numCache>
                <c:formatCode>General</c:formatCode>
                <c:ptCount val="7"/>
                <c:pt idx="0">
                  <c:v>0.73578801294936158</c:v>
                </c:pt>
                <c:pt idx="1">
                  <c:v>0.95542294299433195</c:v>
                </c:pt>
                <c:pt idx="2">
                  <c:v>1.1772072884585265</c:v>
                </c:pt>
                <c:pt idx="3">
                  <c:v>1.3821642449434515</c:v>
                </c:pt>
                <c:pt idx="4">
                  <c:v>1.2934036492913206</c:v>
                </c:pt>
                <c:pt idx="5">
                  <c:v>1.563127953815735</c:v>
                </c:pt>
                <c:pt idx="6">
                  <c:v>1.5132471708217303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FA-446F-84B0-8FE5D2E49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137936"/>
        <c:axId val="914145480"/>
      </c:lineChart>
      <c:catAx>
        <c:axId val="91413793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45480"/>
        <c:crosses val="autoZero"/>
        <c:auto val="1"/>
        <c:lblAlgn val="ctr"/>
        <c:lblOffset val="100"/>
        <c:noMultiLvlLbl val="0"/>
      </c:catAx>
      <c:valAx>
        <c:axId val="91414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(mm)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absolute distance measured by the laser tracker in case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(theory)'!$R$4,'World Spherical (theory)'!$R$11,'World Spherical (theory)'!$R$18,'World Spherical (theory)'!$R$25,'World Spherical (theory)'!$R$32,'World Spherical (theory)'!$R$39,'World Spherical (theory)'!$R$46)</c:f>
              <c:numCache>
                <c:formatCode>General</c:formatCode>
                <c:ptCount val="7"/>
                <c:pt idx="0">
                  <c:v>1691.3879999999999</c:v>
                </c:pt>
                <c:pt idx="1">
                  <c:v>1982.9449999999999</c:v>
                </c:pt>
                <c:pt idx="2">
                  <c:v>2275.1170000000002</c:v>
                </c:pt>
                <c:pt idx="3">
                  <c:v>2567.0500000000002</c:v>
                </c:pt>
                <c:pt idx="4">
                  <c:v>2571.1819999999998</c:v>
                </c:pt>
                <c:pt idx="5">
                  <c:v>2858.7240000000002</c:v>
                </c:pt>
                <c:pt idx="6">
                  <c:v>2862.28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3-463B-9240-62E7F54E25C7}"/>
            </c:ext>
          </c:extLst>
        </c:ser>
        <c:ser>
          <c:idx val="1"/>
          <c:order val="1"/>
          <c:tx>
            <c:v>Target 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(theory)'!$R$5,'World Spherical (theory)'!$R$12,'World Spherical (theory)'!$R$19,'World Spherical (theory)'!$R$26,'World Spherical (theory)'!$R$33,'World Spherical (theory)'!$R$40,'World Spherical (theory)'!$R$47)</c:f>
              <c:numCache>
                <c:formatCode>General</c:formatCode>
                <c:ptCount val="7"/>
                <c:pt idx="0">
                  <c:v>1698.691</c:v>
                </c:pt>
                <c:pt idx="1">
                  <c:v>1989.3920000000001</c:v>
                </c:pt>
                <c:pt idx="2">
                  <c:v>2281.018</c:v>
                </c:pt>
                <c:pt idx="3">
                  <c:v>2572.422</c:v>
                </c:pt>
                <c:pt idx="4">
                  <c:v>2584.605</c:v>
                </c:pt>
                <c:pt idx="5">
                  <c:v>2863.6419999999998</c:v>
                </c:pt>
                <c:pt idx="6">
                  <c:v>2874.4189999999999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03-463B-9240-62E7F54E25C7}"/>
            </c:ext>
          </c:extLst>
        </c:ser>
        <c:ser>
          <c:idx val="2"/>
          <c:order val="2"/>
          <c:tx>
            <c:v>Target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(theory)'!$R$6,'World Spherical (theory)'!$R$13,'World Spherical (theory)'!$R$20,'World Spherical (theory)'!$R$27,'World Spherical (theory)'!$R$34,'World Spherical (theory)'!$R$41,'World Spherical (theory)'!$R$48)</c:f>
              <c:numCache>
                <c:formatCode>General</c:formatCode>
                <c:ptCount val="7"/>
                <c:pt idx="0">
                  <c:v>1696.7190000000001</c:v>
                </c:pt>
                <c:pt idx="1">
                  <c:v>1987.787</c:v>
                </c:pt>
                <c:pt idx="2">
                  <c:v>2279.9160000000002</c:v>
                </c:pt>
                <c:pt idx="3">
                  <c:v>2571.5340000000001</c:v>
                </c:pt>
                <c:pt idx="4">
                  <c:v>2583.5700000000002</c:v>
                </c:pt>
                <c:pt idx="5">
                  <c:v>2862.84</c:v>
                </c:pt>
                <c:pt idx="6">
                  <c:v>2873.45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03-463B-9240-62E7F54E25C7}"/>
            </c:ext>
          </c:extLst>
        </c:ser>
        <c:ser>
          <c:idx val="3"/>
          <c:order val="3"/>
          <c:tx>
            <c:v>Target 4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(theory)'!$R$7,'World Spherical (theory)'!$R$14,'World Spherical (theory)'!$R$21,'World Spherical (theory)'!$R$28,'World Spherical (theory)'!$R$35,'World Spherical (theory)'!$R$42,'World Spherical (theory)'!$R$49)</c:f>
              <c:numCache>
                <c:formatCode>General</c:formatCode>
                <c:ptCount val="7"/>
                <c:pt idx="0">
                  <c:v>1689.4459999999999</c:v>
                </c:pt>
                <c:pt idx="1">
                  <c:v>1981.3779999999999</c:v>
                </c:pt>
                <c:pt idx="2">
                  <c:v>2274.0520000000001</c:v>
                </c:pt>
                <c:pt idx="3">
                  <c:v>2566.1950000000002</c:v>
                </c:pt>
                <c:pt idx="4">
                  <c:v>2570.1799999999998</c:v>
                </c:pt>
                <c:pt idx="5">
                  <c:v>2857.9580000000001</c:v>
                </c:pt>
                <c:pt idx="6">
                  <c:v>2861.3470000000002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03-463B-9240-62E7F54E2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631560"/>
        <c:axId val="816628608"/>
      </c:lineChart>
      <c:catAx>
        <c:axId val="81663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28608"/>
        <c:crosses val="autoZero"/>
        <c:auto val="1"/>
        <c:lblAlgn val="ctr"/>
        <c:lblOffset val="100"/>
        <c:noMultiLvlLbl val="0"/>
      </c:catAx>
      <c:valAx>
        <c:axId val="816628608"/>
        <c:scaling>
          <c:orientation val="minMax"/>
          <c:max val="2870"/>
          <c:min val="16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absolute distance</a:t>
                </a:r>
                <a:r>
                  <a:rPr lang="en-GB" baseline="0"/>
                  <a:t> (mm)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63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cap="all" baseline="0"/>
              <a:t>Absolute ranging error with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(theory)'!$AA$4,'World Spherical (theory)'!$AA$11,'World Spherical (theory)'!$AA$18,'World Spherical (theory)'!$AA$25,'World Spherical (theory)'!$AA$32,'World Spherical (theory)'!$AA$39,'World Spherical (theory)'!$AA$46)</c:f>
              <c:numCache>
                <c:formatCode>General</c:formatCode>
                <c:ptCount val="7"/>
                <c:pt idx="0">
                  <c:v>-5.3170000000000073</c:v>
                </c:pt>
                <c:pt idx="1">
                  <c:v>-5.303000000000111</c:v>
                </c:pt>
                <c:pt idx="2">
                  <c:v>-5.3029999999998836</c:v>
                </c:pt>
                <c:pt idx="3">
                  <c:v>-5.2970000000000255</c:v>
                </c:pt>
                <c:pt idx="4">
                  <c:v>-5.2840000000001055</c:v>
                </c:pt>
                <c:pt idx="5">
                  <c:v>-5.2899999999999636</c:v>
                </c:pt>
                <c:pt idx="6">
                  <c:v>-5.2820000000001528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C-49F7-ADF9-A67DAC31855E}"/>
            </c:ext>
          </c:extLst>
        </c:ser>
        <c:ser>
          <c:idx val="1"/>
          <c:order val="1"/>
          <c:tx>
            <c:v>Target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(theory)'!$AA$5,'World Spherical (theory)'!$AA$12,'World Spherical (theory)'!$AA$19,'World Spherical (theory)'!$AA$26,'World Spherical (theory)'!$AA$33,'World Spherical (theory)'!$AA$40,'World Spherical (theory)'!$AA$47)</c:f>
              <c:numCache>
                <c:formatCode>General</c:formatCode>
                <c:ptCount val="7"/>
                <c:pt idx="0">
                  <c:v>-5.2960000000000491</c:v>
                </c:pt>
                <c:pt idx="1">
                  <c:v>-5.29099999999994</c:v>
                </c:pt>
                <c:pt idx="2">
                  <c:v>-5.2880000000000109</c:v>
                </c:pt>
                <c:pt idx="3">
                  <c:v>-5.2860000000000582</c:v>
                </c:pt>
                <c:pt idx="4">
                  <c:v>-5.2710000000001855</c:v>
                </c:pt>
                <c:pt idx="5">
                  <c:v>-5.2830000000003565</c:v>
                </c:pt>
                <c:pt idx="6">
                  <c:v>-5.2730000000001382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C-49F7-ADF9-A67DAC31855E}"/>
            </c:ext>
          </c:extLst>
        </c:ser>
        <c:ser>
          <c:idx val="2"/>
          <c:order val="2"/>
          <c:tx>
            <c:v>Target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(theory)'!$AA$6,'World Spherical (theory)'!$AA$13,'World Spherical (theory)'!$AA$20,'World Spherical (theory)'!$AA$27,'World Spherical (theory)'!$AA$34,'World Spherical (theory)'!$AA$41,'World Spherical (theory)'!$AA$48)</c:f>
              <c:numCache>
                <c:formatCode>General</c:formatCode>
                <c:ptCount val="7"/>
                <c:pt idx="0">
                  <c:v>-5.2810000000001764</c:v>
                </c:pt>
                <c:pt idx="1">
                  <c:v>-5.2750000000000909</c:v>
                </c:pt>
                <c:pt idx="2">
                  <c:v>-5.2759999999998399</c:v>
                </c:pt>
                <c:pt idx="3">
                  <c:v>-5.274000000000342</c:v>
                </c:pt>
                <c:pt idx="4">
                  <c:v>-5.2600000000002183</c:v>
                </c:pt>
                <c:pt idx="5">
                  <c:v>-5.2709999999997308</c:v>
                </c:pt>
                <c:pt idx="6">
                  <c:v>-5.26299999999992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EC-49F7-ADF9-A67DAC31855E}"/>
            </c:ext>
          </c:extLst>
        </c:ser>
        <c:ser>
          <c:idx val="3"/>
          <c:order val="3"/>
          <c:tx>
            <c:v>Target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(theory)'!$AA$7,'World Spherical (theory)'!$AA$14,'World Spherical (theory)'!$AA$21,'World Spherical (theory)'!$AA$28,'World Spherical (theory)'!$AA$35,'World Spherical (theory)'!$AA$42,'World Spherical (theory)'!$AA$49)</c:f>
              <c:numCache>
                <c:formatCode>General</c:formatCode>
                <c:ptCount val="7"/>
                <c:pt idx="0">
                  <c:v>-5.2930000000001201</c:v>
                </c:pt>
                <c:pt idx="1">
                  <c:v>-5.29099999999994</c:v>
                </c:pt>
                <c:pt idx="2">
                  <c:v>-5.2860000000000582</c:v>
                </c:pt>
                <c:pt idx="3">
                  <c:v>-5.2829999999999018</c:v>
                </c:pt>
                <c:pt idx="4">
                  <c:v>-5.2730000000001382</c:v>
                </c:pt>
                <c:pt idx="5">
                  <c:v>-5.2760000000002947</c:v>
                </c:pt>
                <c:pt idx="6">
                  <c:v>-5.2660000000000764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EC-49F7-ADF9-A67DAC318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801344"/>
        <c:axId val="827796752"/>
      </c:lineChart>
      <c:catAx>
        <c:axId val="82780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96752"/>
        <c:crosses val="autoZero"/>
        <c:auto val="1"/>
        <c:lblAlgn val="ctr"/>
        <c:lblOffset val="100"/>
        <c:noMultiLvlLbl val="0"/>
      </c:catAx>
      <c:valAx>
        <c:axId val="8277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cap="all" baseline="0"/>
              <a:t>Absolute ranging error with window after correction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(theory)'!$AE$4,'World Spherical (theory)'!$AE$11,'World Spherical (theory)'!$AE$18,'World Spherical (theory)'!$AE$25,'World Spherical (theory)'!$AE$32,'World Spherical (theory)'!$AE$39,'World Spherical (theory)'!$AE$46)</c:f>
              <c:numCache>
                <c:formatCode>General</c:formatCode>
                <c:ptCount val="7"/>
                <c:pt idx="0">
                  <c:v>-0.15200000000004366</c:v>
                </c:pt>
                <c:pt idx="1">
                  <c:v>-0.11300000000005639</c:v>
                </c:pt>
                <c:pt idx="2">
                  <c:v>-0.13200000000006185</c:v>
                </c:pt>
                <c:pt idx="3">
                  <c:v>-0.12800000000015643</c:v>
                </c:pt>
                <c:pt idx="4">
                  <c:v>-0.11300000000028376</c:v>
                </c:pt>
                <c:pt idx="5">
                  <c:v>-0.12699999999995271</c:v>
                </c:pt>
                <c:pt idx="6">
                  <c:v>-0.11400000000003274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D-4688-A95C-995F10B199C1}"/>
            </c:ext>
          </c:extLst>
        </c:ser>
        <c:ser>
          <c:idx val="1"/>
          <c:order val="1"/>
          <c:tx>
            <c:v>Target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(theory)'!$AE$5,'World Spherical (theory)'!$AE$12,'World Spherical (theory)'!$AE$19,'World Spherical (theory)'!$AE$26,'World Spherical (theory)'!$AE$33,'World Spherical (theory)'!$AE$40,'World Spherical (theory)'!$AE$47)</c:f>
              <c:numCache>
                <c:formatCode>General</c:formatCode>
                <c:ptCount val="7"/>
                <c:pt idx="0">
                  <c:v>-0.12599999999997635</c:v>
                </c:pt>
                <c:pt idx="1">
                  <c:v>-0.125</c:v>
                </c:pt>
                <c:pt idx="2">
                  <c:v>-0.125</c:v>
                </c:pt>
                <c:pt idx="3">
                  <c:v>-0.11900000000014188</c:v>
                </c:pt>
                <c:pt idx="4">
                  <c:v>-0.10300000000006548</c:v>
                </c:pt>
                <c:pt idx="5">
                  <c:v>-0.11500000000023647</c:v>
                </c:pt>
                <c:pt idx="6">
                  <c:v>-0.10399999999981446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1D-4688-A95C-995F10B199C1}"/>
            </c:ext>
          </c:extLst>
        </c:ser>
        <c:ser>
          <c:idx val="2"/>
          <c:order val="2"/>
          <c:tx>
            <c:v>Target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(theory)'!$AE$6,'World Spherical (theory)'!$AE$13,'World Spherical (theory)'!$AE$20,'World Spherical (theory)'!$AE$27,'World Spherical (theory)'!$AE$34,'World Spherical (theory)'!$AE$41,'World Spherical (theory)'!$AE$48)</c:f>
              <c:numCache>
                <c:formatCode>General</c:formatCode>
                <c:ptCount val="7"/>
                <c:pt idx="0">
                  <c:v>-0.11300000000005639</c:v>
                </c:pt>
                <c:pt idx="1">
                  <c:v>-0.11200000000008004</c:v>
                </c:pt>
                <c:pt idx="2">
                  <c:v>-0.10600000000022192</c:v>
                </c:pt>
                <c:pt idx="3">
                  <c:v>-0.10900000000037835</c:v>
                </c:pt>
                <c:pt idx="4">
                  <c:v>-9.2000000000098225E-2</c:v>
                </c:pt>
                <c:pt idx="5">
                  <c:v>-0.10999999999967258</c:v>
                </c:pt>
                <c:pt idx="6">
                  <c:v>-9.6000000000003638E-2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1D-4688-A95C-995F10B199C1}"/>
            </c:ext>
          </c:extLst>
        </c:ser>
        <c:ser>
          <c:idx val="3"/>
          <c:order val="3"/>
          <c:tx>
            <c:v>Target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(theory)'!$AE$7,'World Spherical (theory)'!$AE$14,'World Spherical (theory)'!$AE$21,'World Spherical (theory)'!$AE$28,'World Spherical (theory)'!$AE$35,'World Spherical (theory)'!$AE$42,'World Spherical (theory)'!$AE$49)</c:f>
              <c:numCache>
                <c:formatCode>General</c:formatCode>
                <c:ptCount val="7"/>
                <c:pt idx="0">
                  <c:v>-0.12300000000004729</c:v>
                </c:pt>
                <c:pt idx="1">
                  <c:v>-0.12300000000004729</c:v>
                </c:pt>
                <c:pt idx="2">
                  <c:v>-0.11400000000003274</c:v>
                </c:pt>
                <c:pt idx="3">
                  <c:v>-0.11900000000014188</c:v>
                </c:pt>
                <c:pt idx="4">
                  <c:v>-0.10400000000026921</c:v>
                </c:pt>
                <c:pt idx="5">
                  <c:v>-0.12200000000029831</c:v>
                </c:pt>
                <c:pt idx="6">
                  <c:v>-9.6999999999752617E-2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1D-4688-A95C-995F10B1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472176"/>
        <c:axId val="849472504"/>
      </c:lineChart>
      <c:catAx>
        <c:axId val="84947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72504"/>
        <c:crosses val="autoZero"/>
        <c:auto val="1"/>
        <c:lblAlgn val="ctr"/>
        <c:lblOffset val="100"/>
        <c:noMultiLvlLbl val="0"/>
      </c:catAx>
      <c:valAx>
        <c:axId val="8494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4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cap="all" baseline="0"/>
              <a:t>Absolute ranging error in vacuum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(theory)'!$AI$4,'World Spherical (theory)'!$AI$11,'World Spherical (theory)'!$AI$18,'World Spherical (theory)'!$AI$25,'World Spherical (theory)'!$AI$32,'World Spherical (theory)'!$AI$39,'World Spherical (theory)'!$AI$46)</c:f>
              <c:numCache>
                <c:formatCode>General</c:formatCode>
                <c:ptCount val="7"/>
                <c:pt idx="0">
                  <c:v>-4.9569999999998799</c:v>
                </c:pt>
                <c:pt idx="1">
                  <c:v>-4.8650000000000091</c:v>
                </c:pt>
                <c:pt idx="2">
                  <c:v>-4.7960000000002765</c:v>
                </c:pt>
                <c:pt idx="3">
                  <c:v>-4.7250000000003638</c:v>
                </c:pt>
                <c:pt idx="4">
                  <c:v>-4.7119999999999891</c:v>
                </c:pt>
                <c:pt idx="5">
                  <c:v>-4.6480000000001382</c:v>
                </c:pt>
                <c:pt idx="6">
                  <c:v>-4.6310000000003129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6-4E5D-A6C3-99406984D536}"/>
            </c:ext>
          </c:extLst>
        </c:ser>
        <c:ser>
          <c:idx val="1"/>
          <c:order val="1"/>
          <c:tx>
            <c:v>Target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(theory)'!$AI$5,'World Spherical (theory)'!$AI$12,'World Spherical (theory)'!$AI$19,'World Spherical (theory)'!$AI$26,'World Spherical (theory)'!$AI$33,'World Spherical (theory)'!$AI$40,'World Spherical (theory)'!$AI$47)</c:f>
              <c:numCache>
                <c:formatCode>General</c:formatCode>
                <c:ptCount val="7"/>
                <c:pt idx="0">
                  <c:v>-4.9239999999999782</c:v>
                </c:pt>
                <c:pt idx="1">
                  <c:v>-4.8440000000000509</c:v>
                </c:pt>
                <c:pt idx="2">
                  <c:v>-4.7800000000002001</c:v>
                </c:pt>
                <c:pt idx="3">
                  <c:v>-4.7080000000000837</c:v>
                </c:pt>
                <c:pt idx="4">
                  <c:v>-4.6950000000001637</c:v>
                </c:pt>
                <c:pt idx="5">
                  <c:v>-4.6340000000000146</c:v>
                </c:pt>
                <c:pt idx="6">
                  <c:v>-4.6199999999998909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6-4E5D-A6C3-99406984D536}"/>
            </c:ext>
          </c:extLst>
        </c:ser>
        <c:ser>
          <c:idx val="2"/>
          <c:order val="2"/>
          <c:tx>
            <c:v>Target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(theory)'!$AI$6,'World Spherical (theory)'!$AI$13,'World Spherical (theory)'!$AI$20,'World Spherical (theory)'!$AI$27,'World Spherical (theory)'!$AI$34,'World Spherical (theory)'!$AI$41,'World Spherical (theory)'!$AI$48)</c:f>
              <c:numCache>
                <c:formatCode>General</c:formatCode>
                <c:ptCount val="7"/>
                <c:pt idx="0">
                  <c:v>-4.8990000000001146</c:v>
                </c:pt>
                <c:pt idx="1">
                  <c:v>-4.8260000000000218</c:v>
                </c:pt>
                <c:pt idx="2">
                  <c:v>-4.7690000000002328</c:v>
                </c:pt>
                <c:pt idx="3">
                  <c:v>-4.7000000000002728</c:v>
                </c:pt>
                <c:pt idx="4">
                  <c:v>-4.6890000000003056</c:v>
                </c:pt>
                <c:pt idx="5">
                  <c:v>-4.6269999999999527</c:v>
                </c:pt>
                <c:pt idx="6">
                  <c:v>-4.612999999999829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6-4E5D-A6C3-99406984D536}"/>
            </c:ext>
          </c:extLst>
        </c:ser>
        <c:ser>
          <c:idx val="3"/>
          <c:order val="3"/>
          <c:tx>
            <c:v>Target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(theory)'!$AI$7,'World Spherical (theory)'!$AI$14,'World Spherical (theory)'!$AI$21,'World Spherical (theory)'!$AI$28,'World Spherical (theory)'!$AI$35,'World Spherical (theory)'!$AI$42,'World Spherical (theory)'!$AI$49)</c:f>
              <c:numCache>
                <c:formatCode>General</c:formatCode>
                <c:ptCount val="7"/>
                <c:pt idx="0">
                  <c:v>-4.9259999999999309</c:v>
                </c:pt>
                <c:pt idx="1">
                  <c:v>-4.8479999999999563</c:v>
                </c:pt>
                <c:pt idx="2">
                  <c:v>-4.7830000000003565</c:v>
                </c:pt>
                <c:pt idx="3">
                  <c:v>-4.7110000000002401</c:v>
                </c:pt>
                <c:pt idx="4">
                  <c:v>-4.7010000000000218</c:v>
                </c:pt>
                <c:pt idx="5">
                  <c:v>-4.637000000000171</c:v>
                </c:pt>
                <c:pt idx="6">
                  <c:v>-4.6210000000000946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6-4E5D-A6C3-99406984D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234712"/>
        <c:axId val="834235696"/>
      </c:lineChart>
      <c:catAx>
        <c:axId val="83423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35696"/>
        <c:crosses val="autoZero"/>
        <c:auto val="1"/>
        <c:lblAlgn val="ctr"/>
        <c:lblOffset val="100"/>
        <c:noMultiLvlLbl val="0"/>
      </c:catAx>
      <c:valAx>
        <c:axId val="8342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3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cap="all" baseline="0"/>
              <a:t>Absolute ranging error in vacuum after correction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(theory)'!$AM$4,'World Spherical (theory)'!$AM$11,'World Spherical (theory)'!$AM$18,'World Spherical (theory)'!$AM$25,'World Spherical (theory)'!$AM$32,'World Spherical (theory)'!$AM$39,'World Spherical (theory)'!$AM$46)</c:f>
              <c:numCache>
                <c:formatCode>General</c:formatCode>
                <c:ptCount val="7"/>
                <c:pt idx="0">
                  <c:v>-0.17699999999990723</c:v>
                </c:pt>
                <c:pt idx="1">
                  <c:v>-0.16800000000012005</c:v>
                </c:pt>
                <c:pt idx="2">
                  <c:v>-0.17599999999993088</c:v>
                </c:pt>
                <c:pt idx="3">
                  <c:v>-0.18200000000024374</c:v>
                </c:pt>
                <c:pt idx="4">
                  <c:v>-0.16800000000012005</c:v>
                </c:pt>
                <c:pt idx="5">
                  <c:v>-0.18100000000004002</c:v>
                </c:pt>
                <c:pt idx="6">
                  <c:v>-0.16900000000032378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5-42C5-8A12-6584E8DEFB6A}"/>
            </c:ext>
          </c:extLst>
        </c:ser>
        <c:ser>
          <c:idx val="1"/>
          <c:order val="1"/>
          <c:tx>
            <c:v>Target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(theory)'!$AM$5,'World Spherical (theory)'!$AM$12,'World Spherical (theory)'!$AM$19,'World Spherical (theory)'!$AM$26,'World Spherical (theory)'!$AM$33,'World Spherical (theory)'!$AM$40,'World Spherical (theory)'!$AM$47)</c:f>
              <c:numCache>
                <c:formatCode>General</c:formatCode>
                <c:ptCount val="7"/>
                <c:pt idx="0">
                  <c:v>-0.1430000000000291</c:v>
                </c:pt>
                <c:pt idx="1">
                  <c:v>-0.1410000000000764</c:v>
                </c:pt>
                <c:pt idx="2">
                  <c:v>-0.16100000000005821</c:v>
                </c:pt>
                <c:pt idx="3">
                  <c:v>-0.16400000000021464</c:v>
                </c:pt>
                <c:pt idx="4">
                  <c:v>-0.15200000000004366</c:v>
                </c:pt>
                <c:pt idx="5">
                  <c:v>-0.17000000000007276</c:v>
                </c:pt>
                <c:pt idx="6">
                  <c:v>-0.16199999999980719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35-42C5-8A12-6584E8DEFB6A}"/>
            </c:ext>
          </c:extLst>
        </c:ser>
        <c:ser>
          <c:idx val="2"/>
          <c:order val="2"/>
          <c:tx>
            <c:v>Target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(theory)'!$AM$6,'World Spherical (theory)'!$AM$13,'World Spherical (theory)'!$AM$20,'World Spherical (theory)'!$AM$27,'World Spherical (theory)'!$AM$34,'World Spherical (theory)'!$AM$41,'World Spherical (theory)'!$AM$48)</c:f>
              <c:numCache>
                <c:formatCode>General</c:formatCode>
                <c:ptCount val="7"/>
                <c:pt idx="0">
                  <c:v>-0.11900000000014188</c:v>
                </c:pt>
                <c:pt idx="1">
                  <c:v>-0.12799999999992906</c:v>
                </c:pt>
                <c:pt idx="2">
                  <c:v>-0.15200000000004366</c:v>
                </c:pt>
                <c:pt idx="3">
                  <c:v>-0.15399999999999636</c:v>
                </c:pt>
                <c:pt idx="4">
                  <c:v>-0.15100000000029468</c:v>
                </c:pt>
                <c:pt idx="5">
                  <c:v>-0.16499999999996362</c:v>
                </c:pt>
                <c:pt idx="6">
                  <c:v>-0.15399999999999636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35-42C5-8A12-6584E8DEFB6A}"/>
            </c:ext>
          </c:extLst>
        </c:ser>
        <c:ser>
          <c:idx val="3"/>
          <c:order val="3"/>
          <c:tx>
            <c:v>Target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(theory)'!$AM$7,'World Spherical (theory)'!$AM$14,'World Spherical (theory)'!$AM$21,'World Spherical (theory)'!$AM$28,'World Spherical (theory)'!$AM$35,'World Spherical (theory)'!$AM$42,'World Spherical (theory)'!$AM$49)</c:f>
              <c:numCache>
                <c:formatCode>General</c:formatCode>
                <c:ptCount val="7"/>
                <c:pt idx="0">
                  <c:v>-0.14699999999993452</c:v>
                </c:pt>
                <c:pt idx="1">
                  <c:v>-0.14699999999993452</c:v>
                </c:pt>
                <c:pt idx="2">
                  <c:v>-0.15800000000035652</c:v>
                </c:pt>
                <c:pt idx="3">
                  <c:v>-0.17300000000022919</c:v>
                </c:pt>
                <c:pt idx="4">
                  <c:v>-0.1590000000001055</c:v>
                </c:pt>
                <c:pt idx="5">
                  <c:v>-0.1750000000001819</c:v>
                </c:pt>
                <c:pt idx="6">
                  <c:v>-0.16100000000005821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35-42C5-8A12-6584E8DE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571704"/>
        <c:axId val="832568096"/>
      </c:lineChart>
      <c:catAx>
        <c:axId val="83257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68096"/>
        <c:crosses val="autoZero"/>
        <c:auto val="1"/>
        <c:lblAlgn val="ctr"/>
        <c:lblOffset val="100"/>
        <c:noMultiLvlLbl val="0"/>
      </c:catAx>
      <c:valAx>
        <c:axId val="8325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Errors</a:t>
                </a:r>
                <a:r>
                  <a:rPr lang="en-GB" baseline="0"/>
                  <a:t> (mm)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71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cap="all" baseline="0"/>
              <a:t>Absoulute ranging error in vacuum after applying offset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(theory)'!$AU$4,'World Spherical (theory)'!$AU$11,'World Spherical (theory)'!$AU$18,'World Spherical (theory)'!$AU$25,'World Spherical (theory)'!$AU$32,'World Spherical (theory)'!$AU$39,'World Spherical (theory)'!$AU$46)</c:f>
              <c:numCache>
                <c:formatCode>General</c:formatCode>
                <c:ptCount val="7"/>
                <c:pt idx="0">
                  <c:v>-1.7819999999907243E-2</c:v>
                </c:pt>
                <c:pt idx="1">
                  <c:v>-8.8200000001200651E-3</c:v>
                </c:pt>
                <c:pt idx="2">
                  <c:v>-1.681999999993089E-2</c:v>
                </c:pt>
                <c:pt idx="3">
                  <c:v>-2.2820000000243756E-2</c:v>
                </c:pt>
                <c:pt idx="4">
                  <c:v>-8.8200000001200651E-3</c:v>
                </c:pt>
                <c:pt idx="5">
                  <c:v>-2.182000000004003E-2</c:v>
                </c:pt>
                <c:pt idx="6">
                  <c:v>-9.8200000003237919E-3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9-4DE5-B2C8-5368232FA2CA}"/>
            </c:ext>
          </c:extLst>
        </c:ser>
        <c:ser>
          <c:idx val="1"/>
          <c:order val="1"/>
          <c:tx>
            <c:v>Target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(theory)'!$AU$5,'World Spherical (theory)'!$AU$12,'World Spherical (theory)'!$AU$19,'World Spherical (theory)'!$AU$26,'World Spherical (theory)'!$AU$33,'World Spherical (theory)'!$AU$40,'World Spherical (theory)'!$AU$47)</c:f>
              <c:numCache>
                <c:formatCode>General</c:formatCode>
                <c:ptCount val="7"/>
                <c:pt idx="0">
                  <c:v>1.6179999999970884E-2</c:v>
                </c:pt>
                <c:pt idx="1">
                  <c:v>1.8179999999923591E-2</c:v>
                </c:pt>
                <c:pt idx="2">
                  <c:v>-1.8200000000582195E-3</c:v>
                </c:pt>
                <c:pt idx="3">
                  <c:v>-4.8200000002146526E-3</c:v>
                </c:pt>
                <c:pt idx="4">
                  <c:v>7.1799999999563324E-3</c:v>
                </c:pt>
                <c:pt idx="5">
                  <c:v>-1.0820000000072771E-2</c:v>
                </c:pt>
                <c:pt idx="6">
                  <c:v>-2.819999999807199E-3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59-4DE5-B2C8-5368232FA2CA}"/>
            </c:ext>
          </c:extLst>
        </c:ser>
        <c:ser>
          <c:idx val="2"/>
          <c:order val="2"/>
          <c:tx>
            <c:v>Target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(theory)'!$AU$6,'World Spherical (theory)'!$AU$13,'World Spherical (theory)'!$AU$20,'World Spherical (theory)'!$AU$27,'World Spherical (theory)'!$AU$34,'World Spherical (theory)'!$AU$41,'World Spherical (theory)'!$AU$48)</c:f>
              <c:numCache>
                <c:formatCode>General</c:formatCode>
                <c:ptCount val="7"/>
                <c:pt idx="0">
                  <c:v>4.0179999999858107E-2</c:v>
                </c:pt>
                <c:pt idx="1">
                  <c:v>3.1180000000070929E-2</c:v>
                </c:pt>
                <c:pt idx="2">
                  <c:v>7.1799999999563324E-3</c:v>
                </c:pt>
                <c:pt idx="3">
                  <c:v>5.1800000000036261E-3</c:v>
                </c:pt>
                <c:pt idx="4">
                  <c:v>8.1799999997053119E-3</c:v>
                </c:pt>
                <c:pt idx="5">
                  <c:v>-5.819999999963632E-3</c:v>
                </c:pt>
                <c:pt idx="6">
                  <c:v>5.1800000000036261E-3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59-4DE5-B2C8-5368232FA2CA}"/>
            </c:ext>
          </c:extLst>
        </c:ser>
        <c:ser>
          <c:idx val="3"/>
          <c:order val="3"/>
          <c:tx>
            <c:v>Target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'World Spherical (theory)'!$AS$33:$AS$39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(theory)'!$AU$7,'World Spherical (theory)'!$AU$14,'World Spherical (theory)'!$AU$21,'World Spherical (theory)'!$AU$28,'World Spherical (theory)'!$AU$35,'World Spherical (theory)'!$AU$42,'World Spherical (theory)'!$AU$49)</c:f>
              <c:numCache>
                <c:formatCode>General</c:formatCode>
                <c:ptCount val="7"/>
                <c:pt idx="0">
                  <c:v>1.2180000000065472E-2</c:v>
                </c:pt>
                <c:pt idx="1">
                  <c:v>1.2180000000065472E-2</c:v>
                </c:pt>
                <c:pt idx="2">
                  <c:v>1.1799999996434662E-3</c:v>
                </c:pt>
                <c:pt idx="3">
                  <c:v>-1.3820000000229204E-2</c:v>
                </c:pt>
                <c:pt idx="4">
                  <c:v>1.7999999989448678E-4</c:v>
                </c:pt>
                <c:pt idx="5">
                  <c:v>-1.5820000000181911E-2</c:v>
                </c:pt>
                <c:pt idx="6">
                  <c:v>-1.8200000000582195E-3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59-4DE5-B2C8-5368232FA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562960"/>
        <c:axId val="784561320"/>
      </c:lineChart>
      <c:catAx>
        <c:axId val="78456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61320"/>
        <c:crosses val="autoZero"/>
        <c:auto val="1"/>
        <c:lblAlgn val="ctr"/>
        <c:lblOffset val="100"/>
        <c:noMultiLvlLbl val="0"/>
      </c:catAx>
      <c:valAx>
        <c:axId val="78456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6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all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cap="all" baseline="0"/>
              <a:t>Absolute range error with window after applying offset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all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'World Spherical (SA)'!$AF$2:$AF$8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(SA)'!$V$4,'World Spherical (SA)'!$V$11,'World Spherical (SA)'!$V$18,'World Spherical (SA)'!$V$25,'World Spherical (SA)'!$V$32,'World Spherical (SA)'!$V$39,'World Spherical (SA)'!$V$46)</c:f>
              <c:numCache>
                <c:formatCode>General</c:formatCode>
                <c:ptCount val="7"/>
                <c:pt idx="0">
                  <c:v>-3.6000000000058208E-2</c:v>
                </c:pt>
                <c:pt idx="1">
                  <c:v>-1.7000000000052751E-2</c:v>
                </c:pt>
                <c:pt idx="2">
                  <c:v>-1.6000000000076398E-2</c:v>
                </c:pt>
                <c:pt idx="3">
                  <c:v>-1.2000000000170985E-2</c:v>
                </c:pt>
                <c:pt idx="4">
                  <c:v>2.9999999997016857E-3</c:v>
                </c:pt>
                <c:pt idx="5">
                  <c:v>-1.0999999999967258E-2</c:v>
                </c:pt>
                <c:pt idx="6">
                  <c:v>1.9999999999527063E-3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A-40DB-ACB9-0E4962FEC3A5}"/>
            </c:ext>
          </c:extLst>
        </c:ser>
        <c:ser>
          <c:idx val="1"/>
          <c:order val="1"/>
          <c:tx>
            <c:v>Target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'World Spherical (SA)'!$AF$2:$AF$8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(SA)'!$V$5,'World Spherical (SA)'!$V$12,'World Spherical (SA)'!$V$19,'World Spherical (SA)'!$V$26,'World Spherical (SA)'!$V$33,'World Spherical (SA)'!$V$40,'World Spherical (SA)'!$V$47)</c:f>
              <c:numCache>
                <c:formatCode>General</c:formatCode>
                <c:ptCount val="7"/>
                <c:pt idx="0">
                  <c:v>-9.9999999999909051E-3</c:v>
                </c:pt>
                <c:pt idx="1">
                  <c:v>-9.0000000000145519E-3</c:v>
                </c:pt>
                <c:pt idx="2">
                  <c:v>-9.0000000000145519E-3</c:v>
                </c:pt>
                <c:pt idx="3">
                  <c:v>-3.0000000001564331E-3</c:v>
                </c:pt>
                <c:pt idx="4">
                  <c:v>1.2999999999919964E-2</c:v>
                </c:pt>
                <c:pt idx="5">
                  <c:v>9.9999999974897946E-4</c:v>
                </c:pt>
                <c:pt idx="6">
                  <c:v>1.2000000000170985E-2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A-40DB-ACB9-0E4962FEC3A5}"/>
            </c:ext>
          </c:extLst>
        </c:ser>
        <c:ser>
          <c:idx val="2"/>
          <c:order val="2"/>
          <c:tx>
            <c:v>Target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'World Spherical (SA)'!$AF$2:$AF$8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(SA)'!$V$6,'World Spherical (SA)'!$V$13,'World Spherical (SA)'!$V$20,'World Spherical (SA)'!$V$27,'World Spherical (SA)'!$V$34,'World Spherical (SA)'!$V$41,'World Spherical (SA)'!$V$48)</c:f>
              <c:numCache>
                <c:formatCode>General</c:formatCode>
                <c:ptCount val="7"/>
                <c:pt idx="0">
                  <c:v>2.9999999999290594E-3</c:v>
                </c:pt>
                <c:pt idx="1">
                  <c:v>3.9999999999054126E-3</c:v>
                </c:pt>
                <c:pt idx="2">
                  <c:v>9.9999999997635314E-3</c:v>
                </c:pt>
                <c:pt idx="3">
                  <c:v>6.9999999996070983E-3</c:v>
                </c:pt>
                <c:pt idx="4">
                  <c:v>2.3999999999887223E-2</c:v>
                </c:pt>
                <c:pt idx="5">
                  <c:v>1.6000000000076398E-2</c:v>
                </c:pt>
                <c:pt idx="6">
                  <c:v>1.999999999998181E-2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4A-40DB-ACB9-0E4962FEC3A5}"/>
            </c:ext>
          </c:extLst>
        </c:ser>
        <c:ser>
          <c:idx val="3"/>
          <c:order val="3"/>
          <c:tx>
            <c:v>Target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'World Spherical (SA)'!$AF$2:$AF$8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4.0999999999999996</c:v>
                </c:pt>
                <c:pt idx="5">
                  <c:v>5</c:v>
                </c:pt>
                <c:pt idx="6">
                  <c:v>5.0999999999999996</c:v>
                </c:pt>
              </c:numCache>
            </c:numRef>
          </c:cat>
          <c:val>
            <c:numRef>
              <c:f>('World Spherical (SA)'!$V$7,'World Spherical (SA)'!$V$14,'World Spherical (SA)'!$V$21,'World Spherical (SA)'!$V$28,'World Spherical (SA)'!$V$35,'World Spherical (SA)'!$V$42,'World Spherical (SA)'!$V$49)</c:f>
              <c:numCache>
                <c:formatCode>General</c:formatCode>
                <c:ptCount val="7"/>
                <c:pt idx="0">
                  <c:v>-7.0000000000618456E-3</c:v>
                </c:pt>
                <c:pt idx="1">
                  <c:v>-7.0000000000618456E-3</c:v>
                </c:pt>
                <c:pt idx="2">
                  <c:v>1.9999999999527063E-3</c:v>
                </c:pt>
                <c:pt idx="3">
                  <c:v>-3.0000000001564331E-3</c:v>
                </c:pt>
                <c:pt idx="4">
                  <c:v>1.1999999999716238E-2</c:v>
                </c:pt>
                <c:pt idx="5">
                  <c:v>3.9999999999054126E-3</c:v>
                </c:pt>
                <c:pt idx="6">
                  <c:v>1.9000000000232831E-2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A-40DB-ACB9-0E4962FEC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044216"/>
        <c:axId val="669045856"/>
      </c:lineChart>
      <c:catAx>
        <c:axId val="66904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45856"/>
        <c:crosses val="autoZero"/>
        <c:auto val="1"/>
        <c:lblAlgn val="ctr"/>
        <c:lblOffset val="100"/>
        <c:noMultiLvlLbl val="0"/>
      </c:catAx>
      <c:valAx>
        <c:axId val="6690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(mm)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4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5601</xdr:colOff>
      <xdr:row>60</xdr:row>
      <xdr:rowOff>12324</xdr:rowOff>
    </xdr:from>
    <xdr:to>
      <xdr:col>13</xdr:col>
      <xdr:colOff>11205</xdr:colOff>
      <xdr:row>88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F7C53A-870F-4334-BF48-648E15CB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733983</xdr:colOff>
      <xdr:row>89</xdr:row>
      <xdr:rowOff>186018</xdr:rowOff>
    </xdr:from>
    <xdr:to>
      <xdr:col>13</xdr:col>
      <xdr:colOff>11205</xdr:colOff>
      <xdr:row>114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88FB6-FFE4-4037-AE24-EFAB3636D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16807</xdr:colOff>
      <xdr:row>117</xdr:row>
      <xdr:rowOff>6724</xdr:rowOff>
    </xdr:from>
    <xdr:to>
      <xdr:col>12</xdr:col>
      <xdr:colOff>739587</xdr:colOff>
      <xdr:row>140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126647-9EC2-4000-A7B9-94AC1E022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14287</xdr:colOff>
      <xdr:row>52</xdr:row>
      <xdr:rowOff>14287</xdr:rowOff>
    </xdr:from>
    <xdr:to>
      <xdr:col>28</xdr:col>
      <xdr:colOff>128587</xdr:colOff>
      <xdr:row>66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782CCC-8F1D-43AA-A9B7-1938ACEC7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14287</xdr:colOff>
      <xdr:row>66</xdr:row>
      <xdr:rowOff>161925</xdr:rowOff>
    </xdr:from>
    <xdr:to>
      <xdr:col>28</xdr:col>
      <xdr:colOff>128587</xdr:colOff>
      <xdr:row>81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2F42B0-09AD-4EFE-BFB2-93FAAF995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604837</xdr:colOff>
      <xdr:row>51</xdr:row>
      <xdr:rowOff>180975</xdr:rowOff>
    </xdr:from>
    <xdr:to>
      <xdr:col>37</xdr:col>
      <xdr:colOff>300037</xdr:colOff>
      <xdr:row>66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FACE51-4C00-4BA9-8595-818BD1FA0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604837</xdr:colOff>
      <xdr:row>67</xdr:row>
      <xdr:rowOff>9525</xdr:rowOff>
    </xdr:from>
    <xdr:to>
      <xdr:col>37</xdr:col>
      <xdr:colOff>300037</xdr:colOff>
      <xdr:row>81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F7883B-D12B-4C1B-ABF8-6BF9C5724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47625</xdr:colOff>
      <xdr:row>51</xdr:row>
      <xdr:rowOff>171450</xdr:rowOff>
    </xdr:from>
    <xdr:to>
      <xdr:col>45</xdr:col>
      <xdr:colOff>352425</xdr:colOff>
      <xdr:row>66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1901E9-968E-449C-90FC-CE359BAA2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50</xdr:row>
      <xdr:rowOff>19050</xdr:rowOff>
    </xdr:from>
    <xdr:to>
      <xdr:col>7</xdr:col>
      <xdr:colOff>495300</xdr:colOff>
      <xdr:row>64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C52A7-3AC8-4CC9-B47D-5BFFBD89C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50</xdr:row>
      <xdr:rowOff>4762</xdr:rowOff>
    </xdr:from>
    <xdr:to>
      <xdr:col>14</xdr:col>
      <xdr:colOff>428625</xdr:colOff>
      <xdr:row>64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49EE22-419A-4205-A0B6-1FF8F45F5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23812</xdr:rowOff>
    </xdr:from>
    <xdr:to>
      <xdr:col>6</xdr:col>
      <xdr:colOff>990600</xdr:colOff>
      <xdr:row>58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A68E6-A93C-416D-9353-B037A8298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43</xdr:row>
      <xdr:rowOff>185737</xdr:rowOff>
    </xdr:from>
    <xdr:to>
      <xdr:col>12</xdr:col>
      <xdr:colOff>423862</xdr:colOff>
      <xdr:row>58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810082-3B0E-48CE-8AD6-00F4AC291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14287</xdr:rowOff>
    </xdr:from>
    <xdr:to>
      <xdr:col>6</xdr:col>
      <xdr:colOff>990600</xdr:colOff>
      <xdr:row>58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D96A92-00B0-4E80-B647-6F16D98F9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604837</xdr:colOff>
      <xdr:row>59</xdr:row>
      <xdr:rowOff>14287</xdr:rowOff>
    </xdr:from>
    <xdr:to>
      <xdr:col>6</xdr:col>
      <xdr:colOff>985837</xdr:colOff>
      <xdr:row>73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524838-21CB-416A-B3B9-C1936542E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604837</xdr:colOff>
      <xdr:row>74</xdr:row>
      <xdr:rowOff>14287</xdr:rowOff>
    </xdr:from>
    <xdr:to>
      <xdr:col>6</xdr:col>
      <xdr:colOff>985837</xdr:colOff>
      <xdr:row>88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316BA1-A997-46C3-A1CE-92DFE25C3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89</xdr:row>
      <xdr:rowOff>4762</xdr:rowOff>
    </xdr:from>
    <xdr:to>
      <xdr:col>6</xdr:col>
      <xdr:colOff>995362</xdr:colOff>
      <xdr:row>103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B6A7E7-7CE4-44DA-969D-5BBC9E59B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44</xdr:row>
      <xdr:rowOff>14287</xdr:rowOff>
    </xdr:from>
    <xdr:to>
      <xdr:col>12</xdr:col>
      <xdr:colOff>423862</xdr:colOff>
      <xdr:row>58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D0368D-816A-4E93-AE2A-B056E77F9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4762</xdr:colOff>
      <xdr:row>59</xdr:row>
      <xdr:rowOff>4762</xdr:rowOff>
    </xdr:from>
    <xdr:to>
      <xdr:col>12</xdr:col>
      <xdr:colOff>423862</xdr:colOff>
      <xdr:row>73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684A7F-8EC5-4884-BCF1-40DB6C273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14287</xdr:colOff>
      <xdr:row>74</xdr:row>
      <xdr:rowOff>14287</xdr:rowOff>
    </xdr:from>
    <xdr:to>
      <xdr:col>12</xdr:col>
      <xdr:colOff>433387</xdr:colOff>
      <xdr:row>88</xdr:row>
      <xdr:rowOff>90487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72227B-A956-4CF8-B724-A56A32667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</xdr:colOff>
      <xdr:row>89</xdr:row>
      <xdr:rowOff>14287</xdr:rowOff>
    </xdr:from>
    <xdr:to>
      <xdr:col>12</xdr:col>
      <xdr:colOff>433387</xdr:colOff>
      <xdr:row>103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C43F8CA-E027-4428-ABD0-F006CA613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14286</xdr:colOff>
      <xdr:row>45</xdr:row>
      <xdr:rowOff>19049</xdr:rowOff>
    </xdr:from>
    <xdr:to>
      <xdr:col>26</xdr:col>
      <xdr:colOff>114299</xdr:colOff>
      <xdr:row>64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9B12CB-7ABD-49C9-803F-7891CA082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9524</xdr:colOff>
      <xdr:row>65</xdr:row>
      <xdr:rowOff>9525</xdr:rowOff>
    </xdr:from>
    <xdr:to>
      <xdr:col>25</xdr:col>
      <xdr:colOff>590549</xdr:colOff>
      <xdr:row>83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648987-A465-49EF-A431-10DFB4722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4" xr16:uid="{F9AC4557-F9B5-48D4-B97D-D0933B131EF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69" xr16:uid="{8BBFAF32-28F1-4335-8815-0CDF6516D33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3" xr16:uid="{24905659-9B9A-459C-9F1F-A4AC17AAE39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20" xr16:uid="{CF91F669-CD20-4471-A22B-C83A1E83C26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34" xr16:uid="{E9F16104-110E-43C2-9F72-4054918EE51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27" xr16:uid="{B1C32285-1D53-4333-B97A-4DF0A4E6C39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48" xr16:uid="{5CE20B52-E669-4D44-A080-29E4BE1AB71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41" xr16:uid="{0DAA4C46-D94C-49F9-9B88-940171F1B8B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8" xr16:uid="{B1C644F4-E8EE-4417-B063-E4EAA358535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3" xr16:uid="{689A32FE-887F-48B4-B5EB-AC98CA9C1B4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8" xr16:uid="{E571067F-DFFB-4548-98D4-0A81667D45B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8" xr16:uid="{E3B003E9-C6E6-422B-A115-64A70C3F418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83" xr16:uid="{3BE0688A-CA61-4D91-8852-E16FB2B3365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3" xr16:uid="{E756E885-BF52-4F59-913E-3E81E80FD95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8" xr16:uid="{6603CF78-DC58-459F-88A6-3AA04C6425B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33" xr16:uid="{63CB8DDB-1996-480D-89C5-1F21F3ECA54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58" xr16:uid="{5C7BE7DE-69FF-4A3F-8B13-7C2CC777031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65" xr16:uid="{E113F1B9-D495-4CC3-8FB5-92786B09B2C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73" xr16:uid="{4A024016-43C3-4FC0-AA1C-EF47AFA3893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87" xr16:uid="{E5D3E027-C19B-49E2-B110-193B668612C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80" xr16:uid="{0CFEC75D-B2E3-4846-827C-208DD0595E0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01" xr16:uid="{DADCA3CC-893E-461E-8241-B235397F88E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4" xr16:uid="{7AC7BB26-2235-4752-B682-F24A508A107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76" xr16:uid="{06437B07-134F-426B-99A3-79656A2A3F8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6" xr16:uid="{B422754A-070A-4C8A-B4A8-419A4A9D85F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4" xr16:uid="{AD6E542C-B633-48A4-97F2-2C6B3242C9A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21" xr16:uid="{FF9E7B60-2DD2-4250-9FDD-D97C385350F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35" xr16:uid="{F3902AC1-D651-43FB-887A-8596780D398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28" xr16:uid="{BD238D88-8333-48EF-8E73-462A0DBE7D0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49" xr16:uid="{1CF647E7-4C11-4AB4-A8E0-BD4BE65CBA8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42" xr16:uid="{5CEE69FD-75C1-415B-BC39-3C324D9D1C7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97" xr16:uid="{8D810AB0-C82A-4725-A376-BBE3EA105A5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0" xr16:uid="{91D73F2A-239F-4EB4-8A64-938680039BC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" xr16:uid="{910C3038-053D-46A2-9898-3F362ECD2C2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0" xr16:uid="{36630FFD-2A90-4BA4-8FF2-C5E7F9DC8DD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8" xr16:uid="{94CC1522-728B-487F-9CB0-2F9BA935546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32" xr16:uid="{273D49D5-B0BF-4E60-8BA6-C394104FA59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25" xr16:uid="{06EBAB3C-B31B-4BEB-8E97-6EDA7456927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0" xr16:uid="{3949D3C4-37A4-4777-90D1-83C379ABBDE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46" xr16:uid="{F419D59E-CEC6-404F-9BA3-8F8E017D7FD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39" xr16:uid="{07B0C0F6-264F-4346-90B6-6AB3B9DC501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5" xr16:uid="{BB4E7AF6-B867-4EFF-9544-C1DF8E93FB4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1" xr16:uid="{B03D2191-2563-4E91-83C2-EAD46E8D4E0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6" xr16:uid="{07CBC39E-C383-4EFA-BBC7-194DE57BCBD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6" xr16:uid="{C2E3EED1-97A4-4F19-8757-041317AD893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1" xr16:uid="{41996D14-9613-41E5-BEF0-F4885DAAA2A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6" xr16:uid="{23C29360-363E-42FD-890E-B38F36FCF47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31" xr16:uid="{97BBC8D0-DD3D-40A4-AD07-D78E2CB4A9C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55" xr16:uid="{347E7800-3602-4D89-A79C-28D8D4EF80E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5" xr16:uid="{574101FD-8543-4230-A873-8EA5102617E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62" xr16:uid="{CA517C00-8B42-46CD-899C-2357FF11E38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70" xr16:uid="{9564A10B-0B38-47D0-A707-69FC9F67363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84" xr16:uid="{A1607F58-F63D-4101-A649-0F9A0A96C72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77" xr16:uid="{D5CD454C-DDE0-44E4-8F0D-8BF7E51DAD4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98" xr16:uid="{D2D5CB75-B23D-4246-B49F-24212A99F10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1" xr16:uid="{96EF3DF4-4930-4BAF-9F4A-FD01C0A5188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3" xr16:uid="{B2A2B93C-15C3-4AA9-9182-9D100678A30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1" xr16:uid="{805C7F4E-684B-4878-89AD-BC7E72BABE5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9" xr16:uid="{B491592B-B507-4A55-853E-52E7E5C9877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33" xr16:uid="{ADFE7BAB-59E3-4FB7-8F3A-3A5404CFB22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5" xr16:uid="{6DCA441B-6EF9-4423-8C6C-BC8E21989BA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26" xr16:uid="{D892D38F-BB84-4303-AB58-A902D252423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47" xr16:uid="{20078972-C52C-48ED-99EB-0DEB37FEAE5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40" xr16:uid="{295A0DF7-340F-433D-9031-0C0300E0131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53" xr16:uid="{814CDF46-A435-4696-A6BA-9AF032C7D63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60" xr16:uid="{201D541C-B101-4F0C-89FB-584A674D32C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68" xr16:uid="{AE65474B-2776-4AF4-B3D0-5C8828A4D35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connectionId="82" xr16:uid="{E22011EA-CDB9-44BC-9E27-BADF95EE5F4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6" connectionId="75" xr16:uid="{9A35E535-5957-42F7-BB12-101AAE5F027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7" connectionId="96" xr16:uid="{14ED8987-68CA-44A3-ACD5-63B457CF14A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8" connectionId="89" xr16:uid="{7D7A1E06-7706-480C-BAD4-95B8807B41C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0" xr16:uid="{CA4A9C2D-6CC6-4F7F-85F0-422D9267AE5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9" connectionId="1" xr16:uid="{F2F63319-82B1-47DF-AD9A-2F9FC05FBFB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0" connectionId="9" xr16:uid="{B00A34AD-0674-4D13-AED2-03C10C63DB7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1" connectionId="17" xr16:uid="{2D96946F-7687-4E53-ACBF-9FD421ACAA7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2" connectionId="31" xr16:uid="{1326A3AA-04C1-48B9-9BFB-3DABCE9511E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3" connectionId="24" xr16:uid="{1557F439-4044-48B9-8B88-183DAFA384E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4" connectionId="44" xr16:uid="{53AD5046-A406-452B-9AAC-EB447C245DD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5" connectionId="38" xr16:uid="{EEEC10BD-C1EB-49C2-9CBB-7872A09A657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9" xr16:uid="{8DBA13EF-ABEF-4C9C-9DC0-DD0EE17CEE2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4" xr16:uid="{F2782E92-B1BE-4C26-9706-735B254DF31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9" xr16:uid="{2267D85A-6E35-481E-BC9E-220E8DE6363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5" xr16:uid="{4FFCE906-9C73-43F0-A710-6AB6E2BBE5B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9" xr16:uid="{AEFBC895-81C3-4A51-B5D7-71863837C52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4" xr16:uid="{A625820C-5CEA-4677-918D-047B21D342E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9" xr16:uid="{4946C406-7042-4DD0-B90D-60458AB49F6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34" xr16:uid="{3F414392-986E-40CB-9B7C-030569CF189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59" xr16:uid="{57280C66-9422-484B-BE22-04992CA31FE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66" xr16:uid="{3B9ACD89-BB40-4927-96A2-A98049F9D66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74" xr16:uid="{C0F15FF7-15DE-4856-B60C-7F782D32943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88" xr16:uid="{0982EECD-82CB-494A-97C7-AD939EED82C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81" xr16:uid="{C6172E4F-B267-416A-9335-4F7E9932098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02" xr16:uid="{23DF547B-D4B8-4094-9C21-D11CC97B77E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30" xr16:uid="{9D905AD5-E328-4A64-9490-13570F9E1D6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5" xr16:uid="{33C7E99C-6C33-48F6-93B5-34E9139FD48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7" xr16:uid="{48EC1BC0-7D55-48B6-9E1C-30D8E01A40B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5" xr16:uid="{AB1BDFFB-6593-4FB5-BEB5-2ABDFB944B9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22" xr16:uid="{11BA4872-AF2C-4C7C-82F6-4415BFD1D90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36" xr16:uid="{81276AFA-015D-48C6-8ABC-D4A82B05986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29" xr16:uid="{CEE51773-5D0C-40B1-A7A9-E8E0648E218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50" xr16:uid="{B916426B-37F7-4151-BBE0-8B4FEB38351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1" connectionId="43" xr16:uid="{792DE4F6-24DB-4282-BDF8-42648D6A155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2" connectionId="8" xr16:uid="{98B90037-6E6D-499B-AD72-5166FE5B681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3" connectionId="16" xr16:uid="{291BDBC7-E9BD-4E6C-BCC7-5A34D78D79D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54" xr16:uid="{089CA0CF-C5FA-4CD0-A50D-8506D84EEBB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4" connectionId="23" xr16:uid="{6B6739E0-6CB5-410B-9760-90EA84A9FC8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5" connectionId="37" xr16:uid="{FE0D09B9-3D99-4857-A66A-6B65194CD9D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6" connectionId="30" xr16:uid="{A8B91681-126A-46C3-9471-295B9538048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7" connectionId="51" xr16:uid="{42F4C43B-9DE6-46E7-A2F8-C98452AB59A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8" connectionId="52" xr16:uid="{1E97B8D9-641B-432C-A9D4-724A12C7BCD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7" xr16:uid="{A889A2F1-2C63-4294-9436-027652DB6DC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2" xr16:uid="{4483F3D3-A1D4-469B-BE09-5B0FB8350F2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7" xr16:uid="{7CE4124D-5A78-486B-B2E2-A6AAA695438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7" xr16:uid="{E3E6602F-01F1-45E0-9D96-BB5BFE2C9E0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2" xr16:uid="{BF2259B8-A273-4B9D-9729-9DAA0C81E81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61" xr16:uid="{5B364DC8-4AE8-4298-A7E5-7AA95431373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7" xr16:uid="{285B3DDF-153A-44BB-952A-B60553FB21D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32" xr16:uid="{9CD42097-6A1D-476C-ADE0-97A242D217C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57" xr16:uid="{D653675B-D252-4ACC-A2BE-A27ABC09451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64" xr16:uid="{46CDC754-10B0-4242-A035-0ED55CF5CFA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72" xr16:uid="{B76F9697-B51C-438E-B868-54D87D817DF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86" xr16:uid="{67FC4E54-49B0-4246-9198-6B83CED48F4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79" xr16:uid="{7C670899-4821-4E30-9E73-E99F0FAF90F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00" xr16:uid="{D8B251FC-1DBD-4091-9BE5-10223AB7B61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3" xr16:uid="{083C3B17-E380-4425-B37B-C4B562B1DD7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5" xr16:uid="{521B0A89-D5D4-41C8-9526-EF43C7C5AE5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0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0.xml"/></Relationships>
</file>

<file path=xl/tables/_rels/table10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1.xml"/></Relationships>
</file>

<file path=xl/tables/_rels/table10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2.xml"/></Relationships>
</file>

<file path=xl/tables/_rels/table10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3.xml"/></Relationships>
</file>

<file path=xl/tables/_rels/table10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4.xml"/></Relationships>
</file>

<file path=xl/tables/_rels/table10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5.xml"/></Relationships>
</file>

<file path=xl/tables/_rels/table10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6.xml"/></Relationships>
</file>

<file path=xl/tables/_rels/table10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7.xml"/></Relationships>
</file>

<file path=xl/tables/_rels/table10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8.xml"/></Relationships>
</file>

<file path=xl/tables/_rels/table10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0.xml"/></Relationships>
</file>

<file path=xl/tables/_rels/table1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1.xml"/></Relationships>
</file>

<file path=xl/tables/_rels/table1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2.xml"/></Relationships>
</file>

<file path=xl/tables/_rels/table1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3.xml"/></Relationships>
</file>

<file path=xl/tables/_rels/table1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4.xml"/></Relationships>
</file>

<file path=xl/tables/_rels/table1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5.xml"/></Relationships>
</file>

<file path=xl/tables/_rels/table1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6.xml"/></Relationships>
</file>

<file path=xl/tables/_rels/table1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7.xml"/></Relationships>
</file>

<file path=xl/tables/_rels/table1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8.xml"/></Relationships>
</file>

<file path=xl/tables/_rels/table1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0.xml"/></Relationships>
</file>

<file path=xl/tables/_rels/table1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1.xml"/></Relationships>
</file>

<file path=xl/tables/_rels/table1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2.xml"/></Relationships>
</file>

<file path=xl/tables/_rels/table1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3.xml"/></Relationships>
</file>

<file path=xl/tables/_rels/table1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4.xml"/></Relationships>
</file>

<file path=xl/tables/_rels/table1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5.xml"/></Relationships>
</file>

<file path=xl/tables/_rels/table1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6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2.xml"/></Relationships>
</file>

<file path=xl/tables/_rels/table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tables/_rels/table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4.xml"/></Relationships>
</file>

<file path=xl/tables/_rels/table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/Relationships>
</file>

<file path=xl/tables/_rels/table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6.xml"/></Relationships>
</file>

<file path=xl/tables/_rels/table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/Relationships>
</file>

<file path=xl/tables/_rels/table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8.xml"/></Relationships>
</file>

<file path=xl/tables/_rels/table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0.xml"/></Relationships>
</file>

<file path=xl/tables/_rels/table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/Relationships>
</file>

<file path=xl/tables/_rels/table7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2.xml"/></Relationships>
</file>

<file path=xl/tables/_rels/table7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3.xml"/></Relationships>
</file>

<file path=xl/tables/_rels/table7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4.xml"/></Relationships>
</file>

<file path=xl/tables/_rels/table7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5.xml"/></Relationships>
</file>

<file path=xl/tables/_rels/table7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6.xml"/></Relationships>
</file>

<file path=xl/tables/_rels/table7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7.xml"/></Relationships>
</file>

<file path=xl/tables/_rels/table7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8.xml"/></Relationships>
</file>

<file path=xl/tables/_rels/table7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9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8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0.xml"/></Relationships>
</file>

<file path=xl/tables/_rels/table8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1.xml"/></Relationships>
</file>

<file path=xl/tables/_rels/table8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2.xml"/></Relationships>
</file>

<file path=xl/tables/_rels/table8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3.xml"/></Relationships>
</file>

<file path=xl/tables/_rels/table8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4.xml"/></Relationships>
</file>

<file path=xl/tables/_rels/table8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5.xml"/></Relationships>
</file>

<file path=xl/tables/_rels/table8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6.xml"/></Relationships>
</file>

<file path=xl/tables/_rels/table8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7.xml"/></Relationships>
</file>

<file path=xl/tables/_rels/table8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8.xml"/></Relationships>
</file>

<file path=xl/tables/_rels/table8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9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9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0.xml"/></Relationships>
</file>

<file path=xl/tables/_rels/table9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1.xml"/></Relationships>
</file>

<file path=xl/tables/_rels/table9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2.xml"/></Relationships>
</file>

<file path=xl/tables/_rels/table9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3.xml"/></Relationships>
</file>

<file path=xl/tables/_rels/table9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4.xml"/></Relationships>
</file>

<file path=xl/tables/_rels/table9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5.xml"/></Relationships>
</file>

<file path=xl/tables/_rels/table9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6.xml"/></Relationships>
</file>

<file path=xl/tables/_rels/table9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7.xml"/></Relationships>
</file>

<file path=xl/tables/_rels/table9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8.xml"/></Relationships>
</file>

<file path=xl/tables/_rels/table9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56CE25-8F75-4B56-8770-F13EB0E702F7}" name="without_window__step_1___1_7m___2" displayName="without_window__step_1___1_7m___2" ref="B3:E7" tableType="queryTable" totalsRowShown="0">
  <autoFilter ref="B3:E7" xr:uid="{1F320F03-CDCD-4C2C-AAC3-2C3185405B03}"/>
  <tableColumns count="4">
    <tableColumn id="1" xr3:uid="{A3C0AF4D-1B63-4775-B5DF-150CE9A7EF2A}" uniqueName="1" name="Point" queryTableFieldId="1" dataDxfId="125"/>
    <tableColumn id="2" xr3:uid="{53CE9DF8-9B02-4176-933F-8756773141FA}" uniqueName="2" name="X" queryTableFieldId="2"/>
    <tableColumn id="3" xr3:uid="{CA9DA04B-0A13-4635-821E-90AB7E1AE117}" uniqueName="3" name="Y" queryTableFieldId="3"/>
    <tableColumn id="4" xr3:uid="{D40A3052-8756-45B1-B4E8-DD5EE549F4A3}" uniqueName="4" name="Z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E190D1F-64B4-47CB-A0C1-CD5CB250744C}" name="with_window__step_3___corrected" displayName="with_window__step_3___corrected" ref="G17:J21" tableType="queryTable" totalsRowShown="0">
  <autoFilter ref="G17:J21" xr:uid="{65E6E42D-0B3B-4C94-BF52-F91F5DA46E26}"/>
  <tableColumns count="4">
    <tableColumn id="1" xr3:uid="{05FCAA9B-EFBD-4016-99A8-FAC7D64672EE}" uniqueName="1" name="Point" queryTableFieldId="1" dataDxfId="116"/>
    <tableColumn id="2" xr3:uid="{BB8F9AFB-B368-4B7F-A6B6-7A57B2C84180}" uniqueName="2" name="X" queryTableFieldId="2"/>
    <tableColumn id="3" xr3:uid="{F085D0DB-17EE-4F09-91BD-C3AEA6B29579}" uniqueName="3" name="Y" queryTableFieldId="3"/>
    <tableColumn id="4" xr3:uid="{C246E84A-56BA-4FB0-91E2-C6C6536A8CBD}" uniqueName="4" name="Z" queryTableFieldId="4"/>
  </tableColumns>
  <tableStyleInfo name="TableStyleMedium7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58EA957C-A261-49BA-B949-0BA47C28CA26}" name="vacuum__step_2___corrected___4" displayName="vacuum__step_2___corrected___4" ref="L9:O13" tableType="queryTable" totalsRowShown="0">
  <autoFilter ref="L9:O13" xr:uid="{A1CE2A32-8C05-470B-9E70-3177CC9C8E98}"/>
  <tableColumns count="4">
    <tableColumn id="1" xr3:uid="{3E2467EB-F61D-47AF-AC85-E227BD6193D2}" uniqueName="1" name="Point" queryTableFieldId="1" dataDxfId="26"/>
    <tableColumn id="2" xr3:uid="{666A9B84-78F5-4A1E-BFF2-17E218B370AD}" uniqueName="2" name="X" queryTableFieldId="2"/>
    <tableColumn id="3" xr3:uid="{065C495D-84B1-4EBE-A836-5869093B7E27}" uniqueName="3" name="Y" queryTableFieldId="3"/>
    <tableColumn id="4" xr3:uid="{8D987073-49F4-4564-AA71-1EEBB755663F}" uniqueName="4" name="Z" queryTableFieldId="4"/>
  </tableColumns>
  <tableStyleInfo name="TableStyleMedium7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5A954E24-57EF-4DCC-B0C3-DF5383369A19}" name="vacuum__step_3___corrected___3" displayName="vacuum__step_3___corrected___3" ref="L15:O19" tableType="queryTable" totalsRowShown="0">
  <autoFilter ref="L15:O19" xr:uid="{484FEE30-84BA-483F-9809-42C78329FC74}"/>
  <tableColumns count="4">
    <tableColumn id="1" xr3:uid="{84D77057-16FC-4552-9222-C25561E748B1}" uniqueName="1" name="Point" queryTableFieldId="1" dataDxfId="25"/>
    <tableColumn id="2" xr3:uid="{AA7F8965-749C-4E93-962A-7816FEED1152}" uniqueName="2" name="X" queryTableFieldId="2"/>
    <tableColumn id="3" xr3:uid="{207A2897-EB74-42E9-AD02-39F285A40805}" uniqueName="3" name="Y" queryTableFieldId="3"/>
    <tableColumn id="4" xr3:uid="{3718D77B-5E04-4746-9846-105F181AA723}" uniqueName="4" name="Z" queryTableFieldId="4"/>
  </tableColumns>
  <tableStyleInfo name="TableStyleMedium7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E8640D47-8EAC-4626-A0C5-B32045C1E0A5}" name="vacuum__step_4___corrected___3" displayName="vacuum__step_4___corrected___3" ref="L21:O25" tableType="queryTable" totalsRowShown="0">
  <autoFilter ref="L21:O25" xr:uid="{1995F674-B6F6-4A1C-B16F-6CE26E07710D}"/>
  <tableColumns count="4">
    <tableColumn id="1" xr3:uid="{FA362CDA-C484-4F1B-8AE1-E2337D49F941}" uniqueName="1" name="Point" queryTableFieldId="1" dataDxfId="24"/>
    <tableColumn id="2" xr3:uid="{EB41A449-AAA7-46C1-B0FD-D8A6DE514F68}" uniqueName="2" name="X" queryTableFieldId="2"/>
    <tableColumn id="3" xr3:uid="{E09B2556-0FC5-4F1D-83FA-BEBD29A0044F}" uniqueName="3" name="Y" queryTableFieldId="3"/>
    <tableColumn id="4" xr3:uid="{901B66B8-5D21-44E7-B135-0F98E8F9B1CA}" uniqueName="4" name="Z" queryTableFieldId="4"/>
  </tableColumns>
  <tableStyleInfo name="TableStyleMedium7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CF630E3-CBB2-4AB4-B7B3-03D39840DE50}" name="vacuum__step_4_1___corrected___3" displayName="vacuum__step_4_1___corrected___3" ref="L27:O31" tableType="queryTable" totalsRowShown="0">
  <autoFilter ref="L27:O31" xr:uid="{E7671E48-1920-4346-89FB-45BD9F3B59A8}"/>
  <tableColumns count="4">
    <tableColumn id="1" xr3:uid="{A9B5F2C9-8D61-4DFB-8A0F-59941A1F3420}" uniqueName="1" name="Point" queryTableFieldId="1" dataDxfId="23"/>
    <tableColumn id="2" xr3:uid="{2EEDF76B-6A44-4830-A34E-3EE4A7B58B33}" uniqueName="2" name="X" queryTableFieldId="2"/>
    <tableColumn id="3" xr3:uid="{B129AB91-69E0-467B-91D0-4DD082AA5F54}" uniqueName="3" name="Y" queryTableFieldId="3"/>
    <tableColumn id="4" xr3:uid="{C5A7FB79-F552-4BB9-814E-3F03D38B55EA}" uniqueName="4" name="Z" queryTableFieldId="4"/>
  </tableColumns>
  <tableStyleInfo name="TableStyleMedium7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40C87C71-30D3-4AD6-8633-8C5F57C24C3C}" name="vacuum__step_5___corrected___4" displayName="vacuum__step_5___corrected___4" ref="L33:O37" tableType="queryTable" totalsRowShown="0">
  <autoFilter ref="L33:O37" xr:uid="{1184D5C3-D8AE-4C92-A65C-07F41FA21E6B}"/>
  <tableColumns count="4">
    <tableColumn id="1" xr3:uid="{04CECDA6-845C-4D19-A880-57BBD47AE8AD}" uniqueName="1" name="Point" queryTableFieldId="1" dataDxfId="22"/>
    <tableColumn id="2" xr3:uid="{4A040964-5E9F-4807-974A-A6147A5FEF14}" uniqueName="2" name="X" queryTableFieldId="2"/>
    <tableColumn id="3" xr3:uid="{7F48476F-344D-4640-BB2E-C224159A1159}" uniqueName="3" name="Y" queryTableFieldId="3"/>
    <tableColumn id="4" xr3:uid="{919CF698-6FD0-4CB4-B951-0C9901329B40}" uniqueName="4" name="Z" queryTableFieldId="4"/>
  </tableColumns>
  <tableStyleInfo name="TableStyleMedium7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B5DF4525-B2B0-4CEE-B292-9FC8046BB921}" name="vacuum__step_5_1___corrected___3" displayName="vacuum__step_5_1___corrected___3" ref="L39:O43" tableType="queryTable" totalsRowShown="0">
  <autoFilter ref="L39:O43" xr:uid="{64146A54-1818-465F-B721-33A18D16FC15}"/>
  <tableColumns count="4">
    <tableColumn id="1" xr3:uid="{6C0D9D35-5896-4C62-BF26-73EF6382DDB8}" uniqueName="1" name="Point" queryTableFieldId="1" dataDxfId="21"/>
    <tableColumn id="2" xr3:uid="{93E23D4A-BB3D-46AC-8A26-FFAE44AD96B0}" uniqueName="2" name="X" queryTableFieldId="2"/>
    <tableColumn id="3" xr3:uid="{495DFC60-F86A-4E43-8778-6BA4E16B9F95}" uniqueName="3" name="Y" queryTableFieldId="3"/>
    <tableColumn id="4" xr3:uid="{8F646436-5258-4D23-BB10-1936F0388DBD}" uniqueName="4" name="Z" queryTableFieldId="4"/>
  </tableColumns>
  <tableStyleInfo name="TableStyleMedium7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733D6F2C-F6F1-4CED-8EE3-45972408228F}" name="without_window__step_1___1_7m___6" displayName="without_window__step_1___1_7m___6" ref="B3:E7" tableType="queryTable" totalsRowShown="0">
  <autoFilter ref="B3:E7" xr:uid="{8F9CE317-B106-4FB8-A6A9-DB6BB4B3FCD5}"/>
  <tableColumns count="4">
    <tableColumn id="1" xr3:uid="{4D223355-BAAB-4F81-86B9-A7C15E85841E}" uniqueName="1" name="Point" queryTableFieldId="1" dataDxfId="20"/>
    <tableColumn id="2" xr3:uid="{90B3F0DF-A4BA-4A25-99E3-58D978CA4D77}" uniqueName="2" name="X" queryTableFieldId="2"/>
    <tableColumn id="3" xr3:uid="{1E0AC1B2-DAC4-4258-90B8-C05727CF2DB1}" uniqueName="3" name="Y" queryTableFieldId="3"/>
    <tableColumn id="4" xr3:uid="{005642BF-93DA-42FD-B0EF-D7E5EF27F468}" uniqueName="4" name="Z" queryTableFieldId="4"/>
  </tableColumns>
  <tableStyleInfo name="TableStyleMedium7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D2E3F57C-448C-453D-AF7E-6BD7C623B82B}" name="without_window__step_2___1_99m___4" displayName="without_window__step_2___1_99m___4" ref="B9:E13" tableType="queryTable" totalsRowShown="0">
  <autoFilter ref="B9:E13" xr:uid="{139FECF3-5D0A-47CC-A17A-14A3FB2C0846}"/>
  <tableColumns count="4">
    <tableColumn id="1" xr3:uid="{9C30D888-DA05-49B7-86CB-645A51137181}" uniqueName="1" name="Point" queryTableFieldId="1" dataDxfId="19"/>
    <tableColumn id="2" xr3:uid="{1FE42EC7-CC1A-4DAA-B129-72D45B21FD16}" uniqueName="2" name="X" queryTableFieldId="2"/>
    <tableColumn id="3" xr3:uid="{79372CED-F8AE-4F7E-98E8-F2323DCB7203}" uniqueName="3" name="Y" queryTableFieldId="3"/>
    <tableColumn id="4" xr3:uid="{0BE9FB9C-DB13-4FAE-86F5-198C829A6607}" uniqueName="4" name="Z" queryTableFieldId="4"/>
  </tableColumns>
  <tableStyleInfo name="TableStyleMedium7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3ED0FE7C-9053-499D-B0F5-43C826257F3B}" name="without_window__step_3___2_28m___4" displayName="without_window__step_3___2_28m___4" ref="B15:E19" tableType="queryTable" totalsRowShown="0">
  <autoFilter ref="B15:E19" xr:uid="{D87F13AE-6ABB-43BC-830A-83CED1191B38}"/>
  <tableColumns count="4">
    <tableColumn id="1" xr3:uid="{CD6A170F-ED20-4293-95BB-4EC1EADCA1AB}" uniqueName="1" name="Point" queryTableFieldId="1" dataDxfId="18"/>
    <tableColumn id="2" xr3:uid="{D61BA4BE-6B46-4E3B-A22F-336CC90BFBFF}" uniqueName="2" name="X" queryTableFieldId="2"/>
    <tableColumn id="3" xr3:uid="{409EC8C8-1143-4219-B119-6890220F7CBF}" uniqueName="3" name="Y" queryTableFieldId="3"/>
    <tableColumn id="4" xr3:uid="{D3692D9D-8531-40DB-852C-68771D2DEF9E}" uniqueName="4" name="Z" queryTableFieldId="4"/>
  </tableColumns>
  <tableStyleInfo name="TableStyleMedium7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EBF51698-5F78-4CE6-A071-2FA7D62BBC5E}" name="without_window__step_4___2_58m___4" displayName="without_window__step_4___2_58m___4" ref="B21:E25" tableType="queryTable" totalsRowShown="0">
  <autoFilter ref="B21:E25" xr:uid="{D791ABBA-C1F4-4514-B7F5-41027E51564F}"/>
  <tableColumns count="4">
    <tableColumn id="1" xr3:uid="{17D22B2B-00FA-47A6-BABA-803B86987EB8}" uniqueName="1" name="Point" queryTableFieldId="1" dataDxfId="17"/>
    <tableColumn id="2" xr3:uid="{6EAA76B0-5465-4D1B-AA19-61F02D61CEE6}" uniqueName="2" name="X" queryTableFieldId="2"/>
    <tableColumn id="3" xr3:uid="{836146C2-D1CC-4608-A0C0-CB6B102B08F3}" uniqueName="3" name="Y" queryTableFieldId="3"/>
    <tableColumn id="4" xr3:uid="{297B50E0-E4D0-4837-A95A-CE31E9453FFD}" uniqueName="4" name="Z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CBF3330-94D9-4C72-974E-49E43143FC73}" name="with_window__step_4___corrected" displayName="with_window__step_4___corrected" ref="G24:J28" tableType="queryTable" totalsRowShown="0">
  <autoFilter ref="G24:J28" xr:uid="{02F63DC0-9BA8-41FB-AADF-D3BE0D8F97F2}"/>
  <tableColumns count="4">
    <tableColumn id="1" xr3:uid="{A230FF2C-0375-45CA-933F-B8A00A5E3769}" uniqueName="1" name="Point" queryTableFieldId="1" dataDxfId="115"/>
    <tableColumn id="2" xr3:uid="{B4323286-CD02-4AD6-8DEE-65B94217F9DC}" uniqueName="2" name="X" queryTableFieldId="2"/>
    <tableColumn id="3" xr3:uid="{A46A37F2-98B4-477B-AC39-4A95636B6AAD}" uniqueName="3" name="Y" queryTableFieldId="3"/>
    <tableColumn id="4" xr3:uid="{33F5526A-0E71-4AB2-8817-33DF3B99F05D}" uniqueName="4" name="Z" queryTableFieldId="4"/>
  </tableColumns>
  <tableStyleInfo name="TableStyleMedium7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472D2B4F-6725-41D9-84C0-DA92A128135C}" name="without_window__step_4_1___2_58m___4" displayName="without_window__step_4_1___2_58m___4" ref="B27:E31" tableType="queryTable" totalsRowShown="0">
  <autoFilter ref="B27:E31" xr:uid="{FEE344F9-56ED-4BA1-9171-AC5183946748}"/>
  <tableColumns count="4">
    <tableColumn id="1" xr3:uid="{0B81280B-2641-4E5B-A6BD-29F344DB0C9B}" uniqueName="1" name="Point" queryTableFieldId="1" dataDxfId="16"/>
    <tableColumn id="2" xr3:uid="{A9A395F8-B47C-48CD-8957-914788D76FEF}" uniqueName="2" name="X" queryTableFieldId="2"/>
    <tableColumn id="3" xr3:uid="{60BCB545-B899-4E8C-A62E-3A3AED8663AD}" uniqueName="3" name="Y" queryTableFieldId="3"/>
    <tableColumn id="4" xr3:uid="{C822FF7D-AC50-40A4-A01D-2287B4FF139B}" uniqueName="4" name="Z" queryTableFieldId="4"/>
  </tableColumns>
  <tableStyleInfo name="TableStyleMedium7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72371A97-6DC0-4A22-BB35-556BDFFBBB45}" name="without_window__step_5___2_87m___4" displayName="without_window__step_5___2_87m___4" ref="B33:E37" tableType="queryTable" totalsRowShown="0">
  <autoFilter ref="B33:E37" xr:uid="{AADF3893-D806-452C-B69C-2AECDA0E259F}"/>
  <tableColumns count="4">
    <tableColumn id="1" xr3:uid="{2AA6B070-621A-4BBD-BF41-0949BE05CDF5}" uniqueName="1" name="Point" queryTableFieldId="1" dataDxfId="15"/>
    <tableColumn id="2" xr3:uid="{ED30B10D-080D-47F1-BBE9-30535147B54B}" uniqueName="2" name="X" queryTableFieldId="2"/>
    <tableColumn id="3" xr3:uid="{B88F1C9C-036C-4BC5-880E-5BB888709DC4}" uniqueName="3" name="Y" queryTableFieldId="3"/>
    <tableColumn id="4" xr3:uid="{7229CB67-D469-4349-B257-7D26DC38E662}" uniqueName="4" name="Z" queryTableFieldId="4"/>
  </tableColumns>
  <tableStyleInfo name="TableStyleMedium7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E06BEC60-C612-476F-9C29-55ACE2A9900B}" name="without_window__step_5_1___2_87m___4" displayName="without_window__step_5_1___2_87m___4" ref="B39:E43" tableType="queryTable" totalsRowShown="0">
  <autoFilter ref="B39:E43" xr:uid="{FFFBB41F-3337-4E4E-B9F5-E1260E011EB7}"/>
  <tableColumns count="4">
    <tableColumn id="1" xr3:uid="{706D5632-9718-4DF1-A6C9-9B9E02A2AA1D}" uniqueName="1" name="Point" queryTableFieldId="1" dataDxfId="14"/>
    <tableColumn id="2" xr3:uid="{E9DFFCF1-202C-4307-9946-43EB4562C759}" uniqueName="2" name="X" queryTableFieldId="2"/>
    <tableColumn id="3" xr3:uid="{F7BBB6EB-B3D8-4EEC-84FD-C525B500C81B}" uniqueName="3" name="Y" queryTableFieldId="3"/>
    <tableColumn id="4" xr3:uid="{3E8752BA-12A1-4462-A122-FE8C8E78203D}" uniqueName="4" name="Z" queryTableFieldId="4"/>
  </tableColumns>
  <tableStyleInfo name="TableStyleMedium7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15531971-7ADD-47AC-A957-14E909D0BF98}" name="With_window__step_1___corrected___5" displayName="With_window__step_1___corrected___5" ref="G3:J7" tableType="queryTable" totalsRowShown="0">
  <autoFilter ref="G3:J7" xr:uid="{9E819A97-4396-40B8-BF09-1F22FCC0500D}"/>
  <tableColumns count="4">
    <tableColumn id="1" xr3:uid="{57F56173-D56C-4BA7-A2B8-E9463B5FCF7A}" uniqueName="1" name="Point" queryTableFieldId="1" dataDxfId="13"/>
    <tableColumn id="2" xr3:uid="{F3BE4868-0C4C-4A76-92EE-D05936441ABF}" uniqueName="2" name="X" queryTableFieldId="2"/>
    <tableColumn id="3" xr3:uid="{27F83C33-BC02-4C44-A514-FF05495B1A41}" uniqueName="3" name="Y" queryTableFieldId="3"/>
    <tableColumn id="4" xr3:uid="{A886A29B-D558-405F-B0ED-6A980654DE1D}" uniqueName="4" name="Z" queryTableFieldId="4"/>
  </tableColumns>
  <tableStyleInfo name="TableStyleMedium7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358BB192-86B7-4FF2-AD57-BA12E0D43D4C}" name="with_window__step_2___corrected___5" displayName="with_window__step_2___corrected___5" ref="G9:J13" tableType="queryTable" totalsRowShown="0">
  <autoFilter ref="G9:J13" xr:uid="{28B29BC7-F1ED-4138-A2DA-5AF18B3567FF}"/>
  <tableColumns count="4">
    <tableColumn id="1" xr3:uid="{4ED05673-3BF6-4EF9-950D-2E3E7CF644FF}" uniqueName="1" name="Point" queryTableFieldId="1" dataDxfId="12"/>
    <tableColumn id="2" xr3:uid="{4ACE0613-40EC-4DAF-83D9-E4D12B41F7ED}" uniqueName="2" name="X" queryTableFieldId="2"/>
    <tableColumn id="3" xr3:uid="{CBEE61A0-F83A-4C47-8F34-DB59BAF11297}" uniqueName="3" name="Y" queryTableFieldId="3"/>
    <tableColumn id="4" xr3:uid="{E4DD8FA7-B021-4143-9838-009B067CE99C}" uniqueName="4" name="Z" queryTableFieldId="4"/>
  </tableColumns>
  <tableStyleInfo name="TableStyleMedium7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90DFCE6A-60C3-4289-A17B-0C11377616AA}" name="with_window__step_3___corrected___5" displayName="with_window__step_3___corrected___5" ref="G15:J19" tableType="queryTable" totalsRowShown="0">
  <autoFilter ref="G15:J19" xr:uid="{BF685418-47CC-4380-A2D7-4FCA9A70A916}"/>
  <tableColumns count="4">
    <tableColumn id="1" xr3:uid="{FF7B567E-8A66-4CF8-AC4A-E846A1439B86}" uniqueName="1" name="Point" queryTableFieldId="1" dataDxfId="11"/>
    <tableColumn id="2" xr3:uid="{DEFC0890-6D25-4413-A33A-83EAAF4CDD8C}" uniqueName="2" name="X" queryTableFieldId="2"/>
    <tableColumn id="3" xr3:uid="{595B37AD-7F28-476F-B52D-0645431B6189}" uniqueName="3" name="Y" queryTableFieldId="3"/>
    <tableColumn id="4" xr3:uid="{C3F4BE71-F3D9-495E-8A1E-CD5F2D8AA647}" uniqueName="4" name="Z" queryTableFieldId="4"/>
  </tableColumns>
  <tableStyleInfo name="TableStyleMedium7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D138FF8F-4A49-43DA-8467-176AECFDCC41}" name="with_window__step_4___corrected___5" displayName="with_window__step_4___corrected___5" ref="G21:J25" tableType="queryTable" totalsRowShown="0">
  <autoFilter ref="G21:J25" xr:uid="{38B52D69-09EE-4435-A298-C72B364D4905}"/>
  <tableColumns count="4">
    <tableColumn id="1" xr3:uid="{C742C311-94E1-4714-91A1-074D16667A29}" uniqueName="1" name="Point" queryTableFieldId="1" dataDxfId="10"/>
    <tableColumn id="2" xr3:uid="{130E216A-179F-49D1-8F9B-7FCF9E15B0B9}" uniqueName="2" name="X" queryTableFieldId="2"/>
    <tableColumn id="3" xr3:uid="{17F9A564-F4E3-4E25-9DD7-308DCED37226}" uniqueName="3" name="Y" queryTableFieldId="3"/>
    <tableColumn id="4" xr3:uid="{B819AA56-C8CA-42D0-B111-3AF2FE10DAED}" uniqueName="4" name="Z" queryTableFieldId="4"/>
  </tableColumns>
  <tableStyleInfo name="TableStyleMedium7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2E7E9C19-F585-42E4-A2C2-052672EDC16C}" name="with_window__step_4_1___corrected___5" displayName="with_window__step_4_1___corrected___5" ref="G27:J31" tableType="queryTable" totalsRowShown="0">
  <autoFilter ref="G27:J31" xr:uid="{02A390AC-D6BA-4EAF-BB31-F783B043B177}"/>
  <tableColumns count="4">
    <tableColumn id="1" xr3:uid="{1CD0FDD0-10ED-4A58-A3DC-99872755431B}" uniqueName="1" name="Point" queryTableFieldId="1" dataDxfId="9"/>
    <tableColumn id="2" xr3:uid="{50ECD3DE-BEAD-4B12-B2E0-ABDB80C62341}" uniqueName="2" name="X" queryTableFieldId="2"/>
    <tableColumn id="3" xr3:uid="{9F802601-EA62-42ED-9718-CD85FAF9C8E2}" uniqueName="3" name="Y" queryTableFieldId="3"/>
    <tableColumn id="4" xr3:uid="{939F4298-0C58-423B-BBCF-DC06D76804AB}" uniqueName="4" name="Z" queryTableFieldId="4"/>
  </tableColumns>
  <tableStyleInfo name="TableStyleMedium7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6515415F-477B-46B2-9ECC-90C1E9529B44}" name="with_window__step_5___corrected___5" displayName="with_window__step_5___corrected___5" ref="G33:J37" tableType="queryTable" totalsRowShown="0">
  <autoFilter ref="G33:J37" xr:uid="{6AF6BD16-18D2-4B14-A110-59345951C3AD}"/>
  <tableColumns count="4">
    <tableColumn id="1" xr3:uid="{27247340-A295-4E14-8EF9-5BE52D51753B}" uniqueName="1" name="Point" queryTableFieldId="1" dataDxfId="8"/>
    <tableColumn id="2" xr3:uid="{B2CC52AA-DD34-4A96-B722-F680A8D574C2}" uniqueName="2" name="X" queryTableFieldId="2"/>
    <tableColumn id="3" xr3:uid="{0091B4CF-5A64-4BCC-9975-E6F81C76D722}" uniqueName="3" name="Y" queryTableFieldId="3"/>
    <tableColumn id="4" xr3:uid="{155FA813-517F-44F6-95DA-5F23EAF29043}" uniqueName="4" name="Z" queryTableFieldId="4"/>
  </tableColumns>
  <tableStyleInfo name="TableStyleMedium7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88B447BE-0D1E-4DE0-8B6E-A502683CF2BE}" name="with_window__step_5_1___corrected___5" displayName="with_window__step_5_1___corrected___5" ref="G39:J43" tableType="queryTable" totalsRowShown="0">
  <autoFilter ref="G39:J43" xr:uid="{13BAB517-FAD9-48F4-A498-B0407865E8BD}"/>
  <tableColumns count="4">
    <tableColumn id="1" xr3:uid="{543BF3A2-A269-4421-A6DD-0F91B7BF59AC}" uniqueName="1" name="Point" queryTableFieldId="1" dataDxfId="7"/>
    <tableColumn id="2" xr3:uid="{C7EA5FFF-39FC-4D71-927E-3197B6E88A73}" uniqueName="2" name="X" queryTableFieldId="2"/>
    <tableColumn id="3" xr3:uid="{573E0446-C248-433B-88D5-93FD4275D95D}" uniqueName="3" name="Y" queryTableFieldId="3"/>
    <tableColumn id="4" xr3:uid="{13870F41-EF21-4CAD-92B0-ACEFFFCE54C2}" uniqueName="4" name="Z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6F1CD7F-CEB2-4D1D-937C-36B146E24EF2}" name="with_window__step_4_1___corrected" displayName="with_window__step_4_1___corrected" ref="G31:J35" tableType="queryTable" totalsRowShown="0">
  <autoFilter ref="G31:J35" xr:uid="{53EA9178-B55E-48DB-B760-AB032C587D43}"/>
  <tableColumns count="4">
    <tableColumn id="1" xr3:uid="{614AF670-55AD-4932-BE00-AE82138838D3}" uniqueName="1" name="Point" queryTableFieldId="1" dataDxfId="114"/>
    <tableColumn id="2" xr3:uid="{9A2380D8-3141-47C6-A3A8-B72C67B7C12F}" uniqueName="2" name="X" queryTableFieldId="2"/>
    <tableColumn id="3" xr3:uid="{06454FD9-1629-45A5-8CFE-7370B5CD6CAA}" uniqueName="3" name="Y" queryTableFieldId="3"/>
    <tableColumn id="4" xr3:uid="{087077A0-6773-48A9-9D8B-FA3AFC00694B}" uniqueName="4" name="Z" queryTableFieldId="4"/>
  </tableColumns>
  <tableStyleInfo name="TableStyleMedium7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B63139A7-7FD7-450F-B1D3-69FCC7F47291}" name="vacuum__step_1___corrected___5" displayName="vacuum__step_1___corrected___5" ref="L3:O7" tableType="queryTable" totalsRowShown="0">
  <autoFilter ref="L3:O7" xr:uid="{1D5BE98E-EBB0-4E87-8826-4FC22E2FB812}"/>
  <tableColumns count="4">
    <tableColumn id="1" xr3:uid="{F5253044-5F9A-4382-AF38-E7D8C32CB4BA}" uniqueName="1" name="Point" queryTableFieldId="1" dataDxfId="6"/>
    <tableColumn id="2" xr3:uid="{31978823-C220-4826-8B42-0927CC39FBFC}" uniqueName="2" name="X" queryTableFieldId="2"/>
    <tableColumn id="3" xr3:uid="{B37A8E87-E214-4F7C-AAF0-1DF36FFA543A}" uniqueName="3" name="Y" queryTableFieldId="3"/>
    <tableColumn id="4" xr3:uid="{10CFD591-F286-4560-B38E-E921972A494B}" uniqueName="4" name="Z" queryTableFieldId="4"/>
  </tableColumns>
  <tableStyleInfo name="TableStyleMedium7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878F4C7F-FD4E-45A4-BD0C-F286B51B3BD0}" name="vacuum__step_2___corrected___5" displayName="vacuum__step_2___corrected___5" ref="L9:O13" tableType="queryTable" totalsRowShown="0">
  <autoFilter ref="L9:O13" xr:uid="{0534E0B9-57F1-40EC-A5C8-CD5B05925F23}"/>
  <tableColumns count="4">
    <tableColumn id="1" xr3:uid="{F69EE74D-2AA4-4E31-B38D-E70B98865069}" uniqueName="1" name="Point" queryTableFieldId="1" dataDxfId="5"/>
    <tableColumn id="2" xr3:uid="{D59E70F3-55B8-4143-A4A9-132E697B2BA5}" uniqueName="2" name="X" queryTableFieldId="2"/>
    <tableColumn id="3" xr3:uid="{128C27F9-369F-4869-B675-0DC144A9407C}" uniqueName="3" name="Y" queryTableFieldId="3"/>
    <tableColumn id="4" xr3:uid="{B921583C-12C3-41F6-8191-4EF775CA318A}" uniqueName="4" name="Z" queryTableFieldId="4"/>
  </tableColumns>
  <tableStyleInfo name="TableStyleMedium7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2163CEB-E280-40FD-82B9-C49A7B5E861E}" name="vacuum__step_3___corrected___4" displayName="vacuum__step_3___corrected___4" ref="L15:O19" tableType="queryTable" totalsRowShown="0">
  <autoFilter ref="L15:O19" xr:uid="{55DFFA1C-EF49-4B22-82F8-744F178C26DD}"/>
  <tableColumns count="4">
    <tableColumn id="1" xr3:uid="{5AEF7828-BB2D-4749-8C81-D81504D2EAD4}" uniqueName="1" name="Point" queryTableFieldId="1" dataDxfId="4"/>
    <tableColumn id="2" xr3:uid="{EF4C4DCA-99D2-46FC-A998-B21AE8761771}" uniqueName="2" name="X" queryTableFieldId="2"/>
    <tableColumn id="3" xr3:uid="{2DBEAC31-4844-4C5C-B64C-DBCCF7A67382}" uniqueName="3" name="Y" queryTableFieldId="3"/>
    <tableColumn id="4" xr3:uid="{A6D851F6-68E2-480D-A573-57A0E6C7E0AD}" uniqueName="4" name="Z" queryTableFieldId="4"/>
  </tableColumns>
  <tableStyleInfo name="TableStyleMedium7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565D9DE-264B-4882-8AAC-E1502830D8F6}" name="vacuum__step_4___corrected___4" displayName="vacuum__step_4___corrected___4" ref="L21:O25" tableType="queryTable" totalsRowShown="0">
  <autoFilter ref="L21:O25" xr:uid="{483C39D7-7BDE-4394-8B2E-DF79EE9FD0C6}"/>
  <tableColumns count="4">
    <tableColumn id="1" xr3:uid="{9536787E-F0C0-4474-B723-5B82EB869487}" uniqueName="1" name="Point" queryTableFieldId="1" dataDxfId="3"/>
    <tableColumn id="2" xr3:uid="{A830709D-98A2-4665-9301-53FDB8A550DC}" uniqueName="2" name="X" queryTableFieldId="2"/>
    <tableColumn id="3" xr3:uid="{BFF9C6D0-0A1A-4203-999E-FEFEE0DDC1D8}" uniqueName="3" name="Y" queryTableFieldId="3"/>
    <tableColumn id="4" xr3:uid="{B7B32622-5F45-41B3-963E-7CE79C97F336}" uniqueName="4" name="Z" queryTableFieldId="4"/>
  </tableColumns>
  <tableStyleInfo name="TableStyleMedium7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5269B36B-589C-45D9-BE3D-9B6FD973F71B}" name="vacuum__step_4_1___corrected___4" displayName="vacuum__step_4_1___corrected___4" ref="L27:O31" tableType="queryTable" totalsRowShown="0">
  <autoFilter ref="L27:O31" xr:uid="{5BAAC01B-5A3E-4C5B-92B1-DA2750D7EA04}"/>
  <tableColumns count="4">
    <tableColumn id="1" xr3:uid="{BB4646C2-7344-4CC0-8C6A-D0183EC7C85C}" uniqueName="1" name="Point" queryTableFieldId="1" dataDxfId="2"/>
    <tableColumn id="2" xr3:uid="{D55C4719-6521-473D-9B6E-006BB3A261CA}" uniqueName="2" name="X" queryTableFieldId="2"/>
    <tableColumn id="3" xr3:uid="{6CA42C7E-4631-4F58-8627-8B98AC9EC348}" uniqueName="3" name="Y" queryTableFieldId="3"/>
    <tableColumn id="4" xr3:uid="{16C2476E-BF3E-4A7F-BA76-C0A094BA2B08}" uniqueName="4" name="Z" queryTableFieldId="4"/>
  </tableColumns>
  <tableStyleInfo name="TableStyleMedium7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B949B002-1C65-4D60-8672-5DBAB09CD826}" name="vacuum__step_5___corrected___5" displayName="vacuum__step_5___corrected___5" ref="L33:O37" tableType="queryTable" totalsRowShown="0">
  <autoFilter ref="L33:O37" xr:uid="{C0639025-7C1F-4E85-B945-E2B02218DE29}"/>
  <tableColumns count="4">
    <tableColumn id="1" xr3:uid="{07B6D6B6-29A6-4015-8DF2-7C403F28121D}" uniqueName="1" name="Point" queryTableFieldId="1" dataDxfId="1"/>
    <tableColumn id="2" xr3:uid="{344D10F4-CABC-4614-B40F-30C85E9D9C25}" uniqueName="2" name="X" queryTableFieldId="2"/>
    <tableColumn id="3" xr3:uid="{7A0AAD1C-F8B5-449F-9276-20D2DD6BC37E}" uniqueName="3" name="Y" queryTableFieldId="3"/>
    <tableColumn id="4" xr3:uid="{94722455-B68E-4043-86BF-CE37EF3461A0}" uniqueName="4" name="Z" queryTableFieldId="4"/>
  </tableColumns>
  <tableStyleInfo name="TableStyleMedium7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1149FD00-BA9D-4FE1-BBD7-2D64892C1361}" name="vacuum__step_5_1___corrected___4" displayName="vacuum__step_5_1___corrected___4" ref="L39:O43" tableType="queryTable" totalsRowShown="0">
  <autoFilter ref="L39:O43" xr:uid="{F34DDFBA-EE9F-464E-BA61-FB16D5CCAC1A}"/>
  <tableColumns count="4">
    <tableColumn id="1" xr3:uid="{D6C82BC8-B06D-4837-AA01-2447BA24913F}" uniqueName="1" name="Point" queryTableFieldId="1" dataDxfId="0"/>
    <tableColumn id="2" xr3:uid="{CA5E0561-9ED4-4EDB-A426-93C09EC4725E}" uniqueName="2" name="X" queryTableFieldId="2"/>
    <tableColumn id="3" xr3:uid="{6C11E231-450C-4735-B14E-7786955018D1}" uniqueName="3" name="Y" queryTableFieldId="3"/>
    <tableColumn id="4" xr3:uid="{314B7F2E-8D70-45E6-9DF1-DCC78A61CCAE}" uniqueName="4" name="Z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73D7CDD-584D-489E-947A-9427085590AA}" name="with_window__step_5___corrected" displayName="with_window__step_5___corrected" ref="G38:J42" tableType="queryTable" totalsRowShown="0">
  <autoFilter ref="G38:J42" xr:uid="{B5B4BF4E-127A-4E8E-BF35-F50D697F97D0}"/>
  <tableColumns count="4">
    <tableColumn id="1" xr3:uid="{BE0EA549-4954-4E50-BDD4-CCC7F03EB221}" uniqueName="1" name="Point" queryTableFieldId="1" dataDxfId="113"/>
    <tableColumn id="2" xr3:uid="{48E0DCF2-B50F-41A5-BDA2-C113DA2A37B5}" uniqueName="2" name="X" queryTableFieldId="2"/>
    <tableColumn id="3" xr3:uid="{1EDD74C4-0633-4D49-B015-8A76BD38D1D0}" uniqueName="3" name="Y" queryTableFieldId="3"/>
    <tableColumn id="4" xr3:uid="{E0D36915-3B3B-46AB-AE35-9DE580A44A52}" uniqueName="4" name="Z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56EC997-5150-49BB-B370-CF0C7B45242B}" name="with_window__step_5_1___corrected" displayName="with_window__step_5_1___corrected" ref="G45:J49" tableType="queryTable" totalsRowShown="0">
  <autoFilter ref="G45:J49" xr:uid="{67C3F74C-D105-4175-9127-825E1AD4EC11}"/>
  <tableColumns count="4">
    <tableColumn id="1" xr3:uid="{8EC93C18-B8A5-4C22-BDEE-197AB521FA44}" uniqueName="1" name="Point" queryTableFieldId="1" dataDxfId="112"/>
    <tableColumn id="2" xr3:uid="{2B23CF1D-2F1D-4ADB-879C-F4E69158A510}" uniqueName="2" name="X" queryTableFieldId="2"/>
    <tableColumn id="3" xr3:uid="{CB4F3D08-B1F3-4F65-B23E-FF5F32B75A05}" uniqueName="3" name="Y" queryTableFieldId="3"/>
    <tableColumn id="4" xr3:uid="{B41D9F24-8203-45B3-97B8-017707DEDF1E}" uniqueName="4" name="Z" queryTableField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09BAB3A-1ABA-4EF3-B235-DB1C55BFEDC6}" name="vacuum__step_1___corrected" displayName="vacuum__step_1___corrected" ref="L3:O7" tableType="queryTable" totalsRowShown="0">
  <autoFilter ref="L3:O7" xr:uid="{23CC50C2-AD76-45A0-A944-EF3A3CBA3156}"/>
  <tableColumns count="4">
    <tableColumn id="1" xr3:uid="{4D643D00-738A-4F87-9F97-3C3FA4C1D9D2}" uniqueName="1" name="Point" queryTableFieldId="1" dataDxfId="111"/>
    <tableColumn id="2" xr3:uid="{BD48F4F8-A582-49E1-86B7-8B0E4708EF34}" uniqueName="2" name="X" queryTableFieldId="2"/>
    <tableColumn id="3" xr3:uid="{BA244719-7806-4205-8A0A-FF3C80E0918F}" uniqueName="3" name="Y" queryTableFieldId="3"/>
    <tableColumn id="4" xr3:uid="{9B157BDA-5BE6-4BE9-9749-87D6B92768B2}" uniqueName="4" name="Z" queryTableFieldId="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C0C6BFA-E06B-4312-B566-658784C2FAA4}" name="vacuum__step_2___corrected" displayName="vacuum__step_2___corrected" ref="L10:O14" tableType="queryTable" totalsRowShown="0">
  <autoFilter ref="L10:O14" xr:uid="{1D065D54-A86C-4262-9201-4F0E18F0F292}"/>
  <tableColumns count="4">
    <tableColumn id="1" xr3:uid="{E406AB68-1B8C-4AB9-B152-754C20FE720B}" uniqueName="1" name="Point " queryTableFieldId="1" dataDxfId="110"/>
    <tableColumn id="2" xr3:uid="{1E5A59B8-3C5E-42BC-8F53-DDDF34D5E595}" uniqueName="2" name="X" queryTableFieldId="2"/>
    <tableColumn id="3" xr3:uid="{5950D29B-4A00-4346-8F36-E46DF032E209}" uniqueName="3" name="Y" queryTableFieldId="3"/>
    <tableColumn id="4" xr3:uid="{EC943940-C29C-49D5-BE6A-0C98E4123A3A}" uniqueName="4" name="Z" queryTableFieldId="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4FE1C36-6B3E-4A26-860A-0FFB54DDE37F}" name="vacuum__step_3___corrected" displayName="vacuum__step_3___corrected" ref="L17:O21" tableType="queryTable" totalsRowShown="0">
  <autoFilter ref="L17:O21" xr:uid="{5799AF52-AC13-499A-B6F2-5559B4DC5166}"/>
  <tableColumns count="4">
    <tableColumn id="1" xr3:uid="{95852E21-65E9-4ED7-AD01-1CEA61738BD8}" uniqueName="1" name="Point" queryTableFieldId="1" dataDxfId="109"/>
    <tableColumn id="2" xr3:uid="{8E77FC26-FE7D-41C4-8651-D07872767F96}" uniqueName="2" name="X" queryTableFieldId="2"/>
    <tableColumn id="3" xr3:uid="{05D21502-42D2-4D58-B04D-4D4EB6C6CD69}" uniqueName="3" name="Y" queryTableFieldId="3"/>
    <tableColumn id="4" xr3:uid="{3B821ECC-BA73-45B2-9E64-05DBEEDAB685}" uniqueName="4" name="Z" queryTableFieldId="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B7C52C9-C577-4BAB-A50A-9A60BEB23FF4}" name="vacuum__step_4___corrected" displayName="vacuum__step_4___corrected" ref="L24:O28" tableType="queryTable" totalsRowShown="0">
  <autoFilter ref="L24:O28" xr:uid="{59850231-1A6E-43E2-B798-2C6506AC83B4}"/>
  <tableColumns count="4">
    <tableColumn id="1" xr3:uid="{F098F8C4-F17B-47DB-A878-782BC99DF171}" uniqueName="1" name="Point X" queryTableFieldId="1" dataDxfId="108"/>
    <tableColumn id="2" xr3:uid="{19A7AEAD-8C0F-43C7-8E91-AD8E057E9E8F}" uniqueName="2" name="X" queryTableFieldId="2"/>
    <tableColumn id="3" xr3:uid="{79248808-05E5-4431-8B31-378F5B4E8296}" uniqueName="3" name="Y" queryTableFieldId="3"/>
    <tableColumn id="4" xr3:uid="{E095F2D6-891E-41B1-9F5D-38FEBE9A35D4}" uniqueName="4" name="Z" queryTableFieldId="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02E5480-FC4B-44B4-9E17-0DBC0A7CF674}" name="vacuum__step_4_1___corrected" displayName="vacuum__step_4_1___corrected" ref="L31:O35" tableType="queryTable" totalsRowShown="0">
  <autoFilter ref="L31:O35" xr:uid="{0F1A9DBB-4588-448C-9CB5-7799FE1CF4F7}"/>
  <tableColumns count="4">
    <tableColumn id="1" xr3:uid="{1813F457-C83C-453A-B18D-800FDCB5A457}" uniqueName="1" name="Point" queryTableFieldId="1" dataDxfId="107"/>
    <tableColumn id="2" xr3:uid="{991D86BD-2EB9-4747-8226-DB5F88918CF0}" uniqueName="2" name="X" queryTableFieldId="2"/>
    <tableColumn id="3" xr3:uid="{AB5FD60C-693B-4D66-AB1C-046BE7AAB351}" uniqueName="3" name="Y" queryTableFieldId="3"/>
    <tableColumn id="4" xr3:uid="{71DF6952-6F8F-4449-AEF7-2CE13484D683}" uniqueName="4" name="Z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3D4490-9B5A-4D8E-9A60-7D135FF80BD1}" name="without_window__step_2___1_99m" displayName="without_window__step_2___1_99m" ref="B10:E14" tableType="queryTable" totalsRowShown="0">
  <autoFilter ref="B10:E14" xr:uid="{36C16133-C8AA-49A6-9532-5EF67E2250FE}"/>
  <tableColumns count="4">
    <tableColumn id="1" xr3:uid="{95AA2E71-6BE3-4EBC-8210-2C9D15D5549C}" uniqueName="1" name="Point" queryTableFieldId="1" dataDxfId="124"/>
    <tableColumn id="2" xr3:uid="{201418D9-9E18-428D-90B6-8F4F0F5A7AE7}" uniqueName="2" name="X" queryTableFieldId="2"/>
    <tableColumn id="3" xr3:uid="{0D0C05E0-44AA-4ABE-AEA6-77A6DB8AB8A4}" uniqueName="3" name="Y" queryTableFieldId="3"/>
    <tableColumn id="4" xr3:uid="{357A15B3-3513-46C2-AF3F-652D993F1EBD}" uniqueName="4" name="Z" queryTableFieldId="4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F18BB31-BCBE-4F53-BD32-5CC864268A09}" name="vacuum__step_5___corrected___2" displayName="vacuum__step_5___corrected___2" ref="L38:O42" tableType="queryTable" totalsRowShown="0">
  <autoFilter ref="L38:O42" xr:uid="{06CB2AD9-A009-4C86-80F0-5F6F4C928408}"/>
  <tableColumns count="4">
    <tableColumn id="1" xr3:uid="{B5E839DF-0CA0-4FFE-8A80-0C9F162FB4E3}" uniqueName="1" name="Point" queryTableFieldId="1" dataDxfId="106"/>
    <tableColumn id="2" xr3:uid="{F4494201-9E1E-44F6-88FF-4CC5E8EB7A8F}" uniqueName="2" name="X" queryTableFieldId="2"/>
    <tableColumn id="3" xr3:uid="{010ADC8E-933C-41FD-94F4-72E5CF0B035C}" uniqueName="3" name="Y" queryTableFieldId="3"/>
    <tableColumn id="4" xr3:uid="{740AD90F-CEA0-44EA-A79F-4BCEB4780F40}" uniqueName="4" name="Z" queryTableFieldId="4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42D7B06-8695-4102-944F-9F2DA1B6DB03}" name="vacuum__step_5_1___corrected" displayName="vacuum__step_5_1___corrected" ref="L45:O49" tableType="queryTable" totalsRowShown="0">
  <autoFilter ref="L45:O49" xr:uid="{D7D44619-3973-44B8-A3C2-3F71120E426A}"/>
  <tableColumns count="4">
    <tableColumn id="1" xr3:uid="{01934147-7025-4287-89D1-995D54C70B4D}" uniqueName="1" name="Point" queryTableFieldId="1" dataDxfId="105"/>
    <tableColumn id="2" xr3:uid="{3D02EC3E-D229-4971-A87C-6B07A0C58E92}" uniqueName="2" name="X" queryTableFieldId="2"/>
    <tableColumn id="3" xr3:uid="{EA34A26D-F073-497C-9775-6F2F2F984AFB}" uniqueName="3" name="Y" queryTableFieldId="3"/>
    <tableColumn id="4" xr3:uid="{E420230E-A1FC-4CBE-9751-991A860C7893}" uniqueName="4" name="Z" queryTableFieldId="4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6E8A82-69F7-4F58-AC49-CE226AFB30C1}" name="without_window__step_1___1_7m___3" displayName="without_window__step_1___1_7m___3" ref="B3:E7" tableType="queryTable" totalsRowShown="0">
  <autoFilter ref="B3:E7" xr:uid="{13615460-DE27-4BF5-A026-765B3B04C420}"/>
  <tableColumns count="4">
    <tableColumn id="1" xr3:uid="{1F0BA7D6-E2DD-4595-935D-C7A95F8124BE}" uniqueName="1" name="Point" queryTableFieldId="1" dataDxfId="104"/>
    <tableColumn id="2" xr3:uid="{F413C4CA-ABDC-4560-BCEA-B3EE20F7E106}" uniqueName="2" name="R" queryTableFieldId="2"/>
    <tableColumn id="3" xr3:uid="{889CC281-0D11-4D5C-851B-A291C434AC87}" uniqueName="3" name="T" queryTableFieldId="3"/>
    <tableColumn id="4" xr3:uid="{5415A63D-241B-42AA-8728-D4AF35EB8B56}" uniqueName="4" name="P" queryTableFieldId="4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62B6C7B-1FCE-4E68-BE9B-61573EFFB050}" name="without_window__step_2___1_99m___2" displayName="without_window__step_2___1_99m___2" ref="B10:E14" tableType="queryTable" totalsRowShown="0">
  <autoFilter ref="B10:E14" xr:uid="{C605B75B-5521-4CAC-AD37-BF63499847B0}"/>
  <tableColumns count="4">
    <tableColumn id="1" xr3:uid="{6BAE85B0-F2C5-4DA6-B985-5D271FD7E631}" uniqueName="1" name="Point" queryTableFieldId="1" dataDxfId="103"/>
    <tableColumn id="2" xr3:uid="{BEF76741-8500-4DF5-B075-A992F1C54454}" uniqueName="2" name="R" queryTableFieldId="2"/>
    <tableColumn id="3" xr3:uid="{5C924B04-6C9C-4BCD-9FB0-603A02000368}" uniqueName="3" name="T" queryTableFieldId="3"/>
    <tableColumn id="4" xr3:uid="{13B424C7-3742-4BAC-91CC-D8474553EB14}" uniqueName="4" name="P" queryTableFieldId="4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727BB85-7268-4AEA-B8C5-012A4F03F6D7}" name="without_window__step_3___2_28m___2" displayName="without_window__step_3___2_28m___2" ref="B17:E21" tableType="queryTable" totalsRowShown="0">
  <autoFilter ref="B17:E21" xr:uid="{13435D7F-66A2-400E-98A1-2F6066A7E039}"/>
  <tableColumns count="4">
    <tableColumn id="1" xr3:uid="{8EB5D495-6A10-42CB-BD5B-6DD2D5A1212C}" uniqueName="1" name="Point" queryTableFieldId="1" dataDxfId="102"/>
    <tableColumn id="2" xr3:uid="{6DBC385D-374E-4788-B71E-10E4822349CA}" uniqueName="2" name="R" queryTableFieldId="2"/>
    <tableColumn id="3" xr3:uid="{693DA444-E7D9-4404-AF80-AF2E8CFE2F84}" uniqueName="3" name="T" queryTableFieldId="3"/>
    <tableColumn id="4" xr3:uid="{D6589F46-3F9B-4EA5-A0EF-D3236B637AE0}" uniqueName="4" name="P" queryTableFieldId="4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F9DD93-F937-4AFB-A178-848FACE06499}" name="without_window__step_4___2_58m___2" displayName="without_window__step_4___2_58m___2" ref="B24:E28" tableType="queryTable" totalsRowShown="0">
  <autoFilter ref="B24:E28" xr:uid="{53074DE4-5648-4019-81AC-2BCDF860C688}"/>
  <tableColumns count="4">
    <tableColumn id="1" xr3:uid="{AAA5E3AD-FAB0-4032-8C1A-F2C52C9823E8}" uniqueName="1" name="Point" queryTableFieldId="1" dataDxfId="101"/>
    <tableColumn id="2" xr3:uid="{34A9BB53-380D-4145-BB5C-13AEB3422B73}" uniqueName="2" name="R" queryTableFieldId="2"/>
    <tableColumn id="3" xr3:uid="{A4CB4087-5F0E-45BC-AD5F-90AA3D9A1A1E}" uniqueName="3" name="T" queryTableFieldId="3"/>
    <tableColumn id="4" xr3:uid="{E98A9F8F-A442-4DAB-964C-6A495361F88F}" uniqueName="4" name="P" queryTableFieldId="4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9131DA0-453E-4BF7-B4BB-C314E2FD2A41}" name="without_window__step_4_1___2_58m___2" displayName="without_window__step_4_1___2_58m___2" ref="B31:E35" tableType="queryTable" totalsRowShown="0">
  <autoFilter ref="B31:E35" xr:uid="{58B3BE07-4809-48CE-BD32-1FEABAEB5D7B}"/>
  <tableColumns count="4">
    <tableColumn id="1" xr3:uid="{F8093E97-B345-47EA-97E0-848FCB1C4EF3}" uniqueName="1" name="Point" queryTableFieldId="1" dataDxfId="100"/>
    <tableColumn id="2" xr3:uid="{426592E5-FA4B-41E2-A2F6-10365F8A22ED}" uniqueName="2" name="R" queryTableFieldId="2"/>
    <tableColumn id="3" xr3:uid="{574F9623-A3DC-4438-B86F-B6C9E6CDAF5A}" uniqueName="3" name="T" queryTableFieldId="3"/>
    <tableColumn id="4" xr3:uid="{73BF6484-A6DA-4417-8AD0-E659F2C87745}" uniqueName="4" name="P" queryTableFieldId="4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409B5BB-FE44-4372-AB47-F666F3AF1CD0}" name="without_window__step_5___2_87m___2" displayName="without_window__step_5___2_87m___2" ref="B38:E42" tableType="queryTable" totalsRowShown="0">
  <autoFilter ref="B38:E42" xr:uid="{383997C2-B66F-42B1-9196-F8A4CE25F4FC}"/>
  <tableColumns count="4">
    <tableColumn id="1" xr3:uid="{8ABB1B27-7DC2-4B17-B6B9-1BCD67AC6E31}" uniqueName="1" name="Point" queryTableFieldId="1" dataDxfId="99"/>
    <tableColumn id="2" xr3:uid="{6D48DACE-911E-4914-A269-8B46C047AFD6}" uniqueName="2" name="R" queryTableFieldId="2"/>
    <tableColumn id="3" xr3:uid="{4B6851AD-C4D0-424B-8A7B-23BF6622F499}" uniqueName="3" name="T" queryTableFieldId="3"/>
    <tableColumn id="4" xr3:uid="{2C1AD553-593D-4EEB-86FC-C105257C6018}" uniqueName="4" name="P" queryTableFieldId="4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4611549-015F-4995-85B8-8CA4A9C23052}" name="without_window__step_5_1___2_87m___2" displayName="without_window__step_5_1___2_87m___2" ref="B45:E49" tableType="queryTable" totalsRowShown="0">
  <autoFilter ref="B45:E49" xr:uid="{EDACAE34-DC2A-4E00-AB56-414BA898117E}"/>
  <tableColumns count="4">
    <tableColumn id="1" xr3:uid="{A5296180-9AE0-4D98-99A8-C9C457E94EBF}" uniqueName="1" name="Point" queryTableFieldId="1" dataDxfId="98"/>
    <tableColumn id="2" xr3:uid="{9C6FC60A-4609-4C09-A7A2-FE6C414A6F1D}" uniqueName="2" name="R" queryTableFieldId="2"/>
    <tableColumn id="3" xr3:uid="{586CF989-F8DC-4BFB-B7F4-EA8A40BDDF3E}" uniqueName="3" name="T" queryTableFieldId="3"/>
    <tableColumn id="4" xr3:uid="{CABCD37B-8A70-408E-8027-A03251FE5557}" uniqueName="4" name="P" queryTableFieldId="4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DB38929-AE6B-4DF7-9120-A9A4A71703E6}" name="With_window__step_1___corrected___2" displayName="With_window__step_1___corrected___2" ref="L3:O7" tableType="queryTable" totalsRowShown="0">
  <autoFilter ref="L3:O7" xr:uid="{0B57C45F-6DB1-4046-8928-61BE9FD13462}"/>
  <tableColumns count="4">
    <tableColumn id="1" xr3:uid="{54B96A47-A090-486D-97CE-077C5AD1A972}" uniqueName="1" name="Point" queryTableFieldId="1" dataDxfId="97"/>
    <tableColumn id="2" xr3:uid="{CC040BEF-3A23-40E6-A3EB-6C508A9E7631}" uniqueName="2" name="R" queryTableFieldId="2"/>
    <tableColumn id="3" xr3:uid="{7A6131AA-3004-4078-8343-A8B02EB5DE1A}" uniqueName="3" name="T" queryTableFieldId="3"/>
    <tableColumn id="4" xr3:uid="{74CAF438-4A4F-40DC-A527-0F81C6FA42FC}" uniqueName="4" name="P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6F947B-00EA-427C-94DA-C0704C41F490}" name="without_window__step_3___2_28m" displayName="without_window__step_3___2_28m" ref="B17:E21" tableType="queryTable" totalsRowShown="0">
  <autoFilter ref="B17:E21" xr:uid="{32EB7EA6-51BC-4972-B0DD-16BF9A708A5E}"/>
  <tableColumns count="4">
    <tableColumn id="1" xr3:uid="{2D9504CB-179F-4D1E-9483-A78BDD0F9B60}" uniqueName="1" name="Point" queryTableFieldId="1" dataDxfId="123"/>
    <tableColumn id="2" xr3:uid="{85EE5B0B-CCAF-4FA0-8C39-28C2B542CEF4}" uniqueName="2" name="X" queryTableFieldId="2"/>
    <tableColumn id="3" xr3:uid="{49D4DD09-6B7D-4157-9D2E-8F37D4AD8081}" uniqueName="3" name="Y" queryTableFieldId="3"/>
    <tableColumn id="4" xr3:uid="{08052429-3DE6-41B2-B3D1-5CA3487F2D69}" uniqueName="4" name="Z" queryTableFieldId="4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ACDF0BB-BA67-492A-B853-DBD5CB5B9CCC}" name="with_window__step_2___corrected___2" displayName="with_window__step_2___corrected___2" ref="L10:O14" tableType="queryTable" totalsRowShown="0">
  <autoFilter ref="L10:O14" xr:uid="{6947D67A-6301-4A2B-92D2-233295196F31}"/>
  <tableColumns count="4">
    <tableColumn id="1" xr3:uid="{0CC069A8-FCD5-497C-A58E-22B6B8A34FC0}" uniqueName="1" name="Point" queryTableFieldId="1" dataDxfId="96"/>
    <tableColumn id="2" xr3:uid="{5A2AC91A-12D7-40AD-92DF-D6A4F0D65960}" uniqueName="2" name="R" queryTableFieldId="2"/>
    <tableColumn id="3" xr3:uid="{3D84F277-D98F-4DC8-96A7-11401968B219}" uniqueName="3" name="T" queryTableFieldId="3"/>
    <tableColumn id="4" xr3:uid="{898011D0-7E26-44D3-8934-DB76CC41EB49}" uniqueName="4" name="P" queryTableFieldId="4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B82D18B-D6B5-42E5-873F-AE19C9C32229}" name="with_window__step_3___corrected___2" displayName="with_window__step_3___corrected___2" ref="L17:O21" tableType="queryTable" totalsRowShown="0">
  <autoFilter ref="L17:O21" xr:uid="{97C68964-0F44-4BD0-9385-549E80C5BA6B}"/>
  <tableColumns count="4">
    <tableColumn id="1" xr3:uid="{2109D3F5-BC9F-43AC-B9B2-09D2B1CB1696}" uniqueName="1" name="Point" queryTableFieldId="1" dataDxfId="95"/>
    <tableColumn id="2" xr3:uid="{132E3E20-962B-4DB8-980E-3E44AF3F0ED5}" uniqueName="2" name="R" queryTableFieldId="2"/>
    <tableColumn id="3" xr3:uid="{BD2DC5F2-B07A-4570-8CF9-0C4A1AD320D1}" uniqueName="3" name="T" queryTableFieldId="3"/>
    <tableColumn id="4" xr3:uid="{5A278956-D4FA-44DB-A66C-76CB0EB1E19C}" uniqueName="4" name="P" queryTableFieldId="4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6169208-3459-4C60-8C1B-1A92A45F61CA}" name="with_window__step_4___corrected___2" displayName="with_window__step_4___corrected___2" ref="L24:O28" tableType="queryTable" totalsRowShown="0">
  <autoFilter ref="L24:O28" xr:uid="{4ECC9C55-A1FA-4BB7-97B9-C325FF2E7E61}"/>
  <tableColumns count="4">
    <tableColumn id="1" xr3:uid="{9B01A701-69D4-4F6B-A196-F8D96348F092}" uniqueName="1" name="Point" queryTableFieldId="1" dataDxfId="94"/>
    <tableColumn id="2" xr3:uid="{B60DABF5-9DBA-455D-8226-EA8A4EBB67D6}" uniqueName="2" name="R" queryTableFieldId="2"/>
    <tableColumn id="3" xr3:uid="{B9EABBE2-BFAA-4135-833F-B2DEAD3E4B28}" uniqueName="3" name="T" queryTableFieldId="3"/>
    <tableColumn id="4" xr3:uid="{CADB4A82-54FD-4899-8094-A2944F121765}" uniqueName="4" name="P" queryTableFieldId="4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39C764D-0B6E-474B-BB45-F123D01894AD}" name="with_window__step_4_1___corrected___2" displayName="with_window__step_4_1___corrected___2" ref="L31:O35" tableType="queryTable" totalsRowShown="0">
  <autoFilter ref="L31:O35" xr:uid="{B34E5B40-3DCE-418F-98A0-D381E64C5635}"/>
  <tableColumns count="4">
    <tableColumn id="1" xr3:uid="{169D2B8E-F8AC-4446-ADD7-994B5D13A153}" uniqueName="1" name="Point" queryTableFieldId="1" dataDxfId="93"/>
    <tableColumn id="2" xr3:uid="{5405E5FC-1B45-46FE-B45C-13127BAC1975}" uniqueName="2" name="R" queryTableFieldId="2"/>
    <tableColumn id="3" xr3:uid="{37660757-549A-4909-A8A6-CE140E193FAC}" uniqueName="3" name="T" queryTableFieldId="3"/>
    <tableColumn id="4" xr3:uid="{05687EE5-DC76-4E4A-8441-A39FA36A8580}" uniqueName="4" name="P" queryTableFieldId="4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105D9DD-0766-424C-9E47-0CBF2BF91303}" name="with_window__step_5___corrected___2" displayName="with_window__step_5___corrected___2" ref="L38:O42" tableType="queryTable" totalsRowShown="0">
  <autoFilter ref="L38:O42" xr:uid="{44CFAFDD-D821-4910-ACCC-1F431DFEE8EB}"/>
  <tableColumns count="4">
    <tableColumn id="1" xr3:uid="{6FEA6FBC-38A3-4253-AA73-503198414EDF}" uniqueName="1" name="Point" queryTableFieldId="1" dataDxfId="92"/>
    <tableColumn id="2" xr3:uid="{371B4637-3D24-4B6B-9F73-8961396F5327}" uniqueName="2" name="R" queryTableFieldId="2"/>
    <tableColumn id="3" xr3:uid="{981629A7-A9AB-4A9D-B2EE-9255D77899EB}" uniqueName="3" name="T" queryTableFieldId="3"/>
    <tableColumn id="4" xr3:uid="{54836D92-4191-4A19-81F5-1B7136046D44}" uniqueName="4" name="P" queryTableFieldId="4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4A957252-38ED-4AD3-8F83-E52891D97361}" name="with_window__step_5_1___corrected___2" displayName="with_window__step_5_1___corrected___2" ref="L45:O49" tableType="queryTable" totalsRowShown="0">
  <autoFilter ref="L45:O49" xr:uid="{7C278B2A-4355-40E1-9F1A-5E449CCFE373}"/>
  <tableColumns count="4">
    <tableColumn id="1" xr3:uid="{9A8D5F5E-0181-45EB-AEE5-F59F6B805D58}" uniqueName="1" name="Point" queryTableFieldId="1" dataDxfId="91"/>
    <tableColumn id="2" xr3:uid="{0AC1D406-82F9-493E-82F1-FFE5592F3756}" uniqueName="2" name="R" queryTableFieldId="2"/>
    <tableColumn id="3" xr3:uid="{32CF2A3B-EB12-4AA7-88A9-C2B1E57631B0}" uniqueName="3" name="T" queryTableFieldId="3"/>
    <tableColumn id="4" xr3:uid="{45AC0795-1469-4AFE-BCF5-E00E3B535A26}" uniqueName="4" name="P" queryTableFieldId="4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21DCF94-7EA8-4BE2-9966-71B9D44822FF}" name="vacuum__step_1___corrected___2" displayName="vacuum__step_1___corrected___2" ref="V3:Y7" tableType="queryTable" totalsRowShown="0">
  <autoFilter ref="V3:Y7" xr:uid="{14645ED2-EC7F-4798-BF1A-60AD41AC2C0C}"/>
  <tableColumns count="4">
    <tableColumn id="1" xr3:uid="{9EE6E28D-0D00-4CD5-9617-D63D6D2328CB}" uniqueName="1" name="Point" queryTableFieldId="1" dataDxfId="90"/>
    <tableColumn id="2" xr3:uid="{36A2453A-D1C3-452D-8C58-69F6AAFAEC9F}" uniqueName="2" name="R" queryTableFieldId="2"/>
    <tableColumn id="3" xr3:uid="{E6D2FFC5-B50A-4A1F-B2A1-056F3C933D25}" uniqueName="3" name="T" queryTableFieldId="3"/>
    <tableColumn id="4" xr3:uid="{66019E9A-1747-4534-B3BC-F0DA6875CD1E}" uniqueName="4" name="P" queryTableFieldId="4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4A5EB0CC-62A7-48E5-AF61-A241822698BC}" name="vacuum__step_2___corrected___2" displayName="vacuum__step_2___corrected___2" ref="V10:Y14" tableType="queryTable" totalsRowShown="0">
  <autoFilter ref="V10:Y14" xr:uid="{CF6D8057-91EB-459E-A3C0-E2B668C085A9}"/>
  <tableColumns count="4">
    <tableColumn id="1" xr3:uid="{AC6F6D72-2F17-4BB8-A693-8903F076AE1B}" uniqueName="1" name="Point" queryTableFieldId="1" dataDxfId="89"/>
    <tableColumn id="2" xr3:uid="{17E6BD22-E972-4637-9E71-7CC6DB459414}" uniqueName="2" name="R" queryTableFieldId="2"/>
    <tableColumn id="3" xr3:uid="{AE1A5926-929E-4860-8A15-A0FBC92AAAD7}" uniqueName="3" name="T" queryTableFieldId="3"/>
    <tableColumn id="4" xr3:uid="{51B5F172-329F-4700-A6F5-2B9F1B42A62A}" uniqueName="4" name="P" queryTableFieldId="4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5C30149A-CCE0-47B4-A826-A0136A4794CE}" name="vacuum__step_3___corrected___2" displayName="vacuum__step_3___corrected___2" ref="V17:Y21" tableType="queryTable" totalsRowShown="0">
  <autoFilter ref="V17:Y21" xr:uid="{7BE2C146-1AE9-4FC6-9268-5458750E6357}"/>
  <tableColumns count="4">
    <tableColumn id="1" xr3:uid="{3FB07755-5AF4-496A-B8DE-B132D6F3FA2F}" uniqueName="1" name="Point" queryTableFieldId="1" dataDxfId="88"/>
    <tableColumn id="2" xr3:uid="{ECFAE71A-B7D5-4159-B672-BB4D8247D3CF}" uniqueName="2" name="R" queryTableFieldId="2"/>
    <tableColumn id="3" xr3:uid="{7C00253B-8D58-4D05-BFA8-0CC0002AD0F9}" uniqueName="3" name="T" queryTableFieldId="3"/>
    <tableColumn id="4" xr3:uid="{C1FE9C00-5B3A-4DB9-94E9-C7DA19752C32}" uniqueName="4" name="P" queryTableFieldId="4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79364695-E9EA-492F-9C03-37C000716C66}" name="vacuum__step_4___corrected___2" displayName="vacuum__step_4___corrected___2" ref="V24:Y28" tableType="queryTable" totalsRowShown="0">
  <autoFilter ref="V24:Y28" xr:uid="{DD28CD5D-52B5-4BCF-922B-4EC5E9C52B81}"/>
  <tableColumns count="4">
    <tableColumn id="1" xr3:uid="{CBB1FAF8-07B5-4F89-93C5-E78141FC9389}" uniqueName="1" name="Point" queryTableFieldId="1" dataDxfId="87"/>
    <tableColumn id="2" xr3:uid="{91A98183-F586-444E-A8A3-8ABCB03AA703}" uniqueName="2" name="R" queryTableFieldId="2"/>
    <tableColumn id="3" xr3:uid="{DF3358D7-680E-465F-A8F4-D9F648272996}" uniqueName="3" name="T" queryTableFieldId="3"/>
    <tableColumn id="4" xr3:uid="{D44AAB85-5EC2-418E-9E86-78F640875D94}" uniqueName="4" name="P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4978B5-03A7-49DE-AA9D-B556F4643C73}" name="without_window__step_4___2_58m" displayName="without_window__step_4___2_58m" ref="B24:E28" tableType="queryTable" totalsRowShown="0">
  <autoFilter ref="B24:E28" xr:uid="{7EED8642-8D37-409D-923D-C28CCBAF329F}"/>
  <tableColumns count="4">
    <tableColumn id="1" xr3:uid="{FBB0EE2B-97E3-4503-9A7E-05C79AFFA930}" uniqueName="1" name="Point" queryTableFieldId="1" dataDxfId="122"/>
    <tableColumn id="2" xr3:uid="{0EBDECE1-7F64-4A3A-8C61-F171B8907D3C}" uniqueName="2" name="X" queryTableFieldId="2"/>
    <tableColumn id="3" xr3:uid="{2AE0321E-AE67-411D-B4A8-8FA31BECA6A2}" uniqueName="3" name="Y" queryTableFieldId="3"/>
    <tableColumn id="4" xr3:uid="{48120CEF-3E7C-41E7-BE7D-446C609E3D0C}" uniqueName="4" name="Z" queryTableFieldId="4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B06E609C-E68C-4257-9898-01659FA23E31}" name="vacuum__step_4_1___corrected___2" displayName="vacuum__step_4_1___corrected___2" ref="V31:Y35" tableType="queryTable" totalsRowShown="0">
  <autoFilter ref="V31:Y35" xr:uid="{55E1CD74-AF94-4BD3-9E8F-DEABA7C73F72}"/>
  <tableColumns count="4">
    <tableColumn id="1" xr3:uid="{3BEBF86F-7111-4D56-9115-CC44D7B3D41B}" uniqueName="1" name="Point" queryTableFieldId="1" dataDxfId="86"/>
    <tableColumn id="2" xr3:uid="{045D7CF7-2661-40FE-A363-A0794621B0CC}" uniqueName="2" name="R" queryTableFieldId="2"/>
    <tableColumn id="3" xr3:uid="{8F0C0D20-A2EB-4376-AC5C-5A7D32685858}" uniqueName="3" name="T" queryTableFieldId="3"/>
    <tableColumn id="4" xr3:uid="{05285144-12BC-4B87-9413-AC7D6AB35E3C}" uniqueName="4" name="P" queryTableFieldId="4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30C581BC-53D9-4843-8A34-D42A87F77996}" name="vacuum__step_5___corrected___3" displayName="vacuum__step_5___corrected___3" ref="V38:Y42" tableType="queryTable" totalsRowShown="0">
  <autoFilter ref="V38:Y42" xr:uid="{60F771AC-F08B-48E0-9037-544DF83D57A0}"/>
  <tableColumns count="4">
    <tableColumn id="1" xr3:uid="{22A3248F-405A-4370-9DFF-E02CCBEA8227}" uniqueName="1" name="Point" queryTableFieldId="1" dataDxfId="85"/>
    <tableColumn id="2" xr3:uid="{D71EA2F1-5681-4351-AE38-14D40BDBEB4E}" uniqueName="2" name="R" queryTableFieldId="2"/>
    <tableColumn id="3" xr3:uid="{75D45BEB-BF3F-4D2E-BC00-F9F154BC0AA1}" uniqueName="3" name="T" queryTableFieldId="3"/>
    <tableColumn id="4" xr3:uid="{5EB9CDC3-E189-416A-99DC-D2289957BBEF}" uniqueName="4" name="P" queryTableFieldId="4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2D22FE3D-E539-49D9-9602-3BCD37221B43}" name="vacuum__step_5_1___corrected___2" displayName="vacuum__step_5_1___corrected___2" ref="V45:Y49" tableType="queryTable" totalsRowShown="0">
  <autoFilter ref="V45:Y49" xr:uid="{D88AAC6E-5708-460D-9572-2A3449B82050}"/>
  <tableColumns count="4">
    <tableColumn id="1" xr3:uid="{67CABF6E-8F97-43D6-8553-0D55117E1381}" uniqueName="1" name="Point" queryTableFieldId="1" dataDxfId="84"/>
    <tableColumn id="2" xr3:uid="{98A6B077-D812-40B3-8F5B-0560ABC1CBC3}" uniqueName="2" name="R" queryTableFieldId="2"/>
    <tableColumn id="3" xr3:uid="{5A3F17EF-553F-46DC-9E3E-2C922BDEB51B}" uniqueName="3" name="T" queryTableFieldId="3"/>
    <tableColumn id="4" xr3:uid="{BFD1990B-0DF0-4979-8DFD-D64AF62AA834}" uniqueName="4" name="P" queryTableFieldId="4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6265E525-09BF-44F4-BB1E-8C933F80A0E2}" name="with_window__step_1" displayName="with_window__step_1" ref="G3:J7" tableType="queryTable" totalsRowShown="0">
  <autoFilter ref="G3:J7" xr:uid="{51E59BFF-AA7B-4B1E-84BB-767DE0026A70}"/>
  <tableColumns count="4">
    <tableColumn id="1" xr3:uid="{8F2F3B8B-3A4A-4D3C-85DE-92E8BF0A6E71}" uniqueName="1" name="Point" queryTableFieldId="1" dataDxfId="83"/>
    <tableColumn id="2" xr3:uid="{47F31546-D415-43A1-BCE7-BD307D0192AE}" uniqueName="2" name="R" queryTableFieldId="2"/>
    <tableColumn id="3" xr3:uid="{D3618E16-D8EA-4849-9C39-CE01B85B8D02}" uniqueName="3" name="T" queryTableFieldId="3"/>
    <tableColumn id="4" xr3:uid="{9694C76F-11B1-44B9-B61F-649A2C48ABC5}" uniqueName="4" name="P" queryTableFieldId="4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1603EB75-9775-429B-8C14-BD138B698755}" name="with_window__step_2" displayName="with_window__step_2" ref="G10:J14" tableType="queryTable" totalsRowShown="0">
  <autoFilter ref="G10:J14" xr:uid="{A4424C67-8832-418D-BF8C-DBF1AB8A0860}"/>
  <tableColumns count="4">
    <tableColumn id="1" xr3:uid="{6C0F3B5A-17C8-4A72-A4FE-8C9E5E198370}" uniqueName="1" name="Point" queryTableFieldId="1" dataDxfId="82"/>
    <tableColumn id="2" xr3:uid="{17B27A50-D99F-49DF-8C6D-0FE9F0F22A29}" uniqueName="2" name="R" queryTableFieldId="2"/>
    <tableColumn id="3" xr3:uid="{25F7F038-D65A-40C6-97F1-C984BA1938E3}" uniqueName="3" name="T" queryTableFieldId="3"/>
    <tableColumn id="4" xr3:uid="{C68289C7-582C-49A0-AA6E-B7B33FDACD96}" uniqueName="4" name="P" queryTableFieldId="4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4D761B89-DFC2-4F63-B7FD-B3D1A61877CC}" name="with_window__step_3___2" displayName="with_window__step_3___2" ref="G17:J21" tableType="queryTable" totalsRowShown="0">
  <autoFilter ref="G17:J21" xr:uid="{6C9BD25C-F3C0-4132-BED0-631A2B29D05D}"/>
  <tableColumns count="4">
    <tableColumn id="1" xr3:uid="{BAF4A3E0-A7EC-4572-80BE-CAFBBAEF41A6}" uniqueName="1" name="Point" queryTableFieldId="1" dataDxfId="81"/>
    <tableColumn id="2" xr3:uid="{9F379757-3804-4062-9055-E7C1FC633BE7}" uniqueName="2" name="R" queryTableFieldId="2"/>
    <tableColumn id="3" xr3:uid="{B0FA2268-3F5D-4427-BBCB-0725821F2D3B}" uniqueName="3" name="T" queryTableFieldId="3"/>
    <tableColumn id="4" xr3:uid="{8400E688-733E-4518-8B55-785E1CAEE8CC}" uniqueName="4" name="P" queryTableFieldId="4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555B06A7-29AE-471C-A7D9-73EF2DE5D96B}" name="with_window__step_4" displayName="with_window__step_4" ref="G24:J28" tableType="queryTable" totalsRowShown="0">
  <autoFilter ref="G24:J28" xr:uid="{1C79D703-C20C-4A3B-ADB4-64FCA2645BE9}"/>
  <tableColumns count="4">
    <tableColumn id="1" xr3:uid="{9C14DB2F-B25D-47BE-AB71-54A41D71867F}" uniqueName="1" name="Point" queryTableFieldId="1" dataDxfId="80"/>
    <tableColumn id="2" xr3:uid="{8DDBCE36-266A-40BE-AD2C-2E989F932604}" uniqueName="2" name="R" queryTableFieldId="2"/>
    <tableColumn id="3" xr3:uid="{3C3FD12E-2EDC-46B3-B3BA-9AB54B4D12F5}" uniqueName="3" name="T" queryTableFieldId="3"/>
    <tableColumn id="4" xr3:uid="{D04FB88B-0671-48FC-ABFD-FF2CB10029E2}" uniqueName="4" name="P" queryTableFieldId="4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A93AE64-32EC-41CC-82F7-7B1F980FDBCC}" name="with_window__step_4_1" displayName="with_window__step_4_1" ref="G31:J35" tableType="queryTable" totalsRowShown="0">
  <autoFilter ref="G31:J35" xr:uid="{B218B836-1AFD-4369-8363-A7F1A45512F5}"/>
  <tableColumns count="4">
    <tableColumn id="1" xr3:uid="{69151CEF-133A-4504-86B0-2DD39B756E41}" uniqueName="1" name="Point" queryTableFieldId="1" dataDxfId="79"/>
    <tableColumn id="2" xr3:uid="{3259B1DB-02DB-4866-9205-66750EF6429F}" uniqueName="2" name="R" queryTableFieldId="2"/>
    <tableColumn id="3" xr3:uid="{2A0FECDB-88CD-411E-BBCF-F2A0AEF685AB}" uniqueName="3" name="T" queryTableFieldId="3"/>
    <tableColumn id="4" xr3:uid="{5CDA6286-1480-49EB-8999-C66CD3607986}" uniqueName="4" name="P" queryTableFieldId="4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624135E7-73FB-4E95-B35F-45BAC143ECB2}" name="with_window__step_5" displayName="with_window__step_5" ref="G38:J42" tableType="queryTable" totalsRowShown="0">
  <autoFilter ref="G38:J42" xr:uid="{705E60E9-3DAB-4D86-AEDD-02773B50B33B}"/>
  <tableColumns count="4">
    <tableColumn id="1" xr3:uid="{BF849B52-C0D3-4811-B419-961B5E313107}" uniqueName="1" name="Point" queryTableFieldId="1" dataDxfId="78"/>
    <tableColumn id="2" xr3:uid="{8E539322-BECF-43DB-B8D1-33F262A42461}" uniqueName="2" name="R" queryTableFieldId="2"/>
    <tableColumn id="3" xr3:uid="{A0EDFAF9-60D5-45D4-9347-C84AA76FAD32}" uniqueName="3" name="T" queryTableFieldId="3"/>
    <tableColumn id="4" xr3:uid="{0E3FB6A3-BFCA-44D7-9341-65F7A074BA99}" uniqueName="4" name="P" queryTableFieldId="4"/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DE247DE-F60F-4BA3-92F7-0DA0EDA2241E}" name="with_window__step_5_1" displayName="with_window__step_5_1" ref="G45:J49" tableType="queryTable" totalsRowShown="0">
  <autoFilter ref="G45:J49" xr:uid="{F4F85B1A-2513-41BC-AA38-582E4AB66C41}"/>
  <tableColumns count="4">
    <tableColumn id="1" xr3:uid="{65E6B909-E929-401A-AE8D-DCFFFF151106}" uniqueName="1" name="Point" queryTableFieldId="1" dataDxfId="77"/>
    <tableColumn id="2" xr3:uid="{F027FCB7-BB20-41E5-BB89-220209941B72}" uniqueName="2" name="R" queryTableFieldId="2"/>
    <tableColumn id="3" xr3:uid="{73ADEDDD-A60A-4B4C-AB05-A6963D408387}" uniqueName="3" name="T" queryTableFieldId="3"/>
    <tableColumn id="4" xr3:uid="{E5E62E99-CCCF-45C5-8F72-84274A3B7B9C}" uniqueName="4" name="P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936F54-CA0C-40DD-A579-00F82BBE5314}" name="without_window__step_4_1___2_58m" displayName="without_window__step_4_1___2_58m" ref="B31:E35" tableType="queryTable" totalsRowShown="0">
  <autoFilter ref="B31:E35" xr:uid="{1CD75EC6-505F-4EB5-ADFE-A12A40FF2A51}"/>
  <tableColumns count="4">
    <tableColumn id="1" xr3:uid="{94D86134-6144-441E-8052-A78C327C93DB}" uniqueName="1" name="Point" queryTableFieldId="1" dataDxfId="121"/>
    <tableColumn id="2" xr3:uid="{81C45181-962D-4C5F-8479-04D72A1B1384}" uniqueName="2" name="X" queryTableFieldId="2"/>
    <tableColumn id="3" xr3:uid="{D34F6E09-559B-4E3C-82CF-33C28A7644A4}" uniqueName="3" name="Y" queryTableFieldId="3"/>
    <tableColumn id="4" xr3:uid="{4DCAA49D-953A-4BB1-8CEA-AD60FC3827BE}" uniqueName="4" name="Z" queryTableFieldId="4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C0DD64CB-1FC5-40DF-A325-6976096A7166}" name="vacuum__step_1" displayName="vacuum__step_1" ref="Q3:T7" tableType="queryTable" totalsRowShown="0">
  <autoFilter ref="Q3:T7" xr:uid="{F9AD1BC0-0B8D-42B2-9982-BDD65B3D5D81}"/>
  <tableColumns count="4">
    <tableColumn id="1" xr3:uid="{1F7BE065-BC04-42E2-A6EE-30C53C916999}" uniqueName="1" name="Point" queryTableFieldId="1" dataDxfId="76"/>
    <tableColumn id="2" xr3:uid="{F5C6E846-7837-4F89-B57A-49FD5DECEC67}" uniqueName="2" name="R" queryTableFieldId="2"/>
    <tableColumn id="3" xr3:uid="{4953BF2D-3AA8-4391-9531-EA97E57C6DCE}" uniqueName="3" name="T" queryTableFieldId="3"/>
    <tableColumn id="4" xr3:uid="{59DE99C3-129B-4566-BF77-83D535AF2B99}" uniqueName="4" name="P" queryTableFieldId="4"/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F3B1CBBE-9B21-49C9-8B6E-C6AAE4C0C9AA}" name="vacuum__step_2" displayName="vacuum__step_2" ref="Q10:T14" tableType="queryTable" totalsRowShown="0">
  <autoFilter ref="Q10:T14" xr:uid="{7BFC11C1-7874-4759-A9BB-FEEA7E72A403}"/>
  <tableColumns count="4">
    <tableColumn id="1" xr3:uid="{CB711523-ECCF-4A14-A522-348C1F17E3E3}" uniqueName="1" name="Point" queryTableFieldId="1" dataDxfId="75"/>
    <tableColumn id="2" xr3:uid="{623F5CF1-B843-401B-97E3-006E617F8BCA}" uniqueName="2" name="R" queryTableFieldId="2"/>
    <tableColumn id="3" xr3:uid="{F95EF287-5AAD-48D8-ABEC-36D0CD7DE80A}" uniqueName="3" name="T" queryTableFieldId="3"/>
    <tableColumn id="4" xr3:uid="{8BD51E92-1155-443A-B40E-D16D57686FCB}" uniqueName="4" name="P" queryTableFieldId="4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1CEB881F-5A78-44CD-B75B-2DD0FA521664}" name="vacuum__step_3" displayName="vacuum__step_3" ref="Q17:T21" tableType="queryTable" totalsRowShown="0">
  <autoFilter ref="Q17:T21" xr:uid="{BBA28CD6-5B7E-40A6-AA51-12405BE54577}"/>
  <tableColumns count="4">
    <tableColumn id="1" xr3:uid="{8A7FB709-CA25-4DE2-BF0A-42283CA5539E}" uniqueName="1" name="Point" queryTableFieldId="1" dataDxfId="74"/>
    <tableColumn id="2" xr3:uid="{EBE9630A-EF61-41B5-9E79-AB91F8FCB7D1}" uniqueName="2" name="R" queryTableFieldId="2"/>
    <tableColumn id="3" xr3:uid="{21F3B426-7403-4816-A7B5-D53456B53975}" uniqueName="3" name="T" queryTableFieldId="3"/>
    <tableColumn id="4" xr3:uid="{76BDE4AB-1876-4021-98D1-8D1C94407A84}" uniqueName="4" name="P" queryTableFieldId="4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ED9FA2B7-ED43-44CF-A48E-CF10144D17BC}" name="vacuum__step_4" displayName="vacuum__step_4" ref="Q24:T28" tableType="queryTable" totalsRowShown="0">
  <autoFilter ref="Q24:T28" xr:uid="{3F2A7A13-866E-413D-A027-FF4D391D8096}"/>
  <tableColumns count="4">
    <tableColumn id="1" xr3:uid="{98E919E1-514B-41A8-A80E-2F3114526637}" uniqueName="1" name="Point" queryTableFieldId="1" dataDxfId="73"/>
    <tableColumn id="2" xr3:uid="{CA3F2BF4-4328-4065-AE37-010BCC9F0235}" uniqueName="2" name="R" queryTableFieldId="2"/>
    <tableColumn id="3" xr3:uid="{68D94A5D-14BD-4593-A04A-9DFCFD391FC8}" uniqueName="3" name="T" queryTableFieldId="3"/>
    <tableColumn id="4" xr3:uid="{B8C91746-CE17-4E74-A482-61B2BA5DBA6F}" uniqueName="4" name="P" queryTableFieldId="4"/>
  </tableColumns>
  <tableStyleInfo name="TableStyleMedium7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25041556-D0DB-432B-BBB4-67882A6B155B}" name="vacuum__step_4_1" displayName="vacuum__step_4_1" ref="Q31:T35" tableType="queryTable" totalsRowShown="0">
  <autoFilter ref="Q31:T35" xr:uid="{9DDF39DE-7231-47B2-8E35-6A004E2FCFFB}"/>
  <tableColumns count="4">
    <tableColumn id="1" xr3:uid="{BD020C1F-DF19-4161-9E3B-1087113435DA}" uniqueName="1" name="Point" queryTableFieldId="1" dataDxfId="72"/>
    <tableColumn id="2" xr3:uid="{36D69090-D65B-44F7-9072-A821F57567EE}" uniqueName="2" name="R" queryTableFieldId="2"/>
    <tableColumn id="3" xr3:uid="{7A4801F6-56BE-4602-AE7D-3B41A382E9F0}" uniqueName="3" name="T" queryTableFieldId="3"/>
    <tableColumn id="4" xr3:uid="{718E739F-0C2B-4756-ADD5-746FE1CF8C4C}" uniqueName="4" name="P" queryTableFieldId="4"/>
  </tableColumns>
  <tableStyleInfo name="TableStyleMedium7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EEAB02CA-DE57-4923-A414-3B77D727ACC4}" name="vacuum__step_5" displayName="vacuum__step_5" ref="Q38:T42" tableType="queryTable" totalsRowShown="0">
  <autoFilter ref="Q38:T42" xr:uid="{130A2B02-EAA6-4B30-8E90-41BC9DADB25B}"/>
  <tableColumns count="4">
    <tableColumn id="1" xr3:uid="{DA0E4DC8-9D37-44E3-83F6-9C9FB418CF00}" uniqueName="1" name="Point" queryTableFieldId="1" dataDxfId="71"/>
    <tableColumn id="2" xr3:uid="{692B3A60-CDA3-4319-8282-4FF4A0502F20}" uniqueName="2" name="R" queryTableFieldId="2"/>
    <tableColumn id="3" xr3:uid="{8EA052D4-79B5-4364-95D7-297835BF2D3C}" uniqueName="3" name="T" queryTableFieldId="3"/>
    <tableColumn id="4" xr3:uid="{CD90A723-1039-4465-A7FA-3FD48CE68ADC}" uniqueName="4" name="P" queryTableFieldId="4"/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CE31856E-38FF-448A-984A-C63C40A5A7F4}" name="vacuum__step_5_1" displayName="vacuum__step_5_1" ref="Q45:T49" tableType="queryTable" totalsRowShown="0">
  <autoFilter ref="Q45:T49" xr:uid="{50F5C2A5-74B5-4ECC-803A-CE0D2A3B6A59}"/>
  <tableColumns count="4">
    <tableColumn id="1" xr3:uid="{B7CCE311-C2D5-4CC4-B1E1-433A957E259E}" uniqueName="1" name="Point" queryTableFieldId="1" dataDxfId="70"/>
    <tableColumn id="2" xr3:uid="{3D98A8C6-1F57-46EF-871D-20DB08690C93}" uniqueName="2" name="R" queryTableFieldId="2"/>
    <tableColumn id="3" xr3:uid="{4E8B8413-9D31-4BD9-AB74-6A753A45F61A}" uniqueName="3" name="T" queryTableFieldId="3"/>
    <tableColumn id="4" xr3:uid="{1E07D16D-9B44-4A8F-AB73-21D131B18A2F}" uniqueName="4" name="P" queryTableFieldId="4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93ADAA43-B2AB-4405-8FBF-AE8C23F7DEEC}" name="without_window__step_1___1_7m___353" displayName="without_window__step_1___1_7m___353" ref="B3:E7" tableType="queryTable" totalsRowShown="0">
  <autoFilter ref="B3:E7" xr:uid="{1EFC9D50-BC00-4862-88F6-2366FD87898B}"/>
  <tableColumns count="4">
    <tableColumn id="1" xr3:uid="{876CCD2F-0A3C-4DB9-9EFD-E06CA99AB9B7}" uniqueName="1" name="Point" queryTableFieldId="1" dataDxfId="69"/>
    <tableColumn id="2" xr3:uid="{543E1054-8660-4ADF-B563-5A5265FBEDB6}" uniqueName="2" name="R" queryTableFieldId="2"/>
    <tableColumn id="3" xr3:uid="{48BBDC60-C159-47AA-AE1D-EECAE7038085}" uniqueName="3" name="T" queryTableFieldId="3"/>
    <tableColumn id="4" xr3:uid="{454DD1C7-8A86-45D6-A794-804E911F937B}" uniqueName="4" name="P" queryTableFieldId="4"/>
  </tableColumns>
  <tableStyleInfo name="TableStyleMedium7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F30E8E9-170C-4C5C-8301-47A1E3C32970}" name="without_window__step_2___1_99m___2101" displayName="without_window__step_2___1_99m___2101" ref="B10:E14" tableType="queryTable" totalsRowShown="0">
  <autoFilter ref="B10:E14" xr:uid="{5BAC9BF5-F5CF-443D-BD92-2A475427CF5D}"/>
  <tableColumns count="4">
    <tableColumn id="1" xr3:uid="{3F4E54B5-0D92-48C7-A990-268A6C4B55EA}" uniqueName="1" name="Point" queryTableFieldId="1" dataDxfId="68"/>
    <tableColumn id="2" xr3:uid="{9CC37595-2705-445C-A722-7E0B75595CD1}" uniqueName="2" name="R" queryTableFieldId="2"/>
    <tableColumn id="3" xr3:uid="{309A0FE6-F1D7-45DB-9633-6401D5CBC4BC}" uniqueName="3" name="T" queryTableFieldId="3"/>
    <tableColumn id="4" xr3:uid="{779DCCBA-CDC9-4C17-B74A-9693447488B7}" uniqueName="4" name="P" queryTableFieldId="4"/>
  </tableColumns>
  <tableStyleInfo name="TableStyleMedium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8F40134-96DF-4B17-936F-E5904E0B70E5}" name="without_window__step_3___2_28m___2102" displayName="without_window__step_3___2_28m___2102" ref="B17:E21" tableType="queryTable" totalsRowShown="0">
  <autoFilter ref="B17:E21" xr:uid="{5E588156-521C-4C7B-8B46-076E4B501256}"/>
  <tableColumns count="4">
    <tableColumn id="1" xr3:uid="{5E359CD4-6739-44AB-8417-93344022B793}" uniqueName="1" name="Point" queryTableFieldId="1" dataDxfId="67"/>
    <tableColumn id="2" xr3:uid="{79DBF570-294E-4071-8EA2-207F095C97CE}" uniqueName="2" name="R" queryTableFieldId="2"/>
    <tableColumn id="3" xr3:uid="{47FFC051-90E6-4D7D-A165-54317D1484F1}" uniqueName="3" name="T" queryTableFieldId="3"/>
    <tableColumn id="4" xr3:uid="{C5BEFA5A-4465-4DAF-A344-583DE38F3319}" uniqueName="4" name="P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2FF026-3860-457A-A24D-F29896525BBB}" name="without_window__step_5___2_87m" displayName="without_window__step_5___2_87m" ref="B38:E42" tableType="queryTable" totalsRowShown="0">
  <autoFilter ref="B38:E42" xr:uid="{234AD4C3-DCC5-48D3-BAAB-B0B6614A150F}"/>
  <tableColumns count="4">
    <tableColumn id="1" xr3:uid="{E29544EC-AF95-435E-AF58-9FC2D36BD142}" uniqueName="1" name="Point" queryTableFieldId="1" dataDxfId="120"/>
    <tableColumn id="2" xr3:uid="{CAD508D0-44A3-4974-AE59-E149DCCED5E7}" uniqueName="2" name="X" queryTableFieldId="2"/>
    <tableColumn id="3" xr3:uid="{2F90D34F-CF16-4D7A-9D0B-6A02988C2345}" uniqueName="3" name="Y" queryTableFieldId="3"/>
    <tableColumn id="4" xr3:uid="{2C9627F1-430F-4484-8B7B-502E2F988AC4}" uniqueName="4" name="Z" queryTableFieldId="4"/>
  </tableColumns>
  <tableStyleInfo name="TableStyleMedium7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F0C5526B-9C04-4E4A-858E-566D3035E2D7}" name="without_window__step_4___2_58m___2103" displayName="without_window__step_4___2_58m___2103" ref="B24:E28" tableType="queryTable" totalsRowShown="0">
  <autoFilter ref="B24:E28" xr:uid="{69C1E821-13C4-4C4C-8427-2F65E6F1A820}"/>
  <tableColumns count="4">
    <tableColumn id="1" xr3:uid="{A307A0D3-DAF0-46BC-B4FB-0E8D05847864}" uniqueName="1" name="Point" queryTableFieldId="1" dataDxfId="66"/>
    <tableColumn id="2" xr3:uid="{FA0C44B0-13C3-4BE4-8DEF-DCF6E1A463E7}" uniqueName="2" name="R" queryTableFieldId="2"/>
    <tableColumn id="3" xr3:uid="{E648D94B-C3D5-42DA-8EA9-9661EF7FCA04}" uniqueName="3" name="T" queryTableFieldId="3"/>
    <tableColumn id="4" xr3:uid="{0EE96E77-86AC-4CD4-8C3D-8699804C6A88}" uniqueName="4" name="P" queryTableFieldId="4"/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1764ED33-5184-4887-9C83-C30540C12EE6}" name="without_window__step_4_1___2_58m___2104" displayName="without_window__step_4_1___2_58m___2104" ref="B31:E35" tableType="queryTable" totalsRowShown="0">
  <autoFilter ref="B31:E35" xr:uid="{DE3CE2E5-B722-4AB5-960D-0FE9D5646C5E}"/>
  <tableColumns count="4">
    <tableColumn id="1" xr3:uid="{A62242B7-36A3-4164-9F08-5D86ED6DCC9D}" uniqueName="1" name="Point" queryTableFieldId="1" dataDxfId="65"/>
    <tableColumn id="2" xr3:uid="{A06D3B9A-A711-4E51-BCC4-C97358E2A54F}" uniqueName="2" name="R" queryTableFieldId="2"/>
    <tableColumn id="3" xr3:uid="{066CF98D-3BDD-42A1-B587-8CFF6BB66EFE}" uniqueName="3" name="T" queryTableFieldId="3"/>
    <tableColumn id="4" xr3:uid="{E2B481AF-9DD9-4276-A28A-A5DE9C3572D4}" uniqueName="4" name="P" queryTableFieldId="4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3A5115F4-C4E0-4EE1-A1B6-2BB8E142CB2D}" name="without_window__step_5___2_87m___2105" displayName="without_window__step_5___2_87m___2105" ref="B38:E42" tableType="queryTable" totalsRowShown="0">
  <autoFilter ref="B38:E42" xr:uid="{29E0BF07-BA59-459A-BCEA-010676B0F94C}"/>
  <tableColumns count="4">
    <tableColumn id="1" xr3:uid="{82C44321-46CB-496D-9A73-85A89726C284}" uniqueName="1" name="Point" queryTableFieldId="1" dataDxfId="64"/>
    <tableColumn id="2" xr3:uid="{30E61AE5-8BEA-4ACE-8C1A-2ADE0092C2ED}" uniqueName="2" name="R" queryTableFieldId="2"/>
    <tableColumn id="3" xr3:uid="{92011C6C-5826-44B8-97B7-8D639369B85F}" uniqueName="3" name="T" queryTableFieldId="3"/>
    <tableColumn id="4" xr3:uid="{A0B9309F-EED1-4F5D-9977-6EA6265F37F6}" uniqueName="4" name="P" queryTableFieldId="4"/>
  </tableColumns>
  <tableStyleInfo name="TableStyleMedium7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7A14AF46-F14C-40FC-9341-8C0B129625AE}" name="without_window__step_5_1___2_87m___2106" displayName="without_window__step_5_1___2_87m___2106" ref="B45:E49" tableType="queryTable" totalsRowShown="0">
  <autoFilter ref="B45:E49" xr:uid="{DBFB0805-06DC-457A-9410-D24BBADD2812}"/>
  <tableColumns count="4">
    <tableColumn id="1" xr3:uid="{D4FB723D-7562-483C-B3E3-20DB31D1A6AE}" uniqueName="1" name="Point" queryTableFieldId="1" dataDxfId="63"/>
    <tableColumn id="2" xr3:uid="{B118B66B-C221-41FD-9F80-207805552560}" uniqueName="2" name="R" queryTableFieldId="2"/>
    <tableColumn id="3" xr3:uid="{FC185715-8E3B-4ED2-9C85-2ED6D061469C}" uniqueName="3" name="T" queryTableFieldId="3"/>
    <tableColumn id="4" xr3:uid="{D64DA993-705E-44A5-9272-50CA08826440}" uniqueName="4" name="P" queryTableFieldId="4"/>
  </tableColumns>
  <tableStyleInfo name="TableStyleMedium7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6C836EE2-2A22-4804-A216-88A97DFA2ECA}" name="With_window__step_1___SA" displayName="With_window__step_1___SA" ref="G3:J7" tableType="queryTable" totalsRowShown="0">
  <autoFilter ref="G3:J7" xr:uid="{6D0F3BB5-3EC3-4A16-B7F9-C1F340E3C1EC}"/>
  <tableColumns count="4">
    <tableColumn id="1" xr3:uid="{211174ED-7EB3-485E-905F-B353E50FB684}" uniqueName="1" name="Point" queryTableFieldId="1" dataDxfId="62"/>
    <tableColumn id="2" xr3:uid="{ADA23183-0898-4654-9BA6-1DDA607AC052}" uniqueName="2" name="R" queryTableFieldId="2"/>
    <tableColumn id="3" xr3:uid="{DF32F98E-B975-414B-B4ED-BE13F2F95DC4}" uniqueName="3" name="T" queryTableFieldId="3"/>
    <tableColumn id="4" xr3:uid="{3E497168-2F6C-4958-97CA-53C10C9A8069}" uniqueName="4" name="P" queryTableFieldId="4"/>
  </tableColumns>
  <tableStyleInfo name="TableStyleMedium7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25C9C25-39B3-4D2A-88EB-BFB81D4F4635}" name="With_window__step_2___SA" displayName="With_window__step_2___SA" ref="G10:J14" tableType="queryTable" totalsRowShown="0">
  <autoFilter ref="G10:J14" xr:uid="{BA132487-B4BA-4DF1-A8BA-ADD06E6E7CAF}"/>
  <tableColumns count="4">
    <tableColumn id="1" xr3:uid="{DB44CAA5-2A77-4922-BDBE-810DE3C7389E}" uniqueName="1" name="Point" queryTableFieldId="1" dataDxfId="61"/>
    <tableColumn id="2" xr3:uid="{3FB24220-B23E-4E11-8CCB-BD8B38C00848}" uniqueName="2" name="R" queryTableFieldId="2"/>
    <tableColumn id="3" xr3:uid="{20930EE7-3D63-4D3F-AA3E-061590E3673C}" uniqueName="3" name="T" queryTableFieldId="3"/>
    <tableColumn id="4" xr3:uid="{275086F5-0B51-472C-AA11-56569B3893AF}" uniqueName="4" name="P" queryTableFieldId="4"/>
  </tableColumns>
  <tableStyleInfo name="TableStyleMedium7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78FB6DC4-2496-409B-8BF5-DDE7F7C54412}" name="With_window__step_3___SA" displayName="With_window__step_3___SA" ref="G17:J21" tableType="queryTable" totalsRowShown="0">
  <autoFilter ref="G17:J21" xr:uid="{CD6157A2-03B2-4351-AC2F-C0E001735F1D}"/>
  <tableColumns count="4">
    <tableColumn id="1" xr3:uid="{03289E1E-4898-4919-B7A0-F2D1CE1CE12B}" uniqueName="1" name="Point" queryTableFieldId="1" dataDxfId="60"/>
    <tableColumn id="2" xr3:uid="{CEFAFFF4-4FE1-43DC-837C-E181A02A1613}" uniqueName="2" name="R" queryTableFieldId="2"/>
    <tableColumn id="3" xr3:uid="{DA582D48-DF2D-41D8-B937-7F1E2EB0AD57}" uniqueName="3" name="T" queryTableFieldId="3"/>
    <tableColumn id="4" xr3:uid="{BA1CD9F6-F5DD-4236-9B12-762B7C7CE924}" uniqueName="4" name="P" queryTableFieldId="4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9C12BE8E-9F0E-4213-8831-FBEC2D1C96D0}" name="With_window__step_4___SA" displayName="With_window__step_4___SA" ref="G24:J28" tableType="queryTable" totalsRowShown="0">
  <autoFilter ref="G24:J28" xr:uid="{EBB79E60-8FFC-47E7-8B6C-CE27AB269240}"/>
  <tableColumns count="4">
    <tableColumn id="1" xr3:uid="{68C50655-016D-4F17-89DF-9B3F1BC738C5}" uniqueName="1" name="Point" queryTableFieldId="1" dataDxfId="59"/>
    <tableColumn id="2" xr3:uid="{1ED323D7-1FAE-47B8-AA2F-1E2AEEF7BEF5}" uniqueName="2" name="R" queryTableFieldId="2"/>
    <tableColumn id="3" xr3:uid="{E5B70D8F-F184-4AAF-94CA-316E7F811EEA}" uniqueName="3" name="T" queryTableFieldId="3"/>
    <tableColumn id="4" xr3:uid="{78DFB2BA-5BA6-4EBC-A96F-94958CA2011F}" uniqueName="4" name="P" queryTableFieldId="4"/>
  </tableColumns>
  <tableStyleInfo name="TableStyleMedium7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02CC6AED-A2AD-48BC-B306-21664A2BEF50}" name="With_window__step_4_1___SA" displayName="With_window__step_4_1___SA" ref="G31:J35" tableType="queryTable" totalsRowShown="0">
  <autoFilter ref="G31:J35" xr:uid="{9C77E021-A001-4D80-9BA5-1F70E8842880}"/>
  <tableColumns count="4">
    <tableColumn id="1" xr3:uid="{5BD9250D-B907-4017-8A4C-AE24D41199C7}" uniqueName="1" name="Point" queryTableFieldId="1" dataDxfId="58"/>
    <tableColumn id="2" xr3:uid="{3F75A0FD-C015-4B78-9F32-86ADEDBE0425}" uniqueName="2" name="R" queryTableFieldId="2"/>
    <tableColumn id="3" xr3:uid="{86F464A4-1D03-4C2F-B9BA-EF1AA6645EC1}" uniqueName="3" name="T" queryTableFieldId="3"/>
    <tableColumn id="4" xr3:uid="{46CB9DFB-D691-4D40-B09C-C3B3A8F53347}" uniqueName="4" name="P" queryTableFieldId="4"/>
  </tableColumns>
  <tableStyleInfo name="TableStyleMedium7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5E84EE8-68F4-4CB1-B328-D03BFF2906FC}" name="With_window__Step_5___SA" displayName="With_window__Step_5___SA" ref="G38:J42" tableType="queryTable" totalsRowShown="0">
  <autoFilter ref="G38:J42" xr:uid="{2FB25A3F-CE83-4F2C-8BEB-0A8B596CEC80}"/>
  <tableColumns count="4">
    <tableColumn id="1" xr3:uid="{F9B0B355-A8F5-419C-A2D7-555045FD4F56}" uniqueName="1" name="Point" queryTableFieldId="1" dataDxfId="57"/>
    <tableColumn id="2" xr3:uid="{179A136A-3423-4EE6-A28F-07614C5B3327}" uniqueName="2" name="R" queryTableFieldId="2"/>
    <tableColumn id="3" xr3:uid="{F53E1EB5-5F78-4C27-B7A2-9540A8B80702}" uniqueName="3" name="T" queryTableFieldId="3"/>
    <tableColumn id="4" xr3:uid="{D40CE62A-980E-41C1-9301-6B10330034B4}" uniqueName="4" name="P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C483EF9-96B3-4DFC-AAFE-E18F0C6284F2}" name="without_window__step_5_1___2_87m" displayName="without_window__step_5_1___2_87m" ref="B45:E49" tableType="queryTable" totalsRowShown="0">
  <autoFilter ref="B45:E49" xr:uid="{9A5ABDC6-E232-4E1B-87B7-743D8AE3307B}"/>
  <tableColumns count="4">
    <tableColumn id="1" xr3:uid="{96028AB8-D924-4BD6-8BDC-A081E58BB5E3}" uniqueName="1" name="Point" queryTableFieldId="1" dataDxfId="119"/>
    <tableColumn id="2" xr3:uid="{718498F1-0F9F-418E-8585-82A421E7520C}" uniqueName="2" name="X" queryTableFieldId="2"/>
    <tableColumn id="3" xr3:uid="{96414540-88F7-4DA5-8B75-8C328E5E9FBF}" uniqueName="3" name="Y" queryTableFieldId="3"/>
    <tableColumn id="4" xr3:uid="{DBAC4517-C5B9-44E8-935B-27A615DD2285}" uniqueName="4" name="Z" queryTableFieldId="4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A1AE97C8-D833-4D51-A7EE-68B2CA7FEFB4}" name="With_window__step_5_1___SA" displayName="With_window__step_5_1___SA" ref="G45:J49" tableType="queryTable" totalsRowShown="0">
  <autoFilter ref="G45:J49" xr:uid="{EB484201-5B47-426E-AB11-CB36686DD37F}"/>
  <tableColumns count="4">
    <tableColumn id="1" xr3:uid="{B1E6C226-9BA8-44FD-BE77-4E9DFD623657}" uniqueName="1" name="Point" queryTableFieldId="1" dataDxfId="56"/>
    <tableColumn id="2" xr3:uid="{BE4F15BC-87B1-469F-AFCF-2F12E911723A}" uniqueName="2" name="R" queryTableFieldId="2"/>
    <tableColumn id="3" xr3:uid="{C0A65336-3034-4A0D-ADE2-3072740EDAAD}" uniqueName="3" name="T" queryTableFieldId="3"/>
    <tableColumn id="4" xr3:uid="{BE49A921-EED1-4EDE-B413-3CE65A17C811}" uniqueName="4" name="P" queryTableFieldId="4"/>
  </tableColumns>
  <tableStyleInfo name="TableStyleMedium7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9F3966A0-5CB4-4E97-8E14-A978BFF533DB}" name="Vacuum__step_1___SA" displayName="Vacuum__step_1___SA" ref="L3:O7" tableType="queryTable" totalsRowShown="0">
  <autoFilter ref="L3:O7" xr:uid="{6565731A-CD2C-4A78-9A25-89E859D71769}"/>
  <tableColumns count="4">
    <tableColumn id="1" xr3:uid="{EE1E66A4-8AFD-44BA-BC0B-39A922252436}" uniqueName="1" name="Point" queryTableFieldId="1" dataDxfId="55"/>
    <tableColumn id="2" xr3:uid="{38D1D3AD-D4FD-4DE4-A88E-FBCAD0F4C098}" uniqueName="2" name="R" queryTableFieldId="2"/>
    <tableColumn id="3" xr3:uid="{42513890-1B6F-4458-BC67-130AB3F40954}" uniqueName="3" name="T" queryTableFieldId="3"/>
    <tableColumn id="4" xr3:uid="{442CBB5E-E6C8-46F8-9322-344D01F0C4E5}" uniqueName="4" name="P" queryTableFieldId="4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CCA0C04E-5D63-4268-AD40-B74CC2C41DBB}" name="Vacuum__step_2___SA" displayName="Vacuum__step_2___SA" ref="L10:O14" tableType="queryTable" totalsRowShown="0">
  <autoFilter ref="L10:O14" xr:uid="{AED68131-7B8E-4DB2-89BA-D82E0B3CD0E7}"/>
  <tableColumns count="4">
    <tableColumn id="1" xr3:uid="{5090B030-D3EB-4BC4-885F-DBC78E02DBFE}" uniqueName="1" name="Point" queryTableFieldId="1" dataDxfId="54"/>
    <tableColumn id="2" xr3:uid="{18DE65AB-04BF-4C25-BC37-3FB0644245C4}" uniqueName="2" name="R" queryTableFieldId="2"/>
    <tableColumn id="3" xr3:uid="{AA75D57C-D0BD-4305-8F39-B38FB2793815}" uniqueName="3" name="T" queryTableFieldId="3"/>
    <tableColumn id="4" xr3:uid="{25E8EE7F-AD14-4803-83EB-4F398A3AC959}" uniqueName="4" name="P" queryTableFieldId="4"/>
  </tableColumns>
  <tableStyleInfo name="TableStyleMedium7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7FC4729F-D3F0-455E-A3CC-6FE0E0D5F40E}" name="Vacuum__step_3___SA" displayName="Vacuum__step_3___SA" ref="L17:O21" tableType="queryTable" totalsRowShown="0">
  <autoFilter ref="L17:O21" xr:uid="{EF84FD62-D325-43CA-8B59-6EA6532B972E}"/>
  <tableColumns count="4">
    <tableColumn id="1" xr3:uid="{4773FEDD-CB55-4E4A-855F-A01A1AFD1383}" uniqueName="1" name="Point" queryTableFieldId="1" dataDxfId="53"/>
    <tableColumn id="2" xr3:uid="{C10504CB-3F98-48A9-B9BD-1B3B6CBECAEB}" uniqueName="2" name="R" queryTableFieldId="2"/>
    <tableColumn id="3" xr3:uid="{4907F28A-6E58-452C-8CAF-4F16967CA45A}" uniqueName="3" name="T" queryTableFieldId="3"/>
    <tableColumn id="4" xr3:uid="{F1F6C9C2-F3A8-4936-B345-E16015DA936F}" uniqueName="4" name="P" queryTableFieldId="4"/>
  </tableColumns>
  <tableStyleInfo name="TableStyleMedium7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D40ED2F9-617C-47B8-B933-1DB08FF38BA7}" name="Vacuum__step_4___SA" displayName="Vacuum__step_4___SA" ref="L24:O28" tableType="queryTable" totalsRowShown="0">
  <autoFilter ref="L24:O28" xr:uid="{5202FD7A-92FF-41DC-89FE-92BCE353419C}"/>
  <tableColumns count="4">
    <tableColumn id="1" xr3:uid="{35757423-1970-460C-9A4C-EF4622196FF8}" uniqueName="1" name="Point" queryTableFieldId="1" dataDxfId="52"/>
    <tableColumn id="2" xr3:uid="{2503F110-4C4E-496C-933E-BA4F295C0D39}" uniqueName="2" name="R" queryTableFieldId="2"/>
    <tableColumn id="3" xr3:uid="{FF092EE6-5F7F-427C-B642-AD9ECC4B4310}" uniqueName="3" name="T" queryTableFieldId="3"/>
    <tableColumn id="4" xr3:uid="{AC2005CC-059F-45FA-B2C7-EBF5977696BF}" uniqueName="4" name="P" queryTableFieldId="4"/>
  </tableColumns>
  <tableStyleInfo name="TableStyleMedium7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6F3A85ED-F4D4-4BE4-80D0-1F2B4BA9FAA7}" name="Vacuum__step_4_1___SA" displayName="Vacuum__step_4_1___SA" ref="L31:O35" tableType="queryTable" totalsRowShown="0">
  <autoFilter ref="L31:O35" xr:uid="{56D4BE03-3F39-4AA4-8759-2CDAE13B053D}"/>
  <tableColumns count="4">
    <tableColumn id="1" xr3:uid="{586E98F0-8C57-4BE2-80B4-C7F9A81F8230}" uniqueName="1" name="Point" queryTableFieldId="1" dataDxfId="51"/>
    <tableColumn id="2" xr3:uid="{3ED5808C-646F-42EA-BDED-F46354910469}" uniqueName="2" name="R" queryTableFieldId="2"/>
    <tableColumn id="3" xr3:uid="{41F239A6-8087-4A2D-BDE8-7A23885A1B81}" uniqueName="3" name="T" queryTableFieldId="3"/>
    <tableColumn id="4" xr3:uid="{11F21A4A-667E-42C7-BF29-462340473470}" uniqueName="4" name="P" queryTableFieldId="4"/>
  </tableColumns>
  <tableStyleInfo name="TableStyleMedium7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7E27B4CA-5D41-48FD-BDEA-54564FD3D08A}" name="Vacuum__step_5___SA" displayName="Vacuum__step_5___SA" ref="L38:O42" tableType="queryTable" totalsRowShown="0">
  <autoFilter ref="L38:O42" xr:uid="{004F0633-1EF2-49FF-BAB8-5986C0300ABD}"/>
  <tableColumns count="4">
    <tableColumn id="1" xr3:uid="{339D6E21-FC01-48AE-8E70-D7306773F448}" uniqueName="1" name="Point" queryTableFieldId="1" dataDxfId="50"/>
    <tableColumn id="2" xr3:uid="{6F61F9E6-32BA-44CC-A9C9-6A77480D25D3}" uniqueName="2" name="R" queryTableFieldId="2"/>
    <tableColumn id="3" xr3:uid="{F7F7FE1C-07AA-4E6A-B445-9E739F3A6939}" uniqueName="3" name="T" queryTableFieldId="3"/>
    <tableColumn id="4" xr3:uid="{8D61FABD-3681-4EF4-9938-0B8CEBCD7FD3}" uniqueName="4" name="P" queryTableFieldId="4"/>
  </tableColumns>
  <tableStyleInfo name="TableStyleMedium7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63D72837-E090-49AF-BAB8-3C9283A0B9E2}" name="Vacuum__step_5_1___SA" displayName="Vacuum__step_5_1___SA" ref="L45:O49" tableType="queryTable" totalsRowShown="0">
  <autoFilter ref="L45:O49" xr:uid="{2C3D62C0-F91D-4232-98F0-1BD1341CC0D5}"/>
  <tableColumns count="4">
    <tableColumn id="1" xr3:uid="{9198CD8D-252F-4B28-9C9A-5B3C58D2F491}" uniqueName="1" name="Point" queryTableFieldId="1" dataDxfId="49"/>
    <tableColumn id="2" xr3:uid="{6E802AA9-6B06-4DBA-A7DB-C41FF535F87F}" uniqueName="2" name="R" queryTableFieldId="2"/>
    <tableColumn id="3" xr3:uid="{EA747159-BBD3-4850-AED6-1E80F0739821}" uniqueName="3" name="T" queryTableFieldId="3"/>
    <tableColumn id="4" xr3:uid="{08FC375D-0C57-4AF4-813D-4F7C781C8EAC}" uniqueName="4" name="P" queryTableFieldId="4"/>
  </tableColumns>
  <tableStyleInfo name="TableStyleMedium7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4CD02077-40C4-4953-9F26-4EAE899911BA}" name="Vacuum__step_1___test" displayName="Vacuum__step_1___test" ref="Q3:T7" tableType="queryTable" totalsRowShown="0">
  <autoFilter ref="Q3:T7" xr:uid="{57BB5901-19B2-437B-9A7C-95EBDEE3995E}"/>
  <tableColumns count="4">
    <tableColumn id="1" xr3:uid="{9C661FA6-80FE-4931-B262-5E62C8954AF4}" uniqueName="1" name="Column1" queryTableFieldId="1" dataDxfId="48"/>
    <tableColumn id="2" xr3:uid="{8EEE5C51-4F55-443A-918F-B103F6995A23}" uniqueName="2" name="Column2" queryTableFieldId="2"/>
    <tableColumn id="3" xr3:uid="{79DF64D4-97A4-4FB4-B4BE-312867087EE8}" uniqueName="3" name="Column3" queryTableFieldId="3"/>
    <tableColumn id="4" xr3:uid="{9BF33B19-14AB-40F8-939D-AAA356990C21}" uniqueName="4" name="Column4" queryTableFieldId="4"/>
  </tableColumns>
  <tableStyleInfo name="TableStyleMedium7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4138FE5B-1128-4A22-AD50-3BEEE1DE5CAC}" name="Vacuum__step_2___test" displayName="Vacuum__step_2___test" ref="Q10:T14" tableType="queryTable" totalsRowShown="0">
  <autoFilter ref="Q10:T14" xr:uid="{D8E9ECAC-3BAA-46B7-B788-1B26CE9A878A}"/>
  <tableColumns count="4">
    <tableColumn id="1" xr3:uid="{8D2B3C4E-FB58-4C7F-B251-38BE2A9D26A2}" uniqueName="1" name="Column1" queryTableFieldId="1" dataDxfId="47"/>
    <tableColumn id="2" xr3:uid="{50848770-3360-4467-B2E1-C4285045190B}" uniqueName="2" name="Column2" queryTableFieldId="2"/>
    <tableColumn id="3" xr3:uid="{D77B7260-EC5F-4530-A5AB-D34623365D81}" uniqueName="3" name="Column3" queryTableFieldId="3"/>
    <tableColumn id="4" xr3:uid="{CAAE400B-198F-4B0A-9F8A-790DCE12D16C}" uniqueName="4" name="Column4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53AF61-7F62-4304-8819-516D3A1EB3C7}" name="With_window__step_1___corrected" displayName="With_window__step_1___corrected" ref="G3:J7" tableType="queryTable" totalsRowShown="0">
  <autoFilter ref="G3:J7" xr:uid="{21E8C12A-2F10-4DC5-9090-5231C4AC365A}"/>
  <tableColumns count="4">
    <tableColumn id="1" xr3:uid="{51438308-0A4D-4E22-8DE8-96E2D8803FCC}" uniqueName="1" name="Point" queryTableFieldId="1" dataDxfId="118"/>
    <tableColumn id="2" xr3:uid="{E517524E-AD16-4C67-B15B-F9A9703F0ED5}" uniqueName="2" name="X" queryTableFieldId="2"/>
    <tableColumn id="3" xr3:uid="{F226F9F0-E17E-4851-A92A-C26B973849D1}" uniqueName="3" name="Y" queryTableFieldId="3"/>
    <tableColumn id="4" xr3:uid="{821090D8-78F5-4EB9-8CA8-F58F5CC08331}" uniqueName="4" name="Z" queryTableFieldId="4"/>
  </tableColumns>
  <tableStyleInfo name="TableStyleMedium7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2ABFD2D1-DAB1-45D5-BC3A-16C2904D8241}" name="Vacuum__step_3___test" displayName="Vacuum__step_3___test" ref="Q17:T21" tableType="queryTable" totalsRowShown="0">
  <autoFilter ref="Q17:T21" xr:uid="{050473CE-1130-4733-A3DD-913852422F19}"/>
  <tableColumns count="4">
    <tableColumn id="1" xr3:uid="{111AAEE4-A131-4E00-8B48-9E15984A24FE}" uniqueName="1" name="Column1" queryTableFieldId="1" dataDxfId="46"/>
    <tableColumn id="2" xr3:uid="{6163E2B5-3189-4207-974B-78B42CA573EC}" uniqueName="2" name="Column2" queryTableFieldId="2"/>
    <tableColumn id="3" xr3:uid="{8C0CFE17-E0CF-4AD9-BFFD-B73483F66DEA}" uniqueName="3" name="Column3" queryTableFieldId="3"/>
    <tableColumn id="4" xr3:uid="{CC9CF097-91FB-4820-A499-15ACAE7B3951}" uniqueName="4" name="Column4" queryTableFieldId="4"/>
  </tableColumns>
  <tableStyleInfo name="TableStyleMedium7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C1735449-7664-466E-8AC0-A4B401025808}" name="Vacuum__step_4___test" displayName="Vacuum__step_4___test" ref="Q24:T28" tableType="queryTable" totalsRowShown="0">
  <autoFilter ref="Q24:T28" xr:uid="{DE8C91D8-C664-4EA1-B87D-E97B5ADA3BDB}"/>
  <tableColumns count="4">
    <tableColumn id="1" xr3:uid="{C9870651-3C3D-4F69-862D-BCF0ABDA2045}" uniqueName="1" name="Column1" queryTableFieldId="1" dataDxfId="45"/>
    <tableColumn id="2" xr3:uid="{72D1ED39-A31B-4FEE-87C8-B170527FA690}" uniqueName="2" name="Column2" queryTableFieldId="2"/>
    <tableColumn id="3" xr3:uid="{55260C6B-4DF8-4366-AFA4-2B4D6320601F}" uniqueName="3" name="Column3" queryTableFieldId="3"/>
    <tableColumn id="4" xr3:uid="{666E6160-F853-4A83-A7BC-6C8A68B2738E}" uniqueName="4" name="Column4" queryTableFieldId="4"/>
  </tableColumns>
  <tableStyleInfo name="TableStyleMedium7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696B0ED6-07CE-4DBF-9830-70884306834F}" name="Vacuum__step_4_1___test" displayName="Vacuum__step_4_1___test" ref="Q31:T35" tableType="queryTable" totalsRowShown="0">
  <autoFilter ref="Q31:T35" xr:uid="{B4A5E34B-7803-4CC4-AB71-3FB158EDF913}"/>
  <tableColumns count="4">
    <tableColumn id="1" xr3:uid="{9BF186C6-63C9-4B57-B165-DFF096041719}" uniqueName="1" name="Column1" queryTableFieldId="1" dataDxfId="44"/>
    <tableColumn id="2" xr3:uid="{71395743-161D-4C87-901B-85C87D5783D1}" uniqueName="2" name="Column2" queryTableFieldId="2"/>
    <tableColumn id="3" xr3:uid="{80E6C365-63C2-4A7F-9255-3AC4DE557C94}" uniqueName="3" name="Column3" queryTableFieldId="3"/>
    <tableColumn id="4" xr3:uid="{8CF4A2E9-2D24-4F43-A197-BE03DA35BC25}" uniqueName="4" name="Column4" queryTableFieldId="4"/>
  </tableColumns>
  <tableStyleInfo name="TableStyleMedium7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CC241472-2BDE-4AB0-B7FD-21DC44A23D7A}" name="Vacuum__step_5___test" displayName="Vacuum__step_5___test" ref="Q38:T42" tableType="queryTable" totalsRowShown="0">
  <autoFilter ref="Q38:T42" xr:uid="{12933161-074F-47FC-83B4-071A97366702}"/>
  <tableColumns count="4">
    <tableColumn id="1" xr3:uid="{EC9814DE-5E2D-4449-A643-B2FB47C5DDC0}" uniqueName="1" name="Column1" queryTableFieldId="1" dataDxfId="43"/>
    <tableColumn id="2" xr3:uid="{5883A4F3-ACDA-4E55-8EC1-B553AE003371}" uniqueName="2" name="Column2" queryTableFieldId="2"/>
    <tableColumn id="3" xr3:uid="{03B34C29-7352-49DA-B69B-769265A380E5}" uniqueName="3" name="Column3" queryTableFieldId="3"/>
    <tableColumn id="4" xr3:uid="{11336081-7461-4027-99A1-FDCC6498FAE3}" uniqueName="4" name="Column4" queryTableFieldId="4"/>
  </tableColumns>
  <tableStyleInfo name="TableStyleMedium7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0B0C1AC3-C21E-4601-A12C-9C811BD31CA3}" name="Vacuum__step5_1___test" displayName="Vacuum__step5_1___test" ref="Q45:T49" tableType="queryTable" totalsRowShown="0">
  <autoFilter ref="Q45:T49" xr:uid="{F965DCC4-E3EF-408F-8497-7EC5CC8A71B4}"/>
  <tableColumns count="4">
    <tableColumn id="1" xr3:uid="{0D0A3907-E30A-4A99-8E75-034FEBB8C52A}" uniqueName="1" name="Column1" queryTableFieldId="1" dataDxfId="42"/>
    <tableColumn id="2" xr3:uid="{9AE201E6-3379-4E9A-8C15-2F002953ED79}" uniqueName="2" name="Column2" queryTableFieldId="2"/>
    <tableColumn id="3" xr3:uid="{C8CD598A-9C0F-411D-9075-707EA780D5EE}" uniqueName="3" name="Column3" queryTableFieldId="3"/>
    <tableColumn id="4" xr3:uid="{3FEC2AFB-25B9-4A5B-8774-E7273E0289ED}" uniqueName="4" name="Column4" queryTableFieldId="4"/>
  </tableColumns>
  <tableStyleInfo name="TableStyleMedium7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E2D7A97-1C51-44AB-BF9A-060819FAA77F}" name="without_window__step_1___1_7m___5" displayName="without_window__step_1___1_7m___5" ref="B3:E7" tableType="queryTable" totalsRowShown="0">
  <autoFilter ref="B3:E7" xr:uid="{B65A195B-770B-4007-8A68-3225FFEA3126}"/>
  <tableColumns count="4">
    <tableColumn id="1" xr3:uid="{5466E77C-5CA1-45F8-B7E5-97103544835D}" uniqueName="1" name="Point" queryTableFieldId="1" dataDxfId="41"/>
    <tableColumn id="2" xr3:uid="{51205CB2-C5F7-4C07-8E65-FB88C61AB61A}" uniqueName="2" name="X" queryTableFieldId="2"/>
    <tableColumn id="3" xr3:uid="{631D5A12-3D4B-456D-BFD9-09451A485B1D}" uniqueName="3" name="Y" queryTableFieldId="3"/>
    <tableColumn id="4" xr3:uid="{7AE3A1CB-2BB8-45EC-A3A7-A4621AC3F553}" uniqueName="4" name="Z" queryTableFieldId="4"/>
  </tableColumns>
  <tableStyleInfo name="TableStyleMedium7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A435F116-1EC3-496B-AEA4-59EAC7B336F8}" name="without_window__step_2___1_99m___3" displayName="without_window__step_2___1_99m___3" ref="B9:E13" tableType="queryTable" totalsRowShown="0">
  <autoFilter ref="B9:E13" xr:uid="{A2FDE7D9-0DB9-416B-BDE4-8F033290DB4C}"/>
  <tableColumns count="4">
    <tableColumn id="1" xr3:uid="{31B5DFA5-04BB-4E01-842C-C459B37F6AB0}" uniqueName="1" name="Point" queryTableFieldId="1" dataDxfId="40"/>
    <tableColumn id="2" xr3:uid="{74F0130F-6FA4-49C4-931E-F37F8E019DCA}" uniqueName="2" name="X" queryTableFieldId="2"/>
    <tableColumn id="3" xr3:uid="{D8098C10-BEFE-4BD2-8E07-24F3D2722D48}" uniqueName="3" name="Y" queryTableFieldId="3"/>
    <tableColumn id="4" xr3:uid="{245A878E-B2D1-4E27-90B5-DCC97240E62E}" uniqueName="4" name="Z" queryTableFieldId="4"/>
  </tableColumns>
  <tableStyleInfo name="TableStyleMedium7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8626A9E2-19E9-4A0B-93A9-CB82A32610A9}" name="without_window__step_3___2_28m___3" displayName="without_window__step_3___2_28m___3" ref="B15:E19" tableType="queryTable" totalsRowShown="0">
  <autoFilter ref="B15:E19" xr:uid="{18898FDA-32B9-4A28-A5CF-AF6643158D22}"/>
  <tableColumns count="4">
    <tableColumn id="1" xr3:uid="{049D8C58-D9F9-4662-9CA3-9897F19B762E}" uniqueName="1" name="Point" queryTableFieldId="1" dataDxfId="39"/>
    <tableColumn id="2" xr3:uid="{EA80C00C-9944-4377-9691-FC71D1CC7E27}" uniqueName="2" name="X" queryTableFieldId="2"/>
    <tableColumn id="3" xr3:uid="{EEAAC13F-0A1B-47C4-9751-BE9DA47DED2B}" uniqueName="3" name="Y" queryTableFieldId="3"/>
    <tableColumn id="4" xr3:uid="{520ED46E-3B56-4E1E-82EF-95BB2F8D1648}" uniqueName="4" name="Z" queryTableFieldId="4"/>
  </tableColumns>
  <tableStyleInfo name="TableStyleMedium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B93F1E42-DAFA-42CD-B9F7-CFE9194A98E4}" name="without_window__step_4___2_58m___3" displayName="without_window__step_4___2_58m___3" ref="B21:E25" tableType="queryTable" totalsRowShown="0">
  <autoFilter ref="B21:E25" xr:uid="{95311C7E-0800-45DA-A0E1-A9E9681C714B}"/>
  <tableColumns count="4">
    <tableColumn id="1" xr3:uid="{1F0A287B-2F0B-4282-B034-6BE65AD6E99A}" uniqueName="1" name="Point" queryTableFieldId="1" dataDxfId="38"/>
    <tableColumn id="2" xr3:uid="{31702569-4BDE-4A2F-8467-93C1B0236CFC}" uniqueName="2" name="X" queryTableFieldId="2"/>
    <tableColumn id="3" xr3:uid="{C74198C8-ADDD-4F4F-A7AE-7185B8E51BBC}" uniqueName="3" name="Y" queryTableFieldId="3"/>
    <tableColumn id="4" xr3:uid="{934A24DF-F7F2-4FAB-A2A6-B18F82A6E28B}" uniqueName="4" name="Z" queryTableFieldId="4"/>
  </tableColumns>
  <tableStyleInfo name="TableStyleMedium7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71316BBF-20C3-452C-9E85-C0DE35002FFA}" name="without_window__step_4_1___2_58m___3" displayName="without_window__step_4_1___2_58m___3" ref="B27:E31" tableType="queryTable" totalsRowShown="0">
  <autoFilter ref="B27:E31" xr:uid="{0561A389-A821-4211-A6E9-15BF0574762B}"/>
  <tableColumns count="4">
    <tableColumn id="1" xr3:uid="{B5DB6BE9-9406-429F-9D05-090DFD32F3F7}" uniqueName="1" name="Point" queryTableFieldId="1" dataDxfId="37"/>
    <tableColumn id="2" xr3:uid="{037921EF-8683-44D7-8C8E-F701FC136D27}" uniqueName="2" name="X" queryTableFieldId="2"/>
    <tableColumn id="3" xr3:uid="{23A4B19C-E2C1-4F50-A8B7-B5B046E769BC}" uniqueName="3" name="Y" queryTableFieldId="3"/>
    <tableColumn id="4" xr3:uid="{1E3D03F7-D87B-44E4-B16C-1D3E7DD9DDD2}" uniqueName="4" name="Z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DED2CC2-8A12-408A-B0F4-FED90080CF9B}" name="with_window__step_2___corrected" displayName="with_window__step_2___corrected" ref="G10:J14" tableType="queryTable" totalsRowShown="0">
  <autoFilter ref="G10:J14" xr:uid="{EDA2E55E-78C6-4ADF-9412-D1A1205748A1}"/>
  <tableColumns count="4">
    <tableColumn id="1" xr3:uid="{74CFFF32-B287-4BE6-B92D-FA21F27D9381}" uniqueName="1" name="Point" queryTableFieldId="1" dataDxfId="117"/>
    <tableColumn id="2" xr3:uid="{2C8B1FAC-929D-464B-BA72-E5D56CBE6593}" uniqueName="2" name="X" queryTableFieldId="2"/>
    <tableColumn id="3" xr3:uid="{AD3FC897-E377-4A97-A865-5763BB9A5A4B}" uniqueName="3" name="Y" queryTableFieldId="3"/>
    <tableColumn id="4" xr3:uid="{A59865AF-8DCD-48DE-86D6-89CE2EDF766E}" uniqueName="4" name="Z" queryTableFieldId="4"/>
  </tableColumns>
  <tableStyleInfo name="TableStyleMedium7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8C645F5E-BBC7-430B-9F3F-B76EE552C4EE}" name="without_window__step_5___2_87m___3" displayName="without_window__step_5___2_87m___3" ref="B33:E37" tableType="queryTable" totalsRowShown="0">
  <autoFilter ref="B33:E37" xr:uid="{C3D94FAE-0DB4-4993-B786-06281B423318}"/>
  <tableColumns count="4">
    <tableColumn id="1" xr3:uid="{F09A784C-E4D8-44BA-B1B0-F852CF589EFD}" uniqueName="1" name="Point" queryTableFieldId="1" dataDxfId="36"/>
    <tableColumn id="2" xr3:uid="{4F721A86-D023-43B0-92BE-E9296FEA28EF}" uniqueName="2" name="X" queryTableFieldId="2"/>
    <tableColumn id="3" xr3:uid="{E015F3F1-9A0A-4CE6-A513-3DB403A21216}" uniqueName="3" name="Y" queryTableFieldId="3"/>
    <tableColumn id="4" xr3:uid="{76C256EB-7571-4931-9304-13B1B43F7D65}" uniqueName="4" name="Z" queryTableFieldId="4"/>
  </tableColumns>
  <tableStyleInfo name="TableStyleMedium7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4D8ECA4C-E292-4699-8259-66D56E27131A}" name="without_window__step_5_1___2_87m___3" displayName="without_window__step_5_1___2_87m___3" ref="B39:E43" tableType="queryTable" totalsRowShown="0">
  <autoFilter ref="B39:E43" xr:uid="{DBFB9523-2C1F-413B-AAB2-F7F849B2B71F}"/>
  <tableColumns count="4">
    <tableColumn id="1" xr3:uid="{D50AA3AA-7DDD-4D7C-B432-7155FEB63CAE}" uniqueName="1" name="Point" queryTableFieldId="1" dataDxfId="35"/>
    <tableColumn id="2" xr3:uid="{CF639DBE-A76D-4838-8E71-421CD973E572}" uniqueName="2" name="X" queryTableFieldId="2"/>
    <tableColumn id="3" xr3:uid="{07D85477-BE59-47B8-AE29-410E92CED6F2}" uniqueName="3" name="Y" queryTableFieldId="3"/>
    <tableColumn id="4" xr3:uid="{06173DAE-F8FB-40CE-B835-18CC385BB071}" uniqueName="4" name="Z" queryTableFieldId="4"/>
  </tableColumns>
  <tableStyleInfo name="TableStyleMedium7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75EE72AB-5FE6-4750-9E07-79B436B655E9}" name="With_window__step_1___corrected___4" displayName="With_window__step_1___corrected___4" ref="G3:J7" tableType="queryTable" totalsRowShown="0">
  <autoFilter ref="G3:J7" xr:uid="{43C4132B-087D-44B7-877B-A55739897EF3}"/>
  <tableColumns count="4">
    <tableColumn id="1" xr3:uid="{2ADE7304-F078-4267-8147-0C407FB4E804}" uniqueName="1" name="point" queryTableFieldId="1" dataDxfId="34"/>
    <tableColumn id="2" xr3:uid="{08567B45-B401-4FFF-9002-B218D9CB4DF1}" uniqueName="2" name="X" queryTableFieldId="2"/>
    <tableColumn id="3" xr3:uid="{609A9113-0B6C-406E-9639-20F3A5F6D13B}" uniqueName="3" name="Y" queryTableFieldId="3"/>
    <tableColumn id="4" xr3:uid="{7EE37EE7-4D15-4555-9661-F22DA4A50DA6}" uniqueName="4" name="Z" queryTableFieldId="4"/>
  </tableColumns>
  <tableStyleInfo name="TableStyleMedium7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6144FE2C-A42F-48EF-A8CF-52AC6B641267}" name="with_window__step_2___corrected___4" displayName="with_window__step_2___corrected___4" ref="G9:J13" tableType="queryTable" totalsRowShown="0">
  <autoFilter ref="G9:J13" xr:uid="{52E4DE10-21B2-4ED2-9B0B-2637373505DA}"/>
  <tableColumns count="4">
    <tableColumn id="1" xr3:uid="{3A016E68-47FE-4721-8D68-8BE0A622BB15}" uniqueName="1" name="Point" queryTableFieldId="1" dataDxfId="33"/>
    <tableColumn id="2" xr3:uid="{C20FA6A3-92F0-4581-BB06-8ADDBB2DC410}" uniqueName="2" name="X" queryTableFieldId="2"/>
    <tableColumn id="3" xr3:uid="{73B285C0-3BB4-4825-B126-BD8CF48DA72D}" uniqueName="3" name="Y" queryTableFieldId="3"/>
    <tableColumn id="4" xr3:uid="{F5E649BC-C3AB-4B96-8B5D-E6D1ADFA0C43}" uniqueName="4" name="Z" queryTableFieldId="4"/>
  </tableColumns>
  <tableStyleInfo name="TableStyleMedium7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7077F36-E8D0-4313-8269-A4C7CBF1EEAE}" name="with_window__step_3___corrected___4" displayName="with_window__step_3___corrected___4" ref="G15:J19" tableType="queryTable" totalsRowShown="0">
  <autoFilter ref="G15:J19" xr:uid="{E78748F7-92E1-450D-8C68-27756ED63350}"/>
  <tableColumns count="4">
    <tableColumn id="1" xr3:uid="{D1C8447B-373D-4FBD-AF29-AB71BE5C1B25}" uniqueName="1" name="Point" queryTableFieldId="1" dataDxfId="32"/>
    <tableColumn id="2" xr3:uid="{14D07A55-E612-4C22-9418-FC53E5AEB51E}" uniqueName="2" name="X" queryTableFieldId="2"/>
    <tableColumn id="3" xr3:uid="{689EC7F7-C5A2-4B7E-93BE-85DEB619C2F8}" uniqueName="3" name="Y" queryTableFieldId="3"/>
    <tableColumn id="4" xr3:uid="{60E668A9-330F-4702-9383-2DB7C300DC53}" uniqueName="4" name="Z" queryTableFieldId="4"/>
  </tableColumns>
  <tableStyleInfo name="TableStyleMedium7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5B69202B-DA79-421A-902B-A71ACE26294E}" name="with_window__step_4___corrected___4" displayName="with_window__step_4___corrected___4" ref="G21:J25" tableType="queryTable" totalsRowShown="0">
  <autoFilter ref="G21:J25" xr:uid="{627288B2-747D-4C56-8A52-89C3B84E2C04}"/>
  <tableColumns count="4">
    <tableColumn id="1" xr3:uid="{B2E2393B-3AD7-43DD-8EB7-EAB5EFC7A609}" uniqueName="1" name="Point" queryTableFieldId="1" dataDxfId="31"/>
    <tableColumn id="2" xr3:uid="{FC1E9BF9-7CC8-4BE2-B81B-FD899354B1EB}" uniqueName="2" name="X" queryTableFieldId="2"/>
    <tableColumn id="3" xr3:uid="{1FBB8987-EA11-46D1-8FAC-095B2426199A}" uniqueName="3" name="Y" queryTableFieldId="3"/>
    <tableColumn id="4" xr3:uid="{5EC71B83-FED8-444B-8C81-32A7A8E8C301}" uniqueName="4" name="Z" queryTableFieldId="4"/>
  </tableColumns>
  <tableStyleInfo name="TableStyleMedium7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FF14BBB6-3648-4F81-A92B-48FE8187C054}" name="with_window__step_4_1___corrected___4" displayName="with_window__step_4_1___corrected___4" ref="G27:J31" tableType="queryTable" totalsRowShown="0">
  <autoFilter ref="G27:J31" xr:uid="{B240EE11-6595-4045-B73D-965A81A965F2}"/>
  <tableColumns count="4">
    <tableColumn id="1" xr3:uid="{B5EBDCC1-9DEA-44E0-8032-73B43A0CEA0B}" uniqueName="1" name="Point" queryTableFieldId="1" dataDxfId="30"/>
    <tableColumn id="2" xr3:uid="{B3BAA6FA-191E-4095-ACF8-4781EDA03C72}" uniqueName="2" name="X" queryTableFieldId="2"/>
    <tableColumn id="3" xr3:uid="{F3FAB189-80D6-4836-ABB6-100EF03D9A0E}" uniqueName="3" name="Y" queryTableFieldId="3"/>
    <tableColumn id="4" xr3:uid="{701A208C-405B-4901-97A5-CE88EA760999}" uniqueName="4" name="Z" queryTableFieldId="4"/>
  </tableColumns>
  <tableStyleInfo name="TableStyleMedium7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A3F6A1F5-8BB2-4DDA-8FFC-869B25EB3496}" name="with_window__step_5___corrected___4" displayName="with_window__step_5___corrected___4" ref="G33:J37" tableType="queryTable" totalsRowShown="0">
  <autoFilter ref="G33:J37" xr:uid="{8633F334-73AF-4D77-A134-D30BB6F6C102}"/>
  <tableColumns count="4">
    <tableColumn id="1" xr3:uid="{37C33CF3-7BBB-4862-B3A5-9513904E0565}" uniqueName="1" name="Point" queryTableFieldId="1" dataDxfId="29"/>
    <tableColumn id="2" xr3:uid="{7F892B87-40E3-4832-82E4-AA36CB89D180}" uniqueName="2" name="X" queryTableFieldId="2"/>
    <tableColumn id="3" xr3:uid="{A4A1D43C-3060-4CBF-A0E9-07485A84C3FC}" uniqueName="3" name="Y" queryTableFieldId="3"/>
    <tableColumn id="4" xr3:uid="{9F70678D-96EB-4DB6-B36B-FCE05E6F6A51}" uniqueName="4" name="Z" queryTableFieldId="4"/>
  </tableColumns>
  <tableStyleInfo name="TableStyleMedium7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ADA301F5-0C19-4135-BD18-EC054109C740}" name="with_window__step_5_1___corrected___4" displayName="with_window__step_5_1___corrected___4" ref="G39:J43" tableType="queryTable" totalsRowShown="0">
  <autoFilter ref="G39:J43" xr:uid="{F3A79A6F-8CC9-4C6F-83D9-5BF35CB1BBE6}"/>
  <tableColumns count="4">
    <tableColumn id="1" xr3:uid="{FE46AF50-F21D-4AA0-AD01-36D3CC9AEE3B}" uniqueName="1" name="Point" queryTableFieldId="1" dataDxfId="28"/>
    <tableColumn id="2" xr3:uid="{6561CB92-7680-4400-860A-EC455A0324DB}" uniqueName="2" name="X" queryTableFieldId="2"/>
    <tableColumn id="3" xr3:uid="{F6A244BE-24C0-42B1-B92D-6D74BCCA6D70}" uniqueName="3" name="Y" queryTableFieldId="3"/>
    <tableColumn id="4" xr3:uid="{2EE07C38-40E7-4DB5-A349-2F40B1C95F83}" uniqueName="4" name="Z" queryTableFieldId="4"/>
  </tableColumns>
  <tableStyleInfo name="TableStyleMedium7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5C1E13F1-976B-4BCE-926E-1F00BA191E8B}" name="vacuum__step_1___corrected___4" displayName="vacuum__step_1___corrected___4" ref="L3:O7" tableType="queryTable" totalsRowShown="0">
  <autoFilter ref="L3:O7" xr:uid="{A07CA7E8-6B2B-4DCD-98ED-850FB6C1A786}"/>
  <tableColumns count="4">
    <tableColumn id="1" xr3:uid="{150393EE-6526-44C9-BEF7-DA5AB3AB0049}" uniqueName="1" name="Point" queryTableFieldId="1" dataDxfId="27"/>
    <tableColumn id="2" xr3:uid="{077A14AB-8988-434D-9196-30ED9329A373}" uniqueName="2" name="X" queryTableFieldId="2"/>
    <tableColumn id="3" xr3:uid="{EDC014CE-FB80-459E-8D6B-39E8C394A997}" uniqueName="3" name="Y" queryTableFieldId="3"/>
    <tableColumn id="4" xr3:uid="{2D03EC49-1A60-425C-9C7B-47FF27EEA75F}" uniqueName="4" name="Z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26" Type="http://schemas.openxmlformats.org/officeDocument/2006/relationships/table" Target="../tables/table46.xml"/><Relationship Id="rId3" Type="http://schemas.openxmlformats.org/officeDocument/2006/relationships/table" Target="../tables/table23.xml"/><Relationship Id="rId21" Type="http://schemas.openxmlformats.org/officeDocument/2006/relationships/table" Target="../tables/table41.xml"/><Relationship Id="rId34" Type="http://schemas.openxmlformats.org/officeDocument/2006/relationships/table" Target="../tables/table54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5" Type="http://schemas.openxmlformats.org/officeDocument/2006/relationships/table" Target="../tables/table45.xml"/><Relationship Id="rId33" Type="http://schemas.openxmlformats.org/officeDocument/2006/relationships/table" Target="../tables/table53.xml"/><Relationship Id="rId2" Type="http://schemas.openxmlformats.org/officeDocument/2006/relationships/table" Target="../tables/table22.xml"/><Relationship Id="rId16" Type="http://schemas.openxmlformats.org/officeDocument/2006/relationships/table" Target="../tables/table36.xml"/><Relationship Id="rId20" Type="http://schemas.openxmlformats.org/officeDocument/2006/relationships/table" Target="../tables/table40.xml"/><Relationship Id="rId29" Type="http://schemas.openxmlformats.org/officeDocument/2006/relationships/table" Target="../tables/table49.xml"/><Relationship Id="rId1" Type="http://schemas.openxmlformats.org/officeDocument/2006/relationships/drawing" Target="../drawings/drawing1.xml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24" Type="http://schemas.openxmlformats.org/officeDocument/2006/relationships/table" Target="../tables/table44.xml"/><Relationship Id="rId32" Type="http://schemas.openxmlformats.org/officeDocument/2006/relationships/table" Target="../tables/table52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23" Type="http://schemas.openxmlformats.org/officeDocument/2006/relationships/table" Target="../tables/table43.xml"/><Relationship Id="rId28" Type="http://schemas.openxmlformats.org/officeDocument/2006/relationships/table" Target="../tables/table48.xml"/><Relationship Id="rId36" Type="http://schemas.openxmlformats.org/officeDocument/2006/relationships/table" Target="../tables/table56.xml"/><Relationship Id="rId10" Type="http://schemas.openxmlformats.org/officeDocument/2006/relationships/table" Target="../tables/table30.xml"/><Relationship Id="rId19" Type="http://schemas.openxmlformats.org/officeDocument/2006/relationships/table" Target="../tables/table39.xml"/><Relationship Id="rId31" Type="http://schemas.openxmlformats.org/officeDocument/2006/relationships/table" Target="../tables/table51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Relationship Id="rId22" Type="http://schemas.openxmlformats.org/officeDocument/2006/relationships/table" Target="../tables/table42.xml"/><Relationship Id="rId27" Type="http://schemas.openxmlformats.org/officeDocument/2006/relationships/table" Target="../tables/table47.xml"/><Relationship Id="rId30" Type="http://schemas.openxmlformats.org/officeDocument/2006/relationships/table" Target="../tables/table50.xml"/><Relationship Id="rId35" Type="http://schemas.openxmlformats.org/officeDocument/2006/relationships/table" Target="../tables/table5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3.xml"/><Relationship Id="rId13" Type="http://schemas.openxmlformats.org/officeDocument/2006/relationships/table" Target="../tables/table68.xml"/><Relationship Id="rId18" Type="http://schemas.openxmlformats.org/officeDocument/2006/relationships/table" Target="../tables/table73.xml"/><Relationship Id="rId26" Type="http://schemas.openxmlformats.org/officeDocument/2006/relationships/table" Target="../tables/table81.xml"/><Relationship Id="rId3" Type="http://schemas.openxmlformats.org/officeDocument/2006/relationships/table" Target="../tables/table58.xml"/><Relationship Id="rId21" Type="http://schemas.openxmlformats.org/officeDocument/2006/relationships/table" Target="../tables/table76.xml"/><Relationship Id="rId7" Type="http://schemas.openxmlformats.org/officeDocument/2006/relationships/table" Target="../tables/table62.xml"/><Relationship Id="rId12" Type="http://schemas.openxmlformats.org/officeDocument/2006/relationships/table" Target="../tables/table67.xml"/><Relationship Id="rId17" Type="http://schemas.openxmlformats.org/officeDocument/2006/relationships/table" Target="../tables/table72.xml"/><Relationship Id="rId25" Type="http://schemas.openxmlformats.org/officeDocument/2006/relationships/table" Target="../tables/table80.xml"/><Relationship Id="rId2" Type="http://schemas.openxmlformats.org/officeDocument/2006/relationships/table" Target="../tables/table57.xml"/><Relationship Id="rId16" Type="http://schemas.openxmlformats.org/officeDocument/2006/relationships/table" Target="../tables/table71.xml"/><Relationship Id="rId20" Type="http://schemas.openxmlformats.org/officeDocument/2006/relationships/table" Target="../tables/table75.xml"/><Relationship Id="rId29" Type="http://schemas.openxmlformats.org/officeDocument/2006/relationships/table" Target="../tables/table84.xml"/><Relationship Id="rId1" Type="http://schemas.openxmlformats.org/officeDocument/2006/relationships/drawing" Target="../drawings/drawing2.xml"/><Relationship Id="rId6" Type="http://schemas.openxmlformats.org/officeDocument/2006/relationships/table" Target="../tables/table61.xml"/><Relationship Id="rId11" Type="http://schemas.openxmlformats.org/officeDocument/2006/relationships/table" Target="../tables/table66.xml"/><Relationship Id="rId24" Type="http://schemas.openxmlformats.org/officeDocument/2006/relationships/table" Target="../tables/table79.xml"/><Relationship Id="rId5" Type="http://schemas.openxmlformats.org/officeDocument/2006/relationships/table" Target="../tables/table60.xml"/><Relationship Id="rId15" Type="http://schemas.openxmlformats.org/officeDocument/2006/relationships/table" Target="../tables/table70.xml"/><Relationship Id="rId23" Type="http://schemas.openxmlformats.org/officeDocument/2006/relationships/table" Target="../tables/table78.xml"/><Relationship Id="rId28" Type="http://schemas.openxmlformats.org/officeDocument/2006/relationships/table" Target="../tables/table83.xml"/><Relationship Id="rId10" Type="http://schemas.openxmlformats.org/officeDocument/2006/relationships/table" Target="../tables/table65.xml"/><Relationship Id="rId19" Type="http://schemas.openxmlformats.org/officeDocument/2006/relationships/table" Target="../tables/table74.xml"/><Relationship Id="rId4" Type="http://schemas.openxmlformats.org/officeDocument/2006/relationships/table" Target="../tables/table59.xml"/><Relationship Id="rId9" Type="http://schemas.openxmlformats.org/officeDocument/2006/relationships/table" Target="../tables/table64.xml"/><Relationship Id="rId14" Type="http://schemas.openxmlformats.org/officeDocument/2006/relationships/table" Target="../tables/table69.xml"/><Relationship Id="rId22" Type="http://schemas.openxmlformats.org/officeDocument/2006/relationships/table" Target="../tables/table77.xml"/><Relationship Id="rId27" Type="http://schemas.openxmlformats.org/officeDocument/2006/relationships/table" Target="../tables/table8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1.xml"/><Relationship Id="rId13" Type="http://schemas.openxmlformats.org/officeDocument/2006/relationships/table" Target="../tables/table96.xml"/><Relationship Id="rId18" Type="http://schemas.openxmlformats.org/officeDocument/2006/relationships/table" Target="../tables/table101.xml"/><Relationship Id="rId3" Type="http://schemas.openxmlformats.org/officeDocument/2006/relationships/table" Target="../tables/table86.xml"/><Relationship Id="rId21" Type="http://schemas.openxmlformats.org/officeDocument/2006/relationships/table" Target="../tables/table104.xml"/><Relationship Id="rId7" Type="http://schemas.openxmlformats.org/officeDocument/2006/relationships/table" Target="../tables/table90.xml"/><Relationship Id="rId12" Type="http://schemas.openxmlformats.org/officeDocument/2006/relationships/table" Target="../tables/table95.xml"/><Relationship Id="rId17" Type="http://schemas.openxmlformats.org/officeDocument/2006/relationships/table" Target="../tables/table100.xml"/><Relationship Id="rId2" Type="http://schemas.openxmlformats.org/officeDocument/2006/relationships/table" Target="../tables/table85.xml"/><Relationship Id="rId16" Type="http://schemas.openxmlformats.org/officeDocument/2006/relationships/table" Target="../tables/table99.xml"/><Relationship Id="rId20" Type="http://schemas.openxmlformats.org/officeDocument/2006/relationships/table" Target="../tables/table103.xml"/><Relationship Id="rId1" Type="http://schemas.openxmlformats.org/officeDocument/2006/relationships/drawing" Target="../drawings/drawing3.xml"/><Relationship Id="rId6" Type="http://schemas.openxmlformats.org/officeDocument/2006/relationships/table" Target="../tables/table89.xml"/><Relationship Id="rId11" Type="http://schemas.openxmlformats.org/officeDocument/2006/relationships/table" Target="../tables/table94.xml"/><Relationship Id="rId5" Type="http://schemas.openxmlformats.org/officeDocument/2006/relationships/table" Target="../tables/table88.xml"/><Relationship Id="rId15" Type="http://schemas.openxmlformats.org/officeDocument/2006/relationships/table" Target="../tables/table98.xml"/><Relationship Id="rId10" Type="http://schemas.openxmlformats.org/officeDocument/2006/relationships/table" Target="../tables/table93.xml"/><Relationship Id="rId19" Type="http://schemas.openxmlformats.org/officeDocument/2006/relationships/table" Target="../tables/table102.xml"/><Relationship Id="rId4" Type="http://schemas.openxmlformats.org/officeDocument/2006/relationships/table" Target="../tables/table87.xml"/><Relationship Id="rId9" Type="http://schemas.openxmlformats.org/officeDocument/2006/relationships/table" Target="../tables/table92.xml"/><Relationship Id="rId14" Type="http://schemas.openxmlformats.org/officeDocument/2006/relationships/table" Target="../tables/table97.xml"/><Relationship Id="rId22" Type="http://schemas.openxmlformats.org/officeDocument/2006/relationships/table" Target="../tables/table10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2.xml"/><Relationship Id="rId13" Type="http://schemas.openxmlformats.org/officeDocument/2006/relationships/table" Target="../tables/table117.xml"/><Relationship Id="rId18" Type="http://schemas.openxmlformats.org/officeDocument/2006/relationships/table" Target="../tables/table122.xml"/><Relationship Id="rId3" Type="http://schemas.openxmlformats.org/officeDocument/2006/relationships/table" Target="../tables/table107.xml"/><Relationship Id="rId21" Type="http://schemas.openxmlformats.org/officeDocument/2006/relationships/table" Target="../tables/table125.xml"/><Relationship Id="rId7" Type="http://schemas.openxmlformats.org/officeDocument/2006/relationships/table" Target="../tables/table111.xml"/><Relationship Id="rId12" Type="http://schemas.openxmlformats.org/officeDocument/2006/relationships/table" Target="../tables/table116.xml"/><Relationship Id="rId17" Type="http://schemas.openxmlformats.org/officeDocument/2006/relationships/table" Target="../tables/table121.xml"/><Relationship Id="rId2" Type="http://schemas.openxmlformats.org/officeDocument/2006/relationships/table" Target="../tables/table106.xml"/><Relationship Id="rId16" Type="http://schemas.openxmlformats.org/officeDocument/2006/relationships/table" Target="../tables/table120.xml"/><Relationship Id="rId20" Type="http://schemas.openxmlformats.org/officeDocument/2006/relationships/table" Target="../tables/table124.xml"/><Relationship Id="rId1" Type="http://schemas.openxmlformats.org/officeDocument/2006/relationships/drawing" Target="../drawings/drawing4.xml"/><Relationship Id="rId6" Type="http://schemas.openxmlformats.org/officeDocument/2006/relationships/table" Target="../tables/table110.xml"/><Relationship Id="rId11" Type="http://schemas.openxmlformats.org/officeDocument/2006/relationships/table" Target="../tables/table115.xml"/><Relationship Id="rId5" Type="http://schemas.openxmlformats.org/officeDocument/2006/relationships/table" Target="../tables/table109.xml"/><Relationship Id="rId15" Type="http://schemas.openxmlformats.org/officeDocument/2006/relationships/table" Target="../tables/table119.xml"/><Relationship Id="rId10" Type="http://schemas.openxmlformats.org/officeDocument/2006/relationships/table" Target="../tables/table114.xml"/><Relationship Id="rId19" Type="http://schemas.openxmlformats.org/officeDocument/2006/relationships/table" Target="../tables/table123.xml"/><Relationship Id="rId4" Type="http://schemas.openxmlformats.org/officeDocument/2006/relationships/table" Target="../tables/table108.xml"/><Relationship Id="rId9" Type="http://schemas.openxmlformats.org/officeDocument/2006/relationships/table" Target="../tables/table113.xml"/><Relationship Id="rId14" Type="http://schemas.openxmlformats.org/officeDocument/2006/relationships/table" Target="../tables/table118.xml"/><Relationship Id="rId22" Type="http://schemas.openxmlformats.org/officeDocument/2006/relationships/table" Target="../tables/table1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730F6-226A-45CD-A389-990EF5566A2F}">
  <dimension ref="A1:Y49"/>
  <sheetViews>
    <sheetView workbookViewId="0">
      <selection activeCell="U53" sqref="U53"/>
    </sheetView>
  </sheetViews>
  <sheetFormatPr defaultRowHeight="15" x14ac:dyDescent="0.25"/>
  <cols>
    <col min="2" max="5" width="11.140625" bestFit="1" customWidth="1"/>
    <col min="7" max="7" width="24.5703125" bestFit="1" customWidth="1"/>
    <col min="8" max="10" width="11.140625" bestFit="1" customWidth="1"/>
    <col min="12" max="12" width="19.7109375" bestFit="1" customWidth="1"/>
    <col min="13" max="15" width="11.140625" bestFit="1" customWidth="1"/>
  </cols>
  <sheetData>
    <row r="1" spans="1:25" x14ac:dyDescent="0.25">
      <c r="A1" t="s">
        <v>0</v>
      </c>
      <c r="B1" t="s">
        <v>1</v>
      </c>
      <c r="G1" t="s">
        <v>2</v>
      </c>
      <c r="L1" t="s">
        <v>3</v>
      </c>
      <c r="Q1" t="s">
        <v>4</v>
      </c>
      <c r="V1" t="s">
        <v>5</v>
      </c>
    </row>
    <row r="2" spans="1:25" x14ac:dyDescent="0.25">
      <c r="A2">
        <v>1</v>
      </c>
    </row>
    <row r="3" spans="1:25" x14ac:dyDescent="0.25">
      <c r="B3" t="s">
        <v>6</v>
      </c>
      <c r="C3" t="s">
        <v>7</v>
      </c>
      <c r="D3" t="s">
        <v>8</v>
      </c>
      <c r="E3" t="s">
        <v>9</v>
      </c>
      <c r="G3" t="s">
        <v>6</v>
      </c>
      <c r="H3" t="s">
        <v>7</v>
      </c>
      <c r="I3" t="s">
        <v>8</v>
      </c>
      <c r="J3" t="s">
        <v>9</v>
      </c>
      <c r="L3" t="s">
        <v>6</v>
      </c>
      <c r="M3" t="s">
        <v>7</v>
      </c>
      <c r="N3" t="s">
        <v>8</v>
      </c>
      <c r="O3" t="s">
        <v>9</v>
      </c>
      <c r="Q3" t="s">
        <v>10</v>
      </c>
      <c r="R3" t="s">
        <v>11</v>
      </c>
      <c r="S3" t="s">
        <v>12</v>
      </c>
      <c r="T3" t="s">
        <v>13</v>
      </c>
      <c r="V3" t="s">
        <v>10</v>
      </c>
      <c r="W3" t="s">
        <v>11</v>
      </c>
      <c r="X3" t="s">
        <v>12</v>
      </c>
      <c r="Y3" t="s">
        <v>13</v>
      </c>
    </row>
    <row r="4" spans="1:25" x14ac:dyDescent="0.25">
      <c r="B4" s="1" t="s">
        <v>14</v>
      </c>
      <c r="C4">
        <v>-1394.797</v>
      </c>
      <c r="D4">
        <v>943.61</v>
      </c>
      <c r="E4">
        <v>-90.515000000000001</v>
      </c>
      <c r="G4" s="1" t="s">
        <v>15</v>
      </c>
      <c r="H4">
        <v>-1394.6420000000001</v>
      </c>
      <c r="I4">
        <v>944.17200000000003</v>
      </c>
      <c r="J4">
        <v>-89.861000000000004</v>
      </c>
      <c r="L4" s="1" t="s">
        <v>16</v>
      </c>
      <c r="M4">
        <v>-1394.684</v>
      </c>
      <c r="N4">
        <v>944.14800000000002</v>
      </c>
      <c r="O4">
        <v>-89.92</v>
      </c>
      <c r="Q4">
        <f>IF(ISBLANK(without_window__step_1___1_7m___2[[#This Row],[X]]), NA(), (without_window__step_1___1_7m___2[[#This Row],[X]]-With_window__step_1___corrected[[#This Row],[X]]))</f>
        <v>-0.15499999999997272</v>
      </c>
      <c r="R4">
        <f>IF(ISBLANK(without_window__step_1___1_7m___2[[#This Row],[Y]]), NA(), (without_window__step_1___1_7m___2[[#This Row],[Y]]-With_window__step_1___corrected[[#This Row],[Y]]))</f>
        <v>-0.56200000000001182</v>
      </c>
      <c r="S4">
        <f>IF(ISBLANK(without_window__step_1___1_7m___2[[#This Row],[Z]]), NA(), (without_window__step_1___1_7m___2[[#This Row],[Z]]-With_window__step_1___corrected[[#This Row],[Z]]))</f>
        <v>-0.65399999999999636</v>
      </c>
      <c r="T4">
        <f>SQRT(SUMSQ(Q4,R4,S4))</f>
        <v>0.87611928411603868</v>
      </c>
      <c r="V4">
        <f>without_window__step_1___1_7m___2[[#This Row],[X]]-vacuum__step_1___corrected[[#This Row],[X]]</f>
        <v>-0.11300000000005639</v>
      </c>
      <c r="W4">
        <f>without_window__step_1___1_7m___2[[#This Row],[Y]]-vacuum__step_1___corrected[[#This Row],[Y]]</f>
        <v>-0.53800000000001091</v>
      </c>
      <c r="X4">
        <f>without_window__step_1___1_7m___2[[#This Row],[Z]]-vacuum__step_1___corrected[[#This Row],[Z]]</f>
        <v>-0.59499999999999886</v>
      </c>
      <c r="Y4">
        <f>SQRT(SUMSQ(V4,W4,))</f>
        <v>0.54973902899468985</v>
      </c>
    </row>
    <row r="5" spans="1:25" x14ac:dyDescent="0.25">
      <c r="B5" s="1" t="s">
        <v>17</v>
      </c>
      <c r="C5">
        <v>-1317.69</v>
      </c>
      <c r="D5">
        <v>1060.367</v>
      </c>
      <c r="E5">
        <v>-90.334000000000003</v>
      </c>
      <c r="G5" s="1" t="s">
        <v>18</v>
      </c>
      <c r="H5">
        <v>-1317.529</v>
      </c>
      <c r="I5">
        <v>1060.825</v>
      </c>
      <c r="J5">
        <v>-89.667000000000002</v>
      </c>
      <c r="L5" s="1" t="s">
        <v>19</v>
      </c>
      <c r="M5">
        <v>-1317.5709999999999</v>
      </c>
      <c r="N5">
        <v>1060.796</v>
      </c>
      <c r="O5">
        <v>-89.715000000000003</v>
      </c>
      <c r="Q5">
        <f>IF(ISBLANK(without_window__step_1___1_7m___2[[#This Row],[X]]), NA(), (without_window__step_1___1_7m___2[[#This Row],[X]]-With_window__step_1___corrected[[#This Row],[X]]))</f>
        <v>-0.16100000000005821</v>
      </c>
      <c r="R5">
        <f>IF(ISBLANK(without_window__step_1___1_7m___2[[#This Row],[Y]]), NA(), (without_window__step_1___1_7m___2[[#This Row],[Y]]-With_window__step_1___corrected[[#This Row],[Y]]))</f>
        <v>-0.45800000000008367</v>
      </c>
      <c r="S5">
        <f>IF(ISBLANK(without_window__step_1___1_7m___2[[#This Row],[Z]]), NA(), (without_window__step_1___1_7m___2[[#This Row],[Z]]-With_window__step_1___corrected[[#This Row],[Z]]))</f>
        <v>-0.66700000000000159</v>
      </c>
      <c r="T5">
        <f t="shared" ref="T5:T7" si="0">SQRT(SUMSQ(Q5,R5,S5))</f>
        <v>0.82496909033011501</v>
      </c>
      <c r="V5">
        <f>without_window__step_1___1_7m___2[[#This Row],[X]]-vacuum__step_1___corrected[[#This Row],[X]]</f>
        <v>-0.11900000000014188</v>
      </c>
      <c r="W5">
        <f>without_window__step_1___1_7m___2[[#This Row],[Y]]-vacuum__step_1___corrected[[#This Row],[Y]]</f>
        <v>-0.42900000000008731</v>
      </c>
      <c r="X5">
        <f>without_window__step_1___1_7m___2[[#This Row],[Z]]-vacuum__step_1___corrected[[#This Row],[Z]]</f>
        <v>-0.61899999999999977</v>
      </c>
      <c r="Y5">
        <f t="shared" ref="Y5:Y7" si="1">SQRT(SUMSQ(V5,W5,))</f>
        <v>0.44519883198421428</v>
      </c>
    </row>
    <row r="6" spans="1:25" x14ac:dyDescent="0.25">
      <c r="B6" s="1" t="s">
        <v>20</v>
      </c>
      <c r="C6">
        <v>-1317.6210000000001</v>
      </c>
      <c r="D6">
        <v>1060.0340000000001</v>
      </c>
      <c r="E6">
        <v>49.573</v>
      </c>
      <c r="G6" s="1" t="s">
        <v>21</v>
      </c>
      <c r="H6">
        <v>-1317.4069999999999</v>
      </c>
      <c r="I6">
        <v>1060.453</v>
      </c>
      <c r="J6">
        <v>50.154000000000003</v>
      </c>
      <c r="L6" s="1" t="s">
        <v>22</v>
      </c>
      <c r="M6">
        <v>-1317.45</v>
      </c>
      <c r="N6">
        <v>1060.412</v>
      </c>
      <c r="O6">
        <v>50.101999999999997</v>
      </c>
      <c r="Q6">
        <f>IF(ISBLANK(without_window__step_1___1_7m___2[[#This Row],[X]]), NA(), (without_window__step_1___1_7m___2[[#This Row],[X]]-With_window__step_1___corrected[[#This Row],[X]]))</f>
        <v>-0.21400000000016917</v>
      </c>
      <c r="R6">
        <f>IF(ISBLANK(without_window__step_1___1_7m___2[[#This Row],[Y]]), NA(), (without_window__step_1___1_7m___2[[#This Row],[Y]]-With_window__step_1___corrected[[#This Row],[Y]]))</f>
        <v>-0.41899999999986903</v>
      </c>
      <c r="S6">
        <f>IF(ISBLANK(without_window__step_1___1_7m___2[[#This Row],[Z]]), NA(), (without_window__step_1___1_7m___2[[#This Row],[Z]]-With_window__step_1___corrected[[#This Row],[Z]]))</f>
        <v>-0.58100000000000307</v>
      </c>
      <c r="T6">
        <f t="shared" si="0"/>
        <v>0.74760818615098534</v>
      </c>
      <c r="V6">
        <f>without_window__step_1___1_7m___2[[#This Row],[X]]-vacuum__step_1___corrected[[#This Row],[X]]</f>
        <v>-0.17100000000004911</v>
      </c>
      <c r="W6">
        <f>without_window__step_1___1_7m___2[[#This Row],[Y]]-vacuum__step_1___corrected[[#This Row],[Y]]</f>
        <v>-0.37799999999992906</v>
      </c>
      <c r="X6">
        <f>without_window__step_1___1_7m___2[[#This Row],[Z]]-vacuum__step_1___corrected[[#This Row],[Z]]</f>
        <v>-0.52899999999999636</v>
      </c>
      <c r="Y6">
        <f t="shared" si="1"/>
        <v>0.41487950057813555</v>
      </c>
    </row>
    <row r="7" spans="1:25" x14ac:dyDescent="0.25">
      <c r="B7" s="1" t="s">
        <v>23</v>
      </c>
      <c r="C7">
        <v>-1394.74</v>
      </c>
      <c r="D7">
        <v>943.33299999999997</v>
      </c>
      <c r="E7">
        <v>49.308999999999997</v>
      </c>
      <c r="G7" s="1" t="s">
        <v>24</v>
      </c>
      <c r="H7">
        <v>-1394.5129999999999</v>
      </c>
      <c r="I7">
        <v>943.85699999999997</v>
      </c>
      <c r="J7">
        <v>49.884999999999998</v>
      </c>
      <c r="L7" s="1" t="s">
        <v>25</v>
      </c>
      <c r="M7">
        <v>-1394.5650000000001</v>
      </c>
      <c r="N7">
        <v>943.82799999999997</v>
      </c>
      <c r="O7">
        <v>49.826000000000001</v>
      </c>
      <c r="Q7">
        <f>IF(ISBLANK(without_window__step_1___1_7m___2[[#This Row],[X]]), NA(), (without_window__step_1___1_7m___2[[#This Row],[X]]-With_window__step_1___corrected[[#This Row],[X]]))</f>
        <v>-0.22700000000008913</v>
      </c>
      <c r="R7">
        <f>IF(ISBLANK(without_window__step_1___1_7m___2[[#This Row],[Y]]), NA(), (without_window__step_1___1_7m___2[[#This Row],[Y]]-With_window__step_1___corrected[[#This Row],[Y]]))</f>
        <v>-0.52400000000000091</v>
      </c>
      <c r="S7">
        <f>IF(ISBLANK(without_window__step_1___1_7m___2[[#This Row],[Z]]), NA(), (without_window__step_1___1_7m___2[[#This Row],[Z]]-With_window__step_1___corrected[[#This Row],[Z]]))</f>
        <v>-0.57600000000000051</v>
      </c>
      <c r="T7">
        <f t="shared" si="0"/>
        <v>0.81109863765145229</v>
      </c>
      <c r="V7">
        <f>without_window__step_1___1_7m___2[[#This Row],[X]]-vacuum__step_1___corrected[[#This Row],[X]]</f>
        <v>-0.17499999999995453</v>
      </c>
      <c r="W7">
        <f>without_window__step_1___1_7m___2[[#This Row],[Y]]-vacuum__step_1___corrected[[#This Row],[Y]]</f>
        <v>-0.49500000000000455</v>
      </c>
      <c r="X7">
        <f>without_window__step_1___1_7m___2[[#This Row],[Z]]-vacuum__step_1___corrected[[#This Row],[Z]]</f>
        <v>-0.51700000000000301</v>
      </c>
      <c r="Y7">
        <f t="shared" si="1"/>
        <v>0.52502380898392464</v>
      </c>
    </row>
    <row r="9" spans="1:25" x14ac:dyDescent="0.25">
      <c r="A9">
        <v>2</v>
      </c>
    </row>
    <row r="10" spans="1:25" x14ac:dyDescent="0.25">
      <c r="B10" t="s">
        <v>6</v>
      </c>
      <c r="C10" t="s">
        <v>7</v>
      </c>
      <c r="D10" t="s">
        <v>8</v>
      </c>
      <c r="E10" t="s">
        <v>9</v>
      </c>
      <c r="G10" t="s">
        <v>6</v>
      </c>
      <c r="H10" t="s">
        <v>7</v>
      </c>
      <c r="I10" t="s">
        <v>8</v>
      </c>
      <c r="J10" t="s">
        <v>9</v>
      </c>
      <c r="L10" t="s">
        <v>26</v>
      </c>
      <c r="M10" t="s">
        <v>7</v>
      </c>
      <c r="N10" t="s">
        <v>8</v>
      </c>
      <c r="O10" t="s">
        <v>9</v>
      </c>
    </row>
    <row r="11" spans="1:25" x14ac:dyDescent="0.25">
      <c r="B11" s="1" t="s">
        <v>14</v>
      </c>
      <c r="C11">
        <v>-1636.7260000000001</v>
      </c>
      <c r="D11">
        <v>1107.203</v>
      </c>
      <c r="E11">
        <v>-89.599000000000004</v>
      </c>
      <c r="G11" s="1" t="s">
        <v>27</v>
      </c>
      <c r="H11">
        <v>-1636.4649999999999</v>
      </c>
      <c r="I11">
        <v>1107.856</v>
      </c>
      <c r="J11">
        <v>-88.798000000000002</v>
      </c>
      <c r="L11" s="1" t="s">
        <v>28</v>
      </c>
      <c r="M11">
        <v>-1636.519</v>
      </c>
      <c r="N11">
        <v>1107.8699999999999</v>
      </c>
      <c r="O11">
        <v>-88.847999999999999</v>
      </c>
      <c r="Q11">
        <f>without_window__step_2___1_99m[[#This Row],[X]]-with_window__step_2___corrected[[#This Row],[X]]</f>
        <v>-0.26100000000019463</v>
      </c>
      <c r="R11">
        <f>without_window__step_2___1_99m[[#This Row],[Y]]-with_window__step_2___corrected[[#This Row],[Y]]</f>
        <v>-0.65300000000002001</v>
      </c>
      <c r="S11">
        <f>without_window__step_2___1_99m[[#This Row],[Z]]-with_window__step_2___corrected[[#This Row],[Z]]</f>
        <v>-0.80100000000000193</v>
      </c>
      <c r="T11">
        <f>SQRT(SUMSQ(Q11,R11,S11))</f>
        <v>1.0658944600663476</v>
      </c>
      <c r="V11">
        <f>without_window__step_2___1_99m[[#This Row],[X]]-vacuum__step_2___corrected[[#This Row],[X]]</f>
        <v>-0.20700000000010732</v>
      </c>
      <c r="W11">
        <f>without_window__step_2___1_99m[[#This Row],[Y]]-vacuum__step_2___corrected[[#This Row],[Y]]</f>
        <v>-0.66699999999991633</v>
      </c>
      <c r="X11">
        <f>without_window__step_2___1_99m[[#This Row],[Z]]-vacuum__step_2___corrected[[#This Row],[Z]]</f>
        <v>-0.75100000000000477</v>
      </c>
      <c r="Y11">
        <f>SQRT(SUMSQ(V11,W11,))</f>
        <v>0.69838241673164481</v>
      </c>
    </row>
    <row r="12" spans="1:25" x14ac:dyDescent="0.25">
      <c r="B12" s="1" t="s">
        <v>17</v>
      </c>
      <c r="C12">
        <v>-1559.6010000000001</v>
      </c>
      <c r="D12">
        <v>1223.9580000000001</v>
      </c>
      <c r="E12">
        <v>-89.453000000000003</v>
      </c>
      <c r="G12" s="1" t="s">
        <v>29</v>
      </c>
      <c r="H12">
        <v>-1559.3679999999999</v>
      </c>
      <c r="I12">
        <v>1224.5170000000001</v>
      </c>
      <c r="J12">
        <v>-88.641999999999996</v>
      </c>
      <c r="L12" s="1" t="s">
        <v>30</v>
      </c>
      <c r="M12">
        <v>-1559.3910000000001</v>
      </c>
      <c r="N12">
        <v>1224.511</v>
      </c>
      <c r="O12">
        <v>-88.686000000000007</v>
      </c>
      <c r="Q12">
        <f>without_window__step_2___1_99m[[#This Row],[X]]-with_window__step_2___corrected[[#This Row],[X]]</f>
        <v>-0.23300000000017462</v>
      </c>
      <c r="R12">
        <f>without_window__step_2___1_99m[[#This Row],[Y]]-with_window__step_2___corrected[[#This Row],[Y]]</f>
        <v>-0.55899999999996908</v>
      </c>
      <c r="S12">
        <f>without_window__step_2___1_99m[[#This Row],[Z]]-with_window__step_2___corrected[[#This Row],[Z]]</f>
        <v>-0.81100000000000705</v>
      </c>
      <c r="T12">
        <f t="shared" ref="T12:T14" si="2">SQRT(SUMSQ(Q12,R12,S12))</f>
        <v>1.0121714281682022</v>
      </c>
      <c r="V12">
        <f>without_window__step_2___1_99m[[#This Row],[X]]-vacuum__step_2___corrected[[#This Row],[X]]</f>
        <v>-0.21000000000003638</v>
      </c>
      <c r="W12">
        <f>without_window__step_2___1_99m[[#This Row],[Y]]-vacuum__step_2___corrected[[#This Row],[Y]]</f>
        <v>-0.55299999999988358</v>
      </c>
      <c r="X12">
        <f>without_window__step_2___1_99m[[#This Row],[Z]]-vacuum__step_2___corrected[[#This Row],[Z]]</f>
        <v>-0.76699999999999591</v>
      </c>
      <c r="Y12">
        <f t="shared" ref="Y12:Y14" si="3">SQRT(SUMSQ(V12,W12,))</f>
        <v>0.59153106427294799</v>
      </c>
    </row>
    <row r="13" spans="1:25" x14ac:dyDescent="0.25">
      <c r="B13" s="1" t="s">
        <v>20</v>
      </c>
      <c r="C13">
        <v>-1559.5509999999999</v>
      </c>
      <c r="D13">
        <v>1223.6769999999999</v>
      </c>
      <c r="E13">
        <v>50.457999999999998</v>
      </c>
      <c r="G13" s="1" t="s">
        <v>31</v>
      </c>
      <c r="H13">
        <v>-1559.2629999999999</v>
      </c>
      <c r="I13">
        <v>1224.1969999999999</v>
      </c>
      <c r="J13">
        <v>51.173999999999999</v>
      </c>
      <c r="L13" s="1" t="s">
        <v>32</v>
      </c>
      <c r="M13">
        <v>-1559.2929999999999</v>
      </c>
      <c r="N13">
        <v>1224.1869999999999</v>
      </c>
      <c r="O13">
        <v>51.133000000000003</v>
      </c>
      <c r="Q13">
        <f>without_window__step_2___1_99m[[#This Row],[X]]-with_window__step_2___corrected[[#This Row],[X]]</f>
        <v>-0.28800000000001091</v>
      </c>
      <c r="R13">
        <f>without_window__step_2___1_99m[[#This Row],[Y]]-with_window__step_2___corrected[[#This Row],[Y]]</f>
        <v>-0.51999999999998181</v>
      </c>
      <c r="S13">
        <f>without_window__step_2___1_99m[[#This Row],[Z]]-with_window__step_2___corrected[[#This Row],[Z]]</f>
        <v>-0.71600000000000108</v>
      </c>
      <c r="T13">
        <f t="shared" si="2"/>
        <v>0.93059120993054145</v>
      </c>
      <c r="V13">
        <f>without_window__step_2___1_99m[[#This Row],[X]]-vacuum__step_2___corrected[[#This Row],[X]]</f>
        <v>-0.2580000000000382</v>
      </c>
      <c r="W13">
        <f>without_window__step_2___1_99m[[#This Row],[Y]]-vacuum__step_2___corrected[[#This Row],[Y]]</f>
        <v>-0.50999999999999091</v>
      </c>
      <c r="X13">
        <f>without_window__step_2___1_99m[[#This Row],[Z]]-vacuum__step_2___corrected[[#This Row],[Z]]</f>
        <v>-0.67500000000000426</v>
      </c>
      <c r="Y13">
        <f t="shared" si="3"/>
        <v>0.57154527379728237</v>
      </c>
    </row>
    <row r="14" spans="1:25" x14ac:dyDescent="0.25">
      <c r="B14" s="1" t="s">
        <v>23</v>
      </c>
      <c r="C14">
        <v>-1636.6859999999999</v>
      </c>
      <c r="D14">
        <v>1106.981</v>
      </c>
      <c r="E14">
        <v>50.228000000000002</v>
      </c>
      <c r="G14" s="1" t="s">
        <v>33</v>
      </c>
      <c r="H14">
        <v>-1636.384</v>
      </c>
      <c r="I14">
        <v>1107.614</v>
      </c>
      <c r="J14">
        <v>50.939</v>
      </c>
      <c r="L14" s="1" t="s">
        <v>34</v>
      </c>
      <c r="M14">
        <v>-1636.415</v>
      </c>
      <c r="N14">
        <v>1107.614</v>
      </c>
      <c r="O14">
        <v>50.890999999999998</v>
      </c>
      <c r="Q14">
        <f>without_window__step_2___1_99m[[#This Row],[X]]-with_window__step_2___corrected[[#This Row],[X]]</f>
        <v>-0.30199999999990723</v>
      </c>
      <c r="R14">
        <f>without_window__step_2___1_99m[[#This Row],[Y]]-with_window__step_2___corrected[[#This Row],[Y]]</f>
        <v>-0.6330000000000382</v>
      </c>
      <c r="S14">
        <f>without_window__step_2___1_99m[[#This Row],[Z]]-with_window__step_2___corrected[[#This Row],[Z]]</f>
        <v>-0.71099999999999852</v>
      </c>
      <c r="T14">
        <f t="shared" si="2"/>
        <v>0.99870616299289461</v>
      </c>
      <c r="V14">
        <f>without_window__step_2___1_99m[[#This Row],[X]]-vacuum__step_2___corrected[[#This Row],[X]]</f>
        <v>-0.27099999999995816</v>
      </c>
      <c r="W14">
        <f>without_window__step_2___1_99m[[#This Row],[Y]]-vacuum__step_2___corrected[[#This Row],[Y]]</f>
        <v>-0.6330000000000382</v>
      </c>
      <c r="X14">
        <f>without_window__step_2___1_99m[[#This Row],[Z]]-vacuum__step_2___corrected[[#This Row],[Z]]</f>
        <v>-0.6629999999999967</v>
      </c>
      <c r="Y14">
        <f t="shared" si="3"/>
        <v>0.68857098399513295</v>
      </c>
    </row>
    <row r="16" spans="1:25" x14ac:dyDescent="0.25">
      <c r="A16">
        <v>3</v>
      </c>
    </row>
    <row r="17" spans="1:25" x14ac:dyDescent="0.25">
      <c r="B17" t="s">
        <v>6</v>
      </c>
      <c r="C17" t="s">
        <v>7</v>
      </c>
      <c r="D17" t="s">
        <v>8</v>
      </c>
      <c r="E17" t="s">
        <v>9</v>
      </c>
      <c r="G17" t="s">
        <v>6</v>
      </c>
      <c r="H17" t="s">
        <v>7</v>
      </c>
      <c r="I17" t="s">
        <v>8</v>
      </c>
      <c r="J17" t="s">
        <v>9</v>
      </c>
      <c r="L17" t="s">
        <v>6</v>
      </c>
      <c r="M17" t="s">
        <v>7</v>
      </c>
      <c r="N17" t="s">
        <v>8</v>
      </c>
      <c r="O17" t="s">
        <v>9</v>
      </c>
    </row>
    <row r="18" spans="1:25" x14ac:dyDescent="0.25">
      <c r="B18" s="1" t="s">
        <v>14</v>
      </c>
      <c r="C18">
        <v>-1879.213</v>
      </c>
      <c r="D18">
        <v>1270.8409999999999</v>
      </c>
      <c r="E18">
        <v>-88.757000000000005</v>
      </c>
      <c r="G18" s="1" t="s">
        <v>14</v>
      </c>
      <c r="H18">
        <v>-1878.8969999999999</v>
      </c>
      <c r="I18">
        <v>1271.6099999999999</v>
      </c>
      <c r="J18">
        <v>-87.82</v>
      </c>
      <c r="L18" s="1" t="s">
        <v>35</v>
      </c>
      <c r="M18">
        <v>-1878.9169999999999</v>
      </c>
      <c r="N18">
        <v>1271.655</v>
      </c>
      <c r="O18">
        <v>-87.873000000000005</v>
      </c>
      <c r="Q18">
        <f>without_window__step_3___2_28m[[#This Row],[X]]-with_window__step_3___corrected[[#This Row],[X]]</f>
        <v>-0.31600000000003092</v>
      </c>
      <c r="R18">
        <f>without_window__step_3___2_28m[[#This Row],[Y]]-with_window__step_3___corrected[[#This Row],[Y]]</f>
        <v>-0.76900000000000546</v>
      </c>
      <c r="S18">
        <f>without_window__step_3___2_28m[[#This Row],[Z]]-with_window__step_3___corrected[[#This Row],[Z]]</f>
        <v>-0.93700000000001182</v>
      </c>
      <c r="T18">
        <f>SQRT(SUMSQ(Q18,R18,S18))</f>
        <v>1.252671545138649</v>
      </c>
      <c r="V18">
        <f>without_window__step_3___2_28m[[#This Row],[X]]-vacuum__step_3___corrected[[#This Row],[X]]</f>
        <v>-0.29600000000004911</v>
      </c>
      <c r="W18">
        <f>without_window__step_3___2_28m[[#This Row],[Y]]-vacuum__step_3___corrected[[#This Row],[Y]]</f>
        <v>-0.81400000000007822</v>
      </c>
      <c r="X18">
        <f>without_window__step_3___2_28m[[#This Row],[Z]]-vacuum__step_3___corrected[[#This Row],[Z]]</f>
        <v>-0.88400000000000034</v>
      </c>
      <c r="Y18">
        <f>SQRT(SUMSQ(V18,W18,X18))</f>
        <v>1.2376057530571507</v>
      </c>
    </row>
    <row r="19" spans="1:25" x14ac:dyDescent="0.25">
      <c r="B19" s="1" t="s">
        <v>17</v>
      </c>
      <c r="C19">
        <v>-1802.172</v>
      </c>
      <c r="D19">
        <v>1387.655</v>
      </c>
      <c r="E19">
        <v>-88.58</v>
      </c>
      <c r="G19" s="1" t="s">
        <v>17</v>
      </c>
      <c r="H19">
        <v>-1801.873</v>
      </c>
      <c r="I19">
        <v>1388.31</v>
      </c>
      <c r="J19">
        <v>-87.625</v>
      </c>
      <c r="L19" s="1" t="s">
        <v>36</v>
      </c>
      <c r="M19">
        <v>-1801.884</v>
      </c>
      <c r="N19">
        <v>1388.3510000000001</v>
      </c>
      <c r="O19">
        <v>-87.686000000000007</v>
      </c>
      <c r="Q19">
        <f>without_window__step_3___2_28m[[#This Row],[X]]-with_window__step_3___corrected[[#This Row],[X]]</f>
        <v>-0.29899999999997817</v>
      </c>
      <c r="R19">
        <f>without_window__step_3___2_28m[[#This Row],[Y]]-with_window__step_3___corrected[[#This Row],[Y]]</f>
        <v>-0.65499999999997272</v>
      </c>
      <c r="S19">
        <f>without_window__step_3___2_28m[[#This Row],[Z]]-with_window__step_3___corrected[[#This Row],[Z]]</f>
        <v>-0.95499999999999829</v>
      </c>
      <c r="T19">
        <f t="shared" ref="T19:T21" si="4">SQRT(SUMSQ(Q19,R19,S19))</f>
        <v>1.1960146320174967</v>
      </c>
      <c r="V19">
        <f>without_window__step_3___2_28m[[#This Row],[X]]-vacuum__step_3___corrected[[#This Row],[X]]</f>
        <v>-0.28800000000001091</v>
      </c>
      <c r="W19">
        <f>without_window__step_3___2_28m[[#This Row],[Y]]-vacuum__step_3___corrected[[#This Row],[Y]]</f>
        <v>-0.69600000000014006</v>
      </c>
      <c r="X19">
        <f>without_window__step_3___2_28m[[#This Row],[Z]]-vacuum__step_3___corrected[[#This Row],[Z]]</f>
        <v>-0.89399999999999125</v>
      </c>
      <c r="Y19">
        <f t="shared" ref="Y19:Y21" si="5">SQRT(SUMSQ(V19,W19,X19))</f>
        <v>1.1690149699641086</v>
      </c>
    </row>
    <row r="20" spans="1:25" x14ac:dyDescent="0.25">
      <c r="B20" s="1" t="s">
        <v>20</v>
      </c>
      <c r="C20">
        <v>-1802.3679999999999</v>
      </c>
      <c r="D20">
        <v>1387.49</v>
      </c>
      <c r="E20">
        <v>51.335999999999999</v>
      </c>
      <c r="G20" s="1" t="s">
        <v>20</v>
      </c>
      <c r="H20">
        <v>-1802</v>
      </c>
      <c r="I20">
        <v>1388.1089999999999</v>
      </c>
      <c r="J20">
        <v>52.195</v>
      </c>
      <c r="L20" s="1" t="s">
        <v>37</v>
      </c>
      <c r="M20">
        <v>-1802.0229999999999</v>
      </c>
      <c r="N20">
        <v>1388.1559999999999</v>
      </c>
      <c r="O20">
        <v>52.133000000000003</v>
      </c>
      <c r="Q20">
        <f>without_window__step_3___2_28m[[#This Row],[X]]-with_window__step_3___corrected[[#This Row],[X]]</f>
        <v>-0.36799999999993815</v>
      </c>
      <c r="R20">
        <f>without_window__step_3___2_28m[[#This Row],[Y]]-with_window__step_3___corrected[[#This Row],[Y]]</f>
        <v>-0.61899999999991451</v>
      </c>
      <c r="S20">
        <f>without_window__step_3___2_28m[[#This Row],[Z]]-with_window__step_3___corrected[[#This Row],[Z]]</f>
        <v>-0.85900000000000176</v>
      </c>
      <c r="T20">
        <f t="shared" si="4"/>
        <v>1.1209219419744854</v>
      </c>
      <c r="V20">
        <f>without_window__step_3___2_28m[[#This Row],[X]]-vacuum__step_3___corrected[[#This Row],[X]]</f>
        <v>-0.34500000000002728</v>
      </c>
      <c r="W20">
        <f>without_window__step_3___2_28m[[#This Row],[Y]]-vacuum__step_3___corrected[[#This Row],[Y]]</f>
        <v>-0.66599999999993997</v>
      </c>
      <c r="X20">
        <f>without_window__step_3___2_28m[[#This Row],[Z]]-vacuum__step_3___corrected[[#This Row],[Z]]</f>
        <v>-0.79700000000000415</v>
      </c>
      <c r="Y20">
        <f t="shared" si="5"/>
        <v>1.0944359277728164</v>
      </c>
    </row>
    <row r="21" spans="1:25" x14ac:dyDescent="0.25">
      <c r="B21" s="1" t="s">
        <v>23</v>
      </c>
      <c r="C21">
        <v>-1879.415</v>
      </c>
      <c r="D21">
        <v>1270.7370000000001</v>
      </c>
      <c r="E21">
        <v>51.073999999999998</v>
      </c>
      <c r="G21" s="1" t="s">
        <v>23</v>
      </c>
      <c r="H21">
        <v>-1879.0340000000001</v>
      </c>
      <c r="I21">
        <v>1271.4690000000001</v>
      </c>
      <c r="J21">
        <v>51.93</v>
      </c>
      <c r="L21" s="1" t="s">
        <v>38</v>
      </c>
      <c r="M21">
        <v>-1879.0530000000001</v>
      </c>
      <c r="N21">
        <v>1271.5219999999999</v>
      </c>
      <c r="O21">
        <v>51.872</v>
      </c>
      <c r="Q21">
        <f>without_window__step_3___2_28m[[#This Row],[X]]-with_window__step_3___corrected[[#This Row],[X]]</f>
        <v>-0.38099999999985812</v>
      </c>
      <c r="R21">
        <f>without_window__step_3___2_28m[[#This Row],[Y]]-with_window__step_3___corrected[[#This Row],[Y]]</f>
        <v>-0.7319999999999709</v>
      </c>
      <c r="S21">
        <f>without_window__step_3___2_28m[[#This Row],[Z]]-with_window__step_3___corrected[[#This Row],[Z]]</f>
        <v>-0.85600000000000165</v>
      </c>
      <c r="T21">
        <f t="shared" si="4"/>
        <v>1.1889999999999379</v>
      </c>
      <c r="V21">
        <f>without_window__step_3___2_28m[[#This Row],[X]]-vacuum__step_3___corrected[[#This Row],[X]]</f>
        <v>-0.36199999999985266</v>
      </c>
      <c r="W21">
        <f>without_window__step_3___2_28m[[#This Row],[Y]]-vacuum__step_3___corrected[[#This Row],[Y]]</f>
        <v>-0.78499999999985448</v>
      </c>
      <c r="X21">
        <f>without_window__step_3___2_28m[[#This Row],[Z]]-vacuum__step_3___corrected[[#This Row],[Z]]</f>
        <v>-0.79800000000000182</v>
      </c>
      <c r="Y21">
        <f t="shared" si="5"/>
        <v>1.17646631910976</v>
      </c>
    </row>
    <row r="23" spans="1:25" x14ac:dyDescent="0.25">
      <c r="A23">
        <v>4</v>
      </c>
    </row>
    <row r="24" spans="1:25" x14ac:dyDescent="0.25">
      <c r="B24" t="s">
        <v>6</v>
      </c>
      <c r="C24" t="s">
        <v>7</v>
      </c>
      <c r="D24" t="s">
        <v>8</v>
      </c>
      <c r="E24" t="s">
        <v>9</v>
      </c>
      <c r="G24" t="s">
        <v>6</v>
      </c>
      <c r="H24" t="s">
        <v>7</v>
      </c>
      <c r="I24" t="s">
        <v>8</v>
      </c>
      <c r="J24" t="s">
        <v>9</v>
      </c>
      <c r="L24" t="s">
        <v>39</v>
      </c>
      <c r="M24" t="s">
        <v>7</v>
      </c>
      <c r="N24" t="s">
        <v>8</v>
      </c>
      <c r="O24" t="s">
        <v>9</v>
      </c>
    </row>
    <row r="25" spans="1:25" x14ac:dyDescent="0.25">
      <c r="B25" s="1" t="s">
        <v>14</v>
      </c>
      <c r="C25">
        <v>-2121.864</v>
      </c>
      <c r="D25">
        <v>1433.6369999999999</v>
      </c>
      <c r="E25">
        <v>-88.828000000000003</v>
      </c>
      <c r="G25" s="1" t="s">
        <v>40</v>
      </c>
      <c r="H25">
        <v>-2121.4690000000001</v>
      </c>
      <c r="I25">
        <v>1434.5150000000001</v>
      </c>
      <c r="J25">
        <v>-87.754000000000005</v>
      </c>
      <c r="L25" s="1" t="s">
        <v>41</v>
      </c>
      <c r="M25">
        <v>-2121.4899999999998</v>
      </c>
      <c r="N25">
        <v>1434.578</v>
      </c>
      <c r="O25">
        <v>-87.808000000000007</v>
      </c>
      <c r="Q25">
        <f t="shared" ref="Q25:S28" si="6">C25-H25</f>
        <v>-0.39499999999998181</v>
      </c>
      <c r="R25">
        <f t="shared" si="6"/>
        <v>-0.87800000000015643</v>
      </c>
      <c r="S25">
        <f t="shared" si="6"/>
        <v>-1.0739999999999981</v>
      </c>
      <c r="T25">
        <f>SQRT(SUMSQ(Q25,R25,S25))</f>
        <v>1.4423539787445578</v>
      </c>
      <c r="V25">
        <f>without_window__step_4___2_58m[[#This Row],[X]]-vacuum__step_4___corrected[[#This Row],[X]]</f>
        <v>-0.37400000000025102</v>
      </c>
      <c r="W25">
        <f>without_window__step_4___2_58m[[#This Row],[Y]]-vacuum__step_4___corrected[[#This Row],[Y]]</f>
        <v>-0.94100000000003092</v>
      </c>
      <c r="X25">
        <f>without_window__step_4___2_58m[[#This Row],[Z]]-vacuum__step_4___corrected[[#This Row],[Z]]</f>
        <v>-1.019999999999996</v>
      </c>
      <c r="Y25">
        <f>SQRT(SUMSQ(V25,W25,))</f>
        <v>1.0125991309497782</v>
      </c>
    </row>
    <row r="26" spans="1:25" x14ac:dyDescent="0.25">
      <c r="B26" s="1" t="s">
        <v>17</v>
      </c>
      <c r="C26">
        <v>-2044.847</v>
      </c>
      <c r="D26">
        <v>1550.463</v>
      </c>
      <c r="E26">
        <v>-88.445999999999998</v>
      </c>
      <c r="G26" s="1" t="s">
        <v>42</v>
      </c>
      <c r="H26">
        <v>-2044.4570000000001</v>
      </c>
      <c r="I26">
        <v>1551.2349999999999</v>
      </c>
      <c r="J26">
        <v>-87.355999999999995</v>
      </c>
      <c r="L26" s="1" t="s">
        <v>43</v>
      </c>
      <c r="M26">
        <v>-2044.471</v>
      </c>
      <c r="N26">
        <v>1551.288</v>
      </c>
      <c r="O26">
        <v>-87.423000000000002</v>
      </c>
      <c r="Q26">
        <f t="shared" si="6"/>
        <v>-0.38999999999987267</v>
      </c>
      <c r="R26">
        <f t="shared" si="6"/>
        <v>-0.77199999999993452</v>
      </c>
      <c r="S26">
        <f t="shared" si="6"/>
        <v>-1.0900000000000034</v>
      </c>
      <c r="T26">
        <f t="shared" ref="T26:T28" si="7">SQRT(SUMSQ(Q26,R26,S26))</f>
        <v>1.391468289254127</v>
      </c>
      <c r="V26">
        <f>without_window__step_4___2_58m[[#This Row],[X]]-vacuum__step_4___corrected[[#This Row],[X]]</f>
        <v>-0.37599999999997635</v>
      </c>
      <c r="W26">
        <f>without_window__step_4___2_58m[[#This Row],[Y]]-vacuum__step_4___corrected[[#This Row],[Y]]</f>
        <v>-0.82500000000004547</v>
      </c>
      <c r="X26">
        <f>without_window__step_4___2_58m[[#This Row],[Z]]-vacuum__step_4___corrected[[#This Row],[Z]]</f>
        <v>-1.0229999999999961</v>
      </c>
      <c r="Y26">
        <f t="shared" ref="Y26:Y28" si="8">SQRT(SUMSQ(V26,W26,))</f>
        <v>0.90664270801681146</v>
      </c>
    </row>
    <row r="27" spans="1:25" x14ac:dyDescent="0.25">
      <c r="B27" s="1" t="s">
        <v>20</v>
      </c>
      <c r="C27">
        <v>-2045.223</v>
      </c>
      <c r="D27">
        <v>1550.1790000000001</v>
      </c>
      <c r="E27">
        <v>51.466000000000001</v>
      </c>
      <c r="G27" s="1" t="s">
        <v>44</v>
      </c>
      <c r="H27">
        <v>-2044.778</v>
      </c>
      <c r="I27">
        <v>1550.9110000000001</v>
      </c>
      <c r="J27">
        <v>52.473999999999997</v>
      </c>
      <c r="L27" s="1" t="s">
        <v>45</v>
      </c>
      <c r="M27">
        <v>-2044.788</v>
      </c>
      <c r="N27">
        <v>1550.9749999999999</v>
      </c>
      <c r="O27">
        <v>52.398000000000003</v>
      </c>
      <c r="Q27">
        <f t="shared" si="6"/>
        <v>-0.44499999999993634</v>
      </c>
      <c r="R27">
        <f t="shared" si="6"/>
        <v>-0.7319999999999709</v>
      </c>
      <c r="S27">
        <f t="shared" si="6"/>
        <v>-1.0079999999999956</v>
      </c>
      <c r="T27">
        <f t="shared" si="7"/>
        <v>1.3228427722144047</v>
      </c>
      <c r="V27">
        <f>without_window__step_4___2_58m[[#This Row],[X]]-vacuum__step_4___corrected[[#This Row],[X]]</f>
        <v>-0.43499999999994543</v>
      </c>
      <c r="W27">
        <f>without_window__step_4___2_58m[[#This Row],[Y]]-vacuum__step_4___corrected[[#This Row],[Y]]</f>
        <v>-0.79599999999982174</v>
      </c>
      <c r="X27">
        <f>without_window__step_4___2_58m[[#This Row],[Z]]-vacuum__step_4___corrected[[#This Row],[Z]]</f>
        <v>-0.93200000000000216</v>
      </c>
      <c r="Y27">
        <f t="shared" si="8"/>
        <v>0.90710583726468685</v>
      </c>
    </row>
    <row r="28" spans="1:25" x14ac:dyDescent="0.25">
      <c r="B28" s="1" t="s">
        <v>23</v>
      </c>
      <c r="C28">
        <v>-2122.248</v>
      </c>
      <c r="D28">
        <v>1433.41</v>
      </c>
      <c r="E28">
        <v>50.997999999999998</v>
      </c>
      <c r="G28" s="1" t="s">
        <v>46</v>
      </c>
      <c r="H28">
        <v>-2121.7910000000002</v>
      </c>
      <c r="I28">
        <v>1434.2619999999999</v>
      </c>
      <c r="J28">
        <v>51.994</v>
      </c>
      <c r="L28" s="1" t="s">
        <v>47</v>
      </c>
      <c r="M28">
        <v>-2121.8119999999999</v>
      </c>
      <c r="N28">
        <v>1434.33</v>
      </c>
      <c r="O28">
        <v>51.933999999999997</v>
      </c>
      <c r="Q28">
        <f t="shared" si="6"/>
        <v>-0.45699999999987995</v>
      </c>
      <c r="R28">
        <f t="shared" si="6"/>
        <v>-0.85199999999986176</v>
      </c>
      <c r="S28">
        <f t="shared" si="6"/>
        <v>-0.99600000000000222</v>
      </c>
      <c r="T28">
        <f t="shared" si="7"/>
        <v>1.3880810495067135</v>
      </c>
      <c r="V28">
        <f>without_window__step_4___2_58m[[#This Row],[X]]-vacuum__step_4___corrected[[#This Row],[X]]</f>
        <v>-0.43600000000014916</v>
      </c>
      <c r="W28">
        <f>without_window__step_4___2_58m[[#This Row],[Y]]-vacuum__step_4___corrected[[#This Row],[Y]]</f>
        <v>-0.91999999999984539</v>
      </c>
      <c r="X28">
        <f>without_window__step_4___2_58m[[#This Row],[Z]]-vacuum__step_4___corrected[[#This Row],[Z]]</f>
        <v>-0.93599999999999994</v>
      </c>
      <c r="Y28">
        <f t="shared" si="8"/>
        <v>1.0180844758662444</v>
      </c>
    </row>
    <row r="30" spans="1:25" x14ac:dyDescent="0.25">
      <c r="A30">
        <v>4.0999999999999996</v>
      </c>
    </row>
    <row r="31" spans="1:25" x14ac:dyDescent="0.25">
      <c r="B31" t="s">
        <v>6</v>
      </c>
      <c r="C31" t="s">
        <v>7</v>
      </c>
      <c r="D31" t="s">
        <v>8</v>
      </c>
      <c r="E31" t="s">
        <v>9</v>
      </c>
      <c r="G31" t="s">
        <v>6</v>
      </c>
      <c r="H31" t="s">
        <v>7</v>
      </c>
      <c r="I31" t="s">
        <v>8</v>
      </c>
      <c r="J31" t="s">
        <v>9</v>
      </c>
      <c r="L31" t="s">
        <v>6</v>
      </c>
      <c r="M31" t="s">
        <v>7</v>
      </c>
      <c r="N31" t="s">
        <v>8</v>
      </c>
      <c r="O31" t="s">
        <v>9</v>
      </c>
    </row>
    <row r="32" spans="1:25" x14ac:dyDescent="0.25">
      <c r="B32" s="1" t="s">
        <v>14</v>
      </c>
      <c r="C32">
        <v>-2037.6010000000001</v>
      </c>
      <c r="D32">
        <v>1557.9159999999999</v>
      </c>
      <c r="E32">
        <v>-88.581999999999994</v>
      </c>
      <c r="G32" s="1" t="s">
        <v>48</v>
      </c>
      <c r="H32">
        <v>-2037.2159999999999</v>
      </c>
      <c r="I32">
        <v>1558.6669999999999</v>
      </c>
      <c r="J32">
        <v>-87.489000000000004</v>
      </c>
      <c r="L32" s="1" t="s">
        <v>49</v>
      </c>
      <c r="M32">
        <v>-2037.232</v>
      </c>
      <c r="N32">
        <v>1558.7349999999999</v>
      </c>
      <c r="O32">
        <v>-87.552999999999997</v>
      </c>
      <c r="Q32">
        <f t="shared" ref="Q32:S35" si="9">C32-H32</f>
        <v>-0.38500000000021828</v>
      </c>
      <c r="R32">
        <f t="shared" si="9"/>
        <v>-0.75099999999997635</v>
      </c>
      <c r="S32">
        <f t="shared" si="9"/>
        <v>-1.0929999999999893</v>
      </c>
      <c r="T32">
        <f>SQRT(SUMSQ(Q32,R32,S32))</f>
        <v>1.3808964479641872</v>
      </c>
      <c r="V32">
        <f>without_window__step_4_1___2_58m[[#This Row],[X]]-vacuum__step_4_1___corrected[[#This Row],[X]]</f>
        <v>-0.36900000000014188</v>
      </c>
      <c r="W32">
        <f>without_window__step_4_1___2_58m[[#This Row],[Y]]-vacuum__step_4_1___corrected[[#This Row],[Y]]</f>
        <v>-0.81899999999995998</v>
      </c>
      <c r="X32">
        <f>without_window__step_4_1___2_58m[[#This Row],[Z]]-vacuum__step_4_1___corrected[[#This Row],[Z]]</f>
        <v>-1.0289999999999964</v>
      </c>
      <c r="Y32">
        <f>SQRT(SUMSQ(V32,W32,X32))</f>
        <v>1.3659293539565038</v>
      </c>
    </row>
    <row r="33" spans="1:25" x14ac:dyDescent="0.25">
      <c r="B33" s="1" t="s">
        <v>17</v>
      </c>
      <c r="C33">
        <v>-1960.5029999999999</v>
      </c>
      <c r="D33">
        <v>1674.6859999999999</v>
      </c>
      <c r="E33">
        <v>-88.263999999999996</v>
      </c>
      <c r="G33" s="1" t="s">
        <v>50</v>
      </c>
      <c r="H33">
        <v>-1960.126</v>
      </c>
      <c r="I33">
        <v>1675.3440000000001</v>
      </c>
      <c r="J33">
        <v>-87.161000000000001</v>
      </c>
      <c r="L33" s="1" t="s">
        <v>51</v>
      </c>
      <c r="M33">
        <v>-1960.1479999999999</v>
      </c>
      <c r="N33">
        <v>1675.39</v>
      </c>
      <c r="O33">
        <v>-87.225999999999999</v>
      </c>
      <c r="Q33">
        <f t="shared" si="9"/>
        <v>-0.37699999999995271</v>
      </c>
      <c r="R33">
        <f t="shared" si="9"/>
        <v>-0.65800000000012915</v>
      </c>
      <c r="S33">
        <f t="shared" si="9"/>
        <v>-1.1029999999999944</v>
      </c>
      <c r="T33">
        <f t="shared" ref="T33:T35" si="10">SQRT(SUMSQ(Q33,R33,S33))</f>
        <v>1.3385447321625534</v>
      </c>
      <c r="V33">
        <f>without_window__step_4_1___2_58m[[#This Row],[X]]-vacuum__step_4_1___corrected[[#This Row],[X]]</f>
        <v>-0.35500000000001819</v>
      </c>
      <c r="W33">
        <f>without_window__step_4_1___2_58m[[#This Row],[Y]]-vacuum__step_4_1___corrected[[#This Row],[Y]]</f>
        <v>-0.70400000000017826</v>
      </c>
      <c r="X33">
        <f>without_window__step_4_1___2_58m[[#This Row],[Z]]-vacuum__step_4_1___corrected[[#This Row],[Z]]</f>
        <v>-1.0379999999999967</v>
      </c>
      <c r="Y33">
        <f t="shared" ref="Y33:Y35" si="11">SQRT(SUMSQ(V33,W33,X33))</f>
        <v>1.3034895473306478</v>
      </c>
    </row>
    <row r="34" spans="1:25" x14ac:dyDescent="0.25">
      <c r="B34" s="1" t="s">
        <v>20</v>
      </c>
      <c r="C34">
        <v>-1960.722</v>
      </c>
      <c r="D34">
        <v>1674.374</v>
      </c>
      <c r="E34">
        <v>51.643999999999998</v>
      </c>
      <c r="G34" s="1" t="s">
        <v>52</v>
      </c>
      <c r="H34">
        <v>-1960.2829999999999</v>
      </c>
      <c r="I34">
        <v>1674.998</v>
      </c>
      <c r="J34">
        <v>52.661000000000001</v>
      </c>
      <c r="L34" s="1" t="s">
        <v>53</v>
      </c>
      <c r="M34">
        <v>-1960.3109999999999</v>
      </c>
      <c r="N34">
        <v>1675.058</v>
      </c>
      <c r="O34">
        <v>52.585999999999999</v>
      </c>
      <c r="Q34">
        <f t="shared" si="9"/>
        <v>-0.43900000000007822</v>
      </c>
      <c r="R34">
        <f t="shared" si="9"/>
        <v>-0.62400000000002365</v>
      </c>
      <c r="S34">
        <f t="shared" si="9"/>
        <v>-1.017000000000003</v>
      </c>
      <c r="T34">
        <f t="shared" si="10"/>
        <v>1.2713717001727325</v>
      </c>
      <c r="V34">
        <f>without_window__step_4_1___2_58m[[#This Row],[X]]-vacuum__step_4_1___corrected[[#This Row],[X]]</f>
        <v>-0.41100000000005821</v>
      </c>
      <c r="W34">
        <f>without_window__step_4_1___2_58m[[#This Row],[Y]]-vacuum__step_4_1___corrected[[#This Row],[Y]]</f>
        <v>-0.68399999999996908</v>
      </c>
      <c r="X34">
        <f>without_window__step_4_1___2_58m[[#This Row],[Z]]-vacuum__step_4_1___corrected[[#This Row],[Z]]</f>
        <v>-0.94200000000000017</v>
      </c>
      <c r="Y34">
        <f t="shared" si="11"/>
        <v>1.2345610555983069</v>
      </c>
    </row>
    <row r="35" spans="1:25" x14ac:dyDescent="0.25">
      <c r="B35" s="1" t="s">
        <v>23</v>
      </c>
      <c r="C35">
        <v>-2037.8209999999999</v>
      </c>
      <c r="D35">
        <v>1557.673</v>
      </c>
      <c r="E35">
        <v>51.258000000000003</v>
      </c>
      <c r="G35" s="1" t="s">
        <v>54</v>
      </c>
      <c r="H35">
        <v>-2037.3820000000001</v>
      </c>
      <c r="I35">
        <v>1558.384</v>
      </c>
      <c r="J35">
        <v>52.256999999999998</v>
      </c>
      <c r="L35" s="1" t="s">
        <v>55</v>
      </c>
      <c r="M35">
        <v>-2037.395</v>
      </c>
      <c r="N35">
        <v>1558.4590000000001</v>
      </c>
      <c r="O35">
        <v>52.192</v>
      </c>
      <c r="Q35">
        <f t="shared" si="9"/>
        <v>-0.43899999999985084</v>
      </c>
      <c r="R35">
        <f t="shared" si="9"/>
        <v>-0.71100000000001273</v>
      </c>
      <c r="S35">
        <f t="shared" si="9"/>
        <v>-0.99899999999999523</v>
      </c>
      <c r="T35">
        <f t="shared" si="10"/>
        <v>1.3023989404172125</v>
      </c>
      <c r="V35">
        <f>without_window__step_4_1___2_58m[[#This Row],[X]]-vacuum__step_4_1___corrected[[#This Row],[X]]</f>
        <v>-0.42599999999993088</v>
      </c>
      <c r="W35">
        <f>without_window__step_4_1___2_58m[[#This Row],[Y]]-vacuum__step_4_1___corrected[[#This Row],[Y]]</f>
        <v>-0.78600000000005821</v>
      </c>
      <c r="X35">
        <f>without_window__step_4_1___2_58m[[#This Row],[Z]]-vacuum__step_4_1___corrected[[#This Row],[Z]]</f>
        <v>-0.9339999999999975</v>
      </c>
      <c r="Y35">
        <f t="shared" si="11"/>
        <v>1.2929145370054542</v>
      </c>
    </row>
    <row r="37" spans="1:25" x14ac:dyDescent="0.25">
      <c r="A37">
        <v>5</v>
      </c>
    </row>
    <row r="38" spans="1:25" x14ac:dyDescent="0.25">
      <c r="B38" t="s">
        <v>6</v>
      </c>
      <c r="C38" t="s">
        <v>7</v>
      </c>
      <c r="D38" t="s">
        <v>8</v>
      </c>
      <c r="E38" t="s">
        <v>9</v>
      </c>
      <c r="G38" t="s">
        <v>6</v>
      </c>
      <c r="H38" t="s">
        <v>7</v>
      </c>
      <c r="I38" t="s">
        <v>8</v>
      </c>
      <c r="J38" t="s">
        <v>9</v>
      </c>
      <c r="L38" t="s">
        <v>6</v>
      </c>
      <c r="M38" t="s">
        <v>7</v>
      </c>
      <c r="N38" t="s">
        <v>8</v>
      </c>
      <c r="O38" t="s">
        <v>9</v>
      </c>
    </row>
    <row r="39" spans="1:25" x14ac:dyDescent="0.25">
      <c r="B39" s="1" t="s">
        <v>14</v>
      </c>
      <c r="C39">
        <v>-2364.346</v>
      </c>
      <c r="D39">
        <v>1596.1420000000001</v>
      </c>
      <c r="E39">
        <v>-89.162000000000006</v>
      </c>
      <c r="G39" s="1" t="s">
        <v>14</v>
      </c>
      <c r="H39">
        <v>-2363.873</v>
      </c>
      <c r="I39">
        <v>1597.1369999999999</v>
      </c>
      <c r="J39">
        <v>-87.938999999999993</v>
      </c>
      <c r="L39" s="1" t="s">
        <v>56</v>
      </c>
      <c r="M39">
        <v>-2363.895</v>
      </c>
      <c r="N39">
        <v>1597.1969999999999</v>
      </c>
      <c r="O39">
        <v>-88.01</v>
      </c>
      <c r="Q39">
        <f>without_window__step_5___2_87m[[#This Row],[X]]-with_window__step_5___corrected[[#This Row],[X]]</f>
        <v>-0.47299999999995634</v>
      </c>
      <c r="R39">
        <f>without_window__step_5___2_87m[[#This Row],[Y]]-with_window__step_5___corrected[[#This Row],[Y]]</f>
        <v>-0.99499999999989086</v>
      </c>
      <c r="S39">
        <f>without_window__step_5___2_87m[[#This Row],[Z]]-with_window__step_5___corrected[[#This Row],[Z]]</f>
        <v>-1.2230000000000132</v>
      </c>
      <c r="T39">
        <f>SQRT(SUMSQ(Q39,R39,S39))</f>
        <v>1.6460507282583285</v>
      </c>
      <c r="V39">
        <f>without_window__step_5___2_87m[[#This Row],[X]]-vacuum__step_5___corrected___2[[#This Row],[X]]</f>
        <v>-0.45100000000002183</v>
      </c>
      <c r="W39">
        <f>without_window__step_5___2_87m[[#This Row],[Y]]-vacuum__step_5___corrected___2[[#This Row],[Y]]</f>
        <v>-1.0549999999998363</v>
      </c>
      <c r="X39">
        <f>without_window__step_5___2_87m[[#This Row],[Z]]-vacuum__step_5___corrected___2[[#This Row],[Z]]</f>
        <v>-1.152000000000001</v>
      </c>
      <c r="Y39">
        <f>SQRT(SUMSQ(V39,W39,X39))</f>
        <v>1.6258936004547397</v>
      </c>
    </row>
    <row r="40" spans="1:25" x14ac:dyDescent="0.25">
      <c r="B40" s="1" t="s">
        <v>17</v>
      </c>
      <c r="C40">
        <v>-2287.3209999999999</v>
      </c>
      <c r="D40">
        <v>1712.9659999999999</v>
      </c>
      <c r="E40">
        <v>-88.527000000000001</v>
      </c>
      <c r="G40" s="1" t="s">
        <v>17</v>
      </c>
      <c r="H40">
        <v>-2286.8539999999998</v>
      </c>
      <c r="I40">
        <v>1713.8440000000001</v>
      </c>
      <c r="J40">
        <v>-87.287999999999997</v>
      </c>
      <c r="L40" s="1" t="s">
        <v>57</v>
      </c>
      <c r="M40">
        <v>-2286.875</v>
      </c>
      <c r="N40">
        <v>1713.905</v>
      </c>
      <c r="O40">
        <v>-87.364999999999995</v>
      </c>
      <c r="Q40">
        <f>without_window__step_5___2_87m[[#This Row],[X]]-with_window__step_5___corrected[[#This Row],[X]]</f>
        <v>-0.46700000000009823</v>
      </c>
      <c r="R40">
        <f>without_window__step_5___2_87m[[#This Row],[Y]]-with_window__step_5___corrected[[#This Row],[Y]]</f>
        <v>-0.87800000000015643</v>
      </c>
      <c r="S40">
        <f>without_window__step_5___2_87m[[#This Row],[Z]]-with_window__step_5___corrected[[#This Row],[Z]]</f>
        <v>-1.2390000000000043</v>
      </c>
      <c r="T40">
        <f t="shared" ref="T40:T42" si="12">SQRT(SUMSQ(Q40,R40,S40))</f>
        <v>1.5887397521307187</v>
      </c>
      <c r="V40">
        <f>without_window__step_5___2_87m[[#This Row],[X]]-vacuum__step_5___corrected___2[[#This Row],[X]]</f>
        <v>-0.44599999999991269</v>
      </c>
      <c r="W40">
        <f>without_window__step_5___2_87m[[#This Row],[Y]]-vacuum__step_5___corrected___2[[#This Row],[Y]]</f>
        <v>-0.93900000000007822</v>
      </c>
      <c r="X40">
        <f>without_window__step_5___2_87m[[#This Row],[Z]]-vacuum__step_5___corrected___2[[#This Row],[Z]]</f>
        <v>-1.1620000000000061</v>
      </c>
      <c r="Y40">
        <f t="shared" ref="Y40:Y42" si="13">SQRT(SUMSQ(V40,W40,X40))</f>
        <v>1.5591282820858849</v>
      </c>
    </row>
    <row r="41" spans="1:25" x14ac:dyDescent="0.25">
      <c r="B41" s="1" t="s">
        <v>20</v>
      </c>
      <c r="C41">
        <v>-2287.8330000000001</v>
      </c>
      <c r="D41">
        <v>1712.471</v>
      </c>
      <c r="E41">
        <v>51.381</v>
      </c>
      <c r="G41" s="1" t="s">
        <v>20</v>
      </c>
      <c r="H41">
        <v>-2287.3130000000001</v>
      </c>
      <c r="I41">
        <v>1713.316</v>
      </c>
      <c r="J41">
        <v>52.534999999999997</v>
      </c>
      <c r="L41" s="1" t="s">
        <v>58</v>
      </c>
      <c r="M41">
        <v>-2287.3330000000001</v>
      </c>
      <c r="N41">
        <v>1713.3820000000001</v>
      </c>
      <c r="O41">
        <v>52.454999999999998</v>
      </c>
      <c r="Q41">
        <f>without_window__step_5___2_87m[[#This Row],[X]]-with_window__step_5___corrected[[#This Row],[X]]</f>
        <v>-0.51999999999998181</v>
      </c>
      <c r="R41">
        <f>without_window__step_5___2_87m[[#This Row],[Y]]-with_window__step_5___corrected[[#This Row],[Y]]</f>
        <v>-0.84500000000002728</v>
      </c>
      <c r="S41">
        <f>without_window__step_5___2_87m[[#This Row],[Z]]-with_window__step_5___corrected[[#This Row],[Z]]</f>
        <v>-1.1539999999999964</v>
      </c>
      <c r="T41">
        <f t="shared" si="12"/>
        <v>1.5218873151452503</v>
      </c>
      <c r="V41">
        <f>without_window__step_5___2_87m[[#This Row],[X]]-vacuum__step_5___corrected___2[[#This Row],[X]]</f>
        <v>-0.5</v>
      </c>
      <c r="W41">
        <f>without_window__step_5___2_87m[[#This Row],[Y]]-vacuum__step_5___corrected___2[[#This Row],[Y]]</f>
        <v>-0.91100000000005821</v>
      </c>
      <c r="X41">
        <f>without_window__step_5___2_87m[[#This Row],[Z]]-vacuum__step_5___corrected___2[[#This Row],[Z]]</f>
        <v>-1.0739999999999981</v>
      </c>
      <c r="Y41">
        <f t="shared" si="13"/>
        <v>1.4944554192079811</v>
      </c>
    </row>
    <row r="42" spans="1:25" x14ac:dyDescent="0.25">
      <c r="B42" s="1" t="s">
        <v>23</v>
      </c>
      <c r="C42">
        <v>-2364.87</v>
      </c>
      <c r="D42">
        <v>1595.701</v>
      </c>
      <c r="E42">
        <v>50.670999999999999</v>
      </c>
      <c r="G42" s="1" t="s">
        <v>23</v>
      </c>
      <c r="H42">
        <v>-2364.3429999999998</v>
      </c>
      <c r="I42">
        <v>1596.664</v>
      </c>
      <c r="J42">
        <v>51.814</v>
      </c>
      <c r="L42" s="1" t="s">
        <v>59</v>
      </c>
      <c r="M42">
        <v>-2364.364</v>
      </c>
      <c r="N42">
        <v>1596.731</v>
      </c>
      <c r="O42">
        <v>51.734000000000002</v>
      </c>
      <c r="Q42">
        <f>without_window__step_5___2_87m[[#This Row],[X]]-with_window__step_5___corrected[[#This Row],[X]]</f>
        <v>-0.52700000000004366</v>
      </c>
      <c r="R42">
        <f>without_window__step_5___2_87m[[#This Row],[Y]]-with_window__step_5___corrected[[#This Row],[Y]]</f>
        <v>-0.96299999999996544</v>
      </c>
      <c r="S42">
        <f>without_window__step_5___2_87m[[#This Row],[Z]]-with_window__step_5___corrected[[#This Row],[Z]]</f>
        <v>-1.1430000000000007</v>
      </c>
      <c r="T42">
        <f t="shared" si="12"/>
        <v>1.5847861054413559</v>
      </c>
      <c r="V42">
        <f>without_window__step_5___2_87m[[#This Row],[X]]-vacuum__step_5___corrected___2[[#This Row],[X]]</f>
        <v>-0.50599999999985812</v>
      </c>
      <c r="W42">
        <f>without_window__step_5___2_87m[[#This Row],[Y]]-vacuum__step_5___corrected___2[[#This Row],[Y]]</f>
        <v>-1.0299999999999727</v>
      </c>
      <c r="X42">
        <f>without_window__step_5___2_87m[[#This Row],[Z]]-vacuum__step_5___corrected___2[[#This Row],[Z]]</f>
        <v>-1.0630000000000024</v>
      </c>
      <c r="Y42">
        <f t="shared" si="13"/>
        <v>1.564258610332641</v>
      </c>
    </row>
    <row r="44" spans="1:25" x14ac:dyDescent="0.25">
      <c r="A44">
        <v>5.0999999999999996</v>
      </c>
    </row>
    <row r="45" spans="1:25" x14ac:dyDescent="0.25">
      <c r="B45" t="s">
        <v>6</v>
      </c>
      <c r="C45" t="s">
        <v>7</v>
      </c>
      <c r="D45" t="s">
        <v>8</v>
      </c>
      <c r="E45" t="s">
        <v>9</v>
      </c>
      <c r="G45" t="s">
        <v>6</v>
      </c>
      <c r="H45" t="s">
        <v>7</v>
      </c>
      <c r="I45" t="s">
        <v>8</v>
      </c>
      <c r="J45" t="s">
        <v>9</v>
      </c>
      <c r="L45" t="s">
        <v>6</v>
      </c>
      <c r="M45" t="s">
        <v>7</v>
      </c>
      <c r="N45" t="s">
        <v>8</v>
      </c>
      <c r="O45" t="s">
        <v>9</v>
      </c>
    </row>
    <row r="46" spans="1:25" x14ac:dyDescent="0.25">
      <c r="B46" s="1" t="s">
        <v>14</v>
      </c>
      <c r="C46">
        <v>-2280.0630000000001</v>
      </c>
      <c r="D46">
        <v>1720.3510000000001</v>
      </c>
      <c r="E46">
        <v>-88.655000000000001</v>
      </c>
      <c r="G46" s="1" t="s">
        <v>60</v>
      </c>
      <c r="H46">
        <v>-2279.5949999999998</v>
      </c>
      <c r="I46">
        <v>1721.2239999999999</v>
      </c>
      <c r="J46">
        <v>-87.414000000000001</v>
      </c>
      <c r="L46" s="1" t="s">
        <v>61</v>
      </c>
      <c r="M46">
        <v>-2279.6060000000002</v>
      </c>
      <c r="N46">
        <v>1721.297</v>
      </c>
      <c r="O46">
        <v>-87.498999999999995</v>
      </c>
      <c r="Q46">
        <f>without_window__step_5_1___2_87m[[#This Row],[X]]-with_window__step_5_1___corrected[[#This Row],[X]]</f>
        <v>-0.46800000000030195</v>
      </c>
      <c r="R46">
        <f>without_window__step_5_1___2_87m[[#This Row],[Y]]-with_window__step_5_1___corrected[[#This Row],[Y]]</f>
        <v>-0.87299999999981992</v>
      </c>
      <c r="S46">
        <f>without_window__step_5_1___2_87m[[#This Row],[Z]]-with_window__step_5_1___corrected[[#This Row],[Z]]</f>
        <v>-1.2409999999999997</v>
      </c>
      <c r="T46">
        <f>SQRT(SUMSQ(Q46,R46,S46))</f>
        <v>1.5878394125351492</v>
      </c>
      <c r="V46">
        <f>without_window__step_5_1___2_87m[[#This Row],[X]]-vacuum__step_5_1___corrected[[#This Row],[X]]</f>
        <v>-0.45699999999987995</v>
      </c>
      <c r="W46">
        <f>without_window__step_5_1___2_87m[[#This Row],[Y]]-vacuum__step_5_1___corrected[[#This Row],[Y]]</f>
        <v>-0.94599999999991269</v>
      </c>
      <c r="X46">
        <f>without_window__step_5_1___2_87m[[#This Row],[Z]]-vacuum__step_5_1___corrected[[#This Row],[Z]]</f>
        <v>-1.1560000000000059</v>
      </c>
      <c r="Y46">
        <f>SQRT(SUMSQ(V46,W46,))</f>
        <v>1.0506022082594939</v>
      </c>
    </row>
    <row r="47" spans="1:25" x14ac:dyDescent="0.25">
      <c r="B47" s="1" t="s">
        <v>17</v>
      </c>
      <c r="C47">
        <v>-2202.953</v>
      </c>
      <c r="D47">
        <v>1837.115</v>
      </c>
      <c r="E47">
        <v>-88.073999999999998</v>
      </c>
      <c r="G47" s="1" t="s">
        <v>62</v>
      </c>
      <c r="H47">
        <v>-2202.4929999999999</v>
      </c>
      <c r="I47">
        <v>1837.8869999999999</v>
      </c>
      <c r="J47">
        <v>-86.826999999999998</v>
      </c>
      <c r="L47" s="1" t="s">
        <v>63</v>
      </c>
      <c r="M47">
        <v>-2202.5070000000001</v>
      </c>
      <c r="N47">
        <v>1837.9570000000001</v>
      </c>
      <c r="O47">
        <v>-86.915999999999997</v>
      </c>
      <c r="Q47">
        <f>without_window__step_5_1___2_87m[[#This Row],[X]]-with_window__step_5_1___corrected[[#This Row],[X]]</f>
        <v>-0.46000000000003638</v>
      </c>
      <c r="R47">
        <f>without_window__step_5_1___2_87m[[#This Row],[Y]]-with_window__step_5_1___corrected[[#This Row],[Y]]</f>
        <v>-0.77199999999993452</v>
      </c>
      <c r="S47">
        <f>without_window__step_5_1___2_87m[[#This Row],[Z]]-with_window__step_5_1___corrected[[#This Row],[Z]]</f>
        <v>-1.2469999999999999</v>
      </c>
      <c r="T47">
        <f t="shared" ref="T47:T49" si="14">SQRT(SUMSQ(Q47,R47,S47))</f>
        <v>1.537072867498458</v>
      </c>
      <c r="V47">
        <f>without_window__step_5_1___2_87m[[#This Row],[X]]-vacuum__step_5_1___corrected[[#This Row],[X]]</f>
        <v>-0.44599999999991269</v>
      </c>
      <c r="W47">
        <f>without_window__step_5_1___2_87m[[#This Row],[Y]]-vacuum__step_5_1___corrected[[#This Row],[Y]]</f>
        <v>-0.84200000000009823</v>
      </c>
      <c r="X47">
        <f>without_window__step_5_1___2_87m[[#This Row],[Z]]-vacuum__step_5_1___corrected[[#This Row],[Z]]</f>
        <v>-1.1580000000000013</v>
      </c>
      <c r="Y47">
        <f t="shared" ref="Y47:Y49" si="15">SQRT(SUMSQ(V47,W47,))</f>
        <v>0.95282737156322683</v>
      </c>
    </row>
    <row r="48" spans="1:25" x14ac:dyDescent="0.25">
      <c r="B48" s="1" t="s">
        <v>20</v>
      </c>
      <c r="C48">
        <v>-2203.2959999999998</v>
      </c>
      <c r="D48">
        <v>1836.58</v>
      </c>
      <c r="E48">
        <v>51.83</v>
      </c>
      <c r="G48" s="1" t="s">
        <v>64</v>
      </c>
      <c r="H48">
        <v>-2202.7809999999999</v>
      </c>
      <c r="I48">
        <v>1837.3150000000001</v>
      </c>
      <c r="J48">
        <v>53</v>
      </c>
      <c r="L48" s="1" t="s">
        <v>65</v>
      </c>
      <c r="M48">
        <v>-2202.799</v>
      </c>
      <c r="N48">
        <v>1837.385</v>
      </c>
      <c r="O48">
        <v>52.902999999999999</v>
      </c>
      <c r="Q48">
        <f>without_window__step_5_1___2_87m[[#This Row],[X]]-with_window__step_5_1___corrected[[#This Row],[X]]</f>
        <v>-0.51499999999987267</v>
      </c>
      <c r="R48">
        <f>without_window__step_5_1___2_87m[[#This Row],[Y]]-with_window__step_5_1___corrected[[#This Row],[Y]]</f>
        <v>-0.73500000000012733</v>
      </c>
      <c r="S48">
        <f>without_window__step_5_1___2_87m[[#This Row],[Z]]-with_window__step_5_1___corrected[[#This Row],[Z]]</f>
        <v>-1.1700000000000017</v>
      </c>
      <c r="T48">
        <f t="shared" si="14"/>
        <v>1.4745677332696725</v>
      </c>
      <c r="V48">
        <f>without_window__step_5_1___2_87m[[#This Row],[X]]-vacuum__step_5_1___corrected[[#This Row],[X]]</f>
        <v>-0.49699999999984357</v>
      </c>
      <c r="W48">
        <f>without_window__step_5_1___2_87m[[#This Row],[Y]]-vacuum__step_5_1___corrected[[#This Row],[Y]]</f>
        <v>-0.80500000000006366</v>
      </c>
      <c r="X48">
        <f>without_window__step_5_1___2_87m[[#This Row],[Z]]-vacuum__step_5_1___corrected[[#This Row],[Z]]</f>
        <v>-1.0730000000000004</v>
      </c>
      <c r="Y48">
        <f t="shared" si="15"/>
        <v>0.94606236580890746</v>
      </c>
    </row>
    <row r="49" spans="2:25" x14ac:dyDescent="0.25">
      <c r="B49" s="1" t="s">
        <v>23</v>
      </c>
      <c r="C49">
        <v>-2280.4110000000001</v>
      </c>
      <c r="D49">
        <v>1719.8810000000001</v>
      </c>
      <c r="E49">
        <v>51.17</v>
      </c>
      <c r="G49" s="1" t="s">
        <v>66</v>
      </c>
      <c r="H49">
        <v>-2279.8809999999999</v>
      </c>
      <c r="I49">
        <v>1720.7090000000001</v>
      </c>
      <c r="J49">
        <v>52.332000000000001</v>
      </c>
      <c r="L49" s="1" t="s">
        <v>67</v>
      </c>
      <c r="M49">
        <v>-2279.895</v>
      </c>
      <c r="N49">
        <v>1720.8009999999999</v>
      </c>
      <c r="O49">
        <v>52.255000000000003</v>
      </c>
      <c r="Q49">
        <f>without_window__step_5_1___2_87m[[#This Row],[X]]-with_window__step_5_1___corrected[[#This Row],[X]]</f>
        <v>-0.53000000000020009</v>
      </c>
      <c r="R49">
        <f>without_window__step_5_1___2_87m[[#This Row],[Y]]-with_window__step_5_1___corrected[[#This Row],[Y]]</f>
        <v>-0.82799999999997453</v>
      </c>
      <c r="S49">
        <f>without_window__step_5_1___2_87m[[#This Row],[Z]]-with_window__step_5_1___corrected[[#This Row],[Z]]</f>
        <v>-1.161999999999999</v>
      </c>
      <c r="T49">
        <f t="shared" si="14"/>
        <v>1.5220801555766266</v>
      </c>
      <c r="V49">
        <f>without_window__step_5_1___2_87m[[#This Row],[X]]-vacuum__step_5_1___corrected[[#This Row],[X]]</f>
        <v>-0.5160000000000764</v>
      </c>
      <c r="W49">
        <f>without_window__step_5_1___2_87m[[#This Row],[Y]]-vacuum__step_5_1___corrected[[#This Row],[Y]]</f>
        <v>-0.91999999999984539</v>
      </c>
      <c r="X49">
        <f>without_window__step_5_1___2_87m[[#This Row],[Z]]-vacuum__step_5_1___corrected[[#This Row],[Z]]</f>
        <v>-1.0850000000000009</v>
      </c>
      <c r="Y49">
        <f t="shared" si="15"/>
        <v>1.0548251039863406</v>
      </c>
    </row>
  </sheetData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0A6C-1828-4340-ADD5-210C9771B3A9}">
  <dimension ref="A1:AU55"/>
  <sheetViews>
    <sheetView tabSelected="1" topLeftCell="A106" zoomScaleNormal="100" workbookViewId="0">
      <selection activeCell="N115" sqref="N115"/>
    </sheetView>
  </sheetViews>
  <sheetFormatPr defaultRowHeight="15" x14ac:dyDescent="0.25"/>
  <cols>
    <col min="2" max="5" width="11.140625" bestFit="1" customWidth="1"/>
    <col min="6" max="9" width="11.140625" customWidth="1"/>
    <col min="10" max="10" width="11.140625" bestFit="1" customWidth="1"/>
    <col min="11" max="11" width="11.140625" customWidth="1"/>
    <col min="12" max="12" width="24.5703125" bestFit="1" customWidth="1"/>
    <col min="13" max="15" width="11.140625" bestFit="1" customWidth="1"/>
    <col min="16" max="19" width="11.140625" customWidth="1"/>
    <col min="20" max="20" width="11.140625" bestFit="1" customWidth="1"/>
    <col min="21" max="21" width="11.140625" customWidth="1"/>
    <col min="22" max="22" width="19.7109375" bestFit="1" customWidth="1"/>
    <col min="23" max="25" width="11.140625" bestFit="1" customWidth="1"/>
    <col min="26" max="29" width="11.140625" customWidth="1"/>
  </cols>
  <sheetData>
    <row r="1" spans="1:47" x14ac:dyDescent="0.25">
      <c r="A1" t="s">
        <v>0</v>
      </c>
      <c r="B1" t="s">
        <v>1</v>
      </c>
      <c r="G1" t="s">
        <v>81</v>
      </c>
      <c r="L1" t="s">
        <v>2</v>
      </c>
      <c r="Q1" t="s">
        <v>82</v>
      </c>
      <c r="V1" t="s">
        <v>3</v>
      </c>
      <c r="AA1" t="s">
        <v>76</v>
      </c>
      <c r="AE1" t="s">
        <v>68</v>
      </c>
      <c r="AI1" t="s">
        <v>77</v>
      </c>
      <c r="AM1" t="s">
        <v>69</v>
      </c>
      <c r="AQ1" t="s">
        <v>135</v>
      </c>
      <c r="AS1" t="s">
        <v>85</v>
      </c>
      <c r="AU1" t="s">
        <v>137</v>
      </c>
    </row>
    <row r="2" spans="1:47" x14ac:dyDescent="0.25">
      <c r="A2">
        <v>1</v>
      </c>
    </row>
    <row r="3" spans="1:47" x14ac:dyDescent="0.25">
      <c r="B3" t="s">
        <v>6</v>
      </c>
      <c r="C3" t="s">
        <v>70</v>
      </c>
      <c r="D3" t="s">
        <v>71</v>
      </c>
      <c r="E3" t="s">
        <v>72</v>
      </c>
      <c r="G3" t="s">
        <v>6</v>
      </c>
      <c r="H3" t="s">
        <v>70</v>
      </c>
      <c r="I3" t="s">
        <v>71</v>
      </c>
      <c r="J3" t="s">
        <v>72</v>
      </c>
      <c r="L3" t="s">
        <v>6</v>
      </c>
      <c r="M3" t="s">
        <v>70</v>
      </c>
      <c r="N3" t="s">
        <v>71</v>
      </c>
      <c r="O3" t="s">
        <v>72</v>
      </c>
      <c r="Q3" t="s">
        <v>6</v>
      </c>
      <c r="R3" t="s">
        <v>70</v>
      </c>
      <c r="S3" t="s">
        <v>71</v>
      </c>
      <c r="T3" t="s">
        <v>72</v>
      </c>
      <c r="V3" t="s">
        <v>6</v>
      </c>
      <c r="W3" t="s">
        <v>70</v>
      </c>
      <c r="X3" t="s">
        <v>71</v>
      </c>
      <c r="Y3" t="s">
        <v>72</v>
      </c>
      <c r="AA3" s="2" t="s">
        <v>73</v>
      </c>
      <c r="AB3" t="s">
        <v>83</v>
      </c>
      <c r="AC3" t="s">
        <v>84</v>
      </c>
      <c r="AE3" s="3" t="s">
        <v>73</v>
      </c>
      <c r="AF3" t="s">
        <v>74</v>
      </c>
      <c r="AG3" t="s">
        <v>75</v>
      </c>
      <c r="AI3" s="2" t="s">
        <v>73</v>
      </c>
      <c r="AJ3" t="s">
        <v>83</v>
      </c>
      <c r="AK3" t="s">
        <v>84</v>
      </c>
      <c r="AM3" s="3" t="s">
        <v>73</v>
      </c>
      <c r="AN3" t="s">
        <v>74</v>
      </c>
      <c r="AO3" t="s">
        <v>75</v>
      </c>
      <c r="AS3" t="s">
        <v>86</v>
      </c>
    </row>
    <row r="4" spans="1:47" x14ac:dyDescent="0.25">
      <c r="B4" s="1" t="s">
        <v>14</v>
      </c>
      <c r="C4">
        <v>1686.431</v>
      </c>
      <c r="D4">
        <v>145.92099999999999</v>
      </c>
      <c r="E4">
        <v>93.076999999999998</v>
      </c>
      <c r="G4" s="1" t="s">
        <v>15</v>
      </c>
      <c r="H4">
        <v>1691.748</v>
      </c>
      <c r="I4">
        <v>145.90199999999999</v>
      </c>
      <c r="J4">
        <v>93.054000000000002</v>
      </c>
      <c r="L4" s="1" t="s">
        <v>15</v>
      </c>
      <c r="M4">
        <v>1686.5830000000001</v>
      </c>
      <c r="N4">
        <v>145.90199999999999</v>
      </c>
      <c r="O4">
        <v>93.054000000000002</v>
      </c>
      <c r="Q4" s="1" t="s">
        <v>14</v>
      </c>
      <c r="R4">
        <v>1691.3879999999999</v>
      </c>
      <c r="S4">
        <v>145.90299999999999</v>
      </c>
      <c r="T4">
        <v>93.055999999999997</v>
      </c>
      <c r="V4" s="1" t="s">
        <v>16</v>
      </c>
      <c r="W4">
        <v>1686.6079999999999</v>
      </c>
      <c r="X4">
        <v>145.90299999999999</v>
      </c>
      <c r="Y4">
        <v>93.055999999999997</v>
      </c>
      <c r="AA4" s="2">
        <f>without_window__step_1___1_7m___3[[#This Row],[R]]-with_window__step_1[[#This Row],[R]]</f>
        <v>-5.3170000000000073</v>
      </c>
      <c r="AB4">
        <f>(without_window__step_1___1_7m___3[[#This Row],[T]]-with_window__step_1[[#This Row],[T]])*3600</f>
        <v>68.400000000019645</v>
      </c>
      <c r="AC4">
        <f>(without_window__step_1___1_7m___3[[#This Row],[P]]-with_window__step_1[[#This Row],[P]])*3600</f>
        <v>82.799999999986085</v>
      </c>
      <c r="AE4" s="3">
        <f>IF(ISBLANK(without_window__step_1___1_7m___3[[#This Row],[R]]), NA(), (without_window__step_1___1_7m___3[[#This Row],[R]]-With_window__step_1___corrected___2[[#This Row],[R]]))</f>
        <v>-0.15200000000004366</v>
      </c>
      <c r="AF4">
        <f>(without_window__step_1___1_7m___3[[#This Row],[T]]-With_window__step_1___corrected___2[[#This Row],[T]])*3600</f>
        <v>68.400000000019645</v>
      </c>
      <c r="AG4">
        <f>(without_window__step_1___1_7m___3[[#This Row],[P]]-With_window__step_1___corrected___2[[#This Row],[P]])*3600</f>
        <v>82.799999999986085</v>
      </c>
      <c r="AI4" s="2">
        <f>without_window__step_1___1_7m___3[[#This Row],[R]]-vacuum__step_1[[#This Row],[R]]</f>
        <v>-4.9569999999998799</v>
      </c>
      <c r="AJ4">
        <f>(without_window__step_1___1_7m___3[[#This Row],[T]]-vacuum__step_1[[#This Row],[T]])*3600</f>
        <v>64.800000000002456</v>
      </c>
      <c r="AK4">
        <f>(without_window__step_1___1_7m___3[[#This Row],[P]]-vacuum__step_1[[#This Row],[P]])*3600</f>
        <v>75.600000000002865</v>
      </c>
      <c r="AM4" s="3">
        <f>without_window__step_1___1_7m___3[[#This Row],[R]]-vacuum__step_1___corrected___2[[#This Row],[R]]</f>
        <v>-0.17699999999990723</v>
      </c>
      <c r="AN4">
        <f>(without_window__step_1___1_7m___3[[#This Row],[T]]-vacuum__step_1___corrected___2[[#This Row],[T]])*3600</f>
        <v>64.800000000002456</v>
      </c>
      <c r="AO4">
        <f>(without_window__step_1___1_7m___3[[#This Row],[P]]-vacuum__step_1___corrected___2[[#This Row],[P]])*3600</f>
        <v>75.600000000002865</v>
      </c>
      <c r="AQ4">
        <f>AI4 + 4.9265</f>
        <v>-3.0499999999880067E-2</v>
      </c>
      <c r="AS4" t="s">
        <v>87</v>
      </c>
      <c r="AU4">
        <f xml:space="preserve"> AM4 + 0.15918</f>
        <v>-1.7819999999907243E-2</v>
      </c>
    </row>
    <row r="5" spans="1:47" x14ac:dyDescent="0.25">
      <c r="B5" s="1" t="s">
        <v>17</v>
      </c>
      <c r="C5">
        <v>1693.7670000000001</v>
      </c>
      <c r="D5">
        <v>141.17599999999999</v>
      </c>
      <c r="E5">
        <v>93.057000000000002</v>
      </c>
      <c r="G5" s="1" t="s">
        <v>18</v>
      </c>
      <c r="H5">
        <v>1699.0630000000001</v>
      </c>
      <c r="I5">
        <v>141.16</v>
      </c>
      <c r="J5">
        <v>93.034000000000006</v>
      </c>
      <c r="L5" s="1" t="s">
        <v>18</v>
      </c>
      <c r="M5">
        <v>1693.893</v>
      </c>
      <c r="N5">
        <v>141.16</v>
      </c>
      <c r="O5">
        <v>93.034000000000006</v>
      </c>
      <c r="Q5" s="1" t="s">
        <v>17</v>
      </c>
      <c r="R5">
        <v>1698.691</v>
      </c>
      <c r="S5">
        <v>141.16200000000001</v>
      </c>
      <c r="T5">
        <v>93.036000000000001</v>
      </c>
      <c r="V5" s="1" t="s">
        <v>19</v>
      </c>
      <c r="W5">
        <v>1693.91</v>
      </c>
      <c r="X5">
        <v>141.16200000000001</v>
      </c>
      <c r="Y5">
        <v>93.036000000000001</v>
      </c>
      <c r="AA5" s="2">
        <f>without_window__step_1___1_7m___3[[#This Row],[R]]-with_window__step_1[[#This Row],[R]]</f>
        <v>-5.2960000000000491</v>
      </c>
      <c r="AB5">
        <f>(without_window__step_1___1_7m___3[[#This Row],[T]]-with_window__step_1[[#This Row],[T]])*3600</f>
        <v>57.599999999968077</v>
      </c>
      <c r="AC5">
        <f>(without_window__step_1___1_7m___3[[#This Row],[P]]-with_window__step_1[[#This Row],[P]])*3600</f>
        <v>82.799999999986085</v>
      </c>
      <c r="AE5" s="3">
        <f>IF(ISBLANK(without_window__step_1___1_7m___3[[#This Row],[R]]), NA(), (without_window__step_1___1_7m___3[[#This Row],[R]]-With_window__step_1___corrected___2[[#This Row],[R]]))</f>
        <v>-0.12599999999997635</v>
      </c>
      <c r="AF5">
        <f>(without_window__step_1___1_7m___3[[#This Row],[T]]-With_window__step_1___corrected___2[[#This Row],[T]])*3600</f>
        <v>57.599999999968077</v>
      </c>
      <c r="AG5">
        <f>(without_window__step_1___1_7m___3[[#This Row],[P]]-With_window__step_1___corrected___2[[#This Row],[P]])*3600</f>
        <v>82.799999999986085</v>
      </c>
      <c r="AI5" s="2">
        <f>without_window__step_1___1_7m___3[[#This Row],[R]]-vacuum__step_1[[#This Row],[R]]</f>
        <v>-4.9239999999999782</v>
      </c>
      <c r="AJ5">
        <f>(without_window__step_1___1_7m___3[[#This Row],[T]]-vacuum__step_1[[#This Row],[T]])*3600</f>
        <v>50.399999999933698</v>
      </c>
      <c r="AK5">
        <f>(without_window__step_1___1_7m___3[[#This Row],[P]]-vacuum__step_1[[#This Row],[P]])*3600</f>
        <v>75.600000000002865</v>
      </c>
      <c r="AM5" s="3">
        <f>without_window__step_1___1_7m___3[[#This Row],[R]]-vacuum__step_1___corrected___2[[#This Row],[R]]</f>
        <v>-0.1430000000000291</v>
      </c>
      <c r="AN5">
        <f>(without_window__step_1___1_7m___3[[#This Row],[T]]-vacuum__step_1___corrected___2[[#This Row],[T]])*3600</f>
        <v>50.399999999933698</v>
      </c>
      <c r="AO5">
        <f>(without_window__step_1___1_7m___3[[#This Row],[P]]-vacuum__step_1___corrected___2[[#This Row],[P]])*3600</f>
        <v>75.600000000002865</v>
      </c>
      <c r="AQ5">
        <f t="shared" ref="AQ5:AQ7" si="0">AI5 + 4.9265</f>
        <v>2.5000000000217071E-3</v>
      </c>
      <c r="AS5" t="s">
        <v>88</v>
      </c>
      <c r="AU5">
        <f t="shared" ref="AU5:AU49" si="1" xml:space="preserve"> AM5 + 0.15918</f>
        <v>1.6179999999970884E-2</v>
      </c>
    </row>
    <row r="6" spans="1:47" x14ac:dyDescent="0.25">
      <c r="B6" s="1" t="s">
        <v>20</v>
      </c>
      <c r="C6">
        <v>1691.82</v>
      </c>
      <c r="D6">
        <v>141.18299999999999</v>
      </c>
      <c r="E6">
        <v>88.320999999999998</v>
      </c>
      <c r="G6" s="1" t="s">
        <v>21</v>
      </c>
      <c r="H6">
        <v>1697.1010000000001</v>
      </c>
      <c r="I6">
        <v>141.16800000000001</v>
      </c>
      <c r="J6">
        <v>88.301000000000002</v>
      </c>
      <c r="L6" s="1" t="s">
        <v>21</v>
      </c>
      <c r="M6">
        <v>1691.933</v>
      </c>
      <c r="N6">
        <v>141.16800000000001</v>
      </c>
      <c r="O6">
        <v>88.301000000000002</v>
      </c>
      <c r="Q6" s="1" t="s">
        <v>20</v>
      </c>
      <c r="R6">
        <v>1696.7190000000001</v>
      </c>
      <c r="S6">
        <v>141.16999999999999</v>
      </c>
      <c r="T6">
        <v>88.302999999999997</v>
      </c>
      <c r="V6" s="1" t="s">
        <v>22</v>
      </c>
      <c r="W6">
        <v>1691.9390000000001</v>
      </c>
      <c r="X6">
        <v>141.16999999999999</v>
      </c>
      <c r="Y6">
        <v>88.302999999999997</v>
      </c>
      <c r="AA6" s="2">
        <f>without_window__step_1___1_7m___3[[#This Row],[R]]-with_window__step_1[[#This Row],[R]]</f>
        <v>-5.2810000000001764</v>
      </c>
      <c r="AB6">
        <f>(without_window__step_1___1_7m___3[[#This Row],[T]]-with_window__step_1[[#This Row],[T]])*3600</f>
        <v>53.999999999950887</v>
      </c>
      <c r="AC6">
        <f>(without_window__step_1___1_7m___3[[#This Row],[P]]-with_window__step_1[[#This Row],[P]])*3600</f>
        <v>71.999999999985675</v>
      </c>
      <c r="AE6" s="3">
        <f>IF(ISBLANK(without_window__step_1___1_7m___3[[#This Row],[R]]), NA(), (without_window__step_1___1_7m___3[[#This Row],[R]]-With_window__step_1___corrected___2[[#This Row],[R]]))</f>
        <v>-0.11300000000005639</v>
      </c>
      <c r="AF6">
        <f>(without_window__step_1___1_7m___3[[#This Row],[T]]-With_window__step_1___corrected___2[[#This Row],[T]])*3600</f>
        <v>53.999999999950887</v>
      </c>
      <c r="AG6">
        <f>(without_window__step_1___1_7m___3[[#This Row],[P]]-With_window__step_1___corrected___2[[#This Row],[P]])*3600</f>
        <v>71.999999999985675</v>
      </c>
      <c r="AI6" s="2">
        <f>without_window__step_1___1_7m___3[[#This Row],[R]]-vacuum__step_1[[#This Row],[R]]</f>
        <v>-4.8990000000001146</v>
      </c>
      <c r="AJ6">
        <f>(without_window__step_1___1_7m___3[[#This Row],[T]]-vacuum__step_1[[#This Row],[T]])*3600</f>
        <v>46.800000000018827</v>
      </c>
      <c r="AK6">
        <f>(without_window__step_1___1_7m___3[[#This Row],[P]]-vacuum__step_1[[#This Row],[P]])*3600</f>
        <v>64.800000000002456</v>
      </c>
      <c r="AM6" s="3">
        <f>without_window__step_1___1_7m___3[[#This Row],[R]]-vacuum__step_1___corrected___2[[#This Row],[R]]</f>
        <v>-0.11900000000014188</v>
      </c>
      <c r="AN6">
        <f>(without_window__step_1___1_7m___3[[#This Row],[T]]-vacuum__step_1___corrected___2[[#This Row],[T]])*3600</f>
        <v>46.800000000018827</v>
      </c>
      <c r="AO6">
        <f>(without_window__step_1___1_7m___3[[#This Row],[P]]-vacuum__step_1___corrected___2[[#This Row],[P]])*3600</f>
        <v>64.800000000002456</v>
      </c>
      <c r="AQ6">
        <f t="shared" si="0"/>
        <v>2.7499999999885283E-2</v>
      </c>
      <c r="AS6" t="s">
        <v>89</v>
      </c>
      <c r="AU6">
        <f t="shared" si="1"/>
        <v>4.0179999999858107E-2</v>
      </c>
    </row>
    <row r="7" spans="1:47" x14ac:dyDescent="0.25">
      <c r="B7" s="1" t="s">
        <v>23</v>
      </c>
      <c r="C7">
        <v>1684.52</v>
      </c>
      <c r="D7">
        <v>145.928</v>
      </c>
      <c r="E7">
        <v>88.322999999999993</v>
      </c>
      <c r="G7" s="1" t="s">
        <v>24</v>
      </c>
      <c r="H7">
        <v>1689.8130000000001</v>
      </c>
      <c r="I7">
        <v>145.90799999999999</v>
      </c>
      <c r="J7">
        <v>88.302999999999997</v>
      </c>
      <c r="L7" s="1" t="s">
        <v>24</v>
      </c>
      <c r="M7">
        <v>1684.643</v>
      </c>
      <c r="N7">
        <v>145.90799999999999</v>
      </c>
      <c r="O7">
        <v>88.302999999999997</v>
      </c>
      <c r="Q7" s="1" t="s">
        <v>23</v>
      </c>
      <c r="R7">
        <v>1689.4459999999999</v>
      </c>
      <c r="S7">
        <v>145.91</v>
      </c>
      <c r="T7">
        <v>88.305000000000007</v>
      </c>
      <c r="V7" s="1" t="s">
        <v>25</v>
      </c>
      <c r="W7">
        <v>1684.6669999999999</v>
      </c>
      <c r="X7">
        <v>145.91</v>
      </c>
      <c r="Y7">
        <v>88.305000000000007</v>
      </c>
      <c r="AA7" s="2">
        <f>without_window__step_1___1_7m___3[[#This Row],[R]]-with_window__step_1[[#This Row],[R]]</f>
        <v>-5.2930000000001201</v>
      </c>
      <c r="AB7">
        <f>(without_window__step_1___1_7m___3[[#This Row],[T]]-with_window__step_1[[#This Row],[T]])*3600</f>
        <v>72.000000000036835</v>
      </c>
      <c r="AC7">
        <f>(without_window__step_1___1_7m___3[[#This Row],[P]]-with_window__step_1[[#This Row],[P]])*3600</f>
        <v>71.999999999985675</v>
      </c>
      <c r="AE7" s="3">
        <f>IF(ISBLANK(without_window__step_1___1_7m___3[[#This Row],[R]]), NA(), (without_window__step_1___1_7m___3[[#This Row],[R]]-With_window__step_1___corrected___2[[#This Row],[R]]))</f>
        <v>-0.12300000000004729</v>
      </c>
      <c r="AF7">
        <f>(without_window__step_1___1_7m___3[[#This Row],[T]]-With_window__step_1___corrected___2[[#This Row],[T]])*3600</f>
        <v>72.000000000036835</v>
      </c>
      <c r="AG7">
        <f>(without_window__step_1___1_7m___3[[#This Row],[P]]-With_window__step_1___corrected___2[[#This Row],[P]])*3600</f>
        <v>71.999999999985675</v>
      </c>
      <c r="AI7" s="2">
        <f>without_window__step_1___1_7m___3[[#This Row],[R]]-vacuum__step_1[[#This Row],[R]]</f>
        <v>-4.9259999999999309</v>
      </c>
      <c r="AJ7">
        <f>(without_window__step_1___1_7m___3[[#This Row],[T]]-vacuum__step_1[[#This Row],[T]])*3600</f>
        <v>64.800000000002456</v>
      </c>
      <c r="AK7">
        <f>(without_window__step_1___1_7m___3[[#This Row],[P]]-vacuum__step_1[[#This Row],[P]])*3600</f>
        <v>64.799999999951297</v>
      </c>
      <c r="AM7" s="3">
        <f>without_window__step_1___1_7m___3[[#This Row],[R]]-vacuum__step_1___corrected___2[[#This Row],[R]]</f>
        <v>-0.14699999999993452</v>
      </c>
      <c r="AN7">
        <f>(without_window__step_1___1_7m___3[[#This Row],[T]]-vacuum__step_1___corrected___2[[#This Row],[T]])*3600</f>
        <v>64.800000000002456</v>
      </c>
      <c r="AO7">
        <f>(without_window__step_1___1_7m___3[[#This Row],[P]]-vacuum__step_1___corrected___2[[#This Row],[P]])*3600</f>
        <v>64.799999999951297</v>
      </c>
      <c r="AQ7">
        <f t="shared" si="0"/>
        <v>5.0000000006900081E-4</v>
      </c>
      <c r="AS7" t="s">
        <v>90</v>
      </c>
      <c r="AU7">
        <f t="shared" si="1"/>
        <v>1.2180000000065472E-2</v>
      </c>
    </row>
    <row r="8" spans="1:47" x14ac:dyDescent="0.25">
      <c r="AA8" s="2"/>
      <c r="AE8" s="3"/>
      <c r="AH8" t="s">
        <v>115</v>
      </c>
      <c r="AI8" s="2">
        <f>AVERAGE(AI4:AI7)</f>
        <v>-4.9264999999999759</v>
      </c>
      <c r="AM8" s="3"/>
      <c r="AS8" t="s">
        <v>91</v>
      </c>
    </row>
    <row r="9" spans="1:47" x14ac:dyDescent="0.25">
      <c r="A9">
        <v>2</v>
      </c>
      <c r="AA9" s="2"/>
      <c r="AE9" s="3"/>
      <c r="AI9" s="2"/>
      <c r="AM9" s="3"/>
      <c r="AS9" t="s">
        <v>92</v>
      </c>
    </row>
    <row r="10" spans="1:47" x14ac:dyDescent="0.25">
      <c r="B10" t="s">
        <v>6</v>
      </c>
      <c r="C10" t="s">
        <v>70</v>
      </c>
      <c r="D10" t="s">
        <v>71</v>
      </c>
      <c r="E10" t="s">
        <v>72</v>
      </c>
      <c r="G10" t="s">
        <v>6</v>
      </c>
      <c r="H10" t="s">
        <v>70</v>
      </c>
      <c r="I10" t="s">
        <v>71</v>
      </c>
      <c r="J10" t="s">
        <v>72</v>
      </c>
      <c r="L10" t="s">
        <v>6</v>
      </c>
      <c r="M10" t="s">
        <v>70</v>
      </c>
      <c r="N10" t="s">
        <v>71</v>
      </c>
      <c r="O10" t="s">
        <v>72</v>
      </c>
      <c r="Q10" t="s">
        <v>6</v>
      </c>
      <c r="R10" t="s">
        <v>70</v>
      </c>
      <c r="S10" t="s">
        <v>71</v>
      </c>
      <c r="T10" t="s">
        <v>72</v>
      </c>
      <c r="V10" t="s">
        <v>6</v>
      </c>
      <c r="W10" t="s">
        <v>70</v>
      </c>
      <c r="X10" t="s">
        <v>71</v>
      </c>
      <c r="Y10" t="s">
        <v>72</v>
      </c>
      <c r="AA10" s="2"/>
      <c r="AE10" s="3"/>
      <c r="AI10" s="2"/>
      <c r="AM10" s="3"/>
      <c r="AS10" t="s">
        <v>93</v>
      </c>
    </row>
    <row r="11" spans="1:47" x14ac:dyDescent="0.25">
      <c r="B11" s="1" t="s">
        <v>14</v>
      </c>
      <c r="C11">
        <v>1978.08</v>
      </c>
      <c r="D11">
        <v>145.923</v>
      </c>
      <c r="E11">
        <v>92.596000000000004</v>
      </c>
      <c r="G11" s="1" t="s">
        <v>27</v>
      </c>
      <c r="H11">
        <v>1983.383</v>
      </c>
      <c r="I11">
        <v>145.90299999999999</v>
      </c>
      <c r="J11">
        <v>92.572999999999993</v>
      </c>
      <c r="L11" s="1" t="s">
        <v>27</v>
      </c>
      <c r="M11">
        <v>1978.193</v>
      </c>
      <c r="N11">
        <v>145.90299999999999</v>
      </c>
      <c r="O11">
        <v>92.572999999999993</v>
      </c>
      <c r="Q11" s="1" t="s">
        <v>14</v>
      </c>
      <c r="R11">
        <v>1982.9449999999999</v>
      </c>
      <c r="S11">
        <v>145.90299999999999</v>
      </c>
      <c r="T11">
        <v>92.573999999999998</v>
      </c>
      <c r="V11" s="1" t="s">
        <v>28</v>
      </c>
      <c r="W11">
        <v>1978.248</v>
      </c>
      <c r="X11">
        <v>145.90299999999999</v>
      </c>
      <c r="Y11">
        <v>92.573999999999998</v>
      </c>
      <c r="AA11" s="2">
        <f>without_window__step_2___1_99m___2[[#This Row],[R]]-with_window__step_2[[#This Row],[R]]</f>
        <v>-5.303000000000111</v>
      </c>
      <c r="AB11">
        <f>(without_window__step_2___1_99m___2[[#This Row],[T]]-with_window__step_2[[#This Row],[T]])*3600</f>
        <v>72.000000000036835</v>
      </c>
      <c r="AC11">
        <f>(without_window__step_2___1_99m___2[[#This Row],[P]]-with_window__step_2[[#This Row],[P]])*3600</f>
        <v>82.800000000037244</v>
      </c>
      <c r="AE11" s="3">
        <f>without_window__step_2___1_99m___2[[#This Row],[R]]-with_window__step_2___corrected___2[[#This Row],[R]]</f>
        <v>-0.11300000000005639</v>
      </c>
      <c r="AF11">
        <f>(without_window__step_2___1_99m___2[[#This Row],[T]]-with_window__step_2___corrected___2[[#This Row],[T]])*3600</f>
        <v>72.000000000036835</v>
      </c>
      <c r="AG11">
        <f>(without_window__step_2___1_99m___2[[#This Row],[P]]-with_window__step_2___corrected___2[[#This Row],[P]])*3600</f>
        <v>82.800000000037244</v>
      </c>
      <c r="AI11" s="2">
        <f>without_window__step_2___1_99m___2[[#This Row],[R]]-vacuum__step_2[[#This Row],[R]]</f>
        <v>-4.8650000000000091</v>
      </c>
      <c r="AJ11">
        <f>(without_window__step_2___1_99m___2[[#This Row],[T]]-vacuum__step_2[[#This Row],[T]])*3600</f>
        <v>72.000000000036835</v>
      </c>
      <c r="AK11">
        <f>(without_window__step_2___1_99m___2[[#This Row],[P]]-vacuum__step_2[[#This Row],[P]])*3600</f>
        <v>79.200000000020054</v>
      </c>
      <c r="AM11" s="3">
        <f>without_window__step_2___1_99m___2[[#This Row],[R]]-vacuum__step_2___corrected___2[[#This Row],[R]]</f>
        <v>-0.16800000000012005</v>
      </c>
      <c r="AN11">
        <f>(without_window__step_2___1_99m___2[[#This Row],[T]]-vacuum__step_2___corrected___2[[#This Row],[T]])*3600</f>
        <v>72.000000000036835</v>
      </c>
      <c r="AO11">
        <f>(without_window__step_2___1_99m___2[[#This Row],[P]]-vacuum__step_2___corrected___2[[#This Row],[P]])*3600</f>
        <v>79.200000000020054</v>
      </c>
      <c r="AQ11">
        <f>AI11 + 4.84575</f>
        <v>-1.9250000000009315E-2</v>
      </c>
      <c r="AS11" t="s">
        <v>94</v>
      </c>
      <c r="AU11">
        <f t="shared" si="1"/>
        <v>-8.8200000001200651E-3</v>
      </c>
    </row>
    <row r="12" spans="1:47" x14ac:dyDescent="0.25">
      <c r="B12" s="1" t="s">
        <v>17</v>
      </c>
      <c r="C12">
        <v>1984.548</v>
      </c>
      <c r="D12">
        <v>141.876</v>
      </c>
      <c r="E12">
        <v>92.582999999999998</v>
      </c>
      <c r="G12" s="1" t="s">
        <v>29</v>
      </c>
      <c r="H12">
        <v>1989.8389999999999</v>
      </c>
      <c r="I12">
        <v>141.85900000000001</v>
      </c>
      <c r="J12">
        <v>92.56</v>
      </c>
      <c r="L12" s="1" t="s">
        <v>29</v>
      </c>
      <c r="M12">
        <v>1984.673</v>
      </c>
      <c r="N12">
        <v>141.85900000000001</v>
      </c>
      <c r="O12">
        <v>92.56</v>
      </c>
      <c r="Q12" s="1" t="s">
        <v>17</v>
      </c>
      <c r="R12">
        <v>1989.3920000000001</v>
      </c>
      <c r="S12">
        <v>141.85900000000001</v>
      </c>
      <c r="T12">
        <v>92.561000000000007</v>
      </c>
      <c r="V12" s="1" t="s">
        <v>30</v>
      </c>
      <c r="W12">
        <v>1984.6890000000001</v>
      </c>
      <c r="X12">
        <v>141.85900000000001</v>
      </c>
      <c r="Y12">
        <v>92.561000000000007</v>
      </c>
      <c r="AA12" s="2">
        <f>without_window__step_2___1_99m___2[[#This Row],[R]]-with_window__step_2[[#This Row],[R]]</f>
        <v>-5.29099999999994</v>
      </c>
      <c r="AB12">
        <f>(without_window__step_2___1_99m___2[[#This Row],[T]]-with_window__step_2[[#This Row],[T]])*3600</f>
        <v>61.199999999985266</v>
      </c>
      <c r="AC12">
        <f>(without_window__step_2___1_99m___2[[#This Row],[P]]-with_window__step_2[[#This Row],[P]])*3600</f>
        <v>82.799999999986085</v>
      </c>
      <c r="AE12" s="3">
        <f>without_window__step_2___1_99m___2[[#This Row],[R]]-with_window__step_2___corrected___2[[#This Row],[R]]</f>
        <v>-0.125</v>
      </c>
      <c r="AF12">
        <f>(without_window__step_2___1_99m___2[[#This Row],[T]]-with_window__step_2___corrected___2[[#This Row],[T]])*3600</f>
        <v>61.199999999985266</v>
      </c>
      <c r="AG12">
        <f>(without_window__step_2___1_99m___2[[#This Row],[P]]-with_window__step_2___corrected___2[[#This Row],[P]])*3600</f>
        <v>82.799999999986085</v>
      </c>
      <c r="AI12" s="2">
        <f>without_window__step_2___1_99m___2[[#This Row],[R]]-vacuum__step_2[[#This Row],[R]]</f>
        <v>-4.8440000000000509</v>
      </c>
      <c r="AJ12">
        <f>(without_window__step_2___1_99m___2[[#This Row],[T]]-vacuum__step_2[[#This Row],[T]])*3600</f>
        <v>61.199999999985266</v>
      </c>
      <c r="AK12">
        <f>(without_window__step_2___1_99m___2[[#This Row],[P]]-vacuum__step_2[[#This Row],[P]])*3600</f>
        <v>79.199999999968895</v>
      </c>
      <c r="AM12" s="3">
        <f>without_window__step_2___1_99m___2[[#This Row],[R]]-vacuum__step_2___corrected___2[[#This Row],[R]]</f>
        <v>-0.1410000000000764</v>
      </c>
      <c r="AN12">
        <f>(without_window__step_2___1_99m___2[[#This Row],[T]]-vacuum__step_2___corrected___2[[#This Row],[T]])*3600</f>
        <v>61.199999999985266</v>
      </c>
      <c r="AO12">
        <f>(without_window__step_2___1_99m___2[[#This Row],[P]]-vacuum__step_2___corrected___2[[#This Row],[P]])*3600</f>
        <v>79.199999999968895</v>
      </c>
      <c r="AQ12">
        <f t="shared" ref="AQ12:AQ14" si="2">AI12 + 4.84575</f>
        <v>1.749999999948848E-3</v>
      </c>
      <c r="AS12" t="s">
        <v>95</v>
      </c>
      <c r="AU12">
        <f t="shared" si="1"/>
        <v>1.8179999999923591E-2</v>
      </c>
    </row>
    <row r="13" spans="1:47" x14ac:dyDescent="0.25">
      <c r="B13" s="1" t="s">
        <v>20</v>
      </c>
      <c r="C13">
        <v>1982.961</v>
      </c>
      <c r="D13">
        <v>141.881</v>
      </c>
      <c r="E13">
        <v>88.542000000000002</v>
      </c>
      <c r="G13" s="1" t="s">
        <v>31</v>
      </c>
      <c r="H13">
        <v>1988.2360000000001</v>
      </c>
      <c r="I13">
        <v>141.864</v>
      </c>
      <c r="J13">
        <v>88.521000000000001</v>
      </c>
      <c r="L13" s="1" t="s">
        <v>31</v>
      </c>
      <c r="M13">
        <v>1983.0730000000001</v>
      </c>
      <c r="N13">
        <v>141.864</v>
      </c>
      <c r="O13">
        <v>88.521000000000001</v>
      </c>
      <c r="Q13" s="1" t="s">
        <v>20</v>
      </c>
      <c r="R13">
        <v>1987.787</v>
      </c>
      <c r="S13">
        <v>141.86500000000001</v>
      </c>
      <c r="T13">
        <v>88.522999999999996</v>
      </c>
      <c r="V13" s="1" t="s">
        <v>32</v>
      </c>
      <c r="W13">
        <v>1983.0889999999999</v>
      </c>
      <c r="X13">
        <v>141.86500000000001</v>
      </c>
      <c r="Y13">
        <v>88.522999999999996</v>
      </c>
      <c r="AA13" s="2">
        <f>without_window__step_2___1_99m___2[[#This Row],[R]]-with_window__step_2[[#This Row],[R]]</f>
        <v>-5.2750000000000909</v>
      </c>
      <c r="AB13">
        <f>(without_window__step_2___1_99m___2[[#This Row],[T]]-with_window__step_2[[#This Row],[T]])*3600</f>
        <v>61.199999999985266</v>
      </c>
      <c r="AC13">
        <f>(without_window__step_2___1_99m___2[[#This Row],[P]]-with_window__step_2[[#This Row],[P]])*3600</f>
        <v>75.600000000002865</v>
      </c>
      <c r="AE13" s="3">
        <f>without_window__step_2___1_99m___2[[#This Row],[R]]-with_window__step_2___corrected___2[[#This Row],[R]]</f>
        <v>-0.11200000000008004</v>
      </c>
      <c r="AF13">
        <f>(without_window__step_2___1_99m___2[[#This Row],[T]]-with_window__step_2___corrected___2[[#This Row],[T]])*3600</f>
        <v>61.199999999985266</v>
      </c>
      <c r="AG13">
        <f>(without_window__step_2___1_99m___2[[#This Row],[P]]-with_window__step_2___corrected___2[[#This Row],[P]])*3600</f>
        <v>75.600000000002865</v>
      </c>
      <c r="AI13" s="2">
        <f>without_window__step_2___1_99m___2[[#This Row],[R]]-vacuum__step_2[[#This Row],[R]]</f>
        <v>-4.8260000000000218</v>
      </c>
      <c r="AJ13">
        <f>(without_window__step_2___1_99m___2[[#This Row],[T]]-vacuum__step_2[[#This Row],[T]])*3600</f>
        <v>57.599999999968077</v>
      </c>
      <c r="AK13">
        <f>(without_window__step_2___1_99m___2[[#This Row],[P]]-vacuum__step_2[[#This Row],[P]])*3600</f>
        <v>68.400000000019645</v>
      </c>
      <c r="AM13" s="3">
        <f>without_window__step_2___1_99m___2[[#This Row],[R]]-vacuum__step_2___corrected___2[[#This Row],[R]]</f>
        <v>-0.12799999999992906</v>
      </c>
      <c r="AN13">
        <f>(without_window__step_2___1_99m___2[[#This Row],[T]]-vacuum__step_2___corrected___2[[#This Row],[T]])*3600</f>
        <v>57.599999999968077</v>
      </c>
      <c r="AO13">
        <f>(without_window__step_2___1_99m___2[[#This Row],[P]]-vacuum__step_2___corrected___2[[#This Row],[P]])*3600</f>
        <v>68.400000000019645</v>
      </c>
      <c r="AQ13">
        <f t="shared" si="2"/>
        <v>1.9749999999977952E-2</v>
      </c>
      <c r="AS13" t="s">
        <v>96</v>
      </c>
      <c r="AU13">
        <f t="shared" si="1"/>
        <v>3.1180000000070929E-2</v>
      </c>
    </row>
    <row r="14" spans="1:47" x14ac:dyDescent="0.25">
      <c r="B14" s="1" t="s">
        <v>23</v>
      </c>
      <c r="C14">
        <v>1976.53</v>
      </c>
      <c r="D14">
        <v>145.92699999999999</v>
      </c>
      <c r="E14">
        <v>88.543999999999997</v>
      </c>
      <c r="G14" s="1" t="s">
        <v>33</v>
      </c>
      <c r="H14">
        <v>1981.8209999999999</v>
      </c>
      <c r="I14">
        <v>145.90700000000001</v>
      </c>
      <c r="J14">
        <v>88.522999999999996</v>
      </c>
      <c r="L14" s="1" t="s">
        <v>33</v>
      </c>
      <c r="M14">
        <v>1976.653</v>
      </c>
      <c r="N14">
        <v>145.90700000000001</v>
      </c>
      <c r="O14">
        <v>88.522999999999996</v>
      </c>
      <c r="Q14" s="1" t="s">
        <v>23</v>
      </c>
      <c r="R14">
        <v>1981.3779999999999</v>
      </c>
      <c r="S14">
        <v>145.90799999999999</v>
      </c>
      <c r="T14">
        <v>88.525000000000006</v>
      </c>
      <c r="V14" s="1" t="s">
        <v>34</v>
      </c>
      <c r="W14">
        <v>1976.6769999999999</v>
      </c>
      <c r="X14">
        <v>145.90799999999999</v>
      </c>
      <c r="Y14">
        <v>88.525000000000006</v>
      </c>
      <c r="AA14" s="2">
        <f>without_window__step_2___1_99m___2[[#This Row],[R]]-with_window__step_2[[#This Row],[R]]</f>
        <v>-5.29099999999994</v>
      </c>
      <c r="AB14">
        <f>(without_window__step_2___1_99m___2[[#This Row],[T]]-with_window__step_2[[#This Row],[T]])*3600</f>
        <v>71.999999999934516</v>
      </c>
      <c r="AC14">
        <f>(without_window__step_2___1_99m___2[[#This Row],[P]]-with_window__step_2[[#This Row],[P]])*3600</f>
        <v>75.600000000002865</v>
      </c>
      <c r="AE14" s="3">
        <f>without_window__step_2___1_99m___2[[#This Row],[R]]-with_window__step_2___corrected___2[[#This Row],[R]]</f>
        <v>-0.12300000000004729</v>
      </c>
      <c r="AF14">
        <f>(without_window__step_2___1_99m___2[[#This Row],[T]]-with_window__step_2___corrected___2[[#This Row],[T]])*3600</f>
        <v>71.999999999934516</v>
      </c>
      <c r="AG14">
        <f>(without_window__step_2___1_99m___2[[#This Row],[P]]-with_window__step_2___corrected___2[[#This Row],[P]])*3600</f>
        <v>75.600000000002865</v>
      </c>
      <c r="AI14" s="2">
        <f>without_window__step_2___1_99m___2[[#This Row],[R]]-vacuum__step_2[[#This Row],[R]]</f>
        <v>-4.8479999999999563</v>
      </c>
      <c r="AJ14">
        <f>(without_window__step_2___1_99m___2[[#This Row],[T]]-vacuum__step_2[[#This Row],[T]])*3600</f>
        <v>68.400000000019645</v>
      </c>
      <c r="AK14">
        <f>(without_window__step_2___1_99m___2[[#This Row],[P]]-vacuum__step_2[[#This Row],[P]])*3600</f>
        <v>68.399999999968486</v>
      </c>
      <c r="AM14" s="3">
        <f>without_window__step_2___1_99m___2[[#This Row],[R]]-vacuum__step_2___corrected___2[[#This Row],[R]]</f>
        <v>-0.14699999999993452</v>
      </c>
      <c r="AN14">
        <f>(without_window__step_2___1_99m___2[[#This Row],[T]]-vacuum__step_2___corrected___2[[#This Row],[T]])*3600</f>
        <v>68.400000000019645</v>
      </c>
      <c r="AO14">
        <f>(without_window__step_2___1_99m___2[[#This Row],[P]]-vacuum__step_2___corrected___2[[#This Row],[P]])*3600</f>
        <v>68.399999999968486</v>
      </c>
      <c r="AQ14">
        <f t="shared" si="2"/>
        <v>-2.2499999999565645E-3</v>
      </c>
      <c r="AS14" t="s">
        <v>97</v>
      </c>
      <c r="AU14">
        <f t="shared" si="1"/>
        <v>1.2180000000065472E-2</v>
      </c>
    </row>
    <row r="15" spans="1:47" x14ac:dyDescent="0.25">
      <c r="AA15" s="2"/>
      <c r="AE15" s="3"/>
      <c r="AH15" t="s">
        <v>115</v>
      </c>
      <c r="AI15" s="2">
        <f>AVERAGE(AI11:AI14)</f>
        <v>-4.8457500000000095</v>
      </c>
      <c r="AM15" s="3"/>
      <c r="AS15" t="s">
        <v>98</v>
      </c>
    </row>
    <row r="16" spans="1:47" x14ac:dyDescent="0.25">
      <c r="A16">
        <v>3</v>
      </c>
      <c r="AA16" s="2"/>
      <c r="AE16" s="3"/>
      <c r="AI16" s="2"/>
      <c r="AM16" s="3"/>
      <c r="AS16" t="s">
        <v>99</v>
      </c>
    </row>
    <row r="17" spans="1:47" x14ac:dyDescent="0.25">
      <c r="B17" t="s">
        <v>6</v>
      </c>
      <c r="C17" t="s">
        <v>70</v>
      </c>
      <c r="D17" t="s">
        <v>71</v>
      </c>
      <c r="E17" t="s">
        <v>72</v>
      </c>
      <c r="G17" t="s">
        <v>6</v>
      </c>
      <c r="H17" t="s">
        <v>70</v>
      </c>
      <c r="I17" t="s">
        <v>71</v>
      </c>
      <c r="J17" t="s">
        <v>72</v>
      </c>
      <c r="L17" t="s">
        <v>6</v>
      </c>
      <c r="M17" t="s">
        <v>70</v>
      </c>
      <c r="N17" t="s">
        <v>71</v>
      </c>
      <c r="O17" t="s">
        <v>72</v>
      </c>
      <c r="Q17" t="s">
        <v>6</v>
      </c>
      <c r="R17" t="s">
        <v>70</v>
      </c>
      <c r="S17" t="s">
        <v>71</v>
      </c>
      <c r="T17" t="s">
        <v>72</v>
      </c>
      <c r="V17" t="s">
        <v>6</v>
      </c>
      <c r="W17" t="s">
        <v>70</v>
      </c>
      <c r="X17" t="s">
        <v>71</v>
      </c>
      <c r="Y17" t="s">
        <v>72</v>
      </c>
      <c r="AA17" s="2"/>
      <c r="AE17" s="3"/>
      <c r="AI17" s="2"/>
      <c r="AM17" s="3"/>
      <c r="AS17" t="s">
        <v>100</v>
      </c>
    </row>
    <row r="18" spans="1:47" x14ac:dyDescent="0.25">
      <c r="B18" s="1" t="s">
        <v>14</v>
      </c>
      <c r="C18">
        <v>2270.3209999999999</v>
      </c>
      <c r="D18">
        <v>145.93100000000001</v>
      </c>
      <c r="E18">
        <v>92.241</v>
      </c>
      <c r="G18" s="1" t="s">
        <v>14</v>
      </c>
      <c r="H18">
        <v>2275.6239999999998</v>
      </c>
      <c r="I18">
        <v>145.91</v>
      </c>
      <c r="J18">
        <v>92.216999999999999</v>
      </c>
      <c r="L18" s="1" t="s">
        <v>14</v>
      </c>
      <c r="M18">
        <v>2270.453</v>
      </c>
      <c r="N18">
        <v>145.91</v>
      </c>
      <c r="O18">
        <v>92.216999999999999</v>
      </c>
      <c r="Q18" s="1" t="s">
        <v>14</v>
      </c>
      <c r="R18">
        <v>2275.1170000000002</v>
      </c>
      <c r="S18">
        <v>145.91</v>
      </c>
      <c r="T18">
        <v>92.218000000000004</v>
      </c>
      <c r="V18" s="1" t="s">
        <v>35</v>
      </c>
      <c r="W18">
        <v>2270.4969999999998</v>
      </c>
      <c r="X18">
        <v>145.91</v>
      </c>
      <c r="Y18">
        <v>92.218000000000004</v>
      </c>
      <c r="AA18" s="2">
        <f>C18-H18</f>
        <v>-5.3029999999998836</v>
      </c>
      <c r="AB18">
        <f>(without_window__step_3___2_28m___2[[#This Row],[T]]-with_window__step_3___2[[#This Row],[T]])*3600</f>
        <v>75.600000000054024</v>
      </c>
      <c r="AC18">
        <f>(without_window__step_3___2_28m___2[[#This Row],[P]]-with_window__step_3___2[[#This Row],[P]])*3600</f>
        <v>86.400000000003274</v>
      </c>
      <c r="AE18" s="3">
        <f>without_window__step_3___2_28m___2[[#This Row],[R]]-with_window__step_3___corrected___2[[#This Row],[R]]</f>
        <v>-0.13200000000006185</v>
      </c>
      <c r="AF18">
        <f>(without_window__step_3___2_28m___2[[#This Row],[T]]-with_window__step_3___corrected___2[[#This Row],[T]])*3600</f>
        <v>75.600000000054024</v>
      </c>
      <c r="AG18">
        <f>(without_window__step_3___2_28m___2[[#This Row],[P]]-with_window__step_3___corrected___2[[#This Row],[P]])*3600</f>
        <v>86.400000000003274</v>
      </c>
      <c r="AI18" s="2">
        <f>without_window__step_3___2_28m___2[[#This Row],[R]]-vacuum__step_3[[#This Row],[R]]</f>
        <v>-4.7960000000002765</v>
      </c>
      <c r="AJ18">
        <f>(without_window__step_3___2_28m___2[[#This Row],[T]]-vacuum__step_3[[#This Row],[T]])*3600</f>
        <v>75.600000000054024</v>
      </c>
      <c r="AK18">
        <f>(without_window__step_3___2_28m___2[[#This Row],[P]]-vacuum__step_3[[#This Row],[P]])*3600</f>
        <v>82.799999999986085</v>
      </c>
      <c r="AM18" s="3">
        <f>without_window__step_3___2_28m___2[[#This Row],[R]]-vacuum__step_3___corrected___2[[#This Row],[R]]</f>
        <v>-0.17599999999993088</v>
      </c>
      <c r="AN18">
        <f>(without_window__step_3___2_28m___2[[#This Row],[T]]-vacuum__step_3___corrected___2[[#This Row],[T]])*3600</f>
        <v>75.600000000054024</v>
      </c>
      <c r="AO18">
        <f>(without_window__step_3___2_28m___2[[#This Row],[P]]-vacuum__step_3___corrected___2[[#This Row],[P]])*3600</f>
        <v>82.799999999986085</v>
      </c>
      <c r="AQ18">
        <f>AI18 + 4.782</f>
        <v>-1.4000000000276458E-2</v>
      </c>
      <c r="AS18" t="s">
        <v>101</v>
      </c>
      <c r="AU18">
        <f t="shared" si="1"/>
        <v>-1.681999999993089E-2</v>
      </c>
    </row>
    <row r="19" spans="1:47" x14ac:dyDescent="0.25">
      <c r="B19" s="1" t="s">
        <v>17</v>
      </c>
      <c r="C19">
        <v>2276.2379999999998</v>
      </c>
      <c r="D19">
        <v>142.404</v>
      </c>
      <c r="E19">
        <v>92.23</v>
      </c>
      <c r="G19" s="1" t="s">
        <v>17</v>
      </c>
      <c r="H19">
        <v>2281.5259999999998</v>
      </c>
      <c r="I19">
        <v>142.386</v>
      </c>
      <c r="J19">
        <v>92.206000000000003</v>
      </c>
      <c r="L19" s="1" t="s">
        <v>17</v>
      </c>
      <c r="M19">
        <v>2276.3629999999998</v>
      </c>
      <c r="N19">
        <v>142.386</v>
      </c>
      <c r="O19">
        <v>92.206000000000003</v>
      </c>
      <c r="Q19" s="1" t="s">
        <v>17</v>
      </c>
      <c r="R19">
        <v>2281.018</v>
      </c>
      <c r="S19">
        <v>142.386</v>
      </c>
      <c r="T19">
        <v>92.207999999999998</v>
      </c>
      <c r="V19" s="1" t="s">
        <v>36</v>
      </c>
      <c r="W19">
        <v>2276.3989999999999</v>
      </c>
      <c r="X19">
        <v>142.386</v>
      </c>
      <c r="Y19">
        <v>92.207999999999998</v>
      </c>
      <c r="AA19" s="2">
        <f>C19-H19</f>
        <v>-5.2880000000000109</v>
      </c>
      <c r="AB19">
        <f>(without_window__step_3___2_28m___2[[#This Row],[T]]-with_window__step_3___2[[#This Row],[T]])*3600</f>
        <v>64.800000000002456</v>
      </c>
      <c r="AC19">
        <f>(without_window__step_3___2_28m___2[[#This Row],[P]]-with_window__step_3___2[[#This Row],[P]])*3600</f>
        <v>86.400000000003274</v>
      </c>
      <c r="AE19" s="3">
        <f>without_window__step_3___2_28m___2[[#This Row],[R]]-with_window__step_3___corrected___2[[#This Row],[R]]</f>
        <v>-0.125</v>
      </c>
      <c r="AF19">
        <f>(without_window__step_3___2_28m___2[[#This Row],[T]]-with_window__step_3___corrected___2[[#This Row],[T]])*3600</f>
        <v>64.800000000002456</v>
      </c>
      <c r="AG19">
        <f>(without_window__step_3___2_28m___2[[#This Row],[P]]-with_window__step_3___corrected___2[[#This Row],[P]])*3600</f>
        <v>86.400000000003274</v>
      </c>
      <c r="AI19" s="2">
        <f>without_window__step_3___2_28m___2[[#This Row],[R]]-vacuum__step_3[[#This Row],[R]]</f>
        <v>-4.7800000000002001</v>
      </c>
      <c r="AJ19">
        <f>(without_window__step_3___2_28m___2[[#This Row],[T]]-vacuum__step_3[[#This Row],[T]])*3600</f>
        <v>64.800000000002456</v>
      </c>
      <c r="AK19">
        <f>(without_window__step_3___2_28m___2[[#This Row],[P]]-vacuum__step_3[[#This Row],[P]])*3600</f>
        <v>79.200000000020054</v>
      </c>
      <c r="AM19" s="3">
        <f>without_window__step_3___2_28m___2[[#This Row],[R]]-vacuum__step_3___corrected___2[[#This Row],[R]]</f>
        <v>-0.16100000000005821</v>
      </c>
      <c r="AN19">
        <f>(without_window__step_3___2_28m___2[[#This Row],[T]]-vacuum__step_3___corrected___2[[#This Row],[T]])*3600</f>
        <v>64.800000000002456</v>
      </c>
      <c r="AO19">
        <f>(without_window__step_3___2_28m___2[[#This Row],[P]]-vacuum__step_3___corrected___2[[#This Row],[P]])*3600</f>
        <v>79.200000000020054</v>
      </c>
      <c r="AQ19">
        <f t="shared" ref="AQ19:AQ21" si="3">AI19 + 4.782</f>
        <v>1.9999999997999396E-3</v>
      </c>
      <c r="AS19" t="s">
        <v>102</v>
      </c>
      <c r="AU19">
        <f t="shared" si="1"/>
        <v>-1.8200000000582195E-3</v>
      </c>
    </row>
    <row r="20" spans="1:47" x14ac:dyDescent="0.25">
      <c r="B20" s="1" t="s">
        <v>20</v>
      </c>
      <c r="C20">
        <v>2275.1469999999999</v>
      </c>
      <c r="D20">
        <v>142.41</v>
      </c>
      <c r="E20">
        <v>88.706999999999994</v>
      </c>
      <c r="G20" s="1" t="s">
        <v>20</v>
      </c>
      <c r="H20">
        <v>2280.4229999999998</v>
      </c>
      <c r="I20">
        <v>142.392</v>
      </c>
      <c r="J20">
        <v>88.686000000000007</v>
      </c>
      <c r="L20" s="1" t="s">
        <v>20</v>
      </c>
      <c r="M20">
        <v>2275.2530000000002</v>
      </c>
      <c r="N20">
        <v>142.392</v>
      </c>
      <c r="O20">
        <v>88.685000000000002</v>
      </c>
      <c r="Q20" s="1" t="s">
        <v>20</v>
      </c>
      <c r="R20">
        <v>2279.9160000000002</v>
      </c>
      <c r="S20">
        <v>142.392</v>
      </c>
      <c r="T20">
        <v>88.686999999999998</v>
      </c>
      <c r="V20" s="1" t="s">
        <v>37</v>
      </c>
      <c r="W20">
        <v>2275.299</v>
      </c>
      <c r="X20">
        <v>142.392</v>
      </c>
      <c r="Y20">
        <v>88.686999999999998</v>
      </c>
      <c r="AA20" s="2">
        <f>C20-H20</f>
        <v>-5.2759999999998399</v>
      </c>
      <c r="AB20">
        <f>(without_window__step_3___2_28m___2[[#This Row],[T]]-with_window__step_3___2[[#This Row],[T]])*3600</f>
        <v>64.800000000002456</v>
      </c>
      <c r="AC20">
        <f>(without_window__step_3___2_28m___2[[#This Row],[P]]-with_window__step_3___2[[#This Row],[P]])*3600</f>
        <v>75.599999999951706</v>
      </c>
      <c r="AE20" s="3">
        <f>without_window__step_3___2_28m___2[[#This Row],[R]]-with_window__step_3___corrected___2[[#This Row],[R]]</f>
        <v>-0.10600000000022192</v>
      </c>
      <c r="AF20">
        <f>(without_window__step_3___2_28m___2[[#This Row],[T]]-with_window__step_3___corrected___2[[#This Row],[T]])*3600</f>
        <v>64.800000000002456</v>
      </c>
      <c r="AG20">
        <f>(without_window__step_3___2_28m___2[[#This Row],[P]]-with_window__step_3___corrected___2[[#This Row],[P]])*3600</f>
        <v>79.199999999968895</v>
      </c>
      <c r="AI20" s="2">
        <f>without_window__step_3___2_28m___2[[#This Row],[R]]-vacuum__step_3[[#This Row],[R]]</f>
        <v>-4.7690000000002328</v>
      </c>
      <c r="AJ20">
        <f>(without_window__step_3___2_28m___2[[#This Row],[T]]-vacuum__step_3[[#This Row],[T]])*3600</f>
        <v>64.800000000002456</v>
      </c>
      <c r="AK20">
        <f>(without_window__step_3___2_28m___2[[#This Row],[P]]-vacuum__step_3[[#This Row],[P]])*3600</f>
        <v>71.999999999985675</v>
      </c>
      <c r="AM20" s="3">
        <f>without_window__step_3___2_28m___2[[#This Row],[R]]-vacuum__step_3___corrected___2[[#This Row],[R]]</f>
        <v>-0.15200000000004366</v>
      </c>
      <c r="AN20">
        <f>(without_window__step_3___2_28m___2[[#This Row],[T]]-vacuum__step_3___corrected___2[[#This Row],[T]])*3600</f>
        <v>64.800000000002456</v>
      </c>
      <c r="AO20">
        <f>(without_window__step_3___2_28m___2[[#This Row],[P]]-vacuum__step_3___corrected___2[[#This Row],[P]])*3600</f>
        <v>71.999999999985675</v>
      </c>
      <c r="AQ20">
        <f t="shared" si="3"/>
        <v>1.2999999999767198E-2</v>
      </c>
      <c r="AS20" t="s">
        <v>103</v>
      </c>
      <c r="AU20">
        <f t="shared" si="1"/>
        <v>7.1799999999563324E-3</v>
      </c>
    </row>
    <row r="21" spans="1:47" x14ac:dyDescent="0.25">
      <c r="B21" s="1" t="s">
        <v>23</v>
      </c>
      <c r="C21">
        <v>2269.2689999999998</v>
      </c>
      <c r="D21">
        <v>145.93600000000001</v>
      </c>
      <c r="E21">
        <v>88.71</v>
      </c>
      <c r="G21" s="1" t="s">
        <v>23</v>
      </c>
      <c r="H21">
        <v>2274.5549999999998</v>
      </c>
      <c r="I21">
        <v>145.91499999999999</v>
      </c>
      <c r="J21">
        <v>88.688999999999993</v>
      </c>
      <c r="L21" s="1" t="s">
        <v>23</v>
      </c>
      <c r="M21">
        <v>2269.3829999999998</v>
      </c>
      <c r="N21">
        <v>145.91499999999999</v>
      </c>
      <c r="O21">
        <v>88.688999999999993</v>
      </c>
      <c r="Q21" s="1" t="s">
        <v>23</v>
      </c>
      <c r="R21">
        <v>2274.0520000000001</v>
      </c>
      <c r="S21">
        <v>145.91399999999999</v>
      </c>
      <c r="T21">
        <v>88.69</v>
      </c>
      <c r="V21" s="1" t="s">
        <v>38</v>
      </c>
      <c r="W21">
        <v>2269.4270000000001</v>
      </c>
      <c r="X21">
        <v>145.91399999999999</v>
      </c>
      <c r="Y21">
        <v>88.69</v>
      </c>
      <c r="AA21" s="2">
        <f>C21-H21</f>
        <v>-5.2860000000000582</v>
      </c>
      <c r="AB21">
        <f>(without_window__step_3___2_28m___2[[#This Row],[T]]-with_window__step_3___2[[#This Row],[T]])*3600</f>
        <v>75.600000000054024</v>
      </c>
      <c r="AC21">
        <f>(without_window__step_3___2_28m___2[[#This Row],[P]]-with_window__step_3___2[[#This Row],[P]])*3600</f>
        <v>75.600000000002865</v>
      </c>
      <c r="AE21" s="3">
        <f>without_window__step_3___2_28m___2[[#This Row],[R]]-with_window__step_3___corrected___2[[#This Row],[R]]</f>
        <v>-0.11400000000003274</v>
      </c>
      <c r="AF21">
        <f>(without_window__step_3___2_28m___2[[#This Row],[T]]-with_window__step_3___corrected___2[[#This Row],[T]])*3600</f>
        <v>75.600000000054024</v>
      </c>
      <c r="AG21">
        <f>(without_window__step_3___2_28m___2[[#This Row],[P]]-with_window__step_3___corrected___2[[#This Row],[P]])*3600</f>
        <v>75.600000000002865</v>
      </c>
      <c r="AI21" s="2">
        <f>without_window__step_3___2_28m___2[[#This Row],[R]]-vacuum__step_3[[#This Row],[R]]</f>
        <v>-4.7830000000003565</v>
      </c>
      <c r="AJ21">
        <f>(without_window__step_3___2_28m___2[[#This Row],[T]]-vacuum__step_3[[#This Row],[T]])*3600</f>
        <v>79.200000000071213</v>
      </c>
      <c r="AK21">
        <f>(without_window__step_3___2_28m___2[[#This Row],[P]]-vacuum__step_3[[#This Row],[P]])*3600</f>
        <v>71.999999999985675</v>
      </c>
      <c r="AM21" s="3">
        <f>without_window__step_3___2_28m___2[[#This Row],[R]]-vacuum__step_3___corrected___2[[#This Row],[R]]</f>
        <v>-0.15800000000035652</v>
      </c>
      <c r="AN21">
        <f>(without_window__step_3___2_28m___2[[#This Row],[T]]-vacuum__step_3___corrected___2[[#This Row],[T]])*3600</f>
        <v>79.200000000071213</v>
      </c>
      <c r="AO21">
        <f>(without_window__step_3___2_28m___2[[#This Row],[P]]-vacuum__step_3___corrected___2[[#This Row],[P]])*3600</f>
        <v>71.999999999985675</v>
      </c>
      <c r="AQ21">
        <f t="shared" si="3"/>
        <v>-1.0000000003564935E-3</v>
      </c>
      <c r="AS21" t="s">
        <v>104</v>
      </c>
      <c r="AU21">
        <f t="shared" si="1"/>
        <v>1.1799999996434662E-3</v>
      </c>
    </row>
    <row r="22" spans="1:47" x14ac:dyDescent="0.25">
      <c r="AA22" s="2"/>
      <c r="AE22" s="3"/>
      <c r="AH22" t="s">
        <v>115</v>
      </c>
      <c r="AI22" s="2">
        <f>AVERAGE(AI18:AI21)</f>
        <v>-4.7820000000002665</v>
      </c>
      <c r="AM22" s="3"/>
      <c r="AS22" t="s">
        <v>105</v>
      </c>
    </row>
    <row r="23" spans="1:47" x14ac:dyDescent="0.25">
      <c r="A23">
        <v>4</v>
      </c>
      <c r="AA23" s="2"/>
      <c r="AE23" s="3"/>
      <c r="AI23" s="2"/>
      <c r="AM23" s="3"/>
      <c r="AS23" t="s">
        <v>106</v>
      </c>
    </row>
    <row r="24" spans="1:47" x14ac:dyDescent="0.25">
      <c r="B24" t="s">
        <v>6</v>
      </c>
      <c r="C24" t="s">
        <v>70</v>
      </c>
      <c r="D24" t="s">
        <v>71</v>
      </c>
      <c r="E24" t="s">
        <v>72</v>
      </c>
      <c r="G24" t="s">
        <v>6</v>
      </c>
      <c r="H24" t="s">
        <v>70</v>
      </c>
      <c r="I24" t="s">
        <v>71</v>
      </c>
      <c r="J24" t="s">
        <v>72</v>
      </c>
      <c r="L24" t="s">
        <v>6</v>
      </c>
      <c r="M24" t="s">
        <v>70</v>
      </c>
      <c r="N24" t="s">
        <v>71</v>
      </c>
      <c r="O24" t="s">
        <v>72</v>
      </c>
      <c r="Q24" t="s">
        <v>6</v>
      </c>
      <c r="R24" t="s">
        <v>70</v>
      </c>
      <c r="S24" t="s">
        <v>71</v>
      </c>
      <c r="T24" t="s">
        <v>72</v>
      </c>
      <c r="V24" t="s">
        <v>6</v>
      </c>
      <c r="W24" t="s">
        <v>70</v>
      </c>
      <c r="X24" t="s">
        <v>71</v>
      </c>
      <c r="Y24" t="s">
        <v>72</v>
      </c>
      <c r="AA24" s="2"/>
      <c r="AE24" s="3"/>
      <c r="AI24" s="2"/>
      <c r="AM24" s="3"/>
      <c r="AS24" t="s">
        <v>107</v>
      </c>
    </row>
    <row r="25" spans="1:47" x14ac:dyDescent="0.25">
      <c r="B25" s="1" t="s">
        <v>14</v>
      </c>
      <c r="C25">
        <v>2562.3249999999998</v>
      </c>
      <c r="D25">
        <v>145.95500000000001</v>
      </c>
      <c r="E25">
        <v>91.986999999999995</v>
      </c>
      <c r="G25" s="1" t="s">
        <v>40</v>
      </c>
      <c r="H25">
        <v>2567.6219999999998</v>
      </c>
      <c r="I25">
        <v>145.934</v>
      </c>
      <c r="J25">
        <v>91.962999999999994</v>
      </c>
      <c r="L25" s="1" t="s">
        <v>40</v>
      </c>
      <c r="M25">
        <v>2562.453</v>
      </c>
      <c r="N25">
        <v>145.934</v>
      </c>
      <c r="O25">
        <v>91.962999999999994</v>
      </c>
      <c r="Q25" s="1" t="s">
        <v>14</v>
      </c>
      <c r="R25">
        <v>2567.0500000000002</v>
      </c>
      <c r="S25">
        <v>145.93299999999999</v>
      </c>
      <c r="T25">
        <v>91.963999999999999</v>
      </c>
      <c r="V25" s="1" t="s">
        <v>41</v>
      </c>
      <c r="W25">
        <v>2562.5070000000001</v>
      </c>
      <c r="X25">
        <v>145.93299999999999</v>
      </c>
      <c r="Y25">
        <v>91.963999999999999</v>
      </c>
      <c r="AA25" s="2">
        <f>without_window__step_4___2_58m___2[[#This Row],[R]]-with_window__step_4[[#This Row],[R]]</f>
        <v>-5.2970000000000255</v>
      </c>
      <c r="AB25">
        <f>(without_window__step_4___2_58m___2[[#This Row],[T]]-with_window__step_4[[#This Row],[T]])*3600</f>
        <v>75.600000000054024</v>
      </c>
      <c r="AC25">
        <f>(without_window__step_4___2_58m___2[[#This Row],[P]]-with_window__step_4[[#This Row],[P]])*3600</f>
        <v>86.400000000003274</v>
      </c>
      <c r="AE25" s="3">
        <f>without_window__step_4___2_58m___2[[#This Row],[R]]-with_window__step_4___corrected___2[[#This Row],[R]]</f>
        <v>-0.12800000000015643</v>
      </c>
      <c r="AF25">
        <f>(without_window__step_4___2_58m___2[[#This Row],[T]]-with_window__step_4___corrected___2[[#This Row],[T]])*3600</f>
        <v>75.600000000054024</v>
      </c>
      <c r="AG25">
        <f>(without_window__step_4___2_58m___2[[#This Row],[P]]-with_window__step_4___corrected___2[[#This Row],[P]])*3600</f>
        <v>86.400000000003274</v>
      </c>
      <c r="AI25" s="2">
        <f>without_window__step_4___2_58m___2[[#This Row],[R]]-vacuum__step_4[[#This Row],[R]]</f>
        <v>-4.7250000000003638</v>
      </c>
      <c r="AJ25">
        <f>(without_window__step_4___2_58m___2[[#This Row],[T]]-vacuum__step_4[[#This Row],[T]])*3600</f>
        <v>79.200000000071213</v>
      </c>
      <c r="AK25">
        <f>(without_window__step_4___2_58m___2[[#This Row],[P]]-vacuum__step_4[[#This Row],[P]])*3600</f>
        <v>82.799999999986085</v>
      </c>
      <c r="AM25" s="3">
        <f>without_window__step_4___2_58m___2[[#This Row],[R]]-vacuum__step_4___corrected___2[[#This Row],[R]]</f>
        <v>-0.18200000000024374</v>
      </c>
      <c r="AN25">
        <f>(without_window__step_4___2_58m___2[[#This Row],[T]]-vacuum__step_4___corrected___2[[#This Row],[T]])*3600</f>
        <v>79.200000000071213</v>
      </c>
      <c r="AO25">
        <f>(without_window__step_4___2_58m___2[[#This Row],[P]]-vacuum__step_4___corrected___2[[#This Row],[P]])*3600</f>
        <v>82.799999999986085</v>
      </c>
      <c r="AQ25">
        <f>AI25 + 4.711</f>
        <v>-1.4000000000363499E-2</v>
      </c>
      <c r="AS25" t="s">
        <v>108</v>
      </c>
      <c r="AU25">
        <f t="shared" si="1"/>
        <v>-2.2820000000243756E-2</v>
      </c>
    </row>
    <row r="26" spans="1:47" x14ac:dyDescent="0.25">
      <c r="B26" s="1" t="s">
        <v>17</v>
      </c>
      <c r="C26">
        <v>2567.7139999999999</v>
      </c>
      <c r="D26">
        <v>142.83000000000001</v>
      </c>
      <c r="E26">
        <v>91.974000000000004</v>
      </c>
      <c r="G26" s="1" t="s">
        <v>42</v>
      </c>
      <c r="H26">
        <v>2573</v>
      </c>
      <c r="I26">
        <v>142.81100000000001</v>
      </c>
      <c r="J26">
        <v>91.95</v>
      </c>
      <c r="L26" s="1" t="s">
        <v>42</v>
      </c>
      <c r="M26">
        <v>2567.8330000000001</v>
      </c>
      <c r="N26">
        <v>142.81100000000001</v>
      </c>
      <c r="O26">
        <v>91.95</v>
      </c>
      <c r="Q26" s="1" t="s">
        <v>17</v>
      </c>
      <c r="R26">
        <v>2572.422</v>
      </c>
      <c r="S26">
        <v>142.81</v>
      </c>
      <c r="T26">
        <v>91.950999999999993</v>
      </c>
      <c r="V26" s="1" t="s">
        <v>43</v>
      </c>
      <c r="W26">
        <v>2567.8780000000002</v>
      </c>
      <c r="X26">
        <v>142.81</v>
      </c>
      <c r="Y26">
        <v>91.950999999999993</v>
      </c>
      <c r="AA26" s="2">
        <f>without_window__step_4___2_58m___2[[#This Row],[R]]-with_window__step_4[[#This Row],[R]]</f>
        <v>-5.2860000000000582</v>
      </c>
      <c r="AB26">
        <f>(without_window__step_4___2_58m___2[[#This Row],[T]]-with_window__step_4[[#This Row],[T]])*3600</f>
        <v>68.400000000019645</v>
      </c>
      <c r="AC26">
        <f>(without_window__step_4___2_58m___2[[#This Row],[P]]-with_window__step_4[[#This Row],[P]])*3600</f>
        <v>86.400000000003274</v>
      </c>
      <c r="AE26" s="3">
        <f>without_window__step_4___2_58m___2[[#This Row],[R]]-with_window__step_4___corrected___2[[#This Row],[R]]</f>
        <v>-0.11900000000014188</v>
      </c>
      <c r="AF26">
        <f>(without_window__step_4___2_58m___2[[#This Row],[T]]-with_window__step_4___corrected___2[[#This Row],[T]])*3600</f>
        <v>68.400000000019645</v>
      </c>
      <c r="AG26">
        <f>(without_window__step_4___2_58m___2[[#This Row],[P]]-with_window__step_4___corrected___2[[#This Row],[P]])*3600</f>
        <v>86.400000000003274</v>
      </c>
      <c r="AI26" s="2">
        <f>without_window__step_4___2_58m___2[[#This Row],[R]]-vacuum__step_4[[#This Row],[R]]</f>
        <v>-4.7080000000000837</v>
      </c>
      <c r="AJ26">
        <f>(without_window__step_4___2_58m___2[[#This Row],[T]]-vacuum__step_4[[#This Row],[T]])*3600</f>
        <v>72.000000000036835</v>
      </c>
      <c r="AK26">
        <f>(without_window__step_4___2_58m___2[[#This Row],[P]]-vacuum__step_4[[#This Row],[P]])*3600</f>
        <v>82.800000000037244</v>
      </c>
      <c r="AM26" s="3">
        <f>without_window__step_4___2_58m___2[[#This Row],[R]]-vacuum__step_4___corrected___2[[#This Row],[R]]</f>
        <v>-0.16400000000021464</v>
      </c>
      <c r="AN26">
        <f>(without_window__step_4___2_58m___2[[#This Row],[T]]-vacuum__step_4___corrected___2[[#This Row],[T]])*3600</f>
        <v>72.000000000036835</v>
      </c>
      <c r="AO26">
        <f>(without_window__step_4___2_58m___2[[#This Row],[P]]-vacuum__step_4___corrected___2[[#This Row],[P]])*3600</f>
        <v>82.800000000037244</v>
      </c>
      <c r="AQ26">
        <f t="shared" ref="AQ26:AQ28" si="4">AI26 + 4.711</f>
        <v>2.9999999999166249E-3</v>
      </c>
      <c r="AS26" t="s">
        <v>109</v>
      </c>
      <c r="AU26">
        <f t="shared" si="1"/>
        <v>-4.8200000002146526E-3</v>
      </c>
    </row>
    <row r="27" spans="1:47" x14ac:dyDescent="0.25">
      <c r="B27" s="1" t="s">
        <v>20</v>
      </c>
      <c r="C27">
        <v>2566.8339999999998</v>
      </c>
      <c r="D27">
        <v>142.84</v>
      </c>
      <c r="E27">
        <v>88.850999999999999</v>
      </c>
      <c r="G27" s="1" t="s">
        <v>44</v>
      </c>
      <c r="H27">
        <v>2572.1080000000002</v>
      </c>
      <c r="I27">
        <v>142.821</v>
      </c>
      <c r="J27">
        <v>88.828999999999994</v>
      </c>
      <c r="L27" s="1" t="s">
        <v>44</v>
      </c>
      <c r="M27">
        <v>2566.9430000000002</v>
      </c>
      <c r="N27">
        <v>142.821</v>
      </c>
      <c r="O27">
        <v>88.828999999999994</v>
      </c>
      <c r="Q27" s="1" t="s">
        <v>20</v>
      </c>
      <c r="R27">
        <v>2571.5340000000001</v>
      </c>
      <c r="S27">
        <v>142.82</v>
      </c>
      <c r="T27">
        <v>88.83</v>
      </c>
      <c r="V27" s="1" t="s">
        <v>45</v>
      </c>
      <c r="W27">
        <v>2566.9879999999998</v>
      </c>
      <c r="X27">
        <v>142.82</v>
      </c>
      <c r="Y27">
        <v>88.83</v>
      </c>
      <c r="AA27" s="2">
        <f>without_window__step_4___2_58m___2[[#This Row],[R]]-with_window__step_4[[#This Row],[R]]</f>
        <v>-5.274000000000342</v>
      </c>
      <c r="AB27">
        <f>(without_window__step_4___2_58m___2[[#This Row],[T]]-with_window__step_4[[#This Row],[T]])*3600</f>
        <v>68.400000000019645</v>
      </c>
      <c r="AC27">
        <f>(without_window__step_4___2_58m___2[[#This Row],[P]]-with_window__step_4[[#This Row],[P]])*3600</f>
        <v>79.200000000020054</v>
      </c>
      <c r="AE27" s="3">
        <f>without_window__step_4___2_58m___2[[#This Row],[R]]-with_window__step_4___corrected___2[[#This Row],[R]]</f>
        <v>-0.10900000000037835</v>
      </c>
      <c r="AF27">
        <f>(without_window__step_4___2_58m___2[[#This Row],[T]]-with_window__step_4___corrected___2[[#This Row],[T]])*3600</f>
        <v>68.400000000019645</v>
      </c>
      <c r="AG27">
        <f>(without_window__step_4___2_58m___2[[#This Row],[P]]-with_window__step_4___corrected___2[[#This Row],[P]])*3600</f>
        <v>79.200000000020054</v>
      </c>
      <c r="AI27" s="2">
        <f>without_window__step_4___2_58m___2[[#This Row],[R]]-vacuum__step_4[[#This Row],[R]]</f>
        <v>-4.7000000000002728</v>
      </c>
      <c r="AJ27">
        <f>(without_window__step_4___2_58m___2[[#This Row],[T]]-vacuum__step_4[[#This Row],[T]])*3600</f>
        <v>72.000000000036835</v>
      </c>
      <c r="AK27">
        <f>(without_window__step_4___2_58m___2[[#This Row],[P]]-vacuum__step_4[[#This Row],[P]])*3600</f>
        <v>75.600000000002865</v>
      </c>
      <c r="AM27" s="3">
        <f>without_window__step_4___2_58m___2[[#This Row],[R]]-vacuum__step_4___corrected___2[[#This Row],[R]]</f>
        <v>-0.15399999999999636</v>
      </c>
      <c r="AN27">
        <f>(without_window__step_4___2_58m___2[[#This Row],[T]]-vacuum__step_4___corrected___2[[#This Row],[T]])*3600</f>
        <v>72.000000000036835</v>
      </c>
      <c r="AO27">
        <f>(without_window__step_4___2_58m___2[[#This Row],[P]]-vacuum__step_4___corrected___2[[#This Row],[P]])*3600</f>
        <v>75.600000000002865</v>
      </c>
      <c r="AQ27">
        <f t="shared" si="4"/>
        <v>1.099999999972745E-2</v>
      </c>
      <c r="AS27" t="s">
        <v>110</v>
      </c>
      <c r="AU27">
        <f t="shared" si="1"/>
        <v>5.1800000000036261E-3</v>
      </c>
    </row>
    <row r="28" spans="1:47" x14ac:dyDescent="0.25">
      <c r="B28" s="1" t="s">
        <v>23</v>
      </c>
      <c r="C28">
        <v>2561.4839999999999</v>
      </c>
      <c r="D28">
        <v>145.964</v>
      </c>
      <c r="E28">
        <v>88.858999999999995</v>
      </c>
      <c r="G28" s="1" t="s">
        <v>46</v>
      </c>
      <c r="H28">
        <v>2566.7669999999998</v>
      </c>
      <c r="I28">
        <v>145.94300000000001</v>
      </c>
      <c r="J28">
        <v>88.837000000000003</v>
      </c>
      <c r="L28" s="1" t="s">
        <v>46</v>
      </c>
      <c r="M28">
        <v>2561.6030000000001</v>
      </c>
      <c r="N28">
        <v>145.94300000000001</v>
      </c>
      <c r="O28">
        <v>88.837000000000003</v>
      </c>
      <c r="Q28" s="1" t="s">
        <v>23</v>
      </c>
      <c r="R28">
        <v>2566.1950000000002</v>
      </c>
      <c r="S28">
        <v>145.94200000000001</v>
      </c>
      <c r="T28">
        <v>88.837999999999994</v>
      </c>
      <c r="V28" s="1" t="s">
        <v>47</v>
      </c>
      <c r="W28">
        <v>2561.6570000000002</v>
      </c>
      <c r="X28">
        <v>145.94200000000001</v>
      </c>
      <c r="Y28">
        <v>88.837999999999994</v>
      </c>
      <c r="AA28" s="2">
        <f>without_window__step_4___2_58m___2[[#This Row],[R]]-with_window__step_4[[#This Row],[R]]</f>
        <v>-5.2829999999999018</v>
      </c>
      <c r="AB28">
        <f>(without_window__step_4___2_58m___2[[#This Row],[T]]-with_window__step_4[[#This Row],[T]])*3600</f>
        <v>75.599999999951706</v>
      </c>
      <c r="AC28">
        <f>(without_window__step_4___2_58m___2[[#This Row],[P]]-with_window__step_4[[#This Row],[P]])*3600</f>
        <v>79.199999999968895</v>
      </c>
      <c r="AE28" s="3">
        <f>without_window__step_4___2_58m___2[[#This Row],[R]]-with_window__step_4___corrected___2[[#This Row],[R]]</f>
        <v>-0.11900000000014188</v>
      </c>
      <c r="AF28">
        <f>(without_window__step_4___2_58m___2[[#This Row],[T]]-with_window__step_4___corrected___2[[#This Row],[T]])*3600</f>
        <v>75.599999999951706</v>
      </c>
      <c r="AG28">
        <f>(without_window__step_4___2_58m___2[[#This Row],[P]]-with_window__step_4___corrected___2[[#This Row],[P]])*3600</f>
        <v>79.199999999968895</v>
      </c>
      <c r="AI28" s="2">
        <f>without_window__step_4___2_58m___2[[#This Row],[R]]-vacuum__step_4[[#This Row],[R]]</f>
        <v>-4.7110000000002401</v>
      </c>
      <c r="AJ28">
        <f>(without_window__step_4___2_58m___2[[#This Row],[T]]-vacuum__step_4[[#This Row],[T]])*3600</f>
        <v>79.199999999968895</v>
      </c>
      <c r="AK28">
        <f>(without_window__step_4___2_58m___2[[#This Row],[P]]-vacuum__step_4[[#This Row],[P]])*3600</f>
        <v>75.600000000002865</v>
      </c>
      <c r="AM28" s="3">
        <f>without_window__step_4___2_58m___2[[#This Row],[R]]-vacuum__step_4___corrected___2[[#This Row],[R]]</f>
        <v>-0.17300000000022919</v>
      </c>
      <c r="AN28">
        <f>(without_window__step_4___2_58m___2[[#This Row],[T]]-vacuum__step_4___corrected___2[[#This Row],[T]])*3600</f>
        <v>79.199999999968895</v>
      </c>
      <c r="AO28">
        <f>(without_window__step_4___2_58m___2[[#This Row],[P]]-vacuum__step_4___corrected___2[[#This Row],[P]])*3600</f>
        <v>75.600000000002865</v>
      </c>
      <c r="AQ28">
        <f t="shared" si="4"/>
        <v>-2.3980817331903381E-13</v>
      </c>
      <c r="AS28" t="s">
        <v>111</v>
      </c>
      <c r="AU28">
        <f t="shared" si="1"/>
        <v>-1.3820000000229204E-2</v>
      </c>
    </row>
    <row r="29" spans="1:47" x14ac:dyDescent="0.25">
      <c r="AA29" s="2"/>
      <c r="AE29" s="3"/>
      <c r="AH29" t="s">
        <v>115</v>
      </c>
      <c r="AI29" s="2">
        <f>AVERAGE(AI25:AI28)</f>
        <v>-4.7110000000002401</v>
      </c>
      <c r="AM29" s="3"/>
      <c r="AS29" t="s">
        <v>112</v>
      </c>
    </row>
    <row r="30" spans="1:47" x14ac:dyDescent="0.25">
      <c r="A30">
        <v>4.0999999999999996</v>
      </c>
      <c r="AA30" s="2"/>
      <c r="AE30" s="3"/>
      <c r="AI30" s="2"/>
      <c r="AM30" s="3"/>
      <c r="AS30" t="s">
        <v>113</v>
      </c>
    </row>
    <row r="31" spans="1:47" x14ac:dyDescent="0.25">
      <c r="B31" t="s">
        <v>6</v>
      </c>
      <c r="C31" t="s">
        <v>70</v>
      </c>
      <c r="D31" t="s">
        <v>71</v>
      </c>
      <c r="E31" t="s">
        <v>72</v>
      </c>
      <c r="G31" t="s">
        <v>6</v>
      </c>
      <c r="H31" t="s">
        <v>70</v>
      </c>
      <c r="I31" t="s">
        <v>71</v>
      </c>
      <c r="J31" t="s">
        <v>72</v>
      </c>
      <c r="L31" t="s">
        <v>6</v>
      </c>
      <c r="M31" t="s">
        <v>70</v>
      </c>
      <c r="N31" t="s">
        <v>71</v>
      </c>
      <c r="O31" t="s">
        <v>72</v>
      </c>
      <c r="Q31" t="s">
        <v>6</v>
      </c>
      <c r="R31" t="s">
        <v>70</v>
      </c>
      <c r="S31" t="s">
        <v>71</v>
      </c>
      <c r="T31" t="s">
        <v>72</v>
      </c>
      <c r="V31" t="s">
        <v>6</v>
      </c>
      <c r="W31" t="s">
        <v>70</v>
      </c>
      <c r="X31" t="s">
        <v>71</v>
      </c>
      <c r="Y31" t="s">
        <v>72</v>
      </c>
      <c r="AA31" s="2"/>
      <c r="AE31" s="3"/>
      <c r="AI31" s="2"/>
      <c r="AM31" s="3"/>
    </row>
    <row r="32" spans="1:47" x14ac:dyDescent="0.25">
      <c r="B32" s="1" t="s">
        <v>14</v>
      </c>
      <c r="C32">
        <v>2566.4699999999998</v>
      </c>
      <c r="D32">
        <v>142.59899999999999</v>
      </c>
      <c r="E32">
        <v>91.977999999999994</v>
      </c>
      <c r="G32" s="1" t="s">
        <v>48</v>
      </c>
      <c r="H32">
        <v>2571.7539999999999</v>
      </c>
      <c r="I32">
        <v>142.58099999999999</v>
      </c>
      <c r="J32">
        <v>91.953000000000003</v>
      </c>
      <c r="L32" s="1" t="s">
        <v>48</v>
      </c>
      <c r="M32">
        <v>2566.5830000000001</v>
      </c>
      <c r="N32">
        <v>142.58099999999999</v>
      </c>
      <c r="O32">
        <v>91.953000000000003</v>
      </c>
      <c r="Q32" s="1" t="s">
        <v>14</v>
      </c>
      <c r="R32">
        <v>2571.1819999999998</v>
      </c>
      <c r="S32">
        <v>142.58000000000001</v>
      </c>
      <c r="T32">
        <v>91.954999999999998</v>
      </c>
      <c r="V32" s="1" t="s">
        <v>49</v>
      </c>
      <c r="W32">
        <v>2566.6379999999999</v>
      </c>
      <c r="X32">
        <v>142.58000000000001</v>
      </c>
      <c r="Y32">
        <v>91.954999999999998</v>
      </c>
      <c r="AA32" s="2">
        <f>without_window__step_4_1___2_58m___2[[#This Row],[R]]-with_window__step_4_1[[#This Row],[R]]</f>
        <v>-5.2840000000001055</v>
      </c>
      <c r="AB32">
        <f>(without_window__step_4_1___2_58m___2[[#This Row],[T]]-with_window__step_4_1[[#This Row],[T]])*3600</f>
        <v>64.800000000002456</v>
      </c>
      <c r="AC32">
        <f>(without_window__step_4_1___2_58m___2[[#This Row],[P]]-with_window__step_4_1[[#This Row],[P]])*3600</f>
        <v>89.999999999969305</v>
      </c>
      <c r="AE32" s="3">
        <f>without_window__step_4_1___2_58m___2[[#This Row],[R]]-with_window__step_4_1___corrected___2[[#This Row],[R]]</f>
        <v>-0.11300000000028376</v>
      </c>
      <c r="AF32">
        <f>(without_window__step_4_1___2_58m___2[[#This Row],[T]]-with_window__step_4_1___corrected___2[[#This Row],[T]])*3600</f>
        <v>64.800000000002456</v>
      </c>
      <c r="AG32">
        <f>(without_window__step_4_1___2_58m___2[[#This Row],[P]]-with_window__step_4_1___corrected___2[[#This Row],[P]])*3600</f>
        <v>89.999999999969305</v>
      </c>
      <c r="AI32" s="2">
        <f>without_window__step_4_1___2_58m___2[[#This Row],[R]]-vacuum__step_4_1[[#This Row],[R]]</f>
        <v>-4.7119999999999891</v>
      </c>
      <c r="AJ32">
        <f>(without_window__step_4_1___2_58m___2[[#This Row],[T]]-vacuum__step_4_1[[#This Row],[T]])*3600</f>
        <v>68.399999999917327</v>
      </c>
      <c r="AK32">
        <f>(without_window__step_4_1___2_58m___2[[#This Row],[P]]-vacuum__step_4_1[[#This Row],[P]])*3600</f>
        <v>82.799999999986085</v>
      </c>
      <c r="AM32" s="3">
        <f>without_window__step_4_1___2_58m___2[[#This Row],[R]]-vacuum__step_4_1___corrected___2[[#This Row],[R]]</f>
        <v>-0.16800000000012005</v>
      </c>
      <c r="AN32">
        <f>(without_window__step_4_1___2_58m___2[[#This Row],[T]]-vacuum__step_4_1___corrected___2[[#This Row],[T]])*3600</f>
        <v>68.399999999917327</v>
      </c>
      <c r="AO32">
        <f>(without_window__step_4_1___2_58m___2[[#This Row],[P]]-vacuum__step_4_1___corrected___2[[#This Row],[P]])*3600</f>
        <v>82.799999999986085</v>
      </c>
      <c r="AQ32">
        <f>AI32 + 4.69925</f>
        <v>-1.2749999999988937E-2</v>
      </c>
      <c r="AS32" t="s">
        <v>114</v>
      </c>
      <c r="AU32">
        <f t="shared" si="1"/>
        <v>-8.8200000001200651E-3</v>
      </c>
    </row>
    <row r="33" spans="1:47" x14ac:dyDescent="0.25">
      <c r="B33" s="1" t="s">
        <v>17</v>
      </c>
      <c r="C33">
        <v>2579.91</v>
      </c>
      <c r="D33">
        <v>139.49600000000001</v>
      </c>
      <c r="E33">
        <v>91.960999999999999</v>
      </c>
      <c r="G33" s="1" t="s">
        <v>50</v>
      </c>
      <c r="H33">
        <v>2585.181</v>
      </c>
      <c r="I33">
        <v>139.47900000000001</v>
      </c>
      <c r="J33">
        <v>91.936000000000007</v>
      </c>
      <c r="L33" s="1" t="s">
        <v>50</v>
      </c>
      <c r="M33">
        <v>2580.0129999999999</v>
      </c>
      <c r="N33">
        <v>139.47900000000001</v>
      </c>
      <c r="O33">
        <v>91.936000000000007</v>
      </c>
      <c r="Q33" s="1" t="s">
        <v>17</v>
      </c>
      <c r="R33">
        <v>2584.605</v>
      </c>
      <c r="S33">
        <v>139.47900000000001</v>
      </c>
      <c r="T33">
        <v>91.936999999999998</v>
      </c>
      <c r="V33" s="1" t="s">
        <v>51</v>
      </c>
      <c r="W33">
        <v>2580.0619999999999</v>
      </c>
      <c r="X33">
        <v>139.47900000000001</v>
      </c>
      <c r="Y33">
        <v>91.936999999999998</v>
      </c>
      <c r="AA33" s="2">
        <f>without_window__step_4_1___2_58m___2[[#This Row],[R]]-with_window__step_4_1[[#This Row],[R]]</f>
        <v>-5.2710000000001855</v>
      </c>
      <c r="AB33">
        <f>(without_window__step_4_1___2_58m___2[[#This Row],[T]]-with_window__step_4_1[[#This Row],[T]])*3600</f>
        <v>61.199999999985266</v>
      </c>
      <c r="AC33">
        <f>(without_window__step_4_1___2_58m___2[[#This Row],[P]]-with_window__step_4_1[[#This Row],[P]])*3600</f>
        <v>89.999999999969305</v>
      </c>
      <c r="AE33" s="3">
        <f>without_window__step_4_1___2_58m___2[[#This Row],[R]]-with_window__step_4_1___corrected___2[[#This Row],[R]]</f>
        <v>-0.10300000000006548</v>
      </c>
      <c r="AF33">
        <f>(without_window__step_4_1___2_58m___2[[#This Row],[T]]-with_window__step_4_1___corrected___2[[#This Row],[T]])*3600</f>
        <v>61.199999999985266</v>
      </c>
      <c r="AG33">
        <f>(without_window__step_4_1___2_58m___2[[#This Row],[P]]-with_window__step_4_1___corrected___2[[#This Row],[P]])*3600</f>
        <v>89.999999999969305</v>
      </c>
      <c r="AI33" s="2">
        <f>without_window__step_4_1___2_58m___2[[#This Row],[R]]-vacuum__step_4_1[[#This Row],[R]]</f>
        <v>-4.6950000000001637</v>
      </c>
      <c r="AJ33">
        <f>(without_window__step_4_1___2_58m___2[[#This Row],[T]]-vacuum__step_4_1[[#This Row],[T]])*3600</f>
        <v>61.199999999985266</v>
      </c>
      <c r="AK33">
        <f>(without_window__step_4_1___2_58m___2[[#This Row],[P]]-vacuum__step_4_1[[#This Row],[P]])*3600</f>
        <v>86.400000000003274</v>
      </c>
      <c r="AM33" s="3">
        <f>without_window__step_4_1___2_58m___2[[#This Row],[R]]-vacuum__step_4_1___corrected___2[[#This Row],[R]]</f>
        <v>-0.15200000000004366</v>
      </c>
      <c r="AN33">
        <f>(without_window__step_4_1___2_58m___2[[#This Row],[T]]-vacuum__step_4_1___corrected___2[[#This Row],[T]])*3600</f>
        <v>61.199999999985266</v>
      </c>
      <c r="AO33">
        <f>(without_window__step_4_1___2_58m___2[[#This Row],[P]]-vacuum__step_4_1___corrected___2[[#This Row],[P]])*3600</f>
        <v>86.400000000003274</v>
      </c>
      <c r="AQ33">
        <f t="shared" ref="AQ33:AQ35" si="5">AI33 + 4.69925</f>
        <v>4.2499999998364402E-3</v>
      </c>
      <c r="AS33">
        <v>1</v>
      </c>
      <c r="AU33">
        <f t="shared" si="1"/>
        <v>7.1799999999563324E-3</v>
      </c>
    </row>
    <row r="34" spans="1:47" x14ac:dyDescent="0.25">
      <c r="B34" s="1" t="s">
        <v>20</v>
      </c>
      <c r="C34">
        <v>2578.8809999999999</v>
      </c>
      <c r="D34">
        <v>139.50399999999999</v>
      </c>
      <c r="E34">
        <v>88.852999999999994</v>
      </c>
      <c r="G34" s="1" t="s">
        <v>52</v>
      </c>
      <c r="H34">
        <v>2584.1410000000001</v>
      </c>
      <c r="I34">
        <v>139.48699999999999</v>
      </c>
      <c r="J34">
        <v>88.83</v>
      </c>
      <c r="L34" s="1" t="s">
        <v>52</v>
      </c>
      <c r="M34">
        <v>2578.973</v>
      </c>
      <c r="N34">
        <v>139.48699999999999</v>
      </c>
      <c r="O34">
        <v>88.83</v>
      </c>
      <c r="Q34" s="1" t="s">
        <v>20</v>
      </c>
      <c r="R34">
        <v>2583.5700000000002</v>
      </c>
      <c r="S34">
        <v>139.48699999999999</v>
      </c>
      <c r="T34">
        <v>88.831999999999994</v>
      </c>
      <c r="V34" s="1" t="s">
        <v>53</v>
      </c>
      <c r="W34">
        <v>2579.0320000000002</v>
      </c>
      <c r="X34">
        <v>139.48699999999999</v>
      </c>
      <c r="Y34">
        <v>88.831999999999994</v>
      </c>
      <c r="AA34" s="2">
        <f>without_window__step_4_1___2_58m___2[[#This Row],[R]]-with_window__step_4_1[[#This Row],[R]]</f>
        <v>-5.2600000000002183</v>
      </c>
      <c r="AB34">
        <f>(without_window__step_4_1___2_58m___2[[#This Row],[T]]-with_window__step_4_1[[#This Row],[T]])*3600</f>
        <v>61.199999999985266</v>
      </c>
      <c r="AC34">
        <f>(without_window__step_4_1___2_58m___2[[#This Row],[P]]-with_window__step_4_1[[#This Row],[P]])*3600</f>
        <v>82.799999999986085</v>
      </c>
      <c r="AE34" s="3">
        <f>without_window__step_4_1___2_58m___2[[#This Row],[R]]-with_window__step_4_1___corrected___2[[#This Row],[R]]</f>
        <v>-9.2000000000098225E-2</v>
      </c>
      <c r="AF34">
        <f>(without_window__step_4_1___2_58m___2[[#This Row],[T]]-with_window__step_4_1___corrected___2[[#This Row],[T]])*3600</f>
        <v>61.199999999985266</v>
      </c>
      <c r="AG34">
        <f>(without_window__step_4_1___2_58m___2[[#This Row],[P]]-with_window__step_4_1___corrected___2[[#This Row],[P]])*3600</f>
        <v>82.799999999986085</v>
      </c>
      <c r="AI34" s="2">
        <f>without_window__step_4_1___2_58m___2[[#This Row],[R]]-vacuum__step_4_1[[#This Row],[R]]</f>
        <v>-4.6890000000003056</v>
      </c>
      <c r="AJ34">
        <f>(without_window__step_4_1___2_58m___2[[#This Row],[T]]-vacuum__step_4_1[[#This Row],[T]])*3600</f>
        <v>61.199999999985266</v>
      </c>
      <c r="AK34">
        <f>(without_window__step_4_1___2_58m___2[[#This Row],[P]]-vacuum__step_4_1[[#This Row],[P]])*3600</f>
        <v>75.600000000002865</v>
      </c>
      <c r="AM34" s="3">
        <f>without_window__step_4_1___2_58m___2[[#This Row],[R]]-vacuum__step_4_1___corrected___2[[#This Row],[R]]</f>
        <v>-0.15100000000029468</v>
      </c>
      <c r="AN34">
        <f>(without_window__step_4_1___2_58m___2[[#This Row],[T]]-vacuum__step_4_1___corrected___2[[#This Row],[T]])*3600</f>
        <v>61.199999999985266</v>
      </c>
      <c r="AO34">
        <f>(without_window__step_4_1___2_58m___2[[#This Row],[P]]-vacuum__step_4_1___corrected___2[[#This Row],[P]])*3600</f>
        <v>75.600000000002865</v>
      </c>
      <c r="AQ34">
        <f t="shared" si="5"/>
        <v>1.0249999999694559E-2</v>
      </c>
      <c r="AS34">
        <v>2</v>
      </c>
      <c r="AU34">
        <f t="shared" si="1"/>
        <v>8.1799999997053119E-3</v>
      </c>
    </row>
    <row r="35" spans="1:47" x14ac:dyDescent="0.25">
      <c r="B35" s="1" t="s">
        <v>23</v>
      </c>
      <c r="C35">
        <v>2565.4789999999998</v>
      </c>
      <c r="D35">
        <v>142.60599999999999</v>
      </c>
      <c r="E35">
        <v>88.855000000000004</v>
      </c>
      <c r="G35" s="1" t="s">
        <v>54</v>
      </c>
      <c r="H35">
        <v>2570.752</v>
      </c>
      <c r="I35">
        <v>142.58799999999999</v>
      </c>
      <c r="J35">
        <v>88.832999999999998</v>
      </c>
      <c r="L35" s="1" t="s">
        <v>54</v>
      </c>
      <c r="M35">
        <v>2565.5830000000001</v>
      </c>
      <c r="N35">
        <v>142.58799999999999</v>
      </c>
      <c r="O35">
        <v>88.832999999999998</v>
      </c>
      <c r="Q35" s="1" t="s">
        <v>23</v>
      </c>
      <c r="R35">
        <v>2570.1799999999998</v>
      </c>
      <c r="S35">
        <v>142.58699999999999</v>
      </c>
      <c r="T35">
        <v>88.834000000000003</v>
      </c>
      <c r="V35" s="1" t="s">
        <v>55</v>
      </c>
      <c r="W35">
        <v>2565.6379999999999</v>
      </c>
      <c r="X35">
        <v>142.58699999999999</v>
      </c>
      <c r="Y35">
        <v>88.834000000000003</v>
      </c>
      <c r="AA35" s="2">
        <f>without_window__step_4_1___2_58m___2[[#This Row],[R]]-with_window__step_4_1[[#This Row],[R]]</f>
        <v>-5.2730000000001382</v>
      </c>
      <c r="AB35">
        <f>(without_window__step_4_1___2_58m___2[[#This Row],[T]]-with_window__step_4_1[[#This Row],[T]])*3600</f>
        <v>64.800000000002456</v>
      </c>
      <c r="AC35">
        <f>(without_window__step_4_1___2_58m___2[[#This Row],[P]]-with_window__step_4_1[[#This Row],[P]])*3600</f>
        <v>79.200000000020054</v>
      </c>
      <c r="AE35" s="3">
        <f>without_window__step_4_1___2_58m___2[[#This Row],[R]]-with_window__step_4_1___corrected___2[[#This Row],[R]]</f>
        <v>-0.10400000000026921</v>
      </c>
      <c r="AF35">
        <f>(without_window__step_4_1___2_58m___2[[#This Row],[T]]-with_window__step_4_1___corrected___2[[#This Row],[T]])*3600</f>
        <v>64.800000000002456</v>
      </c>
      <c r="AG35">
        <f>(without_window__step_4_1___2_58m___2[[#This Row],[P]]-with_window__step_4_1___corrected___2[[#This Row],[P]])*3600</f>
        <v>79.200000000020054</v>
      </c>
      <c r="AI35" s="2">
        <f>without_window__step_4_1___2_58m___2[[#This Row],[R]]-vacuum__step_4_1[[#This Row],[R]]</f>
        <v>-4.7010000000000218</v>
      </c>
      <c r="AJ35">
        <f>(without_window__step_4_1___2_58m___2[[#This Row],[T]]-vacuum__step_4_1[[#This Row],[T]])*3600</f>
        <v>68.400000000019645</v>
      </c>
      <c r="AK35">
        <f>(without_window__step_4_1___2_58m___2[[#This Row],[P]]-vacuum__step_4_1[[#This Row],[P]])*3600</f>
        <v>75.600000000002865</v>
      </c>
      <c r="AM35" s="3">
        <f>without_window__step_4_1___2_58m___2[[#This Row],[R]]-vacuum__step_4_1___corrected___2[[#This Row],[R]]</f>
        <v>-0.1590000000001055</v>
      </c>
      <c r="AN35">
        <f>(without_window__step_4_1___2_58m___2[[#This Row],[T]]-vacuum__step_4_1___corrected___2[[#This Row],[T]])*3600</f>
        <v>68.400000000019645</v>
      </c>
      <c r="AO35">
        <f>(without_window__step_4_1___2_58m___2[[#This Row],[P]]-vacuum__step_4_1___corrected___2[[#This Row],[P]])*3600</f>
        <v>75.600000000002865</v>
      </c>
      <c r="AQ35">
        <f t="shared" si="5"/>
        <v>-1.7500000000216787E-3</v>
      </c>
      <c r="AS35">
        <v>3</v>
      </c>
      <c r="AU35">
        <f t="shared" si="1"/>
        <v>1.7999999989448678E-4</v>
      </c>
    </row>
    <row r="36" spans="1:47" x14ac:dyDescent="0.25">
      <c r="AA36" s="2"/>
      <c r="AE36" s="3"/>
      <c r="AH36" t="s">
        <v>115</v>
      </c>
      <c r="AI36" s="2">
        <f>AVERAGE(AI32:AI35)</f>
        <v>-4.6992500000001201</v>
      </c>
      <c r="AM36" s="3"/>
      <c r="AS36">
        <v>4</v>
      </c>
    </row>
    <row r="37" spans="1:47" x14ac:dyDescent="0.25">
      <c r="A37">
        <v>5</v>
      </c>
      <c r="AA37" s="2"/>
      <c r="AE37" s="3"/>
      <c r="AI37" s="2"/>
      <c r="AM37" s="3"/>
      <c r="AS37">
        <v>4.0999999999999996</v>
      </c>
    </row>
    <row r="38" spans="1:47" x14ac:dyDescent="0.25">
      <c r="B38" t="s">
        <v>6</v>
      </c>
      <c r="C38" t="s">
        <v>70</v>
      </c>
      <c r="D38" t="s">
        <v>71</v>
      </c>
      <c r="E38" t="s">
        <v>72</v>
      </c>
      <c r="G38" t="s">
        <v>6</v>
      </c>
      <c r="H38" t="s">
        <v>70</v>
      </c>
      <c r="I38" t="s">
        <v>71</v>
      </c>
      <c r="J38" t="s">
        <v>72</v>
      </c>
      <c r="L38" t="s">
        <v>6</v>
      </c>
      <c r="M38" t="s">
        <v>70</v>
      </c>
      <c r="N38" t="s">
        <v>71</v>
      </c>
      <c r="O38" t="s">
        <v>72</v>
      </c>
      <c r="Q38" t="s">
        <v>6</v>
      </c>
      <c r="R38" t="s">
        <v>70</v>
      </c>
      <c r="S38" t="s">
        <v>71</v>
      </c>
      <c r="T38" t="s">
        <v>72</v>
      </c>
      <c r="V38" t="s">
        <v>6</v>
      </c>
      <c r="W38" t="s">
        <v>70</v>
      </c>
      <c r="X38" t="s">
        <v>71</v>
      </c>
      <c r="Y38" t="s">
        <v>72</v>
      </c>
      <c r="AA38" s="2"/>
      <c r="AE38" s="3"/>
      <c r="AI38" s="2"/>
      <c r="AM38" s="3"/>
      <c r="AS38">
        <v>5</v>
      </c>
    </row>
    <row r="39" spans="1:47" x14ac:dyDescent="0.25">
      <c r="B39" s="1" t="s">
        <v>14</v>
      </c>
      <c r="C39">
        <v>2854.076</v>
      </c>
      <c r="D39">
        <v>145.977</v>
      </c>
      <c r="E39">
        <v>91.79</v>
      </c>
      <c r="G39" s="1" t="s">
        <v>14</v>
      </c>
      <c r="H39">
        <v>2859.366</v>
      </c>
      <c r="I39">
        <v>145.95500000000001</v>
      </c>
      <c r="J39">
        <v>91.766000000000005</v>
      </c>
      <c r="L39" s="1" t="s">
        <v>14</v>
      </c>
      <c r="M39">
        <v>2854.203</v>
      </c>
      <c r="N39">
        <v>145.95500000000001</v>
      </c>
      <c r="O39">
        <v>91.766000000000005</v>
      </c>
      <c r="Q39" s="1" t="s">
        <v>14</v>
      </c>
      <c r="R39">
        <v>2858.7240000000002</v>
      </c>
      <c r="S39">
        <v>145.95500000000001</v>
      </c>
      <c r="T39">
        <v>91.766999999999996</v>
      </c>
      <c r="V39" s="1" t="s">
        <v>56</v>
      </c>
      <c r="W39">
        <v>2854.2570000000001</v>
      </c>
      <c r="X39">
        <v>145.95500000000001</v>
      </c>
      <c r="Y39">
        <v>91.766999999999996</v>
      </c>
      <c r="AA39" s="2">
        <f>without_window__step_5___2_87m___2[[#This Row],[R]]-with_window__step_5[[#This Row],[R]]</f>
        <v>-5.2899999999999636</v>
      </c>
      <c r="AB39">
        <f>(without_window__step_5___2_87m___2[[#This Row],[T]]-with_window__step_5[[#This Row],[T]])*3600</f>
        <v>79.199999999968895</v>
      </c>
      <c r="AC39">
        <f>(without_window__step_5___2_87m___2[[#This Row],[P]]-with_window__step_5[[#This Row],[P]])*3600</f>
        <v>86.400000000003274</v>
      </c>
      <c r="AE39" s="3">
        <f>without_window__step_5___2_87m___2[[#This Row],[R]]-with_window__step_5___corrected___2[[#This Row],[R]]</f>
        <v>-0.12699999999995271</v>
      </c>
      <c r="AF39">
        <f>(without_window__step_5___2_87m___2[[#This Row],[T]]-with_window__step_5___corrected___2[[#This Row],[T]])*3600</f>
        <v>79.199999999968895</v>
      </c>
      <c r="AG39">
        <f>(without_window__step_5___2_87m___2[[#This Row],[P]]-with_window__step_5___corrected___2[[#This Row],[P]])*3600</f>
        <v>86.400000000003274</v>
      </c>
      <c r="AI39" s="2">
        <f>without_window__step_5___2_87m___2[[#This Row],[R]]-vacuum__step_5[[#This Row],[R]]</f>
        <v>-4.6480000000001382</v>
      </c>
      <c r="AJ39">
        <f>(without_window__step_5___2_87m___2[[#This Row],[T]]-vacuum__step_5[[#This Row],[T]])*3600</f>
        <v>79.199999999968895</v>
      </c>
      <c r="AK39">
        <f>(without_window__step_5___2_87m___2[[#This Row],[P]]-vacuum__step_5[[#This Row],[P]])*3600</f>
        <v>82.800000000037244</v>
      </c>
      <c r="AM39" s="3">
        <f>without_window__step_5___2_87m___2[[#This Row],[R]]-vacuum__step_5___corrected___3[[#This Row],[R]]</f>
        <v>-0.18100000000004002</v>
      </c>
      <c r="AN39">
        <f>(without_window__step_5___2_87m___2[[#This Row],[T]]-vacuum__step_5___corrected___3[[#This Row],[T]])*3600</f>
        <v>79.199999999968895</v>
      </c>
      <c r="AO39">
        <f>(without_window__step_5___2_87m___2[[#This Row],[P]]-vacuum__step_5___corrected___3[[#This Row],[P]])*3600</f>
        <v>82.800000000037244</v>
      </c>
      <c r="AQ39">
        <f>AI39 + 4.6365</f>
        <v>-1.15000000001384E-2</v>
      </c>
      <c r="AS39">
        <v>5.0999999999999996</v>
      </c>
      <c r="AU39">
        <f t="shared" si="1"/>
        <v>-2.182000000004003E-2</v>
      </c>
    </row>
    <row r="40" spans="1:47" x14ac:dyDescent="0.25">
      <c r="B40" s="1" t="s">
        <v>17</v>
      </c>
      <c r="C40">
        <v>2859.0079999999998</v>
      </c>
      <c r="D40">
        <v>143.17099999999999</v>
      </c>
      <c r="E40">
        <v>91.774000000000001</v>
      </c>
      <c r="G40" s="1" t="s">
        <v>17</v>
      </c>
      <c r="H40">
        <v>2864.2910000000002</v>
      </c>
      <c r="I40">
        <v>143.15100000000001</v>
      </c>
      <c r="J40">
        <v>91.748999999999995</v>
      </c>
      <c r="L40" s="1" t="s">
        <v>17</v>
      </c>
      <c r="M40">
        <v>2859.123</v>
      </c>
      <c r="N40">
        <v>143.15100000000001</v>
      </c>
      <c r="O40">
        <v>91.748999999999995</v>
      </c>
      <c r="Q40" s="1" t="s">
        <v>17</v>
      </c>
      <c r="R40">
        <v>2863.6419999999998</v>
      </c>
      <c r="S40">
        <v>143.15</v>
      </c>
      <c r="T40">
        <v>91.751000000000005</v>
      </c>
      <c r="V40" s="1" t="s">
        <v>57</v>
      </c>
      <c r="W40">
        <v>2859.1779999999999</v>
      </c>
      <c r="X40">
        <v>143.15</v>
      </c>
      <c r="Y40">
        <v>91.751000000000005</v>
      </c>
      <c r="AA40" s="2">
        <f>without_window__step_5___2_87m___2[[#This Row],[R]]-with_window__step_5[[#This Row],[R]]</f>
        <v>-5.2830000000003565</v>
      </c>
      <c r="AB40">
        <f>(without_window__step_5___2_87m___2[[#This Row],[T]]-with_window__step_5[[#This Row],[T]])*3600</f>
        <v>71.999999999934516</v>
      </c>
      <c r="AC40">
        <f>(without_window__step_5___2_87m___2[[#This Row],[P]]-with_window__step_5[[#This Row],[P]])*3600</f>
        <v>90.000000000020464</v>
      </c>
      <c r="AE40" s="3">
        <f>without_window__step_5___2_87m___2[[#This Row],[R]]-with_window__step_5___corrected___2[[#This Row],[R]]</f>
        <v>-0.11500000000023647</v>
      </c>
      <c r="AF40">
        <f>(without_window__step_5___2_87m___2[[#This Row],[T]]-with_window__step_5___corrected___2[[#This Row],[T]])*3600</f>
        <v>71.999999999934516</v>
      </c>
      <c r="AG40">
        <f>(without_window__step_5___2_87m___2[[#This Row],[P]]-with_window__step_5___corrected___2[[#This Row],[P]])*3600</f>
        <v>90.000000000020464</v>
      </c>
      <c r="AI40" s="2">
        <f>without_window__step_5___2_87m___2[[#This Row],[R]]-vacuum__step_5[[#This Row],[R]]</f>
        <v>-4.6340000000000146</v>
      </c>
      <c r="AJ40">
        <f>(without_window__step_5___2_87m___2[[#This Row],[T]]-vacuum__step_5[[#This Row],[T]])*3600</f>
        <v>75.599999999951706</v>
      </c>
      <c r="AK40">
        <f>(without_window__step_5___2_87m___2[[#This Row],[P]]-vacuum__step_5[[#This Row],[P]])*3600</f>
        <v>82.799999999986085</v>
      </c>
      <c r="AM40" s="3">
        <f>without_window__step_5___2_87m___2[[#This Row],[R]]-vacuum__step_5___corrected___3[[#This Row],[R]]</f>
        <v>-0.17000000000007276</v>
      </c>
      <c r="AN40">
        <f>(without_window__step_5___2_87m___2[[#This Row],[T]]-vacuum__step_5___corrected___3[[#This Row],[T]])*3600</f>
        <v>75.599999999951706</v>
      </c>
      <c r="AO40">
        <f>(without_window__step_5___2_87m___2[[#This Row],[P]]-vacuum__step_5___corrected___3[[#This Row],[P]])*3600</f>
        <v>82.799999999986085</v>
      </c>
      <c r="AQ40">
        <f t="shared" ref="AQ40:AQ42" si="6">AI40 + 4.6365</f>
        <v>2.4999999999852918E-3</v>
      </c>
      <c r="AU40">
        <f t="shared" si="1"/>
        <v>-1.0820000000072771E-2</v>
      </c>
    </row>
    <row r="41" spans="1:47" x14ac:dyDescent="0.25">
      <c r="B41" s="1" t="s">
        <v>20</v>
      </c>
      <c r="C41">
        <v>2858.2130000000002</v>
      </c>
      <c r="D41">
        <v>143.185</v>
      </c>
      <c r="E41">
        <v>88.97</v>
      </c>
      <c r="G41" s="1" t="s">
        <v>20</v>
      </c>
      <c r="H41">
        <v>2863.4839999999999</v>
      </c>
      <c r="I41">
        <v>143.16499999999999</v>
      </c>
      <c r="J41">
        <v>88.947000000000003</v>
      </c>
      <c r="L41" s="1" t="s">
        <v>20</v>
      </c>
      <c r="M41">
        <v>2858.3229999999999</v>
      </c>
      <c r="N41">
        <v>143.16499999999999</v>
      </c>
      <c r="O41">
        <v>88.947000000000003</v>
      </c>
      <c r="Q41" s="1" t="s">
        <v>20</v>
      </c>
      <c r="R41">
        <v>2862.84</v>
      </c>
      <c r="S41">
        <v>143.16399999999999</v>
      </c>
      <c r="T41">
        <v>88.947999999999993</v>
      </c>
      <c r="V41" s="1" t="s">
        <v>58</v>
      </c>
      <c r="W41">
        <v>2858.3780000000002</v>
      </c>
      <c r="X41">
        <v>143.16399999999999</v>
      </c>
      <c r="Y41">
        <v>88.947999999999993</v>
      </c>
      <c r="AA41" s="2">
        <f>without_window__step_5___2_87m___2[[#This Row],[R]]-with_window__step_5[[#This Row],[R]]</f>
        <v>-5.2709999999997308</v>
      </c>
      <c r="AB41">
        <f>(without_window__step_5___2_87m___2[[#This Row],[T]]-with_window__step_5[[#This Row],[T]])*3600</f>
        <v>72.000000000036835</v>
      </c>
      <c r="AC41">
        <f>(without_window__step_5___2_87m___2[[#This Row],[P]]-with_window__step_5[[#This Row],[P]])*3600</f>
        <v>82.799999999986085</v>
      </c>
      <c r="AE41" s="3">
        <f>without_window__step_5___2_87m___2[[#This Row],[R]]-with_window__step_5___corrected___2[[#This Row],[R]]</f>
        <v>-0.10999999999967258</v>
      </c>
      <c r="AF41">
        <f>(without_window__step_5___2_87m___2[[#This Row],[T]]-with_window__step_5___corrected___2[[#This Row],[T]])*3600</f>
        <v>72.000000000036835</v>
      </c>
      <c r="AG41">
        <f>(without_window__step_5___2_87m___2[[#This Row],[P]]-with_window__step_5___corrected___2[[#This Row],[P]])*3600</f>
        <v>82.799999999986085</v>
      </c>
      <c r="AI41" s="2">
        <f>without_window__step_5___2_87m___2[[#This Row],[R]]-vacuum__step_5[[#This Row],[R]]</f>
        <v>-4.6269999999999527</v>
      </c>
      <c r="AJ41">
        <f>(without_window__step_5___2_87m___2[[#This Row],[T]]-vacuum__step_5[[#This Row],[T]])*3600</f>
        <v>75.600000000054024</v>
      </c>
      <c r="AK41">
        <f>(without_window__step_5___2_87m___2[[#This Row],[P]]-vacuum__step_5[[#This Row],[P]])*3600</f>
        <v>79.200000000020054</v>
      </c>
      <c r="AM41" s="3">
        <f>without_window__step_5___2_87m___2[[#This Row],[R]]-vacuum__step_5___corrected___3[[#This Row],[R]]</f>
        <v>-0.16499999999996362</v>
      </c>
      <c r="AN41">
        <f>(without_window__step_5___2_87m___2[[#This Row],[T]]-vacuum__step_5___corrected___3[[#This Row],[T]])*3600</f>
        <v>75.600000000054024</v>
      </c>
      <c r="AO41">
        <f>(without_window__step_5___2_87m___2[[#This Row],[P]]-vacuum__step_5___corrected___3[[#This Row],[P]])*3600</f>
        <v>79.200000000020054</v>
      </c>
      <c r="AQ41">
        <f t="shared" si="6"/>
        <v>9.5000000000471374E-3</v>
      </c>
      <c r="AU41">
        <f t="shared" si="1"/>
        <v>-5.819999999963632E-3</v>
      </c>
    </row>
    <row r="42" spans="1:47" x14ac:dyDescent="0.25">
      <c r="B42" s="1" t="s">
        <v>23</v>
      </c>
      <c r="C42">
        <v>2853.3209999999999</v>
      </c>
      <c r="D42">
        <v>145.99</v>
      </c>
      <c r="E42">
        <v>88.981999999999999</v>
      </c>
      <c r="G42" s="1" t="s">
        <v>23</v>
      </c>
      <c r="H42">
        <v>2858.5970000000002</v>
      </c>
      <c r="I42">
        <v>145.96799999999999</v>
      </c>
      <c r="J42">
        <v>88.96</v>
      </c>
      <c r="L42" s="1" t="s">
        <v>23</v>
      </c>
      <c r="M42">
        <v>2853.4430000000002</v>
      </c>
      <c r="N42">
        <v>145.96799999999999</v>
      </c>
      <c r="O42">
        <v>88.96</v>
      </c>
      <c r="Q42" s="1" t="s">
        <v>23</v>
      </c>
      <c r="R42">
        <v>2857.9580000000001</v>
      </c>
      <c r="S42">
        <v>145.96799999999999</v>
      </c>
      <c r="T42">
        <v>88.960999999999999</v>
      </c>
      <c r="V42" s="1" t="s">
        <v>59</v>
      </c>
      <c r="W42">
        <v>2853.4960000000001</v>
      </c>
      <c r="X42">
        <v>145.96799999999999</v>
      </c>
      <c r="Y42">
        <v>88.960999999999999</v>
      </c>
      <c r="AA42" s="2">
        <f>without_window__step_5___2_87m___2[[#This Row],[R]]-with_window__step_5[[#This Row],[R]]</f>
        <v>-5.2760000000002947</v>
      </c>
      <c r="AB42">
        <f>(without_window__step_5___2_87m___2[[#This Row],[T]]-with_window__step_5[[#This Row],[T]])*3600</f>
        <v>79.200000000071213</v>
      </c>
      <c r="AC42">
        <f>(without_window__step_5___2_87m___2[[#This Row],[P]]-with_window__step_5[[#This Row],[P]])*3600</f>
        <v>79.200000000020054</v>
      </c>
      <c r="AE42" s="3">
        <f>without_window__step_5___2_87m___2[[#This Row],[R]]-with_window__step_5___corrected___2[[#This Row],[R]]</f>
        <v>-0.12200000000029831</v>
      </c>
      <c r="AF42">
        <f>(without_window__step_5___2_87m___2[[#This Row],[T]]-with_window__step_5___corrected___2[[#This Row],[T]])*3600</f>
        <v>79.200000000071213</v>
      </c>
      <c r="AG42">
        <f>(without_window__step_5___2_87m___2[[#This Row],[P]]-with_window__step_5___corrected___2[[#This Row],[P]])*3600</f>
        <v>79.200000000020054</v>
      </c>
      <c r="AI42" s="2">
        <f>without_window__step_5___2_87m___2[[#This Row],[R]]-vacuum__step_5[[#This Row],[R]]</f>
        <v>-4.637000000000171</v>
      </c>
      <c r="AJ42">
        <f>(without_window__step_5___2_87m___2[[#This Row],[T]]-vacuum__step_5[[#This Row],[T]])*3600</f>
        <v>79.200000000071213</v>
      </c>
      <c r="AK42">
        <f>(without_window__step_5___2_87m___2[[#This Row],[P]]-vacuum__step_5[[#This Row],[P]])*3600</f>
        <v>75.600000000002865</v>
      </c>
      <c r="AM42" s="3">
        <f>without_window__step_5___2_87m___2[[#This Row],[R]]-vacuum__step_5___corrected___3[[#This Row],[R]]</f>
        <v>-0.1750000000001819</v>
      </c>
      <c r="AN42">
        <f>(without_window__step_5___2_87m___2[[#This Row],[T]]-vacuum__step_5___corrected___3[[#This Row],[T]])*3600</f>
        <v>79.200000000071213</v>
      </c>
      <c r="AO42">
        <f>(without_window__step_5___2_87m___2[[#This Row],[P]]-vacuum__step_5___corrected___3[[#This Row],[P]])*3600</f>
        <v>75.600000000002865</v>
      </c>
      <c r="AQ42">
        <f t="shared" si="6"/>
        <v>-5.0000000017114132E-4</v>
      </c>
      <c r="AU42">
        <f t="shared" si="1"/>
        <v>-1.5820000000181911E-2</v>
      </c>
    </row>
    <row r="43" spans="1:47" x14ac:dyDescent="0.25">
      <c r="AA43" s="2"/>
      <c r="AE43" s="3"/>
      <c r="AH43" t="s">
        <v>115</v>
      </c>
      <c r="AI43" s="2">
        <f>AVERAGE(AI39:AI42)</f>
        <v>-4.6365000000000691</v>
      </c>
      <c r="AM43" s="3"/>
    </row>
    <row r="44" spans="1:47" x14ac:dyDescent="0.25">
      <c r="A44">
        <v>5.0999999999999996</v>
      </c>
      <c r="AA44" s="2"/>
      <c r="AE44" s="3"/>
      <c r="AI44" s="2"/>
      <c r="AM44" s="3"/>
    </row>
    <row r="45" spans="1:47" x14ac:dyDescent="0.25">
      <c r="B45" t="s">
        <v>6</v>
      </c>
      <c r="C45" t="s">
        <v>70</v>
      </c>
      <c r="D45" t="s">
        <v>71</v>
      </c>
      <c r="E45" t="s">
        <v>72</v>
      </c>
      <c r="G45" t="s">
        <v>6</v>
      </c>
      <c r="H45" t="s">
        <v>70</v>
      </c>
      <c r="I45" t="s">
        <v>71</v>
      </c>
      <c r="J45" t="s">
        <v>72</v>
      </c>
      <c r="L45" t="s">
        <v>6</v>
      </c>
      <c r="M45" t="s">
        <v>70</v>
      </c>
      <c r="N45" t="s">
        <v>71</v>
      </c>
      <c r="O45" t="s">
        <v>72</v>
      </c>
      <c r="Q45" t="s">
        <v>6</v>
      </c>
      <c r="R45" t="s">
        <v>70</v>
      </c>
      <c r="S45" t="s">
        <v>71</v>
      </c>
      <c r="T45" t="s">
        <v>72</v>
      </c>
      <c r="V45" t="s">
        <v>6</v>
      </c>
      <c r="W45" t="s">
        <v>70</v>
      </c>
      <c r="X45" t="s">
        <v>71</v>
      </c>
      <c r="Y45" t="s">
        <v>72</v>
      </c>
      <c r="AA45" s="2"/>
      <c r="AE45" s="3"/>
      <c r="AI45" s="2"/>
      <c r="AM45" s="3"/>
    </row>
    <row r="46" spans="1:47" x14ac:dyDescent="0.25">
      <c r="B46" s="1" t="s">
        <v>14</v>
      </c>
      <c r="C46">
        <v>2857.6489999999999</v>
      </c>
      <c r="D46">
        <v>142.965</v>
      </c>
      <c r="E46">
        <v>91.778000000000006</v>
      </c>
      <c r="G46" s="1" t="s">
        <v>60</v>
      </c>
      <c r="H46">
        <v>2862.931</v>
      </c>
      <c r="I46">
        <v>142.94499999999999</v>
      </c>
      <c r="J46">
        <v>91.753</v>
      </c>
      <c r="L46" s="1" t="s">
        <v>60</v>
      </c>
      <c r="M46">
        <v>2857.7629999999999</v>
      </c>
      <c r="N46">
        <v>142.94499999999999</v>
      </c>
      <c r="O46">
        <v>91.753</v>
      </c>
      <c r="Q46" s="1" t="s">
        <v>14</v>
      </c>
      <c r="R46">
        <v>2862.28</v>
      </c>
      <c r="S46">
        <v>142.94399999999999</v>
      </c>
      <c r="T46">
        <v>91.754999999999995</v>
      </c>
      <c r="V46" s="1" t="s">
        <v>61</v>
      </c>
      <c r="W46">
        <v>2857.8180000000002</v>
      </c>
      <c r="X46">
        <v>142.94399999999999</v>
      </c>
      <c r="Y46">
        <v>91.754999999999995</v>
      </c>
      <c r="AA46" s="2">
        <f>without_window__step_5_1___2_87m___2[[#This Row],[R]]-with_window__step_5_1[[#This Row],[R]]</f>
        <v>-5.2820000000001528</v>
      </c>
      <c r="AB46">
        <f>(without_window__step_5_1___2_87m___2[[#This Row],[T]]-with_window__step_5_1[[#This Row],[T]])*3600</f>
        <v>72.000000000036835</v>
      </c>
      <c r="AC46">
        <f>(without_window__step_5_1___2_87m___2[[#This Row],[P]]-with_window__step_5_1[[#This Row],[P]])*3600</f>
        <v>90.000000000020464</v>
      </c>
      <c r="AE46" s="3">
        <f>without_window__step_5_1___2_87m___2[[#This Row],[R]]-with_window__step_5_1___corrected___2[[#This Row],[R]]</f>
        <v>-0.11400000000003274</v>
      </c>
      <c r="AF46">
        <f>(without_window__step_5_1___2_87m___2[[#This Row],[T]]-with_window__step_5_1___corrected___2[[#This Row],[T]])*3600</f>
        <v>72.000000000036835</v>
      </c>
      <c r="AG46">
        <f>(without_window__step_5_1___2_87m___2[[#This Row],[P]]-with_window__step_5_1___corrected___2[[#This Row],[P]])*3600</f>
        <v>90.000000000020464</v>
      </c>
      <c r="AI46" s="2">
        <f>without_window__step_5_1___2_87m___2[[#This Row],[R]]-vacuum__step_5_1[[#This Row],[R]]</f>
        <v>-4.6310000000003129</v>
      </c>
      <c r="AJ46">
        <f>(without_window__step_5_1___2_87m___2[[#This Row],[T]]-vacuum__step_5_1[[#This Row],[T]])*3600</f>
        <v>75.600000000054024</v>
      </c>
      <c r="AK46">
        <f>(without_window__step_5_1___2_87m___2[[#This Row],[P]]-vacuum__step_5_1[[#This Row],[P]])*3600</f>
        <v>82.800000000037244</v>
      </c>
      <c r="AM46" s="3">
        <f>without_window__step_5_1___2_87m___2[[#This Row],[R]]-vacuum__step_5_1___corrected___2[[#This Row],[R]]</f>
        <v>-0.16900000000032378</v>
      </c>
      <c r="AN46">
        <f>(without_window__step_5_1___2_87m___2[[#This Row],[T]]-vacuum__step_5_1___corrected___2[[#This Row],[T]])*3600</f>
        <v>75.600000000054024</v>
      </c>
      <c r="AO46">
        <f>(without_window__step_5_1___2_87m___2[[#This Row],[P]]-vacuum__step_5_1___corrected___2[[#This Row],[P]])*3600</f>
        <v>82.800000000037244</v>
      </c>
      <c r="AQ46">
        <f>AI46 + 4.62125</f>
        <v>-9.7500000003130083E-3</v>
      </c>
      <c r="AU46">
        <f t="shared" si="1"/>
        <v>-9.8200000003237919E-3</v>
      </c>
    </row>
    <row r="47" spans="1:47" x14ac:dyDescent="0.25">
      <c r="B47" s="1" t="s">
        <v>17</v>
      </c>
      <c r="C47">
        <v>2869.799</v>
      </c>
      <c r="D47">
        <v>140.17400000000001</v>
      </c>
      <c r="E47">
        <v>91.759</v>
      </c>
      <c r="G47" s="1" t="s">
        <v>62</v>
      </c>
      <c r="H47">
        <v>2875.0720000000001</v>
      </c>
      <c r="I47">
        <v>140.15600000000001</v>
      </c>
      <c r="J47">
        <v>91.733999999999995</v>
      </c>
      <c r="L47" s="1" t="s">
        <v>62</v>
      </c>
      <c r="M47">
        <v>2869.9029999999998</v>
      </c>
      <c r="N47">
        <v>140.15600000000001</v>
      </c>
      <c r="O47">
        <v>91.733999999999995</v>
      </c>
      <c r="Q47" s="1" t="s">
        <v>17</v>
      </c>
      <c r="R47">
        <v>2874.4189999999999</v>
      </c>
      <c r="S47">
        <v>140.15600000000001</v>
      </c>
      <c r="T47">
        <v>91.734999999999999</v>
      </c>
      <c r="V47" s="1" t="s">
        <v>63</v>
      </c>
      <c r="W47">
        <v>2869.9609999999998</v>
      </c>
      <c r="X47">
        <v>140.15600000000001</v>
      </c>
      <c r="Y47">
        <v>91.734999999999999</v>
      </c>
      <c r="AA47" s="2">
        <f>without_window__step_5_1___2_87m___2[[#This Row],[R]]-with_window__step_5_1[[#This Row],[R]]</f>
        <v>-5.2730000000001382</v>
      </c>
      <c r="AB47">
        <f>(without_window__step_5_1___2_87m___2[[#This Row],[T]]-with_window__step_5_1[[#This Row],[T]])*3600</f>
        <v>64.800000000002456</v>
      </c>
      <c r="AC47">
        <f>(without_window__step_5_1___2_87m___2[[#This Row],[P]]-with_window__step_5_1[[#This Row],[P]])*3600</f>
        <v>90.000000000020464</v>
      </c>
      <c r="AE47" s="3">
        <f>without_window__step_5_1___2_87m___2[[#This Row],[R]]-with_window__step_5_1___corrected___2[[#This Row],[R]]</f>
        <v>-0.10399999999981446</v>
      </c>
      <c r="AF47">
        <f>(without_window__step_5_1___2_87m___2[[#This Row],[T]]-with_window__step_5_1___corrected___2[[#This Row],[T]])*3600</f>
        <v>64.800000000002456</v>
      </c>
      <c r="AG47">
        <f>(without_window__step_5_1___2_87m___2[[#This Row],[P]]-with_window__step_5_1___corrected___2[[#This Row],[P]])*3600</f>
        <v>90.000000000020464</v>
      </c>
      <c r="AI47" s="2">
        <f>without_window__step_5_1___2_87m___2[[#This Row],[R]]-vacuum__step_5_1[[#This Row],[R]]</f>
        <v>-4.6199999999998909</v>
      </c>
      <c r="AJ47">
        <f>(without_window__step_5_1___2_87m___2[[#This Row],[T]]-vacuum__step_5_1[[#This Row],[T]])*3600</f>
        <v>64.800000000002456</v>
      </c>
      <c r="AK47">
        <f>(without_window__step_5_1___2_87m___2[[#This Row],[P]]-vacuum__step_5_1[[#This Row],[P]])*3600</f>
        <v>86.400000000003274</v>
      </c>
      <c r="AM47" s="3">
        <f>without_window__step_5_1___2_87m___2[[#This Row],[R]]-vacuum__step_5_1___corrected___2[[#This Row],[R]]</f>
        <v>-0.16199999999980719</v>
      </c>
      <c r="AN47">
        <f>(without_window__step_5_1___2_87m___2[[#This Row],[T]]-vacuum__step_5_1___corrected___2[[#This Row],[T]])*3600</f>
        <v>64.800000000002456</v>
      </c>
      <c r="AO47">
        <f>(without_window__step_5_1___2_87m___2[[#This Row],[P]]-vacuum__step_5_1___corrected___2[[#This Row],[P]])*3600</f>
        <v>86.400000000003274</v>
      </c>
      <c r="AQ47">
        <f t="shared" ref="AQ47:AQ49" si="7">AI47 + 4.62125</f>
        <v>1.2500000001089973E-3</v>
      </c>
      <c r="AU47">
        <f t="shared" si="1"/>
        <v>-2.819999999807199E-3</v>
      </c>
    </row>
    <row r="48" spans="1:47" x14ac:dyDescent="0.25">
      <c r="B48" s="1" t="s">
        <v>20</v>
      </c>
      <c r="C48">
        <v>2868.837</v>
      </c>
      <c r="D48">
        <v>140.18700000000001</v>
      </c>
      <c r="E48">
        <v>88.965000000000003</v>
      </c>
      <c r="G48" s="1" t="s">
        <v>64</v>
      </c>
      <c r="H48">
        <v>2874.1</v>
      </c>
      <c r="I48">
        <v>140.16900000000001</v>
      </c>
      <c r="J48">
        <v>88.941000000000003</v>
      </c>
      <c r="L48" s="1" t="s">
        <v>64</v>
      </c>
      <c r="M48">
        <v>2868.933</v>
      </c>
      <c r="N48">
        <v>140.16900000000001</v>
      </c>
      <c r="O48">
        <v>88.941000000000003</v>
      </c>
      <c r="Q48" s="1" t="s">
        <v>20</v>
      </c>
      <c r="R48">
        <v>2873.45</v>
      </c>
      <c r="S48">
        <v>140.16800000000001</v>
      </c>
      <c r="T48">
        <v>88.942999999999998</v>
      </c>
      <c r="V48" s="1" t="s">
        <v>65</v>
      </c>
      <c r="W48">
        <v>2868.991</v>
      </c>
      <c r="X48">
        <v>140.16800000000001</v>
      </c>
      <c r="Y48">
        <v>88.942999999999998</v>
      </c>
      <c r="AA48" s="2">
        <f>without_window__step_5_1___2_87m___2[[#This Row],[R]]-with_window__step_5_1[[#This Row],[R]]</f>
        <v>-5.26299999999992</v>
      </c>
      <c r="AB48">
        <f>(without_window__step_5_1___2_87m___2[[#This Row],[T]]-with_window__step_5_1[[#This Row],[T]])*3600</f>
        <v>64.800000000002456</v>
      </c>
      <c r="AC48">
        <f>(without_window__step_5_1___2_87m___2[[#This Row],[P]]-with_window__step_5_1[[#This Row],[P]])*3600</f>
        <v>86.400000000003274</v>
      </c>
      <c r="AE48" s="3">
        <f>without_window__step_5_1___2_87m___2[[#This Row],[R]]-with_window__step_5_1___corrected___2[[#This Row],[R]]</f>
        <v>-9.6000000000003638E-2</v>
      </c>
      <c r="AF48">
        <f>(without_window__step_5_1___2_87m___2[[#This Row],[T]]-with_window__step_5_1___corrected___2[[#This Row],[T]])*3600</f>
        <v>64.800000000002456</v>
      </c>
      <c r="AG48">
        <f>(without_window__step_5_1___2_87m___2[[#This Row],[P]]-with_window__step_5_1___corrected___2[[#This Row],[P]])*3600</f>
        <v>86.400000000003274</v>
      </c>
      <c r="AI48" s="2">
        <f>without_window__step_5_1___2_87m___2[[#This Row],[R]]-vacuum__step_5_1[[#This Row],[R]]</f>
        <v>-4.612999999999829</v>
      </c>
      <c r="AJ48">
        <f>(without_window__step_5_1___2_87m___2[[#This Row],[T]]-vacuum__step_5_1[[#This Row],[T]])*3600</f>
        <v>68.400000000019645</v>
      </c>
      <c r="AK48">
        <f>(without_window__step_5_1___2_87m___2[[#This Row],[P]]-vacuum__step_5_1[[#This Row],[P]])*3600</f>
        <v>79.200000000020054</v>
      </c>
      <c r="AM48" s="3">
        <f>without_window__step_5_1___2_87m___2[[#This Row],[R]]-vacuum__step_5_1___corrected___2[[#This Row],[R]]</f>
        <v>-0.15399999999999636</v>
      </c>
      <c r="AN48">
        <f>(without_window__step_5_1___2_87m___2[[#This Row],[T]]-vacuum__step_5_1___corrected___2[[#This Row],[T]])*3600</f>
        <v>68.400000000019645</v>
      </c>
      <c r="AO48">
        <f>(without_window__step_5_1___2_87m___2[[#This Row],[P]]-vacuum__step_5_1___corrected___2[[#This Row],[P]])*3600</f>
        <v>79.200000000020054</v>
      </c>
      <c r="AQ48">
        <f t="shared" si="7"/>
        <v>8.2500000001708429E-3</v>
      </c>
      <c r="AU48">
        <f t="shared" si="1"/>
        <v>5.1800000000036261E-3</v>
      </c>
    </row>
    <row r="49" spans="2:47" x14ac:dyDescent="0.25">
      <c r="B49" s="1" t="s">
        <v>23</v>
      </c>
      <c r="C49">
        <v>2856.7260000000001</v>
      </c>
      <c r="D49">
        <v>142.976</v>
      </c>
      <c r="E49">
        <v>88.974000000000004</v>
      </c>
      <c r="G49" s="1" t="s">
        <v>66</v>
      </c>
      <c r="H49">
        <v>2861.9920000000002</v>
      </c>
      <c r="I49">
        <v>142.95699999999999</v>
      </c>
      <c r="J49">
        <v>88.95</v>
      </c>
      <c r="L49" s="1" t="s">
        <v>66</v>
      </c>
      <c r="M49">
        <v>2856.8229999999999</v>
      </c>
      <c r="N49">
        <v>142.95699999999999</v>
      </c>
      <c r="O49">
        <v>88.95</v>
      </c>
      <c r="Q49" s="1" t="s">
        <v>23</v>
      </c>
      <c r="R49">
        <v>2861.3470000000002</v>
      </c>
      <c r="S49">
        <v>142.95599999999999</v>
      </c>
      <c r="T49">
        <v>88.951999999999998</v>
      </c>
      <c r="V49" s="1" t="s">
        <v>67</v>
      </c>
      <c r="W49">
        <v>2856.8870000000002</v>
      </c>
      <c r="X49">
        <v>142.95599999999999</v>
      </c>
      <c r="Y49">
        <v>88.951999999999998</v>
      </c>
      <c r="AA49" s="2">
        <f>without_window__step_5_1___2_87m___2[[#This Row],[R]]-with_window__step_5_1[[#This Row],[R]]</f>
        <v>-5.2660000000000764</v>
      </c>
      <c r="AB49">
        <f>(without_window__step_5_1___2_87m___2[[#This Row],[T]]-with_window__step_5_1[[#This Row],[T]])*3600</f>
        <v>68.400000000019645</v>
      </c>
      <c r="AC49">
        <f>(without_window__step_5_1___2_87m___2[[#This Row],[P]]-with_window__step_5_1[[#This Row],[P]])*3600</f>
        <v>86.400000000003274</v>
      </c>
      <c r="AE49" s="3">
        <f>without_window__step_5_1___2_87m___2[[#This Row],[R]]-with_window__step_5_1___corrected___2[[#This Row],[R]]</f>
        <v>-9.6999999999752617E-2</v>
      </c>
      <c r="AF49">
        <f>(without_window__step_5_1___2_87m___2[[#This Row],[T]]-with_window__step_5_1___corrected___2[[#This Row],[T]])*3600</f>
        <v>68.400000000019645</v>
      </c>
      <c r="AG49">
        <f>(without_window__step_5_1___2_87m___2[[#This Row],[P]]-with_window__step_5_1___corrected___2[[#This Row],[P]])*3600</f>
        <v>86.400000000003274</v>
      </c>
      <c r="AI49" s="2">
        <f>without_window__step_5_1___2_87m___2[[#This Row],[R]]-vacuum__step_5_1[[#This Row],[R]]</f>
        <v>-4.6210000000000946</v>
      </c>
      <c r="AJ49">
        <f>(without_window__step_5_1___2_87m___2[[#This Row],[T]]-vacuum__step_5_1[[#This Row],[T]])*3600</f>
        <v>72.000000000036835</v>
      </c>
      <c r="AK49">
        <f>(without_window__step_5_1___2_87m___2[[#This Row],[P]]-vacuum__step_5_1[[#This Row],[P]])*3600</f>
        <v>79.200000000020054</v>
      </c>
      <c r="AM49" s="3">
        <f>without_window__step_5_1___2_87m___2[[#This Row],[R]]-vacuum__step_5_1___corrected___2[[#This Row],[R]]</f>
        <v>-0.16100000000005821</v>
      </c>
      <c r="AN49">
        <f>(without_window__step_5_1___2_87m___2[[#This Row],[T]]-vacuum__step_5_1___corrected___2[[#This Row],[T]])*3600</f>
        <v>72.000000000036835</v>
      </c>
      <c r="AO49">
        <f>(without_window__step_5_1___2_87m___2[[#This Row],[P]]-vacuum__step_5_1___corrected___2[[#This Row],[P]])*3600</f>
        <v>79.200000000020054</v>
      </c>
      <c r="AQ49">
        <f t="shared" si="7"/>
        <v>2.4999999990527044E-4</v>
      </c>
      <c r="AU49">
        <f t="shared" si="1"/>
        <v>-1.8200000000582195E-3</v>
      </c>
    </row>
    <row r="50" spans="2:47" x14ac:dyDescent="0.25">
      <c r="AH50" t="s">
        <v>115</v>
      </c>
      <c r="AI50" s="2">
        <f>AVERAGE(AI46:AI49)</f>
        <v>-4.6212500000000318</v>
      </c>
    </row>
    <row r="51" spans="2:47" x14ac:dyDescent="0.25">
      <c r="Z51" t="s">
        <v>115</v>
      </c>
      <c r="AA51">
        <f>AVERAGE(AA4:AA7,AA11:AA14,AA18:AA21,AA25:AA28,AA32:AA35,AA39:AA42,AA46:AA49)</f>
        <v>-5.2832857142857801</v>
      </c>
      <c r="AL51" t="s">
        <v>115</v>
      </c>
      <c r="AM51" s="3">
        <f>AVERAGE(AM4:AM7,AM11:AM14,AM18:AM21,AM25:AM28,AM32:AM35,AM39:AM42,AM46:AM49)</f>
        <v>-0.15917857142864836</v>
      </c>
      <c r="AU51">
        <f>_xlfn.STDEV.P(AU4:AU7,AU11:AU14,AU18:AU21,AU25:AU28,AU32:AU35,AU39:AU42,AU46:AU49)</f>
        <v>1.4856584810969995E-2</v>
      </c>
    </row>
    <row r="52" spans="2:47" x14ac:dyDescent="0.25">
      <c r="AG52" t="s">
        <v>136</v>
      </c>
      <c r="AI52">
        <f>AVERAGE(AI4:AI7,AI11:AI14,AI18:AI21,AI25:AI28,AI32:AI35,AI39:AI42,AI46:AI49)</f>
        <v>-4.7460357142858163</v>
      </c>
    </row>
    <row r="55" spans="2:47" x14ac:dyDescent="0.25">
      <c r="C55">
        <f>C4-C11</f>
        <v>-291.64899999999989</v>
      </c>
      <c r="E55">
        <f>H4-H11</f>
        <v>-291.63499999999999</v>
      </c>
      <c r="G55">
        <f>M4-M11</f>
        <v>-291.6099999999999</v>
      </c>
    </row>
  </sheetData>
  <phoneticPr fontId="3" type="noConversion"/>
  <pageMargins left="0.7" right="0.7" top="0.75" bottom="0.75" header="0.3" footer="0.3"/>
  <drawing r:id="rId1"/>
  <tableParts count="3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67E86-0447-4304-BE03-D6B3382734E8}">
  <dimension ref="A1:AF51"/>
  <sheetViews>
    <sheetView topLeftCell="C34" workbookViewId="0">
      <selection activeCell="I71" sqref="I71"/>
    </sheetView>
  </sheetViews>
  <sheetFormatPr defaultRowHeight="15" x14ac:dyDescent="0.25"/>
  <cols>
    <col min="7" max="7" width="24.5703125" bestFit="1" customWidth="1"/>
    <col min="8" max="10" width="11.140625" bestFit="1" customWidth="1"/>
    <col min="12" max="12" width="19.7109375" bestFit="1" customWidth="1"/>
    <col min="13" max="15" width="11.140625" bestFit="1" customWidth="1"/>
    <col min="16" max="16" width="11.140625" customWidth="1"/>
    <col min="17" max="17" width="19.7109375" bestFit="1" customWidth="1"/>
    <col min="18" max="19" width="11.140625" customWidth="1"/>
    <col min="20" max="20" width="11.140625" bestFit="1" customWidth="1"/>
    <col min="21" max="21" width="11.140625" customWidth="1"/>
  </cols>
  <sheetData>
    <row r="1" spans="1:32" x14ac:dyDescent="0.25">
      <c r="A1" t="s">
        <v>0</v>
      </c>
      <c r="B1" t="s">
        <v>1</v>
      </c>
      <c r="G1" t="s">
        <v>116</v>
      </c>
      <c r="L1" t="s">
        <v>125</v>
      </c>
      <c r="Q1" t="s">
        <v>133</v>
      </c>
      <c r="V1" t="s">
        <v>76</v>
      </c>
      <c r="Z1" t="s">
        <v>77</v>
      </c>
      <c r="AD1" t="s">
        <v>134</v>
      </c>
      <c r="AF1" t="s">
        <v>128</v>
      </c>
    </row>
    <row r="2" spans="1:32" x14ac:dyDescent="0.25">
      <c r="A2">
        <v>1</v>
      </c>
      <c r="AF2">
        <v>1</v>
      </c>
    </row>
    <row r="3" spans="1:32" x14ac:dyDescent="0.25">
      <c r="B3" t="s">
        <v>6</v>
      </c>
      <c r="C3" t="s">
        <v>70</v>
      </c>
      <c r="D3" t="s">
        <v>71</v>
      </c>
      <c r="E3" t="s">
        <v>72</v>
      </c>
      <c r="G3" t="s">
        <v>6</v>
      </c>
      <c r="H3" t="s">
        <v>70</v>
      </c>
      <c r="I3" t="s">
        <v>71</v>
      </c>
      <c r="J3" t="s">
        <v>72</v>
      </c>
      <c r="L3" t="s">
        <v>6</v>
      </c>
      <c r="M3" t="s">
        <v>70</v>
      </c>
      <c r="N3" t="s">
        <v>71</v>
      </c>
      <c r="O3" t="s">
        <v>72</v>
      </c>
      <c r="Q3" t="s">
        <v>129</v>
      </c>
      <c r="R3" t="s">
        <v>130</v>
      </c>
      <c r="S3" t="s">
        <v>131</v>
      </c>
      <c r="T3" t="s">
        <v>132</v>
      </c>
      <c r="V3" t="s">
        <v>73</v>
      </c>
      <c r="W3" t="s">
        <v>126</v>
      </c>
      <c r="X3" t="s">
        <v>127</v>
      </c>
      <c r="Z3" t="s">
        <v>73</v>
      </c>
      <c r="AA3" t="s">
        <v>126</v>
      </c>
      <c r="AB3" t="s">
        <v>127</v>
      </c>
      <c r="AD3" t="s">
        <v>73</v>
      </c>
      <c r="AF3">
        <v>2</v>
      </c>
    </row>
    <row r="4" spans="1:32" x14ac:dyDescent="0.25">
      <c r="B4" s="1" t="s">
        <v>14</v>
      </c>
      <c r="C4">
        <v>1686.431</v>
      </c>
      <c r="D4">
        <v>145.92099999999999</v>
      </c>
      <c r="E4">
        <v>93.076999999999998</v>
      </c>
      <c r="G4" s="1" t="s">
        <v>15</v>
      </c>
      <c r="H4">
        <v>1686.4670000000001</v>
      </c>
      <c r="I4">
        <v>145.90199999999999</v>
      </c>
      <c r="J4">
        <v>93.054000000000002</v>
      </c>
      <c r="L4" s="1" t="s">
        <v>16</v>
      </c>
      <c r="M4">
        <v>1686.492</v>
      </c>
      <c r="N4">
        <v>145.90299999999999</v>
      </c>
      <c r="O4">
        <v>93.055999999999997</v>
      </c>
      <c r="Q4" s="1" t="s">
        <v>16</v>
      </c>
      <c r="R4">
        <v>1686.4880000000001</v>
      </c>
      <c r="S4">
        <v>145.90299999999999</v>
      </c>
      <c r="T4">
        <v>93.055999999999997</v>
      </c>
      <c r="V4">
        <f>without_window__step_1___1_7m___353[[#This Row],[R]]-With_window__step_1___SA[[#This Row],[R]]</f>
        <v>-3.6000000000058208E-2</v>
      </c>
      <c r="W4">
        <f>(without_window__step_1___1_7m___353[[#This Row],[T]]-With_window__step_1___SA[[#This Row],[T]])*3600</f>
        <v>68.400000000019645</v>
      </c>
      <c r="X4">
        <f>(without_window__step_1___1_7m___353[[#This Row],[P]]-With_window__step_1___SA[[#This Row],[P]])*3600</f>
        <v>82.799999999986085</v>
      </c>
      <c r="Z4">
        <f>without_window__step_1___1_7m___353[[#This Row],[R]]-Vacuum__step_1___SA[[#This Row],[R]]</f>
        <v>-6.0999999999921783E-2</v>
      </c>
      <c r="AA4">
        <f>(without_window__step_1___1_7m___353[[#This Row],[T]]-Vacuum__step_1___SA[[#This Row],[T]])*3600</f>
        <v>64.800000000002456</v>
      </c>
      <c r="AB4">
        <f>(without_window__step_1___1_7m___353[[#This Row],[P]]-Vacuum__step_1___SA[[#This Row],[P]])*3600</f>
        <v>75.600000000002865</v>
      </c>
      <c r="AD4">
        <f>without_window__step_1___1_7m___353[[#This Row],[R]]-Vacuum__step_1___test[[#This Row],[Column2]]</f>
        <v>-5.7000000000016371E-2</v>
      </c>
      <c r="AF4">
        <v>3</v>
      </c>
    </row>
    <row r="5" spans="1:32" x14ac:dyDescent="0.25">
      <c r="B5" s="1" t="s">
        <v>17</v>
      </c>
      <c r="C5">
        <v>1693.7670000000001</v>
      </c>
      <c r="D5">
        <v>141.17599999999999</v>
      </c>
      <c r="E5">
        <v>93.057000000000002</v>
      </c>
      <c r="G5" s="1" t="s">
        <v>18</v>
      </c>
      <c r="H5">
        <v>1693.777</v>
      </c>
      <c r="I5">
        <v>141.16</v>
      </c>
      <c r="J5">
        <v>93.034000000000006</v>
      </c>
      <c r="L5" s="1" t="s">
        <v>19</v>
      </c>
      <c r="M5">
        <v>1693.7940000000001</v>
      </c>
      <c r="N5">
        <v>141.16200000000001</v>
      </c>
      <c r="O5">
        <v>93.036000000000001</v>
      </c>
      <c r="Q5" s="1" t="s">
        <v>19</v>
      </c>
      <c r="R5">
        <v>1693.79</v>
      </c>
      <c r="S5">
        <v>141.16200000000001</v>
      </c>
      <c r="T5">
        <v>93.036000000000001</v>
      </c>
      <c r="V5">
        <f>without_window__step_1___1_7m___353[[#This Row],[R]]-With_window__step_1___SA[[#This Row],[R]]</f>
        <v>-9.9999999999909051E-3</v>
      </c>
      <c r="W5">
        <f>(without_window__step_1___1_7m___353[[#This Row],[T]]-With_window__step_1___SA[[#This Row],[T]])*3600</f>
        <v>57.599999999968077</v>
      </c>
      <c r="X5">
        <f>(without_window__step_1___1_7m___353[[#This Row],[P]]-With_window__step_1___SA[[#This Row],[P]])*3600</f>
        <v>82.799999999986085</v>
      </c>
      <c r="Z5">
        <f>without_window__step_1___1_7m___353[[#This Row],[R]]-Vacuum__step_1___SA[[#This Row],[R]]</f>
        <v>-2.7000000000043656E-2</v>
      </c>
      <c r="AA5">
        <f>(without_window__step_1___1_7m___353[[#This Row],[T]]-Vacuum__step_1___SA[[#This Row],[T]])*3600</f>
        <v>50.399999999933698</v>
      </c>
      <c r="AB5">
        <f>(without_window__step_1___1_7m___353[[#This Row],[P]]-Vacuum__step_1___SA[[#This Row],[P]])*3600</f>
        <v>75.600000000002865</v>
      </c>
      <c r="AD5">
        <f>without_window__step_1___1_7m___353[[#This Row],[R]]-Vacuum__step_1___test[[#This Row],[Column2]]</f>
        <v>-2.299999999991087E-2</v>
      </c>
      <c r="AF5">
        <v>4</v>
      </c>
    </row>
    <row r="6" spans="1:32" x14ac:dyDescent="0.25">
      <c r="B6" s="1" t="s">
        <v>20</v>
      </c>
      <c r="C6">
        <v>1691.82</v>
      </c>
      <c r="D6">
        <v>141.18299999999999</v>
      </c>
      <c r="E6">
        <v>88.320999999999998</v>
      </c>
      <c r="G6" s="1" t="s">
        <v>21</v>
      </c>
      <c r="H6">
        <v>1691.817</v>
      </c>
      <c r="I6">
        <v>141.16800000000001</v>
      </c>
      <c r="J6">
        <v>88.301000000000002</v>
      </c>
      <c r="L6" s="1" t="s">
        <v>22</v>
      </c>
      <c r="M6">
        <v>1691.8240000000001</v>
      </c>
      <c r="N6">
        <v>141.16999999999999</v>
      </c>
      <c r="O6">
        <v>88.302999999999997</v>
      </c>
      <c r="Q6" s="1" t="s">
        <v>22</v>
      </c>
      <c r="R6">
        <v>1691.82</v>
      </c>
      <c r="S6">
        <v>141.16999999999999</v>
      </c>
      <c r="T6">
        <v>88.302999999999997</v>
      </c>
      <c r="V6">
        <f>without_window__step_1___1_7m___353[[#This Row],[R]]-With_window__step_1___SA[[#This Row],[R]]</f>
        <v>2.9999999999290594E-3</v>
      </c>
      <c r="W6">
        <f>(without_window__step_1___1_7m___353[[#This Row],[T]]-With_window__step_1___SA[[#This Row],[T]])*3600</f>
        <v>53.999999999950887</v>
      </c>
      <c r="X6">
        <f>(without_window__step_1___1_7m___353[[#This Row],[P]]-With_window__step_1___SA[[#This Row],[P]])*3600</f>
        <v>71.999999999985675</v>
      </c>
      <c r="Z6">
        <f>without_window__step_1___1_7m___353[[#This Row],[R]]-Vacuum__step_1___SA[[#This Row],[R]]</f>
        <v>-4.0000000001327862E-3</v>
      </c>
      <c r="AA6">
        <f>(without_window__step_1___1_7m___353[[#This Row],[T]]-Vacuum__step_1___SA[[#This Row],[T]])*3600</f>
        <v>46.800000000018827</v>
      </c>
      <c r="AB6">
        <f>(without_window__step_1___1_7m___353[[#This Row],[P]]-Vacuum__step_1___SA[[#This Row],[P]])*3600</f>
        <v>64.800000000002456</v>
      </c>
      <c r="AD6">
        <f>without_window__step_1___1_7m___353[[#This Row],[R]]-Vacuum__step_1___test[[#This Row],[Column2]]</f>
        <v>0</v>
      </c>
      <c r="AF6">
        <v>4.0999999999999996</v>
      </c>
    </row>
    <row r="7" spans="1:32" x14ac:dyDescent="0.25">
      <c r="B7" s="1" t="s">
        <v>23</v>
      </c>
      <c r="C7">
        <v>1684.52</v>
      </c>
      <c r="D7">
        <v>145.928</v>
      </c>
      <c r="E7">
        <v>88.322999999999993</v>
      </c>
      <c r="G7" s="1" t="s">
        <v>24</v>
      </c>
      <c r="H7">
        <v>1684.527</v>
      </c>
      <c r="I7">
        <v>145.90799999999999</v>
      </c>
      <c r="J7">
        <v>88.302999999999997</v>
      </c>
      <c r="L7" s="1" t="s">
        <v>25</v>
      </c>
      <c r="M7">
        <v>1684.5519999999999</v>
      </c>
      <c r="N7">
        <v>145.91</v>
      </c>
      <c r="O7">
        <v>88.305000000000007</v>
      </c>
      <c r="Q7" s="1" t="s">
        <v>25</v>
      </c>
      <c r="R7">
        <v>1684.548</v>
      </c>
      <c r="S7">
        <v>145.91</v>
      </c>
      <c r="T7">
        <v>88.305000000000007</v>
      </c>
      <c r="V7">
        <f>without_window__step_1___1_7m___353[[#This Row],[R]]-With_window__step_1___SA[[#This Row],[R]]</f>
        <v>-7.0000000000618456E-3</v>
      </c>
      <c r="W7">
        <f>(without_window__step_1___1_7m___353[[#This Row],[T]]-With_window__step_1___SA[[#This Row],[T]])*3600</f>
        <v>72.000000000036835</v>
      </c>
      <c r="X7">
        <f>(without_window__step_1___1_7m___353[[#This Row],[P]]-With_window__step_1___SA[[#This Row],[P]])*3600</f>
        <v>71.999999999985675</v>
      </c>
      <c r="Z7">
        <f>without_window__step_1___1_7m___353[[#This Row],[R]]-Vacuum__step_1___SA[[#This Row],[R]]</f>
        <v>-3.1999999999925421E-2</v>
      </c>
      <c r="AA7">
        <f>(without_window__step_1___1_7m___353[[#This Row],[T]]-Vacuum__step_1___SA[[#This Row],[T]])*3600</f>
        <v>64.800000000002456</v>
      </c>
      <c r="AB7">
        <f>(without_window__step_1___1_7m___353[[#This Row],[P]]-Vacuum__step_1___SA[[#This Row],[P]])*3600</f>
        <v>64.799999999951297</v>
      </c>
      <c r="AD7">
        <f>without_window__step_1___1_7m___353[[#This Row],[R]]-Vacuum__step_1___test[[#This Row],[Column2]]</f>
        <v>-2.8000000000020009E-2</v>
      </c>
      <c r="AF7">
        <v>5</v>
      </c>
    </row>
    <row r="8" spans="1:32" x14ac:dyDescent="0.25">
      <c r="AF8">
        <v>5.0999999999999996</v>
      </c>
    </row>
    <row r="9" spans="1:32" x14ac:dyDescent="0.25">
      <c r="A9">
        <v>2</v>
      </c>
    </row>
    <row r="10" spans="1:32" x14ac:dyDescent="0.25">
      <c r="B10" t="s">
        <v>6</v>
      </c>
      <c r="C10" t="s">
        <v>70</v>
      </c>
      <c r="D10" t="s">
        <v>71</v>
      </c>
      <c r="E10" t="s">
        <v>72</v>
      </c>
      <c r="G10" t="s">
        <v>6</v>
      </c>
      <c r="H10" t="s">
        <v>70</v>
      </c>
      <c r="I10" t="s">
        <v>71</v>
      </c>
      <c r="J10" t="s">
        <v>72</v>
      </c>
      <c r="L10" t="s">
        <v>6</v>
      </c>
      <c r="M10" t="s">
        <v>70</v>
      </c>
      <c r="N10" t="s">
        <v>71</v>
      </c>
      <c r="O10" t="s">
        <v>72</v>
      </c>
      <c r="Q10" t="s">
        <v>129</v>
      </c>
      <c r="R10" t="s">
        <v>130</v>
      </c>
      <c r="S10" t="s">
        <v>131</v>
      </c>
      <c r="T10" t="s">
        <v>132</v>
      </c>
    </row>
    <row r="11" spans="1:32" x14ac:dyDescent="0.25">
      <c r="B11" s="1" t="s">
        <v>14</v>
      </c>
      <c r="C11">
        <v>1978.08</v>
      </c>
      <c r="D11">
        <v>145.923</v>
      </c>
      <c r="E11">
        <v>92.596000000000004</v>
      </c>
      <c r="G11" s="1" t="s">
        <v>27</v>
      </c>
      <c r="H11">
        <v>1978.097</v>
      </c>
      <c r="I11">
        <v>145.90299999999999</v>
      </c>
      <c r="J11">
        <v>92.572999999999993</v>
      </c>
      <c r="L11" s="1" t="s">
        <v>28</v>
      </c>
      <c r="M11">
        <v>1978.1320000000001</v>
      </c>
      <c r="N11">
        <v>145.90299999999999</v>
      </c>
      <c r="O11">
        <v>92.573999999999998</v>
      </c>
      <c r="Q11" s="1" t="s">
        <v>28</v>
      </c>
      <c r="R11">
        <v>1978.1279999999999</v>
      </c>
      <c r="S11">
        <v>145.90299999999999</v>
      </c>
      <c r="T11">
        <v>92.573999999999998</v>
      </c>
      <c r="V11">
        <f>without_window__step_2___1_99m___2101[[#This Row],[R]]-With_window__step_2___SA[[#This Row],[R]]</f>
        <v>-1.7000000000052751E-2</v>
      </c>
      <c r="W11">
        <f>(without_window__step_2___1_99m___2101[[#This Row],[T]]-With_window__step_2___SA[[#This Row],[T]])*3600</f>
        <v>72.000000000036835</v>
      </c>
      <c r="X11">
        <f>(without_window__step_2___1_99m___2101[[#This Row],[P]]-With_window__step_2___SA[[#This Row],[P]])*3600</f>
        <v>82.800000000037244</v>
      </c>
      <c r="Z11">
        <f>without_window__step_2___1_99m___2101[[#This Row],[R]]-Vacuum__step_2___SA[[#This Row],[R]]</f>
        <v>-5.2000000000134605E-2</v>
      </c>
      <c r="AA11">
        <f>(without_window__step_2___1_99m___2101[[#This Row],[T]]-Vacuum__step_2___SA[[#This Row],[T]])*3600</f>
        <v>72.000000000036835</v>
      </c>
      <c r="AB11">
        <f>(without_window__step_2___1_99m___2101[[#This Row],[P]]-Vacuum__step_2___SA[[#This Row],[P]])*3600</f>
        <v>79.200000000020054</v>
      </c>
      <c r="AD11">
        <f>without_window__step_2___1_99m___2101[[#This Row],[R]]-Vacuum__step_2___test[[#This Row],[Column2]]</f>
        <v>-4.8000000000001819E-2</v>
      </c>
    </row>
    <row r="12" spans="1:32" x14ac:dyDescent="0.25">
      <c r="B12" s="1" t="s">
        <v>17</v>
      </c>
      <c r="C12">
        <v>1984.548</v>
      </c>
      <c r="D12">
        <v>141.876</v>
      </c>
      <c r="E12">
        <v>92.582999999999998</v>
      </c>
      <c r="G12" s="1" t="s">
        <v>29</v>
      </c>
      <c r="H12">
        <v>1984.557</v>
      </c>
      <c r="I12">
        <v>141.85900000000001</v>
      </c>
      <c r="J12">
        <v>92.56</v>
      </c>
      <c r="L12" s="1" t="s">
        <v>30</v>
      </c>
      <c r="M12">
        <v>1984.5740000000001</v>
      </c>
      <c r="N12">
        <v>141.85900000000001</v>
      </c>
      <c r="O12">
        <v>92.561000000000007</v>
      </c>
      <c r="Q12" s="1" t="s">
        <v>30</v>
      </c>
      <c r="R12">
        <v>1984.57</v>
      </c>
      <c r="S12">
        <v>141.85900000000001</v>
      </c>
      <c r="T12">
        <v>92.561000000000007</v>
      </c>
      <c r="V12">
        <f>without_window__step_2___1_99m___2101[[#This Row],[R]]-With_window__step_2___SA[[#This Row],[R]]</f>
        <v>-9.0000000000145519E-3</v>
      </c>
      <c r="W12">
        <f>(without_window__step_2___1_99m___2101[[#This Row],[T]]-With_window__step_2___SA[[#This Row],[T]])*3600</f>
        <v>61.199999999985266</v>
      </c>
      <c r="X12">
        <f>(without_window__step_2___1_99m___2101[[#This Row],[P]]-With_window__step_2___SA[[#This Row],[P]])*3600</f>
        <v>82.799999999986085</v>
      </c>
      <c r="Z12">
        <f>without_window__step_2___1_99m___2101[[#This Row],[R]]-Vacuum__step_2___SA[[#This Row],[R]]</f>
        <v>-2.6000000000067303E-2</v>
      </c>
      <c r="AA12">
        <f>(without_window__step_2___1_99m___2101[[#This Row],[T]]-Vacuum__step_2___SA[[#This Row],[T]])*3600</f>
        <v>61.199999999985266</v>
      </c>
      <c r="AB12">
        <f>(without_window__step_2___1_99m___2101[[#This Row],[P]]-Vacuum__step_2___SA[[#This Row],[P]])*3600</f>
        <v>79.199999999968895</v>
      </c>
      <c r="AD12">
        <f>without_window__step_2___1_99m___2101[[#This Row],[R]]-Vacuum__step_2___test[[#This Row],[Column2]]</f>
        <v>-2.1999999999934516E-2</v>
      </c>
    </row>
    <row r="13" spans="1:32" x14ac:dyDescent="0.25">
      <c r="B13" s="1" t="s">
        <v>20</v>
      </c>
      <c r="C13">
        <v>1982.961</v>
      </c>
      <c r="D13">
        <v>141.881</v>
      </c>
      <c r="E13">
        <v>88.542000000000002</v>
      </c>
      <c r="G13" s="1" t="s">
        <v>31</v>
      </c>
      <c r="H13">
        <v>1982.9570000000001</v>
      </c>
      <c r="I13">
        <v>141.864</v>
      </c>
      <c r="J13">
        <v>88.521000000000001</v>
      </c>
      <c r="L13" s="1" t="s">
        <v>32</v>
      </c>
      <c r="M13">
        <v>1982.973</v>
      </c>
      <c r="N13">
        <v>141.86500000000001</v>
      </c>
      <c r="O13">
        <v>88.522999999999996</v>
      </c>
      <c r="Q13" s="1" t="s">
        <v>32</v>
      </c>
      <c r="R13">
        <v>1982.9690000000001</v>
      </c>
      <c r="S13">
        <v>141.86500000000001</v>
      </c>
      <c r="T13">
        <v>88.522999999999996</v>
      </c>
      <c r="V13">
        <f>without_window__step_2___1_99m___2101[[#This Row],[R]]-With_window__step_2___SA[[#This Row],[R]]</f>
        <v>3.9999999999054126E-3</v>
      </c>
      <c r="W13">
        <f>(without_window__step_2___1_99m___2101[[#This Row],[T]]-With_window__step_2___SA[[#This Row],[T]])*3600</f>
        <v>61.199999999985266</v>
      </c>
      <c r="X13">
        <f>(without_window__step_2___1_99m___2101[[#This Row],[P]]-With_window__step_2___SA[[#This Row],[P]])*3600</f>
        <v>75.600000000002865</v>
      </c>
      <c r="Z13">
        <f>without_window__step_2___1_99m___2101[[#This Row],[R]]-Vacuum__step_2___SA[[#This Row],[R]]</f>
        <v>-1.1999999999943611E-2</v>
      </c>
      <c r="AA13">
        <f>(without_window__step_2___1_99m___2101[[#This Row],[T]]-Vacuum__step_2___SA[[#This Row],[T]])*3600</f>
        <v>57.599999999968077</v>
      </c>
      <c r="AB13">
        <f>(without_window__step_2___1_99m___2101[[#This Row],[P]]-Vacuum__step_2___SA[[#This Row],[P]])*3600</f>
        <v>68.400000000019645</v>
      </c>
      <c r="AD13">
        <f>without_window__step_2___1_99m___2101[[#This Row],[R]]-Vacuum__step_2___test[[#This Row],[Column2]]</f>
        <v>-8.0000000000381988E-3</v>
      </c>
    </row>
    <row r="14" spans="1:32" x14ac:dyDescent="0.25">
      <c r="B14" s="1" t="s">
        <v>23</v>
      </c>
      <c r="C14">
        <v>1976.53</v>
      </c>
      <c r="D14">
        <v>145.92699999999999</v>
      </c>
      <c r="E14">
        <v>88.543999999999997</v>
      </c>
      <c r="G14" s="1" t="s">
        <v>33</v>
      </c>
      <c r="H14">
        <v>1976.537</v>
      </c>
      <c r="I14">
        <v>145.90700000000001</v>
      </c>
      <c r="J14">
        <v>88.522999999999996</v>
      </c>
      <c r="L14" s="1" t="s">
        <v>34</v>
      </c>
      <c r="M14">
        <v>1976.5609999999999</v>
      </c>
      <c r="N14">
        <v>145.90799999999999</v>
      </c>
      <c r="O14">
        <v>88.525000000000006</v>
      </c>
      <c r="Q14" s="1" t="s">
        <v>34</v>
      </c>
      <c r="R14">
        <v>1976.557</v>
      </c>
      <c r="S14">
        <v>145.90799999999999</v>
      </c>
      <c r="T14">
        <v>88.525000000000006</v>
      </c>
      <c r="V14">
        <f>without_window__step_2___1_99m___2101[[#This Row],[R]]-With_window__step_2___SA[[#This Row],[R]]</f>
        <v>-7.0000000000618456E-3</v>
      </c>
      <c r="W14">
        <f>(without_window__step_2___1_99m___2101[[#This Row],[T]]-With_window__step_2___SA[[#This Row],[T]])*3600</f>
        <v>71.999999999934516</v>
      </c>
      <c r="X14">
        <f>(without_window__step_2___1_99m___2101[[#This Row],[P]]-With_window__step_2___SA[[#This Row],[P]])*3600</f>
        <v>75.600000000002865</v>
      </c>
      <c r="Z14">
        <f>without_window__step_2___1_99m___2101[[#This Row],[R]]-Vacuum__step_2___SA[[#This Row],[R]]</f>
        <v>-3.0999999999949068E-2</v>
      </c>
      <c r="AA14">
        <f>(without_window__step_2___1_99m___2101[[#This Row],[T]]-Vacuum__step_2___SA[[#This Row],[T]])*3600</f>
        <v>68.400000000019645</v>
      </c>
      <c r="AB14">
        <f>(without_window__step_2___1_99m___2101[[#This Row],[P]]-Vacuum__step_2___SA[[#This Row],[P]])*3600</f>
        <v>68.399999999968486</v>
      </c>
      <c r="AD14">
        <f>without_window__step_2___1_99m___2101[[#This Row],[R]]-Vacuum__step_2___test[[#This Row],[Column2]]</f>
        <v>-2.7000000000043656E-2</v>
      </c>
    </row>
    <row r="16" spans="1:32" x14ac:dyDescent="0.25">
      <c r="A16">
        <v>3</v>
      </c>
    </row>
    <row r="17" spans="1:30" x14ac:dyDescent="0.25">
      <c r="B17" t="s">
        <v>6</v>
      </c>
      <c r="C17" t="s">
        <v>70</v>
      </c>
      <c r="D17" t="s">
        <v>71</v>
      </c>
      <c r="E17" t="s">
        <v>72</v>
      </c>
      <c r="G17" t="s">
        <v>6</v>
      </c>
      <c r="H17" t="s">
        <v>70</v>
      </c>
      <c r="I17" t="s">
        <v>71</v>
      </c>
      <c r="J17" t="s">
        <v>72</v>
      </c>
      <c r="L17" t="s">
        <v>6</v>
      </c>
      <c r="M17" t="s">
        <v>70</v>
      </c>
      <c r="N17" t="s">
        <v>71</v>
      </c>
      <c r="O17" t="s">
        <v>72</v>
      </c>
      <c r="Q17" t="s">
        <v>129</v>
      </c>
      <c r="R17" t="s">
        <v>130</v>
      </c>
      <c r="S17" t="s">
        <v>131</v>
      </c>
      <c r="T17" t="s">
        <v>132</v>
      </c>
    </row>
    <row r="18" spans="1:30" x14ac:dyDescent="0.25">
      <c r="B18" s="1" t="s">
        <v>14</v>
      </c>
      <c r="C18">
        <v>2270.3209999999999</v>
      </c>
      <c r="D18">
        <v>145.93100000000001</v>
      </c>
      <c r="E18">
        <v>92.241</v>
      </c>
      <c r="G18" s="1" t="s">
        <v>117</v>
      </c>
      <c r="H18">
        <v>2270.337</v>
      </c>
      <c r="I18">
        <v>145.91</v>
      </c>
      <c r="J18">
        <v>92.216999999999999</v>
      </c>
      <c r="L18" s="1" t="s">
        <v>35</v>
      </c>
      <c r="M18">
        <v>2270.3820000000001</v>
      </c>
      <c r="N18">
        <v>145.91</v>
      </c>
      <c r="O18">
        <v>92.218000000000004</v>
      </c>
      <c r="Q18" s="1" t="s">
        <v>35</v>
      </c>
      <c r="R18">
        <v>2270.3780000000002</v>
      </c>
      <c r="S18">
        <v>145.91</v>
      </c>
      <c r="T18">
        <v>92.218000000000004</v>
      </c>
      <c r="V18">
        <f>without_window__step_3___2_28m___2102[[#This Row],[R]]-With_window__step_3___SA[[#This Row],[R]]</f>
        <v>-1.6000000000076398E-2</v>
      </c>
      <c r="W18">
        <f>(without_window__step_3___2_28m___2102[[#This Row],[T]]-With_window__step_3___SA[[#This Row],[T]])*3600</f>
        <v>75.600000000054024</v>
      </c>
      <c r="X18">
        <f>(without_window__step_3___2_28m___2102[[#This Row],[P]]-With_window__step_3___SA[[#This Row],[P]])*3600</f>
        <v>86.400000000003274</v>
      </c>
      <c r="Z18">
        <f>without_window__step_3___2_28m___2102[[#This Row],[R]]-Vacuum__step_3___SA[[#This Row],[R]]</f>
        <v>-6.1000000000149157E-2</v>
      </c>
      <c r="AA18">
        <f>(without_window__step_3___2_28m___2102[[#This Row],[T]]-Vacuum__step_3___SA[[#This Row],[T]])*3600</f>
        <v>75.600000000054024</v>
      </c>
      <c r="AB18">
        <f>(without_window__step_3___2_28m___2102[[#This Row],[P]]-Vacuum__step_3___SA[[#This Row],[P]])*3600</f>
        <v>82.799999999986085</v>
      </c>
      <c r="AD18">
        <f>without_window__step_3___2_28m___2102[[#This Row],[R]]-Vacuum__step_3___test[[#This Row],[Column2]]</f>
        <v>-5.7000000000243745E-2</v>
      </c>
    </row>
    <row r="19" spans="1:30" x14ac:dyDescent="0.25">
      <c r="B19" s="1" t="s">
        <v>17</v>
      </c>
      <c r="C19">
        <v>2276.2379999999998</v>
      </c>
      <c r="D19">
        <v>142.404</v>
      </c>
      <c r="E19">
        <v>92.23</v>
      </c>
      <c r="G19" s="1" t="s">
        <v>118</v>
      </c>
      <c r="H19">
        <v>2276.2469999999998</v>
      </c>
      <c r="I19">
        <v>142.386</v>
      </c>
      <c r="J19">
        <v>92.206000000000003</v>
      </c>
      <c r="L19" s="1" t="s">
        <v>36</v>
      </c>
      <c r="M19">
        <v>2276.2829999999999</v>
      </c>
      <c r="N19">
        <v>142.386</v>
      </c>
      <c r="O19">
        <v>92.207999999999998</v>
      </c>
      <c r="Q19" s="1" t="s">
        <v>36</v>
      </c>
      <c r="R19">
        <v>2276.279</v>
      </c>
      <c r="S19">
        <v>142.386</v>
      </c>
      <c r="T19">
        <v>92.207999999999998</v>
      </c>
      <c r="V19">
        <f>without_window__step_3___2_28m___2102[[#This Row],[R]]-With_window__step_3___SA[[#This Row],[R]]</f>
        <v>-9.0000000000145519E-3</v>
      </c>
      <c r="W19">
        <f>(without_window__step_3___2_28m___2102[[#This Row],[T]]-With_window__step_3___SA[[#This Row],[T]])*3600</f>
        <v>64.800000000002456</v>
      </c>
      <c r="X19">
        <f>(without_window__step_3___2_28m___2102[[#This Row],[P]]-With_window__step_3___SA[[#This Row],[P]])*3600</f>
        <v>86.400000000003274</v>
      </c>
      <c r="Z19">
        <f>without_window__step_3___2_28m___2102[[#This Row],[R]]-Vacuum__step_3___SA[[#This Row],[R]]</f>
        <v>-4.500000000007276E-2</v>
      </c>
      <c r="AA19">
        <f>(without_window__step_3___2_28m___2102[[#This Row],[T]]-Vacuum__step_3___SA[[#This Row],[T]])*3600</f>
        <v>64.800000000002456</v>
      </c>
      <c r="AB19">
        <f>(without_window__step_3___2_28m___2102[[#This Row],[P]]-Vacuum__step_3___SA[[#This Row],[P]])*3600</f>
        <v>79.200000000020054</v>
      </c>
      <c r="AD19">
        <f>without_window__step_3___2_28m___2102[[#This Row],[R]]-Vacuum__step_3___test[[#This Row],[Column2]]</f>
        <v>-4.1000000000167347E-2</v>
      </c>
    </row>
    <row r="20" spans="1:30" x14ac:dyDescent="0.25">
      <c r="B20" s="1" t="s">
        <v>20</v>
      </c>
      <c r="C20">
        <v>2275.1469999999999</v>
      </c>
      <c r="D20">
        <v>142.41</v>
      </c>
      <c r="E20">
        <v>88.706999999999994</v>
      </c>
      <c r="G20" s="1" t="s">
        <v>119</v>
      </c>
      <c r="H20">
        <v>2275.1370000000002</v>
      </c>
      <c r="I20">
        <v>142.392</v>
      </c>
      <c r="J20">
        <v>88.686000000000007</v>
      </c>
      <c r="L20" s="1" t="s">
        <v>37</v>
      </c>
      <c r="M20">
        <v>2275.183</v>
      </c>
      <c r="N20">
        <v>142.392</v>
      </c>
      <c r="O20">
        <v>88.686999999999998</v>
      </c>
      <c r="Q20" s="1" t="s">
        <v>37</v>
      </c>
      <c r="R20">
        <v>2275.1790000000001</v>
      </c>
      <c r="S20">
        <v>142.392</v>
      </c>
      <c r="T20">
        <v>88.686999999999998</v>
      </c>
      <c r="V20">
        <f>without_window__step_3___2_28m___2102[[#This Row],[R]]-With_window__step_3___SA[[#This Row],[R]]</f>
        <v>9.9999999997635314E-3</v>
      </c>
      <c r="W20">
        <f>(without_window__step_3___2_28m___2102[[#This Row],[T]]-With_window__step_3___SA[[#This Row],[T]])*3600</f>
        <v>64.800000000002456</v>
      </c>
      <c r="X20">
        <f>(without_window__step_3___2_28m___2102[[#This Row],[P]]-With_window__step_3___SA[[#This Row],[P]])*3600</f>
        <v>75.599999999951706</v>
      </c>
      <c r="Z20">
        <f>without_window__step_3___2_28m___2102[[#This Row],[R]]-Vacuum__step_3___SA[[#This Row],[R]]</f>
        <v>-3.6000000000058208E-2</v>
      </c>
      <c r="AA20">
        <f>(without_window__step_3___2_28m___2102[[#This Row],[T]]-Vacuum__step_3___SA[[#This Row],[T]])*3600</f>
        <v>64.800000000002456</v>
      </c>
      <c r="AB20">
        <f>(without_window__step_3___2_28m___2102[[#This Row],[P]]-Vacuum__step_3___SA[[#This Row],[P]])*3600</f>
        <v>71.999999999985675</v>
      </c>
      <c r="AD20">
        <f>without_window__step_3___2_28m___2102[[#This Row],[R]]-Vacuum__step_3___test[[#This Row],[Column2]]</f>
        <v>-3.2000000000152795E-2</v>
      </c>
    </row>
    <row r="21" spans="1:30" x14ac:dyDescent="0.25">
      <c r="B21" s="1" t="s">
        <v>23</v>
      </c>
      <c r="C21">
        <v>2269.2689999999998</v>
      </c>
      <c r="D21">
        <v>145.93600000000001</v>
      </c>
      <c r="E21">
        <v>88.71</v>
      </c>
      <c r="G21" s="1" t="s">
        <v>120</v>
      </c>
      <c r="H21">
        <v>2269.2669999999998</v>
      </c>
      <c r="I21">
        <v>145.91499999999999</v>
      </c>
      <c r="J21">
        <v>88.688999999999993</v>
      </c>
      <c r="L21" s="1" t="s">
        <v>38</v>
      </c>
      <c r="M21">
        <v>2269.3110000000001</v>
      </c>
      <c r="N21">
        <v>145.91399999999999</v>
      </c>
      <c r="O21">
        <v>88.69</v>
      </c>
      <c r="Q21" s="1" t="s">
        <v>38</v>
      </c>
      <c r="R21">
        <v>2269.3069999999998</v>
      </c>
      <c r="S21">
        <v>145.91399999999999</v>
      </c>
      <c r="T21">
        <v>88.69</v>
      </c>
      <c r="V21">
        <f>without_window__step_3___2_28m___2102[[#This Row],[R]]-With_window__step_3___SA[[#This Row],[R]]</f>
        <v>1.9999999999527063E-3</v>
      </c>
      <c r="W21">
        <f>(without_window__step_3___2_28m___2102[[#This Row],[T]]-With_window__step_3___SA[[#This Row],[T]])*3600</f>
        <v>75.600000000054024</v>
      </c>
      <c r="X21">
        <f>(without_window__step_3___2_28m___2102[[#This Row],[P]]-With_window__step_3___SA[[#This Row],[P]])*3600</f>
        <v>75.600000000002865</v>
      </c>
      <c r="Z21">
        <f>without_window__step_3___2_28m___2102[[#This Row],[R]]-Vacuum__step_3___SA[[#This Row],[R]]</f>
        <v>-4.2000000000371074E-2</v>
      </c>
      <c r="AA21">
        <f>(without_window__step_3___2_28m___2102[[#This Row],[T]]-Vacuum__step_3___SA[[#This Row],[T]])*3600</f>
        <v>79.200000000071213</v>
      </c>
      <c r="AB21">
        <f>(without_window__step_3___2_28m___2102[[#This Row],[P]]-Vacuum__step_3___SA[[#This Row],[P]])*3600</f>
        <v>71.999999999985675</v>
      </c>
      <c r="AD21">
        <f>without_window__step_3___2_28m___2102[[#This Row],[R]]-Vacuum__step_3___test[[#This Row],[Column2]]</f>
        <v>-3.8000000000010914E-2</v>
      </c>
    </row>
    <row r="23" spans="1:30" x14ac:dyDescent="0.25">
      <c r="A23">
        <v>4</v>
      </c>
    </row>
    <row r="24" spans="1:30" x14ac:dyDescent="0.25">
      <c r="B24" t="s">
        <v>6</v>
      </c>
      <c r="C24" t="s">
        <v>70</v>
      </c>
      <c r="D24" t="s">
        <v>71</v>
      </c>
      <c r="E24" t="s">
        <v>72</v>
      </c>
      <c r="G24" t="s">
        <v>6</v>
      </c>
      <c r="H24" t="s">
        <v>70</v>
      </c>
      <c r="I24" t="s">
        <v>71</v>
      </c>
      <c r="J24" t="s">
        <v>72</v>
      </c>
      <c r="L24" t="s">
        <v>6</v>
      </c>
      <c r="M24" t="s">
        <v>70</v>
      </c>
      <c r="N24" t="s">
        <v>71</v>
      </c>
      <c r="O24" t="s">
        <v>72</v>
      </c>
      <c r="Q24" t="s">
        <v>129</v>
      </c>
      <c r="R24" t="s">
        <v>130</v>
      </c>
      <c r="S24" t="s">
        <v>131</v>
      </c>
      <c r="T24" t="s">
        <v>132</v>
      </c>
    </row>
    <row r="25" spans="1:30" x14ac:dyDescent="0.25">
      <c r="B25" s="1" t="s">
        <v>14</v>
      </c>
      <c r="C25">
        <v>2562.3249999999998</v>
      </c>
      <c r="D25">
        <v>145.95500000000001</v>
      </c>
      <c r="E25">
        <v>91.986999999999995</v>
      </c>
      <c r="G25" s="1" t="s">
        <v>40</v>
      </c>
      <c r="H25">
        <v>2562.337</v>
      </c>
      <c r="I25">
        <v>145.934</v>
      </c>
      <c r="J25">
        <v>91.962999999999994</v>
      </c>
      <c r="L25" s="1" t="s">
        <v>41</v>
      </c>
      <c r="M25">
        <v>2562.3910000000001</v>
      </c>
      <c r="N25">
        <v>145.93299999999999</v>
      </c>
      <c r="O25">
        <v>91.963999999999999</v>
      </c>
      <c r="Q25" s="1" t="s">
        <v>41</v>
      </c>
      <c r="R25">
        <v>2562.3870000000002</v>
      </c>
      <c r="S25">
        <v>145.93299999999999</v>
      </c>
      <c r="T25">
        <v>91.963999999999999</v>
      </c>
      <c r="V25">
        <f>without_window__step_4___2_58m___2103[[#This Row],[R]]-With_window__step_4___SA[[#This Row],[R]]</f>
        <v>-1.2000000000170985E-2</v>
      </c>
      <c r="W25">
        <f>(without_window__step_4___2_58m___2103[[#This Row],[T]]-With_window__step_4___SA[[#This Row],[T]])*3600</f>
        <v>75.600000000054024</v>
      </c>
      <c r="X25">
        <f>(without_window__step_4___2_58m___2103[[#This Row],[P]]-With_window__step_4___SA[[#This Row],[P]])*3600</f>
        <v>86.400000000003274</v>
      </c>
      <c r="Z25">
        <f>without_window__step_4___2_58m___2103[[#This Row],[R]]-Vacuum__step_4___SA[[#This Row],[R]]</f>
        <v>-6.6000000000258296E-2</v>
      </c>
      <c r="AA25">
        <f>(without_window__step_4___2_58m___2103[[#This Row],[T]]-Vacuum__step_4___SA[[#This Row],[T]])*3600</f>
        <v>79.200000000071213</v>
      </c>
      <c r="AB25">
        <f>(without_window__step_4___2_58m___2103[[#This Row],[P]]-Vacuum__step_4___SA[[#This Row],[P]])*3600</f>
        <v>82.799999999986085</v>
      </c>
      <c r="AD25">
        <f>without_window__step_4___2_58m___2103[[#This Row],[R]]-Vacuum__step_4___test[[#This Row],[Column2]]</f>
        <v>-6.2000000000352884E-2</v>
      </c>
    </row>
    <row r="26" spans="1:30" x14ac:dyDescent="0.25">
      <c r="B26" s="1" t="s">
        <v>17</v>
      </c>
      <c r="C26">
        <v>2567.7139999999999</v>
      </c>
      <c r="D26">
        <v>142.83000000000001</v>
      </c>
      <c r="E26">
        <v>91.974000000000004</v>
      </c>
      <c r="G26" s="1" t="s">
        <v>42</v>
      </c>
      <c r="H26">
        <v>2567.7170000000001</v>
      </c>
      <c r="I26">
        <v>142.81100000000001</v>
      </c>
      <c r="J26">
        <v>91.95</v>
      </c>
      <c r="L26" s="1" t="s">
        <v>43</v>
      </c>
      <c r="M26">
        <v>2567.7629999999999</v>
      </c>
      <c r="N26">
        <v>142.81</v>
      </c>
      <c r="O26">
        <v>91.950999999999993</v>
      </c>
      <c r="Q26" s="1" t="s">
        <v>43</v>
      </c>
      <c r="R26">
        <v>2567.759</v>
      </c>
      <c r="S26">
        <v>142.81</v>
      </c>
      <c r="T26">
        <v>91.950999999999993</v>
      </c>
      <c r="V26">
        <f>without_window__step_4___2_58m___2103[[#This Row],[R]]-With_window__step_4___SA[[#This Row],[R]]</f>
        <v>-3.0000000001564331E-3</v>
      </c>
      <c r="W26">
        <f>(without_window__step_4___2_58m___2103[[#This Row],[T]]-With_window__step_4___SA[[#This Row],[T]])*3600</f>
        <v>68.400000000019645</v>
      </c>
      <c r="X26">
        <f>(without_window__step_4___2_58m___2103[[#This Row],[P]]-With_window__step_4___SA[[#This Row],[P]])*3600</f>
        <v>86.400000000003274</v>
      </c>
      <c r="Z26">
        <f>without_window__step_4___2_58m___2103[[#This Row],[R]]-Vacuum__step_4___SA[[#This Row],[R]]</f>
        <v>-4.8999999999978172E-2</v>
      </c>
      <c r="AA26">
        <f>(without_window__step_4___2_58m___2103[[#This Row],[T]]-Vacuum__step_4___SA[[#This Row],[T]])*3600</f>
        <v>72.000000000036835</v>
      </c>
      <c r="AB26">
        <f>(without_window__step_4___2_58m___2103[[#This Row],[P]]-Vacuum__step_4___SA[[#This Row],[P]])*3600</f>
        <v>82.800000000037244</v>
      </c>
      <c r="AD26">
        <f>without_window__step_4___2_58m___2103[[#This Row],[R]]-Vacuum__step_4___test[[#This Row],[Column2]]</f>
        <v>-4.500000000007276E-2</v>
      </c>
    </row>
    <row r="27" spans="1:30" x14ac:dyDescent="0.25">
      <c r="B27" s="1" t="s">
        <v>20</v>
      </c>
      <c r="C27">
        <v>2566.8339999999998</v>
      </c>
      <c r="D27">
        <v>142.84</v>
      </c>
      <c r="E27">
        <v>88.850999999999999</v>
      </c>
      <c r="G27" s="1" t="s">
        <v>44</v>
      </c>
      <c r="H27">
        <v>2566.8270000000002</v>
      </c>
      <c r="I27">
        <v>142.821</v>
      </c>
      <c r="J27">
        <v>88.828999999999994</v>
      </c>
      <c r="L27" s="1" t="s">
        <v>45</v>
      </c>
      <c r="M27">
        <v>2566.873</v>
      </c>
      <c r="N27">
        <v>142.82</v>
      </c>
      <c r="O27">
        <v>88.83</v>
      </c>
      <c r="Q27" s="1" t="s">
        <v>45</v>
      </c>
      <c r="R27">
        <v>2566.8690000000001</v>
      </c>
      <c r="S27">
        <v>142.82</v>
      </c>
      <c r="T27">
        <v>88.83</v>
      </c>
      <c r="V27">
        <f>without_window__step_4___2_58m___2103[[#This Row],[R]]-With_window__step_4___SA[[#This Row],[R]]</f>
        <v>6.9999999996070983E-3</v>
      </c>
      <c r="W27">
        <f>(without_window__step_4___2_58m___2103[[#This Row],[T]]-With_window__step_4___SA[[#This Row],[T]])*3600</f>
        <v>68.400000000019645</v>
      </c>
      <c r="X27">
        <f>(without_window__step_4___2_58m___2103[[#This Row],[P]]-With_window__step_4___SA[[#This Row],[P]])*3600</f>
        <v>79.200000000020054</v>
      </c>
      <c r="Z27">
        <f>without_window__step_4___2_58m___2103[[#This Row],[R]]-Vacuum__step_4___SA[[#This Row],[R]]</f>
        <v>-3.9000000000214641E-2</v>
      </c>
      <c r="AA27">
        <f>(without_window__step_4___2_58m___2103[[#This Row],[T]]-Vacuum__step_4___SA[[#This Row],[T]])*3600</f>
        <v>72.000000000036835</v>
      </c>
      <c r="AB27">
        <f>(without_window__step_4___2_58m___2103[[#This Row],[P]]-Vacuum__step_4___SA[[#This Row],[P]])*3600</f>
        <v>75.600000000002865</v>
      </c>
      <c r="AD27">
        <f>without_window__step_4___2_58m___2103[[#This Row],[R]]-Vacuum__step_4___test[[#This Row],[Column2]]</f>
        <v>-3.5000000000309228E-2</v>
      </c>
    </row>
    <row r="28" spans="1:30" x14ac:dyDescent="0.25">
      <c r="B28" s="1" t="s">
        <v>23</v>
      </c>
      <c r="C28">
        <v>2561.4839999999999</v>
      </c>
      <c r="D28">
        <v>145.964</v>
      </c>
      <c r="E28">
        <v>88.858999999999995</v>
      </c>
      <c r="G28" s="1" t="s">
        <v>46</v>
      </c>
      <c r="H28">
        <v>2561.4870000000001</v>
      </c>
      <c r="I28">
        <v>145.94300000000001</v>
      </c>
      <c r="J28">
        <v>88.837000000000003</v>
      </c>
      <c r="L28" s="1" t="s">
        <v>47</v>
      </c>
      <c r="M28">
        <v>2561.5410000000002</v>
      </c>
      <c r="N28">
        <v>145.94200000000001</v>
      </c>
      <c r="O28">
        <v>88.837999999999994</v>
      </c>
      <c r="Q28" s="1" t="s">
        <v>47</v>
      </c>
      <c r="R28">
        <v>2561.5369999999998</v>
      </c>
      <c r="S28">
        <v>145.94200000000001</v>
      </c>
      <c r="T28">
        <v>88.837999999999994</v>
      </c>
      <c r="V28">
        <f>without_window__step_4___2_58m___2103[[#This Row],[R]]-With_window__step_4___SA[[#This Row],[R]]</f>
        <v>-3.0000000001564331E-3</v>
      </c>
      <c r="W28">
        <f>(without_window__step_4___2_58m___2103[[#This Row],[T]]-With_window__step_4___SA[[#This Row],[T]])*3600</f>
        <v>75.599999999951706</v>
      </c>
      <c r="X28">
        <f>(without_window__step_4___2_58m___2103[[#This Row],[P]]-With_window__step_4___SA[[#This Row],[P]])*3600</f>
        <v>79.199999999968895</v>
      </c>
      <c r="Z28">
        <f>without_window__step_4___2_58m___2103[[#This Row],[R]]-Vacuum__step_4___SA[[#This Row],[R]]</f>
        <v>-5.7000000000243745E-2</v>
      </c>
      <c r="AA28">
        <f>(without_window__step_4___2_58m___2103[[#This Row],[T]]-Vacuum__step_4___SA[[#This Row],[T]])*3600</f>
        <v>79.199999999968895</v>
      </c>
      <c r="AB28">
        <f>(without_window__step_4___2_58m___2103[[#This Row],[P]]-Vacuum__step_4___SA[[#This Row],[P]])*3600</f>
        <v>75.600000000002865</v>
      </c>
      <c r="AD28">
        <f>without_window__step_4___2_58m___2103[[#This Row],[R]]-Vacuum__step_4___test[[#This Row],[Column2]]</f>
        <v>-5.2999999999883585E-2</v>
      </c>
    </row>
    <row r="30" spans="1:30" x14ac:dyDescent="0.25">
      <c r="A30">
        <v>4.0999999999999996</v>
      </c>
    </row>
    <row r="31" spans="1:30" x14ac:dyDescent="0.25">
      <c r="B31" t="s">
        <v>6</v>
      </c>
      <c r="C31" t="s">
        <v>70</v>
      </c>
      <c r="D31" t="s">
        <v>71</v>
      </c>
      <c r="E31" t="s">
        <v>72</v>
      </c>
      <c r="G31" t="s">
        <v>6</v>
      </c>
      <c r="H31" t="s">
        <v>70</v>
      </c>
      <c r="I31" t="s">
        <v>71</v>
      </c>
      <c r="J31" t="s">
        <v>72</v>
      </c>
      <c r="L31" t="s">
        <v>6</v>
      </c>
      <c r="M31" t="s">
        <v>70</v>
      </c>
      <c r="N31" t="s">
        <v>71</v>
      </c>
      <c r="O31" t="s">
        <v>72</v>
      </c>
      <c r="Q31" t="s">
        <v>129</v>
      </c>
      <c r="R31" t="s">
        <v>130</v>
      </c>
      <c r="S31" t="s">
        <v>131</v>
      </c>
      <c r="T31" t="s">
        <v>132</v>
      </c>
    </row>
    <row r="32" spans="1:30" x14ac:dyDescent="0.25">
      <c r="B32" s="1" t="s">
        <v>14</v>
      </c>
      <c r="C32">
        <v>2566.4699999999998</v>
      </c>
      <c r="D32">
        <v>142.59899999999999</v>
      </c>
      <c r="E32">
        <v>91.977999999999994</v>
      </c>
      <c r="G32" s="1" t="s">
        <v>48</v>
      </c>
      <c r="H32">
        <v>2566.4670000000001</v>
      </c>
      <c r="I32">
        <v>142.58099999999999</v>
      </c>
      <c r="J32">
        <v>91.953000000000003</v>
      </c>
      <c r="L32" s="1" t="s">
        <v>49</v>
      </c>
      <c r="M32">
        <v>2566.5219999999999</v>
      </c>
      <c r="N32">
        <v>142.58000000000001</v>
      </c>
      <c r="O32">
        <v>91.954999999999998</v>
      </c>
      <c r="Q32" s="1" t="s">
        <v>49</v>
      </c>
      <c r="R32">
        <v>2566.518</v>
      </c>
      <c r="S32">
        <v>142.58000000000001</v>
      </c>
      <c r="T32">
        <v>91.954999999999998</v>
      </c>
      <c r="V32">
        <f>without_window__step_4_1___2_58m___2104[[#This Row],[R]]-With_window__step_4_1___SA[[#This Row],[R]]</f>
        <v>2.9999999997016857E-3</v>
      </c>
      <c r="W32">
        <f>(without_window__step_4_1___2_58m___2104[[#This Row],[T]]-With_window__step_4_1___SA[[#This Row],[T]])*3600</f>
        <v>64.800000000002456</v>
      </c>
      <c r="X32">
        <f>(without_window__step_4_1___2_58m___2104[[#This Row],[P]]-With_window__step_4_1___SA[[#This Row],[P]])*3600</f>
        <v>89.999999999969305</v>
      </c>
      <c r="Z32">
        <f>without_window__step_4_1___2_58m___2104[[#This Row],[R]]-Vacuum__step_4_1___SA[[#This Row],[R]]</f>
        <v>-5.2000000000134605E-2</v>
      </c>
      <c r="AA32">
        <f>(without_window__step_4_1___2_58m___2104[[#This Row],[T]]-Vacuum__step_4_1___SA[[#This Row],[T]])*3600</f>
        <v>68.399999999917327</v>
      </c>
      <c r="AB32">
        <f>(without_window__step_4_1___2_58m___2104[[#This Row],[P]]-Vacuum__step_4_1___SA[[#This Row],[P]])*3600</f>
        <v>82.799999999986085</v>
      </c>
      <c r="AD32">
        <f>without_window__step_4_1___2_58m___2104[[#This Row],[R]]-Vacuum__step_4_1___test[[#This Row],[Column2]]</f>
        <v>-4.8000000000229193E-2</v>
      </c>
    </row>
    <row r="33" spans="1:30" x14ac:dyDescent="0.25">
      <c r="B33" s="1" t="s">
        <v>17</v>
      </c>
      <c r="C33">
        <v>2579.91</v>
      </c>
      <c r="D33">
        <v>139.49600000000001</v>
      </c>
      <c r="E33">
        <v>91.960999999999999</v>
      </c>
      <c r="G33" s="1" t="s">
        <v>50</v>
      </c>
      <c r="H33">
        <v>2579.8969999999999</v>
      </c>
      <c r="I33">
        <v>139.47900000000001</v>
      </c>
      <c r="J33">
        <v>91.936000000000007</v>
      </c>
      <c r="L33" s="1" t="s">
        <v>51</v>
      </c>
      <c r="M33">
        <v>2579.9459999999999</v>
      </c>
      <c r="N33">
        <v>139.47900000000001</v>
      </c>
      <c r="O33">
        <v>91.936999999999998</v>
      </c>
      <c r="Q33" s="1" t="s">
        <v>51</v>
      </c>
      <c r="R33">
        <v>2579.942</v>
      </c>
      <c r="S33">
        <v>139.47900000000001</v>
      </c>
      <c r="T33">
        <v>91.936999999999998</v>
      </c>
      <c r="V33">
        <f>without_window__step_4_1___2_58m___2104[[#This Row],[R]]-With_window__step_4_1___SA[[#This Row],[R]]</f>
        <v>1.2999999999919964E-2</v>
      </c>
      <c r="W33">
        <f>(without_window__step_4_1___2_58m___2104[[#This Row],[T]]-With_window__step_4_1___SA[[#This Row],[T]])*3600</f>
        <v>61.199999999985266</v>
      </c>
      <c r="X33">
        <f>(without_window__step_4_1___2_58m___2104[[#This Row],[P]]-With_window__step_4_1___SA[[#This Row],[P]])*3600</f>
        <v>89.999999999969305</v>
      </c>
      <c r="Z33">
        <f>without_window__step_4_1___2_58m___2104[[#This Row],[R]]-Vacuum__step_4_1___SA[[#This Row],[R]]</f>
        <v>-3.6000000000058208E-2</v>
      </c>
      <c r="AA33">
        <f>(without_window__step_4_1___2_58m___2104[[#This Row],[T]]-Vacuum__step_4_1___SA[[#This Row],[T]])*3600</f>
        <v>61.199999999985266</v>
      </c>
      <c r="AB33">
        <f>(without_window__step_4_1___2_58m___2104[[#This Row],[P]]-Vacuum__step_4_1___SA[[#This Row],[P]])*3600</f>
        <v>86.400000000003274</v>
      </c>
      <c r="AD33">
        <f>without_window__step_4_1___2_58m___2104[[#This Row],[R]]-Vacuum__step_4_1___test[[#This Row],[Column2]]</f>
        <v>-3.2000000000152795E-2</v>
      </c>
    </row>
    <row r="34" spans="1:30" x14ac:dyDescent="0.25">
      <c r="B34" s="1" t="s">
        <v>20</v>
      </c>
      <c r="C34">
        <v>2578.8809999999999</v>
      </c>
      <c r="D34">
        <v>139.50399999999999</v>
      </c>
      <c r="E34">
        <v>88.852999999999994</v>
      </c>
      <c r="G34" s="1" t="s">
        <v>52</v>
      </c>
      <c r="H34">
        <v>2578.857</v>
      </c>
      <c r="I34">
        <v>139.48699999999999</v>
      </c>
      <c r="J34">
        <v>88.83</v>
      </c>
      <c r="L34" s="1" t="s">
        <v>53</v>
      </c>
      <c r="M34">
        <v>2578.9160000000002</v>
      </c>
      <c r="N34">
        <v>139.48699999999999</v>
      </c>
      <c r="O34">
        <v>88.831999999999994</v>
      </c>
      <c r="Q34" s="1" t="s">
        <v>53</v>
      </c>
      <c r="R34">
        <v>2578.9119999999998</v>
      </c>
      <c r="S34">
        <v>139.48699999999999</v>
      </c>
      <c r="T34">
        <v>88.831999999999994</v>
      </c>
      <c r="V34">
        <f>without_window__step_4_1___2_58m___2104[[#This Row],[R]]-With_window__step_4_1___SA[[#This Row],[R]]</f>
        <v>2.3999999999887223E-2</v>
      </c>
      <c r="W34">
        <f>(without_window__step_4_1___2_58m___2104[[#This Row],[T]]-With_window__step_4_1___SA[[#This Row],[T]])*3600</f>
        <v>61.199999999985266</v>
      </c>
      <c r="X34">
        <f>(without_window__step_4_1___2_58m___2104[[#This Row],[P]]-With_window__step_4_1___SA[[#This Row],[P]])*3600</f>
        <v>82.799999999986085</v>
      </c>
      <c r="Z34">
        <f>without_window__step_4_1___2_58m___2104[[#This Row],[R]]-Vacuum__step_4_1___SA[[#This Row],[R]]</f>
        <v>-3.5000000000309228E-2</v>
      </c>
      <c r="AA34">
        <f>(without_window__step_4_1___2_58m___2104[[#This Row],[T]]-Vacuum__step_4_1___SA[[#This Row],[T]])*3600</f>
        <v>61.199999999985266</v>
      </c>
      <c r="AB34">
        <f>(without_window__step_4_1___2_58m___2104[[#This Row],[P]]-Vacuum__step_4_1___SA[[#This Row],[P]])*3600</f>
        <v>75.600000000002865</v>
      </c>
      <c r="AD34">
        <f>without_window__step_4_1___2_58m___2104[[#This Row],[R]]-Vacuum__step_4_1___test[[#This Row],[Column2]]</f>
        <v>-3.0999999999949068E-2</v>
      </c>
    </row>
    <row r="35" spans="1:30" x14ac:dyDescent="0.25">
      <c r="B35" s="1" t="s">
        <v>23</v>
      </c>
      <c r="C35">
        <v>2565.4789999999998</v>
      </c>
      <c r="D35">
        <v>142.60599999999999</v>
      </c>
      <c r="E35">
        <v>88.855000000000004</v>
      </c>
      <c r="G35" s="1" t="s">
        <v>54</v>
      </c>
      <c r="H35">
        <v>2565.4670000000001</v>
      </c>
      <c r="I35">
        <v>142.58799999999999</v>
      </c>
      <c r="J35">
        <v>88.832999999999998</v>
      </c>
      <c r="L35" s="1" t="s">
        <v>55</v>
      </c>
      <c r="M35">
        <v>2565.5219999999999</v>
      </c>
      <c r="N35">
        <v>142.58699999999999</v>
      </c>
      <c r="O35">
        <v>88.834000000000003</v>
      </c>
      <c r="Q35" s="1" t="s">
        <v>55</v>
      </c>
      <c r="R35">
        <v>2565.518</v>
      </c>
      <c r="S35">
        <v>142.58699999999999</v>
      </c>
      <c r="T35">
        <v>88.834000000000003</v>
      </c>
      <c r="V35">
        <f>without_window__step_4_1___2_58m___2104[[#This Row],[R]]-With_window__step_4_1___SA[[#This Row],[R]]</f>
        <v>1.1999999999716238E-2</v>
      </c>
      <c r="W35">
        <f>(without_window__step_4_1___2_58m___2104[[#This Row],[T]]-With_window__step_4_1___SA[[#This Row],[T]])*3600</f>
        <v>64.800000000002456</v>
      </c>
      <c r="X35">
        <f>(without_window__step_4_1___2_58m___2104[[#This Row],[P]]-With_window__step_4_1___SA[[#This Row],[P]])*3600</f>
        <v>79.200000000020054</v>
      </c>
      <c r="Z35">
        <f>without_window__step_4_1___2_58m___2104[[#This Row],[R]]-Vacuum__step_4_1___SA[[#This Row],[R]]</f>
        <v>-4.3000000000120053E-2</v>
      </c>
      <c r="AA35">
        <f>(without_window__step_4_1___2_58m___2104[[#This Row],[T]]-Vacuum__step_4_1___SA[[#This Row],[T]])*3600</f>
        <v>68.400000000019645</v>
      </c>
      <c r="AB35">
        <f>(without_window__step_4_1___2_58m___2104[[#This Row],[P]]-Vacuum__step_4_1___SA[[#This Row],[P]])*3600</f>
        <v>75.600000000002865</v>
      </c>
      <c r="AD35">
        <f>without_window__step_4_1___2_58m___2104[[#This Row],[R]]-Vacuum__step_4_1___test[[#This Row],[Column2]]</f>
        <v>-3.9000000000214641E-2</v>
      </c>
    </row>
    <row r="37" spans="1:30" x14ac:dyDescent="0.25">
      <c r="A37">
        <v>5</v>
      </c>
    </row>
    <row r="38" spans="1:30" x14ac:dyDescent="0.25">
      <c r="B38" t="s">
        <v>6</v>
      </c>
      <c r="C38" t="s">
        <v>70</v>
      </c>
      <c r="D38" t="s">
        <v>71</v>
      </c>
      <c r="E38" t="s">
        <v>72</v>
      </c>
      <c r="G38" t="s">
        <v>6</v>
      </c>
      <c r="H38" t="s">
        <v>70</v>
      </c>
      <c r="I38" t="s">
        <v>71</v>
      </c>
      <c r="J38" t="s">
        <v>72</v>
      </c>
      <c r="L38" t="s">
        <v>6</v>
      </c>
      <c r="M38" t="s">
        <v>70</v>
      </c>
      <c r="N38" t="s">
        <v>71</v>
      </c>
      <c r="O38" t="s">
        <v>72</v>
      </c>
      <c r="Q38" t="s">
        <v>129</v>
      </c>
      <c r="R38" t="s">
        <v>130</v>
      </c>
      <c r="S38" t="s">
        <v>131</v>
      </c>
      <c r="T38" t="s">
        <v>132</v>
      </c>
    </row>
    <row r="39" spans="1:30" x14ac:dyDescent="0.25">
      <c r="B39" s="1" t="s">
        <v>14</v>
      </c>
      <c r="C39">
        <v>2854.076</v>
      </c>
      <c r="D39">
        <v>145.977</v>
      </c>
      <c r="E39">
        <v>91.79</v>
      </c>
      <c r="G39" s="1" t="s">
        <v>121</v>
      </c>
      <c r="H39">
        <v>2854.087</v>
      </c>
      <c r="I39">
        <v>145.95500000000001</v>
      </c>
      <c r="J39">
        <v>91.766000000000005</v>
      </c>
      <c r="L39" s="1" t="s">
        <v>56</v>
      </c>
      <c r="M39">
        <v>2854.1410000000001</v>
      </c>
      <c r="N39">
        <v>145.95500000000001</v>
      </c>
      <c r="O39">
        <v>91.766999999999996</v>
      </c>
      <c r="Q39" s="1" t="s">
        <v>56</v>
      </c>
      <c r="R39">
        <v>2854.1370000000002</v>
      </c>
      <c r="S39">
        <v>145.95500000000001</v>
      </c>
      <c r="T39">
        <v>91.766999999999996</v>
      </c>
      <c r="V39">
        <f>without_window__step_5___2_87m___2105[[#This Row],[R]]-With_window__Step_5___SA[[#This Row],[R]]</f>
        <v>-1.0999999999967258E-2</v>
      </c>
      <c r="W39">
        <f>(without_window__step_5___2_87m___2105[[#This Row],[T]]-With_window__Step_5___SA[[#This Row],[T]])*3600</f>
        <v>79.199999999968895</v>
      </c>
      <c r="X39">
        <f>(without_window__step_5___2_87m___2105[[#This Row],[P]]-With_window__Step_5___SA[[#This Row],[P]])*3600</f>
        <v>86.400000000003274</v>
      </c>
      <c r="Z39">
        <f>without_window__step_5___2_87m___2105[[#This Row],[R]]-Vacuum__step_5___SA[[#This Row],[R]]</f>
        <v>-6.500000000005457E-2</v>
      </c>
      <c r="AA39">
        <f>(without_window__step_5___2_87m___2105[[#This Row],[T]]-Vacuum__step_5___SA[[#This Row],[T]])*3600</f>
        <v>79.199999999968895</v>
      </c>
      <c r="AB39">
        <f>(without_window__step_5___2_87m___2105[[#This Row],[P]]-Vacuum__step_5___SA[[#This Row],[P]])*3600</f>
        <v>82.800000000037244</v>
      </c>
      <c r="AD39">
        <f>without_window__step_5___2_87m___2105[[#This Row],[R]]-Vacuum__step_5___test[[#This Row],[Column2]]</f>
        <v>-6.1000000000149157E-2</v>
      </c>
    </row>
    <row r="40" spans="1:30" x14ac:dyDescent="0.25">
      <c r="B40" s="1" t="s">
        <v>17</v>
      </c>
      <c r="C40">
        <v>2859.0079999999998</v>
      </c>
      <c r="D40">
        <v>143.17099999999999</v>
      </c>
      <c r="E40">
        <v>91.774000000000001</v>
      </c>
      <c r="G40" s="1" t="s">
        <v>122</v>
      </c>
      <c r="H40">
        <v>2859.0070000000001</v>
      </c>
      <c r="I40">
        <v>143.15100000000001</v>
      </c>
      <c r="J40">
        <v>91.748999999999995</v>
      </c>
      <c r="L40" s="1" t="s">
        <v>57</v>
      </c>
      <c r="M40">
        <v>2859.0619999999999</v>
      </c>
      <c r="N40">
        <v>143.15</v>
      </c>
      <c r="O40">
        <v>91.751000000000005</v>
      </c>
      <c r="Q40" s="1" t="s">
        <v>57</v>
      </c>
      <c r="R40">
        <v>2859.058</v>
      </c>
      <c r="S40">
        <v>143.15</v>
      </c>
      <c r="T40">
        <v>91.751000000000005</v>
      </c>
      <c r="V40">
        <f>without_window__step_5___2_87m___2105[[#This Row],[R]]-With_window__Step_5___SA[[#This Row],[R]]</f>
        <v>9.9999999974897946E-4</v>
      </c>
      <c r="W40">
        <f>(without_window__step_5___2_87m___2105[[#This Row],[T]]-With_window__Step_5___SA[[#This Row],[T]])*3600</f>
        <v>71.999999999934516</v>
      </c>
      <c r="X40">
        <f>(without_window__step_5___2_87m___2105[[#This Row],[P]]-With_window__Step_5___SA[[#This Row],[P]])*3600</f>
        <v>90.000000000020464</v>
      </c>
      <c r="Z40">
        <f>without_window__step_5___2_87m___2105[[#This Row],[R]]-Vacuum__step_5___SA[[#This Row],[R]]</f>
        <v>-5.4000000000087311E-2</v>
      </c>
      <c r="AA40">
        <f>(without_window__step_5___2_87m___2105[[#This Row],[T]]-Vacuum__step_5___SA[[#This Row],[T]])*3600</f>
        <v>75.599999999951706</v>
      </c>
      <c r="AB40">
        <f>(without_window__step_5___2_87m___2105[[#This Row],[P]]-Vacuum__step_5___SA[[#This Row],[P]])*3600</f>
        <v>82.799999999986085</v>
      </c>
      <c r="AD40">
        <f>without_window__step_5___2_87m___2105[[#This Row],[R]]-Vacuum__step_5___test[[#This Row],[Column2]]</f>
        <v>-5.0000000000181899E-2</v>
      </c>
    </row>
    <row r="41" spans="1:30" x14ac:dyDescent="0.25">
      <c r="B41" s="1" t="s">
        <v>20</v>
      </c>
      <c r="C41">
        <v>2858.2130000000002</v>
      </c>
      <c r="D41">
        <v>143.185</v>
      </c>
      <c r="E41">
        <v>88.97</v>
      </c>
      <c r="G41" s="1" t="s">
        <v>123</v>
      </c>
      <c r="H41">
        <v>2858.1970000000001</v>
      </c>
      <c r="I41">
        <v>143.16499999999999</v>
      </c>
      <c r="J41">
        <v>88.947000000000003</v>
      </c>
      <c r="L41" s="1" t="s">
        <v>58</v>
      </c>
      <c r="M41">
        <v>2858.2620000000002</v>
      </c>
      <c r="N41">
        <v>143.16399999999999</v>
      </c>
      <c r="O41">
        <v>88.947999999999993</v>
      </c>
      <c r="Q41" s="1" t="s">
        <v>58</v>
      </c>
      <c r="R41">
        <v>2858.2579999999998</v>
      </c>
      <c r="S41">
        <v>143.16399999999999</v>
      </c>
      <c r="T41">
        <v>88.947999999999993</v>
      </c>
      <c r="V41">
        <f>without_window__step_5___2_87m___2105[[#This Row],[R]]-With_window__Step_5___SA[[#This Row],[R]]</f>
        <v>1.6000000000076398E-2</v>
      </c>
      <c r="W41">
        <f>(without_window__step_5___2_87m___2105[[#This Row],[T]]-With_window__Step_5___SA[[#This Row],[T]])*3600</f>
        <v>72.000000000036835</v>
      </c>
      <c r="X41">
        <f>(without_window__step_5___2_87m___2105[[#This Row],[P]]-With_window__Step_5___SA[[#This Row],[P]])*3600</f>
        <v>82.799999999986085</v>
      </c>
      <c r="Z41">
        <f>without_window__step_5___2_87m___2105[[#This Row],[R]]-Vacuum__step_5___SA[[#This Row],[R]]</f>
        <v>-4.8999999999978172E-2</v>
      </c>
      <c r="AA41">
        <f>(without_window__step_5___2_87m___2105[[#This Row],[T]]-Vacuum__step_5___SA[[#This Row],[T]])*3600</f>
        <v>75.600000000054024</v>
      </c>
      <c r="AB41">
        <f>(without_window__step_5___2_87m___2105[[#This Row],[P]]-Vacuum__step_5___SA[[#This Row],[P]])*3600</f>
        <v>79.200000000020054</v>
      </c>
      <c r="AD41">
        <f>without_window__step_5___2_87m___2105[[#This Row],[R]]-Vacuum__step_5___test[[#This Row],[Column2]]</f>
        <v>-4.4999999999618012E-2</v>
      </c>
    </row>
    <row r="42" spans="1:30" x14ac:dyDescent="0.25">
      <c r="B42" s="1" t="s">
        <v>23</v>
      </c>
      <c r="C42">
        <v>2853.3209999999999</v>
      </c>
      <c r="D42">
        <v>145.99</v>
      </c>
      <c r="E42">
        <v>88.981999999999999</v>
      </c>
      <c r="G42" s="1" t="s">
        <v>124</v>
      </c>
      <c r="H42">
        <v>2853.317</v>
      </c>
      <c r="I42">
        <v>145.96799999999999</v>
      </c>
      <c r="J42">
        <v>88.96</v>
      </c>
      <c r="L42" s="1" t="s">
        <v>59</v>
      </c>
      <c r="M42">
        <v>2853.3809999999999</v>
      </c>
      <c r="N42">
        <v>145.96799999999999</v>
      </c>
      <c r="O42">
        <v>88.960999999999999</v>
      </c>
      <c r="Q42" s="1" t="s">
        <v>59</v>
      </c>
      <c r="R42">
        <v>2853.377</v>
      </c>
      <c r="S42">
        <v>145.96799999999999</v>
      </c>
      <c r="T42">
        <v>88.960999999999999</v>
      </c>
      <c r="V42">
        <f>without_window__step_5___2_87m___2105[[#This Row],[R]]-With_window__Step_5___SA[[#This Row],[R]]</f>
        <v>3.9999999999054126E-3</v>
      </c>
      <c r="W42">
        <f>(without_window__step_5___2_87m___2105[[#This Row],[T]]-With_window__Step_5___SA[[#This Row],[T]])*3600</f>
        <v>79.200000000071213</v>
      </c>
      <c r="X42">
        <f>(without_window__step_5___2_87m___2105[[#This Row],[P]]-With_window__Step_5___SA[[#This Row],[P]])*3600</f>
        <v>79.200000000020054</v>
      </c>
      <c r="Z42">
        <f>without_window__step_5___2_87m___2105[[#This Row],[R]]-Vacuum__step_5___SA[[#This Row],[R]]</f>
        <v>-5.999999999994543E-2</v>
      </c>
      <c r="AA42">
        <f>(without_window__step_5___2_87m___2105[[#This Row],[T]]-Vacuum__step_5___SA[[#This Row],[T]])*3600</f>
        <v>79.200000000071213</v>
      </c>
      <c r="AB42">
        <f>(without_window__step_5___2_87m___2105[[#This Row],[P]]-Vacuum__step_5___SA[[#This Row],[P]])*3600</f>
        <v>75.600000000002865</v>
      </c>
      <c r="AD42">
        <f>without_window__step_5___2_87m___2105[[#This Row],[R]]-Vacuum__step_5___test[[#This Row],[Column2]]</f>
        <v>-5.6000000000040018E-2</v>
      </c>
    </row>
    <row r="44" spans="1:30" x14ac:dyDescent="0.25">
      <c r="A44">
        <v>5.0999999999999996</v>
      </c>
    </row>
    <row r="45" spans="1:30" x14ac:dyDescent="0.25">
      <c r="B45" t="s">
        <v>6</v>
      </c>
      <c r="C45" t="s">
        <v>70</v>
      </c>
      <c r="D45" t="s">
        <v>71</v>
      </c>
      <c r="E45" t="s">
        <v>72</v>
      </c>
      <c r="G45" t="s">
        <v>6</v>
      </c>
      <c r="H45" t="s">
        <v>70</v>
      </c>
      <c r="I45" t="s">
        <v>71</v>
      </c>
      <c r="J45" t="s">
        <v>72</v>
      </c>
      <c r="L45" t="s">
        <v>6</v>
      </c>
      <c r="M45" t="s">
        <v>70</v>
      </c>
      <c r="N45" t="s">
        <v>71</v>
      </c>
      <c r="O45" t="s">
        <v>72</v>
      </c>
      <c r="Q45" t="s">
        <v>129</v>
      </c>
      <c r="R45" t="s">
        <v>130</v>
      </c>
      <c r="S45" t="s">
        <v>131</v>
      </c>
      <c r="T45" t="s">
        <v>132</v>
      </c>
    </row>
    <row r="46" spans="1:30" x14ac:dyDescent="0.25">
      <c r="B46" s="1" t="s">
        <v>14</v>
      </c>
      <c r="C46">
        <v>2857.6489999999999</v>
      </c>
      <c r="D46">
        <v>142.965</v>
      </c>
      <c r="E46">
        <v>91.778000000000006</v>
      </c>
      <c r="G46" s="1" t="s">
        <v>60</v>
      </c>
      <c r="H46">
        <v>2857.6469999999999</v>
      </c>
      <c r="I46">
        <v>142.94499999999999</v>
      </c>
      <c r="J46">
        <v>91.753</v>
      </c>
      <c r="L46" s="1" t="s">
        <v>61</v>
      </c>
      <c r="M46">
        <v>2857.7020000000002</v>
      </c>
      <c r="N46">
        <v>142.94399999999999</v>
      </c>
      <c r="O46">
        <v>91.754999999999995</v>
      </c>
      <c r="Q46" s="1" t="s">
        <v>61</v>
      </c>
      <c r="R46">
        <v>2857.6979999999999</v>
      </c>
      <c r="S46">
        <v>142.94399999999999</v>
      </c>
      <c r="T46">
        <v>91.754999999999995</v>
      </c>
      <c r="V46">
        <f>without_window__step_5_1___2_87m___2106[[#This Row],[R]]-With_window__step_5_1___SA[[#This Row],[R]]</f>
        <v>1.9999999999527063E-3</v>
      </c>
      <c r="W46">
        <f>(without_window__step_5_1___2_87m___2106[[#This Row],[T]]-With_window__step_5_1___SA[[#This Row],[T]])*3600</f>
        <v>72.000000000036835</v>
      </c>
      <c r="X46">
        <f>(without_window__step_5_1___2_87m___2106[[#This Row],[P]]-With_window__step_5_1___SA[[#This Row],[P]])*3600</f>
        <v>90.000000000020464</v>
      </c>
      <c r="Z46">
        <f>without_window__step_5_1___2_87m___2106[[#This Row],[R]]-Vacuum__step_5_1___SA[[#This Row],[R]]</f>
        <v>-5.3000000000338332E-2</v>
      </c>
      <c r="AA46">
        <f>(without_window__step_5_1___2_87m___2106[[#This Row],[T]]-Vacuum__step_5_1___SA[[#This Row],[T]])*3600</f>
        <v>75.600000000054024</v>
      </c>
      <c r="AB46">
        <f>(without_window__step_5_1___2_87m___2106[[#This Row],[P]]-Vacuum__step_5_1___SA[[#This Row],[P]])*3600</f>
        <v>82.800000000037244</v>
      </c>
      <c r="AD46">
        <f>without_window__step_5_1___2_87m___2106[[#This Row],[R]]-Vacuum__step5_1___test[[#This Row],[Column2]]</f>
        <v>-4.8999999999978172E-2</v>
      </c>
    </row>
    <row r="47" spans="1:30" x14ac:dyDescent="0.25">
      <c r="B47" s="1" t="s">
        <v>17</v>
      </c>
      <c r="C47">
        <v>2869.799</v>
      </c>
      <c r="D47">
        <v>140.17400000000001</v>
      </c>
      <c r="E47">
        <v>91.759</v>
      </c>
      <c r="G47" s="1" t="s">
        <v>62</v>
      </c>
      <c r="H47">
        <v>2869.7869999999998</v>
      </c>
      <c r="I47">
        <v>140.15600000000001</v>
      </c>
      <c r="J47">
        <v>91.733999999999995</v>
      </c>
      <c r="L47" s="1" t="s">
        <v>63</v>
      </c>
      <c r="M47">
        <v>2869.8449999999998</v>
      </c>
      <c r="N47">
        <v>140.15600000000001</v>
      </c>
      <c r="O47">
        <v>91.734999999999999</v>
      </c>
      <c r="Q47" s="1" t="s">
        <v>63</v>
      </c>
      <c r="R47">
        <v>2869.8409999999999</v>
      </c>
      <c r="S47">
        <v>140.15600000000001</v>
      </c>
      <c r="T47">
        <v>91.734999999999999</v>
      </c>
      <c r="V47">
        <f>without_window__step_5_1___2_87m___2106[[#This Row],[R]]-With_window__step_5_1___SA[[#This Row],[R]]</f>
        <v>1.2000000000170985E-2</v>
      </c>
      <c r="W47">
        <f>(without_window__step_5_1___2_87m___2106[[#This Row],[T]]-With_window__step_5_1___SA[[#This Row],[T]])*3600</f>
        <v>64.800000000002456</v>
      </c>
      <c r="X47">
        <f>(without_window__step_5_1___2_87m___2106[[#This Row],[P]]-With_window__step_5_1___SA[[#This Row],[P]])*3600</f>
        <v>90.000000000020464</v>
      </c>
      <c r="Z47">
        <f>without_window__step_5_1___2_87m___2106[[#This Row],[R]]-Vacuum__step_5_1___SA[[#This Row],[R]]</f>
        <v>-4.5999999999821739E-2</v>
      </c>
      <c r="AA47">
        <f>(without_window__step_5_1___2_87m___2106[[#This Row],[T]]-Vacuum__step_5_1___SA[[#This Row],[T]])*3600</f>
        <v>64.800000000002456</v>
      </c>
      <c r="AB47">
        <f>(without_window__step_5_1___2_87m___2106[[#This Row],[P]]-Vacuum__step_5_1___SA[[#This Row],[P]])*3600</f>
        <v>86.400000000003274</v>
      </c>
      <c r="AD47">
        <f>without_window__step_5_1___2_87m___2106[[#This Row],[R]]-Vacuum__step5_1___test[[#This Row],[Column2]]</f>
        <v>-4.1999999999916326E-2</v>
      </c>
    </row>
    <row r="48" spans="1:30" x14ac:dyDescent="0.25">
      <c r="B48" s="1" t="s">
        <v>20</v>
      </c>
      <c r="C48">
        <v>2868.837</v>
      </c>
      <c r="D48">
        <v>140.18700000000001</v>
      </c>
      <c r="E48">
        <v>88.965000000000003</v>
      </c>
      <c r="G48" s="1" t="s">
        <v>64</v>
      </c>
      <c r="H48">
        <v>2868.817</v>
      </c>
      <c r="I48">
        <v>140.16900000000001</v>
      </c>
      <c r="J48">
        <v>88.941000000000003</v>
      </c>
      <c r="L48" s="1" t="s">
        <v>65</v>
      </c>
      <c r="M48">
        <v>2868.875</v>
      </c>
      <c r="N48">
        <v>140.16800000000001</v>
      </c>
      <c r="O48">
        <v>88.942999999999998</v>
      </c>
      <c r="Q48" s="1" t="s">
        <v>65</v>
      </c>
      <c r="R48">
        <v>2868.8710000000001</v>
      </c>
      <c r="S48">
        <v>140.16800000000001</v>
      </c>
      <c r="T48">
        <v>88.942999999999998</v>
      </c>
      <c r="V48">
        <f>without_window__step_5_1___2_87m___2106[[#This Row],[R]]-With_window__step_5_1___SA[[#This Row],[R]]</f>
        <v>1.999999999998181E-2</v>
      </c>
      <c r="W48">
        <f>(without_window__step_5_1___2_87m___2106[[#This Row],[T]]-With_window__step_5_1___SA[[#This Row],[T]])*3600</f>
        <v>64.800000000002456</v>
      </c>
      <c r="X48">
        <f>(without_window__step_5_1___2_87m___2106[[#This Row],[P]]-With_window__step_5_1___SA[[#This Row],[P]])*3600</f>
        <v>86.400000000003274</v>
      </c>
      <c r="Z48">
        <f>without_window__step_5_1___2_87m___2106[[#This Row],[R]]-Vacuum__step_5_1___SA[[#This Row],[R]]</f>
        <v>-3.8000000000010914E-2</v>
      </c>
      <c r="AA48">
        <f>(without_window__step_5_1___2_87m___2106[[#This Row],[T]]-Vacuum__step_5_1___SA[[#This Row],[T]])*3600</f>
        <v>68.400000000019645</v>
      </c>
      <c r="AB48">
        <f>(without_window__step_5_1___2_87m___2106[[#This Row],[P]]-Vacuum__step_5_1___SA[[#This Row],[P]])*3600</f>
        <v>79.200000000020054</v>
      </c>
      <c r="AD48">
        <f>without_window__step_5_1___2_87m___2106[[#This Row],[R]]-Vacuum__step5_1___test[[#This Row],[Column2]]</f>
        <v>-3.4000000000105501E-2</v>
      </c>
    </row>
    <row r="49" spans="2:30" x14ac:dyDescent="0.25">
      <c r="B49" s="1" t="s">
        <v>23</v>
      </c>
      <c r="C49">
        <v>2856.7260000000001</v>
      </c>
      <c r="D49">
        <v>142.976</v>
      </c>
      <c r="E49">
        <v>88.974000000000004</v>
      </c>
      <c r="G49" s="1" t="s">
        <v>66</v>
      </c>
      <c r="H49">
        <v>2856.7069999999999</v>
      </c>
      <c r="I49">
        <v>142.95699999999999</v>
      </c>
      <c r="J49">
        <v>88.95</v>
      </c>
      <c r="L49" s="1" t="s">
        <v>67</v>
      </c>
      <c r="M49">
        <v>2856.7719999999999</v>
      </c>
      <c r="N49">
        <v>142.95599999999999</v>
      </c>
      <c r="O49">
        <v>88.951999999999998</v>
      </c>
      <c r="Q49" s="1" t="s">
        <v>67</v>
      </c>
      <c r="R49">
        <v>2856.768</v>
      </c>
      <c r="S49">
        <v>142.95599999999999</v>
      </c>
      <c r="T49">
        <v>88.951999999999998</v>
      </c>
      <c r="V49">
        <f>without_window__step_5_1___2_87m___2106[[#This Row],[R]]-With_window__step_5_1___SA[[#This Row],[R]]</f>
        <v>1.9000000000232831E-2</v>
      </c>
      <c r="W49">
        <f>(without_window__step_5_1___2_87m___2106[[#This Row],[T]]-With_window__step_5_1___SA[[#This Row],[T]])*3600</f>
        <v>68.400000000019645</v>
      </c>
      <c r="X49">
        <f>(without_window__step_5_1___2_87m___2106[[#This Row],[P]]-With_window__step_5_1___SA[[#This Row],[P]])*3600</f>
        <v>86.400000000003274</v>
      </c>
      <c r="Z49">
        <f>without_window__step_5_1___2_87m___2106[[#This Row],[R]]-Vacuum__step_5_1___SA[[#This Row],[R]]</f>
        <v>-4.5999999999821739E-2</v>
      </c>
      <c r="AA49">
        <f>(without_window__step_5_1___2_87m___2106[[#This Row],[T]]-Vacuum__step_5_1___SA[[#This Row],[T]])*3600</f>
        <v>72.000000000036835</v>
      </c>
      <c r="AB49">
        <f>(without_window__step_5_1___2_87m___2106[[#This Row],[P]]-Vacuum__step_5_1___SA[[#This Row],[P]])*3600</f>
        <v>79.200000000020054</v>
      </c>
      <c r="AD49">
        <f>without_window__step_5_1___2_87m___2106[[#This Row],[R]]-Vacuum__step5_1___test[[#This Row],[Column2]]</f>
        <v>-4.1999999999916326E-2</v>
      </c>
    </row>
    <row r="51" spans="2:30" x14ac:dyDescent="0.25">
      <c r="AD51">
        <f>_xlfn.STDEV.P(AD4:AD7,AD11:AD14,AD18:AD21,AD25:AD28,AD32:AD35,AD39:AD42,AD46:AD49)</f>
        <v>1.4775660833349438E-2</v>
      </c>
    </row>
  </sheetData>
  <pageMargins left="0.7" right="0.7" top="0.75" bottom="0.75" header="0.3" footer="0.3"/>
  <drawing r:id="rId1"/>
  <tableParts count="2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B4190-AAC0-48AB-AE09-298CE0DFAC87}">
  <dimension ref="A1:Y43"/>
  <sheetViews>
    <sheetView topLeftCell="B1" workbookViewId="0">
      <selection activeCell="P9" sqref="P9"/>
    </sheetView>
  </sheetViews>
  <sheetFormatPr defaultRowHeight="15" x14ac:dyDescent="0.25"/>
  <cols>
    <col min="2" max="5" width="11.140625" bestFit="1" customWidth="1"/>
    <col min="7" max="7" width="24.5703125" bestFit="1" customWidth="1"/>
    <col min="8" max="10" width="11.140625" bestFit="1" customWidth="1"/>
    <col min="12" max="12" width="19.7109375" bestFit="1" customWidth="1"/>
    <col min="13" max="15" width="11.140625" bestFit="1" customWidth="1"/>
  </cols>
  <sheetData>
    <row r="1" spans="1:25" x14ac:dyDescent="0.25">
      <c r="A1" t="s">
        <v>0</v>
      </c>
      <c r="B1" t="s">
        <v>1</v>
      </c>
      <c r="G1" t="s">
        <v>2</v>
      </c>
      <c r="L1" t="s">
        <v>3</v>
      </c>
      <c r="Q1" t="s">
        <v>76</v>
      </c>
      <c r="V1" t="s">
        <v>77</v>
      </c>
    </row>
    <row r="2" spans="1:25" x14ac:dyDescent="0.25">
      <c r="A2">
        <v>1</v>
      </c>
    </row>
    <row r="3" spans="1:25" x14ac:dyDescent="0.25">
      <c r="B3" t="s">
        <v>6</v>
      </c>
      <c r="C3" t="s">
        <v>7</v>
      </c>
      <c r="D3" t="s">
        <v>8</v>
      </c>
      <c r="E3" t="s">
        <v>9</v>
      </c>
      <c r="G3" t="s">
        <v>78</v>
      </c>
      <c r="H3" t="s">
        <v>7</v>
      </c>
      <c r="I3" t="s">
        <v>8</v>
      </c>
      <c r="J3" t="s">
        <v>9</v>
      </c>
      <c r="L3" t="s">
        <v>6</v>
      </c>
      <c r="M3" t="s">
        <v>7</v>
      </c>
      <c r="N3" t="s">
        <v>8</v>
      </c>
      <c r="O3" t="s">
        <v>9</v>
      </c>
      <c r="Q3" t="s">
        <v>10</v>
      </c>
      <c r="R3" t="s">
        <v>11</v>
      </c>
      <c r="S3" t="s">
        <v>12</v>
      </c>
      <c r="T3" t="s">
        <v>13</v>
      </c>
      <c r="V3" t="s">
        <v>10</v>
      </c>
      <c r="W3" t="s">
        <v>11</v>
      </c>
      <c r="X3" t="s">
        <v>12</v>
      </c>
      <c r="Y3" t="s">
        <v>13</v>
      </c>
    </row>
    <row r="4" spans="1:25" x14ac:dyDescent="0.25">
      <c r="B4" s="1" t="s">
        <v>14</v>
      </c>
      <c r="C4">
        <v>0</v>
      </c>
      <c r="D4">
        <v>0</v>
      </c>
      <c r="E4">
        <v>0</v>
      </c>
      <c r="G4" s="1" t="s">
        <v>15</v>
      </c>
      <c r="H4">
        <v>0.55400000000000005</v>
      </c>
      <c r="I4">
        <v>0.65400000000000003</v>
      </c>
      <c r="J4">
        <v>-0.18099999999999999</v>
      </c>
      <c r="L4" s="1" t="s">
        <v>16</v>
      </c>
      <c r="M4">
        <v>0.51200000000000001</v>
      </c>
      <c r="N4">
        <v>0.59399999999999997</v>
      </c>
      <c r="O4">
        <v>-0.20399999999999999</v>
      </c>
      <c r="Q4">
        <f>without_window__step_1___1_7m___5[[#This Row],[X]]-With_window__step_1___corrected___4[[#This Row],[X]]</f>
        <v>-0.55400000000000005</v>
      </c>
      <c r="R4">
        <f>without_window__step_1___1_7m___5[[#This Row],[Y]]-With_window__step_1___corrected___4[[#This Row],[Y]]</f>
        <v>-0.65400000000000003</v>
      </c>
      <c r="S4">
        <f>without_window__step_1___1_7m___5[[#This Row],[Z]]-With_window__step_1___corrected___4[[#This Row],[Z]]</f>
        <v>0.18099999999999999</v>
      </c>
      <c r="T4">
        <f>SQRT((SUMSQ(Q4,R4,S4)))</f>
        <v>0.87600970314260806</v>
      </c>
      <c r="V4">
        <f>without_window__step_1___1_7m___5[[#This Row],[X]]-vacuum__step_1___corrected___4[[#This Row],[X]]</f>
        <v>-0.51200000000000001</v>
      </c>
      <c r="W4">
        <f>without_window__step_1___1_7m___5[[#This Row],[Y]]-vacuum__step_1___corrected___4[[#This Row],[Y]]</f>
        <v>-0.59399999999999997</v>
      </c>
      <c r="X4">
        <f>without_window__step_1___1_7m___5[[#This Row],[Z]]-vacuum__step_1___corrected___4[[#This Row],[Z]]</f>
        <v>0.20399999999999999</v>
      </c>
      <c r="Y4">
        <f>SQRT(SUMSQ(V4,W4,X4))</f>
        <v>0.81030611499605498</v>
      </c>
    </row>
    <row r="5" spans="1:25" x14ac:dyDescent="0.25">
      <c r="B5" s="1" t="s">
        <v>17</v>
      </c>
      <c r="C5">
        <v>139.91900000000001</v>
      </c>
      <c r="D5">
        <v>-1.9E-2</v>
      </c>
      <c r="E5">
        <v>0</v>
      </c>
      <c r="G5" s="1" t="s">
        <v>18</v>
      </c>
      <c r="H5">
        <v>140.392</v>
      </c>
      <c r="I5">
        <v>0.64700000000000002</v>
      </c>
      <c r="J5">
        <v>-0.11899999999999999</v>
      </c>
      <c r="L5" s="1" t="s">
        <v>19</v>
      </c>
      <c r="M5">
        <v>140.345</v>
      </c>
      <c r="N5">
        <v>0.59899999999999998</v>
      </c>
      <c r="O5">
        <v>-0.13800000000000001</v>
      </c>
      <c r="Q5">
        <f>without_window__step_1___1_7m___5[[#This Row],[X]]-With_window__step_1___corrected___4[[#This Row],[X]]</f>
        <v>-0.47299999999998477</v>
      </c>
      <c r="R5">
        <f>without_window__step_1___1_7m___5[[#This Row],[Y]]-With_window__step_1___corrected___4[[#This Row],[Y]]</f>
        <v>-0.66600000000000004</v>
      </c>
      <c r="S5">
        <f>without_window__step_1___1_7m___5[[#This Row],[Z]]-With_window__step_1___corrected___4[[#This Row],[Z]]</f>
        <v>0.11899999999999999</v>
      </c>
      <c r="T5">
        <f t="shared" ref="T5:T7" si="0">SQRT((SUMSQ(Q5,R5,S5)))</f>
        <v>0.82549742579852159</v>
      </c>
      <c r="V5">
        <f>without_window__step_1___1_7m___5[[#This Row],[X]]-vacuum__step_1___corrected___4[[#This Row],[X]]</f>
        <v>-0.42599999999998772</v>
      </c>
      <c r="W5">
        <f>without_window__step_1___1_7m___5[[#This Row],[Y]]-vacuum__step_1___corrected___4[[#This Row],[Y]]</f>
        <v>-0.61799999999999999</v>
      </c>
      <c r="X5">
        <f>without_window__step_1___1_7m___5[[#This Row],[Z]]-vacuum__step_1___corrected___4[[#This Row],[Z]]</f>
        <v>0.13800000000000001</v>
      </c>
      <c r="Y5">
        <f t="shared" ref="Y5:Y7" si="1">SQRT(SUMSQ(V5,W5,X5))</f>
        <v>0.76318018842209823</v>
      </c>
    </row>
    <row r="6" spans="1:25" x14ac:dyDescent="0.25">
      <c r="B6" s="1" t="s">
        <v>20</v>
      </c>
      <c r="C6">
        <v>139.881</v>
      </c>
      <c r="D6">
        <v>139.88900000000001</v>
      </c>
      <c r="E6">
        <v>4.1000000000000002E-2</v>
      </c>
      <c r="G6" s="1" t="s">
        <v>21</v>
      </c>
      <c r="H6">
        <v>140.34800000000001</v>
      </c>
      <c r="I6">
        <v>140.46899999999999</v>
      </c>
      <c r="J6">
        <v>-1.2E-2</v>
      </c>
      <c r="L6" s="1" t="s">
        <v>22</v>
      </c>
      <c r="M6">
        <v>140.291</v>
      </c>
      <c r="N6">
        <v>140.416</v>
      </c>
      <c r="O6">
        <v>-2.5000000000000001E-2</v>
      </c>
      <c r="Q6">
        <f>without_window__step_1___1_7m___5[[#This Row],[X]]-With_window__step_1___corrected___4[[#This Row],[X]]</f>
        <v>-0.46700000000001296</v>
      </c>
      <c r="R6">
        <f>without_window__step_1___1_7m___5[[#This Row],[Y]]-With_window__step_1___corrected___4[[#This Row],[Y]]</f>
        <v>-0.57999999999998408</v>
      </c>
      <c r="S6">
        <f>without_window__step_1___1_7m___5[[#This Row],[Z]]-With_window__step_1___corrected___4[[#This Row],[Z]]</f>
        <v>5.3000000000000005E-2</v>
      </c>
      <c r="T6">
        <f t="shared" si="0"/>
        <v>0.74652394469299754</v>
      </c>
      <c r="V6">
        <f>without_window__step_1___1_7m___5[[#This Row],[X]]-vacuum__step_1___corrected___4[[#This Row],[X]]</f>
        <v>-0.40999999999999659</v>
      </c>
      <c r="W6">
        <f>without_window__step_1___1_7m___5[[#This Row],[Y]]-vacuum__step_1___corrected___4[[#This Row],[Y]]</f>
        <v>-0.52699999999998681</v>
      </c>
      <c r="X6">
        <f>without_window__step_1___1_7m___5[[#This Row],[Z]]-vacuum__step_1___corrected___4[[#This Row],[Z]]</f>
        <v>6.6000000000000003E-2</v>
      </c>
      <c r="Y6">
        <f t="shared" si="1"/>
        <v>0.67095826993933338</v>
      </c>
    </row>
    <row r="7" spans="1:25" x14ac:dyDescent="0.25">
      <c r="B7" s="1" t="s">
        <v>23</v>
      </c>
      <c r="C7">
        <v>0</v>
      </c>
      <c r="D7">
        <v>139.82499999999999</v>
      </c>
      <c r="E7">
        <v>0</v>
      </c>
      <c r="G7" s="1" t="s">
        <v>24</v>
      </c>
      <c r="H7">
        <v>0.56299999999999994</v>
      </c>
      <c r="I7">
        <v>140.4</v>
      </c>
      <c r="J7">
        <v>-0.1</v>
      </c>
      <c r="L7" s="1" t="s">
        <v>25</v>
      </c>
      <c r="M7">
        <v>0.51100000000000001</v>
      </c>
      <c r="N7">
        <v>140.34</v>
      </c>
      <c r="O7">
        <v>-0.127</v>
      </c>
      <c r="Q7">
        <f>without_window__step_1___1_7m___5[[#This Row],[X]]-With_window__step_1___corrected___4[[#This Row],[X]]</f>
        <v>-0.56299999999999994</v>
      </c>
      <c r="R7">
        <f>without_window__step_1___1_7m___5[[#This Row],[Y]]-With_window__step_1___corrected___4[[#This Row],[Y]]</f>
        <v>-0.57500000000001705</v>
      </c>
      <c r="S7">
        <f>without_window__step_1___1_7m___5[[#This Row],[Z]]-With_window__step_1___corrected___4[[#This Row],[Z]]</f>
        <v>0.1</v>
      </c>
      <c r="T7">
        <f t="shared" si="0"/>
        <v>0.81092169782292767</v>
      </c>
      <c r="V7">
        <f>without_window__step_1___1_7m___5[[#This Row],[X]]-vacuum__step_1___corrected___4[[#This Row],[X]]</f>
        <v>-0.51100000000000001</v>
      </c>
      <c r="W7">
        <f>without_window__step_1___1_7m___5[[#This Row],[Y]]-vacuum__step_1___corrected___4[[#This Row],[Y]]</f>
        <v>-0.51500000000001478</v>
      </c>
      <c r="X7">
        <f>without_window__step_1___1_7m___5[[#This Row],[Z]]-vacuum__step_1___corrected___4[[#This Row],[Z]]</f>
        <v>0.127</v>
      </c>
      <c r="Y7">
        <f t="shared" si="1"/>
        <v>0.73652902183146529</v>
      </c>
    </row>
    <row r="8" spans="1:25" x14ac:dyDescent="0.25">
      <c r="A8">
        <v>2</v>
      </c>
    </row>
    <row r="9" spans="1:25" x14ac:dyDescent="0.25">
      <c r="B9" t="s">
        <v>6</v>
      </c>
      <c r="C9" t="s">
        <v>7</v>
      </c>
      <c r="D9" t="s">
        <v>8</v>
      </c>
      <c r="E9" t="s">
        <v>9</v>
      </c>
      <c r="G9" t="s">
        <v>6</v>
      </c>
      <c r="H9" t="s">
        <v>7</v>
      </c>
      <c r="I9" t="s">
        <v>8</v>
      </c>
      <c r="J9" t="s">
        <v>9</v>
      </c>
      <c r="L9" t="s">
        <v>6</v>
      </c>
      <c r="M9" t="s">
        <v>7</v>
      </c>
      <c r="N9" t="s">
        <v>8</v>
      </c>
      <c r="O9" t="s">
        <v>9</v>
      </c>
    </row>
    <row r="10" spans="1:25" x14ac:dyDescent="0.25">
      <c r="B10" s="1" t="s">
        <v>14</v>
      </c>
      <c r="C10">
        <v>3.1909999999999998</v>
      </c>
      <c r="D10">
        <v>0.49399999999999999</v>
      </c>
      <c r="E10">
        <v>-292.03199999999998</v>
      </c>
      <c r="G10" s="1" t="s">
        <v>27</v>
      </c>
      <c r="H10">
        <v>3.88</v>
      </c>
      <c r="I10">
        <v>1.2929999999999999</v>
      </c>
      <c r="J10">
        <v>-292.17500000000001</v>
      </c>
      <c r="L10" s="1" t="s">
        <v>28</v>
      </c>
      <c r="M10">
        <v>3.863</v>
      </c>
      <c r="N10">
        <v>1.2430000000000001</v>
      </c>
      <c r="O10">
        <v>-292.22800000000001</v>
      </c>
      <c r="Q10">
        <f>without_window__step_2___1_99m___3[[#This Row],[X]]-with_window__step_2___corrected___4[[#This Row],[X]]</f>
        <v>-0.68900000000000006</v>
      </c>
      <c r="R10">
        <f>without_window__step_2___1_99m___3[[#This Row],[Y]]-with_window__step_2___corrected___4[[#This Row],[Y]]</f>
        <v>-0.79899999999999993</v>
      </c>
      <c r="S10">
        <f>without_window__step_2___1_99m___3[[#This Row],[Z]]-with_window__step_2___corrected___4[[#This Row],[Z]]</f>
        <v>0.1430000000000291</v>
      </c>
      <c r="T10">
        <f>SQRT(SUMSQ(Q10,R10,S10))</f>
        <v>1.06469291347318</v>
      </c>
      <c r="V10">
        <f>without_window__step_2___1_99m___3[[#This Row],[X]]-vacuum__step_2___corrected___4[[#This Row],[X]]</f>
        <v>-0.67200000000000015</v>
      </c>
      <c r="W10">
        <f>without_window__step_2___1_99m___3[[#This Row],[Y]]-vacuum__step_2___corrected___4[[#This Row],[Y]]</f>
        <v>-0.74900000000000011</v>
      </c>
      <c r="X10">
        <f>without_window__step_2___1_99m___3[[#This Row],[Z]]-vacuum__step_2___corrected___4[[#This Row],[Z]]</f>
        <v>0.19600000000002638</v>
      </c>
      <c r="Y10">
        <f>SQRT(SUMSQ(V10,W10,X10))</f>
        <v>1.0251833982268788</v>
      </c>
    </row>
    <row r="11" spans="1:25" x14ac:dyDescent="0.25">
      <c r="B11" s="1" t="s">
        <v>17</v>
      </c>
      <c r="C11">
        <v>143.119</v>
      </c>
      <c r="D11">
        <v>0.439</v>
      </c>
      <c r="E11">
        <v>-292.01600000000002</v>
      </c>
      <c r="G11" s="1" t="s">
        <v>29</v>
      </c>
      <c r="H11">
        <v>143.715</v>
      </c>
      <c r="I11">
        <v>1.2490000000000001</v>
      </c>
      <c r="J11">
        <v>-292.13</v>
      </c>
      <c r="L11" s="1" t="s">
        <v>30</v>
      </c>
      <c r="M11">
        <v>143.697</v>
      </c>
      <c r="N11">
        <v>1.206</v>
      </c>
      <c r="O11">
        <v>-292.14600000000002</v>
      </c>
      <c r="Q11">
        <f>without_window__step_2___1_99m___3[[#This Row],[X]]-with_window__step_2___corrected___4[[#This Row],[X]]</f>
        <v>-0.59600000000000364</v>
      </c>
      <c r="R11">
        <f>without_window__step_2___1_99m___3[[#This Row],[Y]]-with_window__step_2___corrected___4[[#This Row],[Y]]</f>
        <v>-0.81</v>
      </c>
      <c r="S11">
        <f>without_window__step_2___1_99m___3[[#This Row],[Z]]-with_window__step_2___corrected___4[[#This Row],[Z]]</f>
        <v>0.1139999999999759</v>
      </c>
      <c r="T11">
        <f t="shared" ref="T11:T13" si="2">SQRT(SUMSQ(Q11,R11,S11))</f>
        <v>1.0120830005488675</v>
      </c>
      <c r="V11">
        <f>without_window__step_2___1_99m___3[[#This Row],[X]]-vacuum__step_2___corrected___4[[#This Row],[X]]</f>
        <v>-0.57800000000000296</v>
      </c>
      <c r="W11">
        <f>without_window__step_2___1_99m___3[[#This Row],[Y]]-vacuum__step_2___corrected___4[[#This Row],[Y]]</f>
        <v>-0.7669999999999999</v>
      </c>
      <c r="X11">
        <f>without_window__step_2___1_99m___3[[#This Row],[Z]]-vacuum__step_2___corrected___4[[#This Row],[Z]]</f>
        <v>0.12999999999999545</v>
      </c>
      <c r="Y11">
        <f t="shared" ref="Y11:Y13" si="3">SQRT(SUMSQ(V11,W11,X11))</f>
        <v>0.96916097734071094</v>
      </c>
    </row>
    <row r="12" spans="1:25" x14ac:dyDescent="0.25">
      <c r="B12" s="1" t="s">
        <v>20</v>
      </c>
      <c r="C12">
        <v>143.113</v>
      </c>
      <c r="D12">
        <v>140.351</v>
      </c>
      <c r="E12">
        <v>-292.02</v>
      </c>
      <c r="G12" s="1" t="s">
        <v>31</v>
      </c>
      <c r="H12">
        <v>143.70599999999999</v>
      </c>
      <c r="I12">
        <v>141.066</v>
      </c>
      <c r="J12">
        <v>-292.06700000000001</v>
      </c>
      <c r="L12" s="1" t="s">
        <v>32</v>
      </c>
      <c r="M12">
        <v>143.68100000000001</v>
      </c>
      <c r="N12">
        <v>141.02500000000001</v>
      </c>
      <c r="O12">
        <v>-292.08600000000001</v>
      </c>
      <c r="Q12">
        <f>without_window__step_2___1_99m___3[[#This Row],[X]]-with_window__step_2___corrected___4[[#This Row],[X]]</f>
        <v>-0.59299999999998931</v>
      </c>
      <c r="R12">
        <f>without_window__step_2___1_99m___3[[#This Row],[Y]]-with_window__step_2___corrected___4[[#This Row],[Y]]</f>
        <v>-0.71500000000000341</v>
      </c>
      <c r="S12">
        <f>without_window__step_2___1_99m___3[[#This Row],[Z]]-with_window__step_2___corrected___4[[#This Row],[Z]]</f>
        <v>4.7000000000025466E-2</v>
      </c>
      <c r="T12">
        <f t="shared" si="2"/>
        <v>0.93009838189300953</v>
      </c>
      <c r="V12">
        <f>without_window__step_2___1_99m___3[[#This Row],[X]]-vacuum__step_2___corrected___4[[#This Row],[X]]</f>
        <v>-0.56800000000001205</v>
      </c>
      <c r="W12">
        <f>without_window__step_2___1_99m___3[[#This Row],[Y]]-vacuum__step_2___corrected___4[[#This Row],[Y]]</f>
        <v>-0.67400000000000659</v>
      </c>
      <c r="X12">
        <f>without_window__step_2___1_99m___3[[#This Row],[Z]]-vacuum__step_2___corrected___4[[#This Row],[Z]]</f>
        <v>6.6000000000030923E-2</v>
      </c>
      <c r="Y12">
        <f t="shared" si="3"/>
        <v>0.88388687058923254</v>
      </c>
    </row>
    <row r="13" spans="1:25" x14ac:dyDescent="0.25">
      <c r="B13" s="1" t="s">
        <v>23</v>
      </c>
      <c r="C13">
        <v>3.2280000000000002</v>
      </c>
      <c r="D13">
        <v>140.321</v>
      </c>
      <c r="E13">
        <v>-292.07600000000002</v>
      </c>
      <c r="G13" s="1" t="s">
        <v>33</v>
      </c>
      <c r="H13">
        <v>3.923</v>
      </c>
      <c r="I13">
        <v>141.03100000000001</v>
      </c>
      <c r="J13">
        <v>-292.17500000000001</v>
      </c>
      <c r="L13" s="1" t="s">
        <v>34</v>
      </c>
      <c r="M13">
        <v>3.9060000000000001</v>
      </c>
      <c r="N13">
        <v>140.983</v>
      </c>
      <c r="O13">
        <v>-292.2</v>
      </c>
      <c r="Q13">
        <f>without_window__step_2___1_99m___3[[#This Row],[X]]-with_window__step_2___corrected___4[[#This Row],[X]]</f>
        <v>-0.69499999999999984</v>
      </c>
      <c r="R13">
        <f>without_window__step_2___1_99m___3[[#This Row],[Y]]-with_window__step_2___corrected___4[[#This Row],[Y]]</f>
        <v>-0.71000000000000796</v>
      </c>
      <c r="S13">
        <f>without_window__step_2___1_99m___3[[#This Row],[Z]]-with_window__step_2___corrected___4[[#This Row],[Z]]</f>
        <v>9.8999999999989541E-2</v>
      </c>
      <c r="T13">
        <f t="shared" si="2"/>
        <v>0.99846181699652847</v>
      </c>
      <c r="V13">
        <f>without_window__step_2___1_99m___3[[#This Row],[X]]-vacuum__step_2___corrected___4[[#This Row],[X]]</f>
        <v>-0.67799999999999994</v>
      </c>
      <c r="W13">
        <f>without_window__step_2___1_99m___3[[#This Row],[Y]]-vacuum__step_2___corrected___4[[#This Row],[Y]]</f>
        <v>-0.66200000000000614</v>
      </c>
      <c r="X13">
        <f>without_window__step_2___1_99m___3[[#This Row],[Z]]-vacuum__step_2___corrected___4[[#This Row],[Z]]</f>
        <v>0.1239999999999668</v>
      </c>
      <c r="Y13">
        <f t="shared" si="3"/>
        <v>0.95566939890319802</v>
      </c>
    </row>
    <row r="14" spans="1:25" x14ac:dyDescent="0.25">
      <c r="A14">
        <v>3</v>
      </c>
    </row>
    <row r="15" spans="1:25" x14ac:dyDescent="0.25">
      <c r="B15" t="s">
        <v>6</v>
      </c>
      <c r="C15" t="s">
        <v>7</v>
      </c>
      <c r="D15" t="s">
        <v>8</v>
      </c>
      <c r="E15" t="s">
        <v>9</v>
      </c>
      <c r="G15" t="s">
        <v>6</v>
      </c>
      <c r="H15" t="s">
        <v>7</v>
      </c>
      <c r="I15" t="s">
        <v>8</v>
      </c>
      <c r="J15" t="s">
        <v>9</v>
      </c>
      <c r="L15" t="s">
        <v>6</v>
      </c>
      <c r="M15" t="s">
        <v>7</v>
      </c>
      <c r="N15" t="s">
        <v>8</v>
      </c>
      <c r="O15" t="s">
        <v>9</v>
      </c>
    </row>
    <row r="16" spans="1:25" x14ac:dyDescent="0.25">
      <c r="B16" s="1" t="s">
        <v>14</v>
      </c>
      <c r="C16">
        <v>6.1109999999999998</v>
      </c>
      <c r="D16">
        <v>0.91300000000000003</v>
      </c>
      <c r="E16">
        <v>-584.55499999999995</v>
      </c>
      <c r="G16" s="1" t="s">
        <v>14</v>
      </c>
      <c r="H16">
        <v>6.9290000000000003</v>
      </c>
      <c r="I16">
        <v>1.849</v>
      </c>
      <c r="J16">
        <v>-584.71600000000001</v>
      </c>
      <c r="L16" s="1" t="s">
        <v>35</v>
      </c>
      <c r="M16">
        <v>6.9550000000000001</v>
      </c>
      <c r="N16">
        <v>1.7949999999999999</v>
      </c>
      <c r="O16">
        <v>-584.75800000000004</v>
      </c>
      <c r="Q16">
        <f>without_window__step_3___2_28m___3[[#This Row],[X]]-with_window__step_3___corrected___4[[#This Row],[X]]</f>
        <v>-0.8180000000000005</v>
      </c>
      <c r="R16">
        <f>without_window__step_3___2_28m___3[[#This Row],[Y]]-with_window__step_3___corrected___4[[#This Row],[Y]]</f>
        <v>-0.93599999999999994</v>
      </c>
      <c r="S16">
        <f>without_window__step_3___2_28m___3[[#This Row],[Z]]-with_window__step_3___corrected___4[[#This Row],[Z]]</f>
        <v>0.16100000000005821</v>
      </c>
      <c r="T16">
        <f>SQRT(SUMSQ(Q16,R16,S16))</f>
        <v>1.2534516344877529</v>
      </c>
      <c r="V16">
        <f>without_window__step_3___2_28m___3[[#This Row],[X]]-vacuum__step_3___corrected___3[[#This Row],[X]]</f>
        <v>-0.84400000000000031</v>
      </c>
      <c r="W16">
        <f>without_window__step_3___2_28m___3[[#This Row],[Y]]-vacuum__step_3___corrected___3[[#This Row],[Y]]</f>
        <v>-0.8819999999999999</v>
      </c>
      <c r="X16">
        <f>without_window__step_3___2_28m___3[[#This Row],[Z]]-vacuum__step_3___corrected___3[[#This Row],[Z]]</f>
        <v>0.20300000000008822</v>
      </c>
      <c r="Y16">
        <f>SQRT(SUMSQ(V16,W16,X16))</f>
        <v>1.2375253532756556</v>
      </c>
    </row>
    <row r="17" spans="1:25" x14ac:dyDescent="0.25">
      <c r="B17" s="1" t="s">
        <v>17</v>
      </c>
      <c r="C17">
        <v>146.04300000000001</v>
      </c>
      <c r="D17">
        <v>0.89</v>
      </c>
      <c r="E17">
        <v>-584.64099999999996</v>
      </c>
      <c r="G17" s="1" t="s">
        <v>17</v>
      </c>
      <c r="H17">
        <v>146.755</v>
      </c>
      <c r="I17">
        <v>1.8440000000000001</v>
      </c>
      <c r="J17">
        <v>-584.75300000000004</v>
      </c>
      <c r="L17" s="1" t="s">
        <v>36</v>
      </c>
      <c r="M17">
        <v>146.78399999999999</v>
      </c>
      <c r="N17">
        <v>1.782</v>
      </c>
      <c r="O17">
        <v>-584.78499999999997</v>
      </c>
      <c r="Q17">
        <f>without_window__step_3___2_28m___3[[#This Row],[X]]-with_window__step_3___corrected___4[[#This Row],[X]]</f>
        <v>-0.71199999999998909</v>
      </c>
      <c r="R17">
        <f>without_window__step_3___2_28m___3[[#This Row],[Y]]-with_window__step_3___corrected___4[[#This Row],[Y]]</f>
        <v>-0.95400000000000007</v>
      </c>
      <c r="S17">
        <f>without_window__step_3___2_28m___3[[#This Row],[Z]]-with_window__step_3___corrected___4[[#This Row],[Z]]</f>
        <v>0.11200000000008004</v>
      </c>
      <c r="T17">
        <f t="shared" ref="T17:T19" si="4">SQRT(SUMSQ(Q17,R17,S17))</f>
        <v>1.1956604869276239</v>
      </c>
      <c r="V17">
        <f>without_window__step_3___2_28m___3[[#This Row],[X]]-vacuum__step_3___corrected___3[[#This Row],[X]]</f>
        <v>-0.74099999999998545</v>
      </c>
      <c r="W17">
        <f>without_window__step_3___2_28m___3[[#This Row],[Y]]-vacuum__step_3___corrected___3[[#This Row],[Y]]</f>
        <v>-0.89200000000000002</v>
      </c>
      <c r="X17">
        <f>without_window__step_3___2_28m___3[[#This Row],[Z]]-vacuum__step_3___corrected___3[[#This Row],[Z]]</f>
        <v>0.14400000000000546</v>
      </c>
      <c r="Y17">
        <f t="shared" ref="Y17:Y19" si="5">SQRT(SUMSQ(V17,W17,X17))</f>
        <v>1.1685379754205594</v>
      </c>
    </row>
    <row r="18" spans="1:25" x14ac:dyDescent="0.25">
      <c r="B18" s="1" t="s">
        <v>20</v>
      </c>
      <c r="C18">
        <v>145.99799999999999</v>
      </c>
      <c r="D18">
        <v>140.80600000000001</v>
      </c>
      <c r="E18">
        <v>-584.91300000000001</v>
      </c>
      <c r="G18" s="1" t="s">
        <v>20</v>
      </c>
      <c r="H18">
        <v>146.71799999999999</v>
      </c>
      <c r="I18">
        <v>141.66399999999999</v>
      </c>
      <c r="J18">
        <v>-584.94899999999996</v>
      </c>
      <c r="L18" s="1" t="s">
        <v>37</v>
      </c>
      <c r="M18">
        <v>146.745</v>
      </c>
      <c r="N18">
        <v>141.602</v>
      </c>
      <c r="O18">
        <v>-584.99400000000003</v>
      </c>
      <c r="Q18">
        <f>without_window__step_3___2_28m___3[[#This Row],[X]]-with_window__step_3___corrected___4[[#This Row],[X]]</f>
        <v>-0.71999999999999886</v>
      </c>
      <c r="R18">
        <f>without_window__step_3___2_28m___3[[#This Row],[Y]]-with_window__step_3___corrected___4[[#This Row],[Y]]</f>
        <v>-0.85799999999997567</v>
      </c>
      <c r="S18">
        <f>without_window__step_3___2_28m___3[[#This Row],[Z]]-with_window__step_3___corrected___4[[#This Row],[Z]]</f>
        <v>3.5999999999944521E-2</v>
      </c>
      <c r="T18">
        <f t="shared" si="4"/>
        <v>1.1206515961707066</v>
      </c>
      <c r="V18">
        <f>without_window__step_3___2_28m___3[[#This Row],[X]]-vacuum__step_3___corrected___3[[#This Row],[X]]</f>
        <v>-0.7470000000000141</v>
      </c>
      <c r="W18">
        <f>without_window__step_3___2_28m___3[[#This Row],[Y]]-vacuum__step_3___corrected___3[[#This Row],[Y]]</f>
        <v>-0.79599999999999227</v>
      </c>
      <c r="X18">
        <f>without_window__step_3___2_28m___3[[#This Row],[Z]]-vacuum__step_3___corrected___3[[#This Row],[Z]]</f>
        <v>8.100000000001728E-2</v>
      </c>
      <c r="Y18">
        <f t="shared" si="5"/>
        <v>1.0946168279356989</v>
      </c>
    </row>
    <row r="19" spans="1:25" x14ac:dyDescent="0.25">
      <c r="B19" s="1" t="s">
        <v>23</v>
      </c>
      <c r="C19">
        <v>6.1130000000000004</v>
      </c>
      <c r="D19">
        <v>140.744</v>
      </c>
      <c r="E19">
        <v>-584.86599999999999</v>
      </c>
      <c r="G19" s="1" t="s">
        <v>23</v>
      </c>
      <c r="H19">
        <v>6.9349999999999996</v>
      </c>
      <c r="I19">
        <v>141.59800000000001</v>
      </c>
      <c r="J19">
        <v>-584.95299999999997</v>
      </c>
      <c r="L19" s="1" t="s">
        <v>38</v>
      </c>
      <c r="M19">
        <v>6.97</v>
      </c>
      <c r="N19">
        <v>141.541</v>
      </c>
      <c r="O19">
        <v>-584.99699999999996</v>
      </c>
      <c r="Q19">
        <f>without_window__step_3___2_28m___3[[#This Row],[X]]-with_window__step_3___corrected___4[[#This Row],[X]]</f>
        <v>-0.82199999999999918</v>
      </c>
      <c r="R19">
        <f>without_window__step_3___2_28m___3[[#This Row],[Y]]-with_window__step_3___corrected___4[[#This Row],[Y]]</f>
        <v>-0.85400000000001342</v>
      </c>
      <c r="S19">
        <f>without_window__step_3___2_28m___3[[#This Row],[Z]]-with_window__step_3___corrected___4[[#This Row],[Z]]</f>
        <v>8.6999999999989086E-2</v>
      </c>
      <c r="T19">
        <f t="shared" si="4"/>
        <v>1.1885154605641526</v>
      </c>
      <c r="V19">
        <f>without_window__step_3___2_28m___3[[#This Row],[X]]-vacuum__step_3___corrected___3[[#This Row],[X]]</f>
        <v>-0.85699999999999932</v>
      </c>
      <c r="W19">
        <f>without_window__step_3___2_28m___3[[#This Row],[Y]]-vacuum__step_3___corrected___3[[#This Row],[Y]]</f>
        <v>-0.79699999999999704</v>
      </c>
      <c r="X19">
        <f>without_window__step_3___2_28m___3[[#This Row],[Z]]-vacuum__step_3___corrected___3[[#This Row],[Z]]</f>
        <v>0.13099999999997181</v>
      </c>
      <c r="Y19">
        <f t="shared" si="5"/>
        <v>1.1776327950596428</v>
      </c>
    </row>
    <row r="20" spans="1:25" x14ac:dyDescent="0.25">
      <c r="A20">
        <v>4</v>
      </c>
    </row>
    <row r="21" spans="1:25" x14ac:dyDescent="0.25">
      <c r="B21" t="s">
        <v>6</v>
      </c>
      <c r="C21" t="s">
        <v>7</v>
      </c>
      <c r="D21" t="s">
        <v>8</v>
      </c>
      <c r="E21" t="s">
        <v>9</v>
      </c>
      <c r="G21" t="s">
        <v>6</v>
      </c>
      <c r="H21" t="s">
        <v>7</v>
      </c>
      <c r="I21" t="s">
        <v>8</v>
      </c>
      <c r="J21" t="s">
        <v>9</v>
      </c>
      <c r="L21" t="s">
        <v>6</v>
      </c>
      <c r="M21" t="s">
        <v>7</v>
      </c>
      <c r="N21" t="s">
        <v>8</v>
      </c>
      <c r="O21" t="s">
        <v>9</v>
      </c>
    </row>
    <row r="22" spans="1:25" x14ac:dyDescent="0.25">
      <c r="B22" s="1" t="s">
        <v>14</v>
      </c>
      <c r="C22">
        <v>8.2379999999999995</v>
      </c>
      <c r="D22">
        <v>0.42099999999999999</v>
      </c>
      <c r="E22">
        <v>-876.74800000000005</v>
      </c>
      <c r="G22" s="1" t="s">
        <v>40</v>
      </c>
      <c r="H22">
        <v>9.1890000000000001</v>
      </c>
      <c r="I22">
        <v>1.4930000000000001</v>
      </c>
      <c r="J22">
        <v>-876.904</v>
      </c>
      <c r="L22" s="1" t="s">
        <v>41</v>
      </c>
      <c r="M22">
        <v>9.23</v>
      </c>
      <c r="N22">
        <v>1.4390000000000001</v>
      </c>
      <c r="O22">
        <v>-876.95600000000002</v>
      </c>
      <c r="Q22">
        <f>without_window__step_4___2_58m___3[[#This Row],[X]]-with_window__step_4___corrected___4[[#This Row],[X]]</f>
        <v>-0.95100000000000051</v>
      </c>
      <c r="R22">
        <f>without_window__step_4___2_58m___3[[#This Row],[Y]]-with_window__step_4___corrected___4[[#This Row],[Y]]</f>
        <v>-1.0720000000000001</v>
      </c>
      <c r="S22">
        <f>without_window__step_4___2_58m___3[[#This Row],[Z]]-with_window__step_4___corrected___4[[#This Row],[Z]]</f>
        <v>0.15599999999994907</v>
      </c>
      <c r="T22">
        <f>SQRT(SUMSQ(Q22,R22,S22))</f>
        <v>1.4414995664237937</v>
      </c>
      <c r="V22">
        <f>without_window__step_4___2_58m___3[[#This Row],[X]]-vacuum__step_4___corrected___3[[#This Row],[X]]</f>
        <v>-0.99200000000000088</v>
      </c>
      <c r="W22">
        <f>without_window__step_4___2_58m___3[[#This Row],[Y]]-vacuum__step_4___corrected___3[[#This Row],[Y]]</f>
        <v>-1.018</v>
      </c>
      <c r="X22">
        <f>without_window__step_4___2_58m___3[[#This Row],[Z]]-vacuum__step_4___corrected___3[[#This Row],[Z]]</f>
        <v>0.20799999999996999</v>
      </c>
      <c r="Y22">
        <f>SQRT(SUMSQ(V22,W22,X22))</f>
        <v>1.4365416805648172</v>
      </c>
    </row>
    <row r="23" spans="1:25" x14ac:dyDescent="0.25">
      <c r="B23" s="1" t="s">
        <v>17</v>
      </c>
      <c r="C23">
        <v>148.167</v>
      </c>
      <c r="D23">
        <v>0.60299999999999998</v>
      </c>
      <c r="E23">
        <v>-876.86099999999999</v>
      </c>
      <c r="G23" s="1" t="s">
        <v>42</v>
      </c>
      <c r="H23">
        <v>149.02699999999999</v>
      </c>
      <c r="I23">
        <v>1.6910000000000001</v>
      </c>
      <c r="J23">
        <v>-876.96299999999997</v>
      </c>
      <c r="L23" s="1" t="s">
        <v>43</v>
      </c>
      <c r="M23">
        <v>149.06399999999999</v>
      </c>
      <c r="N23">
        <v>1.6240000000000001</v>
      </c>
      <c r="O23">
        <v>-877.00400000000002</v>
      </c>
      <c r="Q23">
        <f>without_window__step_4___2_58m___3[[#This Row],[X]]-with_window__step_4___corrected___4[[#This Row],[X]]</f>
        <v>-0.85999999999998522</v>
      </c>
      <c r="R23">
        <f>without_window__step_4___2_58m___3[[#This Row],[Y]]-with_window__step_4___corrected___4[[#This Row],[Y]]</f>
        <v>-1.0880000000000001</v>
      </c>
      <c r="S23">
        <f>without_window__step_4___2_58m___3[[#This Row],[Z]]-with_window__step_4___corrected___4[[#This Row],[Z]]</f>
        <v>0.10199999999997544</v>
      </c>
      <c r="T23">
        <f t="shared" ref="T23:T25" si="6">SQRT(SUMSQ(Q23,R23,S23))</f>
        <v>1.3905926793996759</v>
      </c>
      <c r="V23">
        <f>without_window__step_4___2_58m___3[[#This Row],[X]]-vacuum__step_4___corrected___3[[#This Row],[X]]</f>
        <v>-0.89699999999999136</v>
      </c>
      <c r="W23">
        <f>without_window__step_4___2_58m___3[[#This Row],[Y]]-vacuum__step_4___corrected___3[[#This Row],[Y]]</f>
        <v>-1.0210000000000001</v>
      </c>
      <c r="X23">
        <f>without_window__step_4___2_58m___3[[#This Row],[Z]]-vacuum__step_4___corrected___3[[#This Row],[Z]]</f>
        <v>0.1430000000000291</v>
      </c>
      <c r="Y23">
        <f t="shared" ref="Y23:Y25" si="7">SQRT(SUMSQ(V23,W23,X23))</f>
        <v>1.3665646709907266</v>
      </c>
    </row>
    <row r="24" spans="1:25" x14ac:dyDescent="0.25">
      <c r="B24" s="1" t="s">
        <v>20</v>
      </c>
      <c r="C24">
        <v>147.922</v>
      </c>
      <c r="D24">
        <v>140.51499999999999</v>
      </c>
      <c r="E24">
        <v>-877.21799999999996</v>
      </c>
      <c r="G24" s="1" t="s">
        <v>44</v>
      </c>
      <c r="H24">
        <v>148.78</v>
      </c>
      <c r="I24">
        <v>141.52199999999999</v>
      </c>
      <c r="J24">
        <v>-877.25300000000004</v>
      </c>
      <c r="L24" s="1" t="s">
        <v>45</v>
      </c>
      <c r="M24">
        <v>148.828</v>
      </c>
      <c r="N24">
        <v>141.44499999999999</v>
      </c>
      <c r="O24">
        <v>-877.29600000000005</v>
      </c>
      <c r="Q24">
        <f>without_window__step_4___2_58m___3[[#This Row],[X]]-with_window__step_4___corrected___4[[#This Row],[X]]</f>
        <v>-0.85800000000000409</v>
      </c>
      <c r="R24">
        <f>without_window__step_4___2_58m___3[[#This Row],[Y]]-with_window__step_4___corrected___4[[#This Row],[Y]]</f>
        <v>-1.007000000000005</v>
      </c>
      <c r="S24">
        <f>without_window__step_4___2_58m___3[[#This Row],[Z]]-with_window__step_4___corrected___4[[#This Row],[Z]]</f>
        <v>3.5000000000081855E-2</v>
      </c>
      <c r="T24">
        <f t="shared" si="6"/>
        <v>1.3234190568372599</v>
      </c>
      <c r="V24">
        <f>without_window__step_4___2_58m___3[[#This Row],[X]]-vacuum__step_4___corrected___3[[#This Row],[X]]</f>
        <v>-0.90600000000000591</v>
      </c>
      <c r="W24">
        <f>without_window__step_4___2_58m___3[[#This Row],[Y]]-vacuum__step_4___corrected___3[[#This Row],[Y]]</f>
        <v>-0.93000000000000682</v>
      </c>
      <c r="X24">
        <f>without_window__step_4___2_58m___3[[#This Row],[Z]]-vacuum__step_4___corrected___3[[#This Row],[Z]]</f>
        <v>7.8000000000088221E-2</v>
      </c>
      <c r="Y24">
        <f t="shared" si="7"/>
        <v>1.3006998116398869</v>
      </c>
    </row>
    <row r="25" spans="1:25" x14ac:dyDescent="0.25">
      <c r="B25" s="1" t="s">
        <v>23</v>
      </c>
      <c r="C25">
        <v>8.0370000000000008</v>
      </c>
      <c r="D25">
        <v>140.24700000000001</v>
      </c>
      <c r="E25">
        <v>-877.14400000000001</v>
      </c>
      <c r="G25" s="1" t="s">
        <v>46</v>
      </c>
      <c r="H25">
        <v>9.0009999999999994</v>
      </c>
      <c r="I25">
        <v>141.24199999999999</v>
      </c>
      <c r="J25">
        <v>-877.23400000000004</v>
      </c>
      <c r="L25" s="1" t="s">
        <v>47</v>
      </c>
      <c r="M25">
        <v>9.0459999999999994</v>
      </c>
      <c r="N25">
        <v>141.18199999999999</v>
      </c>
      <c r="O25">
        <v>-877.28800000000001</v>
      </c>
      <c r="Q25">
        <f>without_window__step_4___2_58m___3[[#This Row],[X]]-with_window__step_4___corrected___4[[#This Row],[X]]</f>
        <v>-0.96399999999999864</v>
      </c>
      <c r="R25">
        <f>without_window__step_4___2_58m___3[[#This Row],[Y]]-with_window__step_4___corrected___4[[#This Row],[Y]]</f>
        <v>-0.99499999999997613</v>
      </c>
      <c r="S25">
        <f>without_window__step_4___2_58m___3[[#This Row],[Z]]-with_window__step_4___corrected___4[[#This Row],[Z]]</f>
        <v>9.0000000000031832E-2</v>
      </c>
      <c r="T25">
        <f t="shared" si="6"/>
        <v>1.3883158862448977</v>
      </c>
      <c r="V25">
        <f>without_window__step_4___2_58m___3[[#This Row],[X]]-vacuum__step_4___corrected___3[[#This Row],[X]]</f>
        <v>-1.0089999999999986</v>
      </c>
      <c r="W25">
        <f>without_window__step_4___2_58m___3[[#This Row],[Y]]-vacuum__step_4___corrected___3[[#This Row],[Y]]</f>
        <v>-0.93499999999997385</v>
      </c>
      <c r="X25">
        <f>without_window__step_4___2_58m___3[[#This Row],[Z]]-vacuum__step_4___corrected___3[[#This Row],[Z]]</f>
        <v>0.14400000000000546</v>
      </c>
      <c r="Y25">
        <f t="shared" si="7"/>
        <v>1.3831276152257064</v>
      </c>
    </row>
    <row r="26" spans="1:25" x14ac:dyDescent="0.25">
      <c r="A26">
        <v>4.0999999999999996</v>
      </c>
    </row>
    <row r="27" spans="1:25" x14ac:dyDescent="0.25">
      <c r="B27" t="s">
        <v>6</v>
      </c>
      <c r="C27" t="s">
        <v>7</v>
      </c>
      <c r="D27" t="s">
        <v>8</v>
      </c>
      <c r="E27" t="s">
        <v>9</v>
      </c>
      <c r="G27" t="s">
        <v>6</v>
      </c>
      <c r="H27" t="s">
        <v>7</v>
      </c>
      <c r="I27" t="s">
        <v>8</v>
      </c>
      <c r="J27" t="s">
        <v>9</v>
      </c>
      <c r="L27" t="s">
        <v>6</v>
      </c>
      <c r="M27" t="s">
        <v>7</v>
      </c>
      <c r="N27" t="s">
        <v>8</v>
      </c>
      <c r="O27" t="s">
        <v>9</v>
      </c>
    </row>
    <row r="28" spans="1:25" x14ac:dyDescent="0.25">
      <c r="B28" s="1" t="s">
        <v>14</v>
      </c>
      <c r="C28">
        <v>158.37899999999999</v>
      </c>
      <c r="D28">
        <v>0.45500000000000002</v>
      </c>
      <c r="E28">
        <v>-874.92200000000003</v>
      </c>
      <c r="G28" s="1" t="s">
        <v>48</v>
      </c>
      <c r="H28">
        <v>159.21899999999999</v>
      </c>
      <c r="I28">
        <v>1.5469999999999999</v>
      </c>
      <c r="J28">
        <v>-875.01700000000005</v>
      </c>
      <c r="L28" s="1" t="s">
        <v>49</v>
      </c>
      <c r="M28">
        <v>159.267</v>
      </c>
      <c r="N28">
        <v>1.4830000000000001</v>
      </c>
      <c r="O28">
        <v>-875.06600000000003</v>
      </c>
      <c r="Q28">
        <f>without_window__step_4_1___2_58m___3[[#This Row],[X]]-with_window__step_4_1___corrected___4[[#This Row],[X]]</f>
        <v>-0.84000000000000341</v>
      </c>
      <c r="R28">
        <f>without_window__step_4_1___2_58m___3[[#This Row],[Y]]-with_window__step_4_1___corrected___4[[#This Row],[Y]]</f>
        <v>-1.0919999999999999</v>
      </c>
      <c r="S28">
        <f>without_window__step_4_1___2_58m___3[[#This Row],[Z]]-with_window__step_4_1___corrected___4[[#This Row],[Z]]</f>
        <v>9.5000000000027285E-2</v>
      </c>
      <c r="T28">
        <f>SQRT(SUMSQ(Q28,R28,S28))</f>
        <v>1.3809739316873475</v>
      </c>
      <c r="V28">
        <f>without_window__step_4_1___2_58m___3[[#This Row],[X]]-vacuum__step_4_1___corrected___3[[#This Row],[X]]</f>
        <v>-0.88800000000000523</v>
      </c>
      <c r="W28">
        <f>without_window__step_4_1___2_58m___3[[#This Row],[Y]]-vacuum__step_4_1___corrected___3[[#This Row],[Y]]</f>
        <v>-1.028</v>
      </c>
      <c r="X28">
        <f>without_window__step_4_1___2_58m___3[[#This Row],[Z]]-vacuum__step_4_1___corrected___3[[#This Row],[Z]]</f>
        <v>0.14400000000000546</v>
      </c>
      <c r="Y28">
        <f>SQRT(SUMSQ(V28,W28,X28))</f>
        <v>1.3660395309067783</v>
      </c>
    </row>
    <row r="29" spans="1:25" x14ac:dyDescent="0.25">
      <c r="B29" s="1" t="s">
        <v>17</v>
      </c>
      <c r="C29">
        <v>298.30500000000001</v>
      </c>
      <c r="D29">
        <v>0.57199999999999995</v>
      </c>
      <c r="E29">
        <v>-874.93700000000001</v>
      </c>
      <c r="G29" s="1" t="s">
        <v>50</v>
      </c>
      <c r="H29">
        <v>299.06299999999999</v>
      </c>
      <c r="I29">
        <v>1.675</v>
      </c>
      <c r="J29">
        <v>-874.98599999999999</v>
      </c>
      <c r="L29" s="1" t="s">
        <v>51</v>
      </c>
      <c r="M29">
        <v>299.089</v>
      </c>
      <c r="N29">
        <v>1.609</v>
      </c>
      <c r="O29">
        <v>-875.03</v>
      </c>
      <c r="Q29">
        <f>without_window__step_4_1___2_58m___3[[#This Row],[X]]-with_window__step_4_1___corrected___4[[#This Row],[X]]</f>
        <v>-0.75799999999998136</v>
      </c>
      <c r="R29">
        <f>without_window__step_4_1___2_58m___3[[#This Row],[Y]]-with_window__step_4_1___corrected___4[[#This Row],[Y]]</f>
        <v>-1.1030000000000002</v>
      </c>
      <c r="S29">
        <f>without_window__step_4_1___2_58m___3[[#This Row],[Z]]-with_window__step_4_1___corrected___4[[#This Row],[Z]]</f>
        <v>4.8999999999978172E-2</v>
      </c>
      <c r="T29">
        <f t="shared" ref="T29:T31" si="8">SQRT(SUMSQ(Q29,R29,S29))</f>
        <v>1.3392438164874871</v>
      </c>
      <c r="V29">
        <f>without_window__step_4_1___2_58m___3[[#This Row],[X]]-vacuum__step_4_1___corrected___3[[#This Row],[X]]</f>
        <v>-0.78399999999999181</v>
      </c>
      <c r="W29">
        <f>without_window__step_4_1___2_58m___3[[#This Row],[Y]]-vacuum__step_4_1___corrected___3[[#This Row],[Y]]</f>
        <v>-1.0369999999999999</v>
      </c>
      <c r="X29">
        <f>without_window__step_4_1___2_58m___3[[#This Row],[Z]]-vacuum__step_4_1___corrected___3[[#This Row],[Z]]</f>
        <v>9.2999999999960892E-2</v>
      </c>
      <c r="Y29">
        <f t="shared" ref="Y29:Y31" si="9">SQRT(SUMSQ(V29,W29,X29))</f>
        <v>1.3033318840571575</v>
      </c>
    </row>
    <row r="30" spans="1:25" x14ac:dyDescent="0.25">
      <c r="B30" s="1" t="s">
        <v>20</v>
      </c>
      <c r="C30">
        <v>298.12400000000002</v>
      </c>
      <c r="D30">
        <v>140.48099999999999</v>
      </c>
      <c r="E30">
        <v>-875.14800000000002</v>
      </c>
      <c r="G30" s="1" t="s">
        <v>52</v>
      </c>
      <c r="H30">
        <v>298.88799999999998</v>
      </c>
      <c r="I30">
        <v>141.49700000000001</v>
      </c>
      <c r="J30">
        <v>-875.12699999999995</v>
      </c>
      <c r="L30" s="1" t="s">
        <v>53</v>
      </c>
      <c r="M30">
        <v>298.923</v>
      </c>
      <c r="N30">
        <v>141.422</v>
      </c>
      <c r="O30">
        <v>-875.18299999999999</v>
      </c>
      <c r="Q30">
        <f>without_window__step_4_1___2_58m___3[[#This Row],[X]]-with_window__step_4_1___corrected___4[[#This Row],[X]]</f>
        <v>-0.76399999999995316</v>
      </c>
      <c r="R30">
        <f>without_window__step_4_1___2_58m___3[[#This Row],[Y]]-with_window__step_4_1___corrected___4[[#This Row],[Y]]</f>
        <v>-1.0160000000000196</v>
      </c>
      <c r="S30">
        <f>without_window__step_4_1___2_58m___3[[#This Row],[Z]]-with_window__step_4_1___corrected___4[[#This Row],[Z]]</f>
        <v>-2.100000000007185E-2</v>
      </c>
      <c r="T30">
        <f t="shared" si="8"/>
        <v>1.2713744531018276</v>
      </c>
      <c r="V30">
        <f>without_window__step_4_1___2_58m___3[[#This Row],[X]]-vacuum__step_4_1___corrected___3[[#This Row],[X]]</f>
        <v>-0.79899999999997817</v>
      </c>
      <c r="W30">
        <f>without_window__step_4_1___2_58m___3[[#This Row],[Y]]-vacuum__step_4_1___corrected___3[[#This Row],[Y]]</f>
        <v>-0.9410000000000025</v>
      </c>
      <c r="X30">
        <f>without_window__step_4_1___2_58m___3[[#This Row],[Z]]-vacuum__step_4_1___corrected___3[[#This Row],[Z]]</f>
        <v>3.4999999999968168E-2</v>
      </c>
      <c r="Y30">
        <f t="shared" si="9"/>
        <v>1.2349522257965964</v>
      </c>
    </row>
    <row r="31" spans="1:25" x14ac:dyDescent="0.25">
      <c r="B31" s="1" t="s">
        <v>23</v>
      </c>
      <c r="C31">
        <v>158.255</v>
      </c>
      <c r="D31">
        <v>140.29499999999999</v>
      </c>
      <c r="E31">
        <v>-875.17100000000005</v>
      </c>
      <c r="G31" s="1" t="s">
        <v>54</v>
      </c>
      <c r="H31">
        <v>159.09200000000001</v>
      </c>
      <c r="I31">
        <v>141.29300000000001</v>
      </c>
      <c r="J31">
        <v>-875.19899999999996</v>
      </c>
      <c r="L31" s="1" t="s">
        <v>55</v>
      </c>
      <c r="M31">
        <v>159.14599999999999</v>
      </c>
      <c r="N31">
        <v>141.22800000000001</v>
      </c>
      <c r="O31">
        <v>-875.25099999999998</v>
      </c>
      <c r="Q31">
        <f>without_window__step_4_1___2_58m___3[[#This Row],[X]]-with_window__step_4_1___corrected___4[[#This Row],[X]]</f>
        <v>-0.83700000000001751</v>
      </c>
      <c r="R31">
        <f>without_window__step_4_1___2_58m___3[[#This Row],[Y]]-with_window__step_4_1___corrected___4[[#This Row],[Y]]</f>
        <v>-0.99800000000001887</v>
      </c>
      <c r="S31">
        <f>without_window__step_4_1___2_58m___3[[#This Row],[Z]]-with_window__step_4_1___corrected___4[[#This Row],[Z]]</f>
        <v>2.7999999999906322E-2</v>
      </c>
      <c r="T31">
        <f t="shared" si="8"/>
        <v>1.3028265425604675</v>
      </c>
      <c r="V31">
        <f>without_window__step_4_1___2_58m___3[[#This Row],[X]]-vacuum__step_4_1___corrected___3[[#This Row],[X]]</f>
        <v>-0.89099999999999113</v>
      </c>
      <c r="W31">
        <f>without_window__step_4_1___2_58m___3[[#This Row],[Y]]-vacuum__step_4_1___corrected___3[[#This Row],[Y]]</f>
        <v>-0.93300000000002115</v>
      </c>
      <c r="X31">
        <f>without_window__step_4_1___2_58m___3[[#This Row],[Z]]-vacuum__step_4_1___corrected___3[[#This Row],[Z]]</f>
        <v>7.999999999992724E-2</v>
      </c>
      <c r="Y31">
        <f t="shared" si="9"/>
        <v>1.2925826859431515</v>
      </c>
    </row>
    <row r="32" spans="1:25" x14ac:dyDescent="0.25">
      <c r="A32">
        <v>5</v>
      </c>
    </row>
    <row r="33" spans="1:25" x14ac:dyDescent="0.25">
      <c r="B33" t="s">
        <v>6</v>
      </c>
      <c r="C33" t="s">
        <v>7</v>
      </c>
      <c r="D33" t="s">
        <v>8</v>
      </c>
      <c r="E33" t="s">
        <v>9</v>
      </c>
      <c r="G33" t="s">
        <v>6</v>
      </c>
      <c r="H33" t="s">
        <v>7</v>
      </c>
      <c r="I33" t="s">
        <v>8</v>
      </c>
      <c r="J33" t="s">
        <v>9</v>
      </c>
      <c r="L33" t="s">
        <v>6</v>
      </c>
      <c r="M33" t="s">
        <v>7</v>
      </c>
      <c r="N33" t="s">
        <v>8</v>
      </c>
      <c r="O33" t="s">
        <v>9</v>
      </c>
    </row>
    <row r="34" spans="1:25" x14ac:dyDescent="0.25">
      <c r="B34" s="1" t="s">
        <v>14</v>
      </c>
      <c r="C34">
        <v>10.215</v>
      </c>
      <c r="D34">
        <v>-0.33300000000000002</v>
      </c>
      <c r="E34">
        <v>-1168.6410000000001</v>
      </c>
      <c r="G34" s="1" t="s">
        <v>14</v>
      </c>
      <c r="H34">
        <v>11.307</v>
      </c>
      <c r="I34">
        <v>0.88800000000000001</v>
      </c>
      <c r="J34">
        <v>-1168.796</v>
      </c>
      <c r="L34" s="1" t="s">
        <v>56</v>
      </c>
      <c r="M34">
        <v>11.345000000000001</v>
      </c>
      <c r="N34">
        <v>0.81699999999999995</v>
      </c>
      <c r="O34">
        <v>-1168.847</v>
      </c>
      <c r="Q34">
        <f>without_window__step_5___2_87m___3[[#This Row],[X]]-with_window__step_5___corrected___4[[#This Row],[X]]</f>
        <v>-1.0920000000000005</v>
      </c>
      <c r="R34">
        <f>without_window__step_5___2_87m___3[[#This Row],[Y]]-with_window__step_5___corrected___4[[#This Row],[Y]]</f>
        <v>-1.2210000000000001</v>
      </c>
      <c r="S34">
        <f>without_window__step_5___2_87m___3[[#This Row],[Z]]-with_window__step_5___corrected___4[[#This Row],[Z]]</f>
        <v>0.15499999999997272</v>
      </c>
      <c r="T34">
        <f>SQRT(SUMSQ(Q34,R34,S34))</f>
        <v>1.6453966087238643</v>
      </c>
      <c r="V34">
        <f>without_window__step_5___2_87m___3[[#This Row],[X]]-vacuum__step_5___corrected___4[[#This Row],[X]]</f>
        <v>-1.1300000000000008</v>
      </c>
      <c r="W34">
        <f>without_window__step_5___2_87m___3[[#This Row],[Y]]-vacuum__step_5___corrected___4[[#This Row],[Y]]</f>
        <v>-1.1499999999999999</v>
      </c>
      <c r="X34">
        <f>without_window__step_5___2_87m___3[[#This Row],[Z]]-vacuum__step_5___corrected___4[[#This Row],[Z]]</f>
        <v>0.20599999999990359</v>
      </c>
      <c r="Y34">
        <f>SQRT(SUMSQ(V34,W34,X34))</f>
        <v>1.6253725726737123</v>
      </c>
    </row>
    <row r="35" spans="1:25" x14ac:dyDescent="0.25">
      <c r="B35" s="1" t="s">
        <v>17</v>
      </c>
      <c r="C35">
        <v>150.14500000000001</v>
      </c>
      <c r="D35">
        <v>0.10100000000000001</v>
      </c>
      <c r="E35">
        <v>-1168.7470000000001</v>
      </c>
      <c r="G35" s="1" t="s">
        <v>17</v>
      </c>
      <c r="H35">
        <v>151.13800000000001</v>
      </c>
      <c r="I35">
        <v>1.339</v>
      </c>
      <c r="J35">
        <v>-1168.8430000000001</v>
      </c>
      <c r="L35" s="1" t="s">
        <v>57</v>
      </c>
      <c r="M35">
        <v>151.17699999999999</v>
      </c>
      <c r="N35">
        <v>1.262</v>
      </c>
      <c r="O35">
        <v>-1168.893</v>
      </c>
      <c r="Q35">
        <f>without_window__step_5___2_87m___3[[#This Row],[X]]-with_window__step_5___corrected___4[[#This Row],[X]]</f>
        <v>-0.992999999999995</v>
      </c>
      <c r="R35">
        <f>without_window__step_5___2_87m___3[[#This Row],[Y]]-with_window__step_5___corrected___4[[#This Row],[Y]]</f>
        <v>-1.238</v>
      </c>
      <c r="S35">
        <f>without_window__step_5___2_87m___3[[#This Row],[Z]]-with_window__step_5___corrected___4[[#This Row],[Z]]</f>
        <v>9.6000000000003638E-2</v>
      </c>
      <c r="T35">
        <f t="shared" ref="T35:T37" si="10">SQRT(SUMSQ(Q35,R35,S35))</f>
        <v>1.5899399359724224</v>
      </c>
      <c r="V35">
        <f>without_window__step_5___2_87m___3[[#This Row],[X]]-vacuum__step_5___corrected___4[[#This Row],[X]]</f>
        <v>-1.0319999999999823</v>
      </c>
      <c r="W35">
        <f>without_window__step_5___2_87m___3[[#This Row],[Y]]-vacuum__step_5___corrected___4[[#This Row],[Y]]</f>
        <v>-1.161</v>
      </c>
      <c r="X35">
        <f>without_window__step_5___2_87m___3[[#This Row],[Z]]-vacuum__step_5___corrected___4[[#This Row],[Z]]</f>
        <v>0.14599999999995816</v>
      </c>
      <c r="Y35">
        <f t="shared" ref="Y35:Y37" si="11">SQRT(SUMSQ(V35,W35,X35))</f>
        <v>1.560211844590327</v>
      </c>
    </row>
    <row r="36" spans="1:25" x14ac:dyDescent="0.25">
      <c r="B36" s="1" t="s">
        <v>20</v>
      </c>
      <c r="C36">
        <v>149.65100000000001</v>
      </c>
      <c r="D36">
        <v>140.01</v>
      </c>
      <c r="E36">
        <v>-1169.1010000000001</v>
      </c>
      <c r="G36" s="1" t="s">
        <v>20</v>
      </c>
      <c r="H36">
        <v>150.64500000000001</v>
      </c>
      <c r="I36">
        <v>141.16200000000001</v>
      </c>
      <c r="J36">
        <v>-1169.134</v>
      </c>
      <c r="L36" s="1" t="s">
        <v>58</v>
      </c>
      <c r="M36">
        <v>150.68899999999999</v>
      </c>
      <c r="N36">
        <v>141.083</v>
      </c>
      <c r="O36">
        <v>-1169.1880000000001</v>
      </c>
      <c r="Q36">
        <f>without_window__step_5___2_87m___3[[#This Row],[X]]-with_window__step_5___corrected___4[[#This Row],[X]]</f>
        <v>-0.99399999999999977</v>
      </c>
      <c r="R36">
        <f>without_window__step_5___2_87m___3[[#This Row],[Y]]-with_window__step_5___corrected___4[[#This Row],[Y]]</f>
        <v>-1.1520000000000152</v>
      </c>
      <c r="S36">
        <f>without_window__step_5___2_87m___3[[#This Row],[Z]]-with_window__step_5___corrected___4[[#This Row],[Z]]</f>
        <v>3.2999999999901775E-2</v>
      </c>
      <c r="T36">
        <f t="shared" si="10"/>
        <v>1.5219162263409995</v>
      </c>
      <c r="V36">
        <f>without_window__step_5___2_87m___3[[#This Row],[X]]-vacuum__step_5___corrected___4[[#This Row],[X]]</f>
        <v>-1.0379999999999825</v>
      </c>
      <c r="W36">
        <f>without_window__step_5___2_87m___3[[#This Row],[Y]]-vacuum__step_5___corrected___4[[#This Row],[Y]]</f>
        <v>-1.0730000000000075</v>
      </c>
      <c r="X36">
        <f>without_window__step_5___2_87m___3[[#This Row],[Z]]-vacuum__step_5___corrected___4[[#This Row],[Z]]</f>
        <v>8.6999999999989086E-2</v>
      </c>
      <c r="Y36">
        <f t="shared" si="11"/>
        <v>1.4954404033594846</v>
      </c>
    </row>
    <row r="37" spans="1:25" x14ac:dyDescent="0.25">
      <c r="B37" s="1" t="s">
        <v>23</v>
      </c>
      <c r="C37">
        <v>9.7579999999999991</v>
      </c>
      <c r="D37">
        <v>139.5</v>
      </c>
      <c r="E37">
        <v>-1169.0350000000001</v>
      </c>
      <c r="G37" s="1" t="s">
        <v>23</v>
      </c>
      <c r="H37">
        <v>10.853</v>
      </c>
      <c r="I37">
        <v>140.642</v>
      </c>
      <c r="J37">
        <v>-1169.127</v>
      </c>
      <c r="L37" s="1" t="s">
        <v>59</v>
      </c>
      <c r="M37">
        <v>10.897</v>
      </c>
      <c r="N37">
        <v>140.56200000000001</v>
      </c>
      <c r="O37">
        <v>-1169.182</v>
      </c>
      <c r="Q37">
        <f>without_window__step_5___2_87m___3[[#This Row],[X]]-with_window__step_5___corrected___4[[#This Row],[X]]</f>
        <v>-1.0950000000000006</v>
      </c>
      <c r="R37">
        <f>without_window__step_5___2_87m___3[[#This Row],[Y]]-with_window__step_5___corrected___4[[#This Row],[Y]]</f>
        <v>-1.1419999999999959</v>
      </c>
      <c r="S37">
        <f>without_window__step_5___2_87m___3[[#This Row],[Z]]-with_window__step_5___corrected___4[[#This Row],[Z]]</f>
        <v>9.1999999999870852E-2</v>
      </c>
      <c r="T37">
        <f t="shared" si="10"/>
        <v>1.5848195480874054</v>
      </c>
      <c r="V37">
        <f>without_window__step_5___2_87m___3[[#This Row],[X]]-vacuum__step_5___corrected___4[[#This Row],[X]]</f>
        <v>-1.1390000000000011</v>
      </c>
      <c r="W37">
        <f>without_window__step_5___2_87m___3[[#This Row],[Y]]-vacuum__step_5___corrected___4[[#This Row],[Y]]</f>
        <v>-1.0620000000000118</v>
      </c>
      <c r="X37">
        <f>without_window__step_5___2_87m___3[[#This Row],[Z]]-vacuum__step_5___corrected___4[[#This Row],[Z]]</f>
        <v>0.14699999999993452</v>
      </c>
      <c r="Y37">
        <f t="shared" si="11"/>
        <v>1.5642167369006152</v>
      </c>
    </row>
    <row r="38" spans="1:25" x14ac:dyDescent="0.25">
      <c r="A38">
        <v>5.0999999999999996</v>
      </c>
    </row>
    <row r="39" spans="1:25" x14ac:dyDescent="0.25">
      <c r="B39" t="s">
        <v>6</v>
      </c>
      <c r="C39" t="s">
        <v>7</v>
      </c>
      <c r="D39" t="s">
        <v>8</v>
      </c>
      <c r="E39" t="s">
        <v>9</v>
      </c>
      <c r="G39" t="s">
        <v>6</v>
      </c>
      <c r="H39" t="s">
        <v>7</v>
      </c>
      <c r="I39" t="s">
        <v>8</v>
      </c>
      <c r="J39" t="s">
        <v>9</v>
      </c>
      <c r="L39" t="s">
        <v>6</v>
      </c>
      <c r="M39" t="s">
        <v>7</v>
      </c>
      <c r="N39" t="s">
        <v>8</v>
      </c>
      <c r="O39" t="s">
        <v>9</v>
      </c>
    </row>
    <row r="40" spans="1:25" x14ac:dyDescent="0.25">
      <c r="B40" s="1" t="s">
        <v>14</v>
      </c>
      <c r="C40">
        <v>160.309</v>
      </c>
      <c r="D40">
        <v>-3.7999999999999999E-2</v>
      </c>
      <c r="E40">
        <v>-1166.76</v>
      </c>
      <c r="G40" s="1" t="s">
        <v>60</v>
      </c>
      <c r="H40">
        <v>161.29599999999999</v>
      </c>
      <c r="I40">
        <v>1.2010000000000001</v>
      </c>
      <c r="J40">
        <v>-1166.8520000000001</v>
      </c>
      <c r="L40" s="1" t="s">
        <v>61</v>
      </c>
      <c r="M40">
        <v>161.351</v>
      </c>
      <c r="N40">
        <v>1.1160000000000001</v>
      </c>
      <c r="O40">
        <v>-1166.9010000000001</v>
      </c>
      <c r="Q40">
        <f>without_window__step_5_1___2_87m___3[[#This Row],[X]]-with_window__step_5_1___corrected___4[[#This Row],[X]]</f>
        <v>-0.98699999999999477</v>
      </c>
      <c r="R40">
        <f>without_window__step_5_1___2_87m___3[[#This Row],[Y]]-with_window__step_5_1___corrected___4[[#This Row],[Y]]</f>
        <v>-1.2390000000000001</v>
      </c>
      <c r="S40">
        <f>without_window__step_5_1___2_87m___3[[#This Row],[Z]]-with_window__step_5_1___corrected___4[[#This Row],[Z]]</f>
        <v>9.2000000000098225E-2</v>
      </c>
      <c r="T40">
        <f>SQRT(SUMSQ(Q40,R40,S40))</f>
        <v>1.5867432054368495</v>
      </c>
      <c r="V40">
        <f>without_window__step_5_1___2_87m___3[[#This Row],[X]]-vacuum__step_5_1___corrected___3[[#This Row],[X]]</f>
        <v>-1.0420000000000016</v>
      </c>
      <c r="W40">
        <f>without_window__step_5_1___2_87m___3[[#This Row],[Y]]-vacuum__step_5_1___corrected___3[[#This Row],[Y]]</f>
        <v>-1.1540000000000001</v>
      </c>
      <c r="X40">
        <f>without_window__step_5_1___2_87m___3[[#This Row],[Z]]-vacuum__step_5_1___corrected___3[[#This Row],[Z]]</f>
        <v>0.1410000000000764</v>
      </c>
      <c r="Y40">
        <f>SQRT(SUMSQ(V40,W40,X40))</f>
        <v>1.5612049833381987</v>
      </c>
    </row>
    <row r="41" spans="1:25" x14ac:dyDescent="0.25">
      <c r="B41" s="1" t="s">
        <v>17</v>
      </c>
      <c r="C41">
        <v>300.23599999999999</v>
      </c>
      <c r="D41">
        <v>0.34200000000000003</v>
      </c>
      <c r="E41">
        <v>-1166.761</v>
      </c>
      <c r="G41" s="1" t="s">
        <v>62</v>
      </c>
      <c r="H41">
        <v>301.137</v>
      </c>
      <c r="I41">
        <v>1.5880000000000001</v>
      </c>
      <c r="J41">
        <v>-1166.8040000000001</v>
      </c>
      <c r="L41" s="1" t="s">
        <v>63</v>
      </c>
      <c r="M41">
        <v>301.18700000000001</v>
      </c>
      <c r="N41">
        <v>1.4990000000000001</v>
      </c>
      <c r="O41">
        <v>-1166.854</v>
      </c>
      <c r="Q41">
        <f>without_window__step_5_1___2_87m___3[[#This Row],[X]]-with_window__step_5_1___corrected___4[[#This Row],[X]]</f>
        <v>-0.90100000000001046</v>
      </c>
      <c r="R41">
        <f>without_window__step_5_1___2_87m___3[[#This Row],[Y]]-with_window__step_5_1___corrected___4[[#This Row],[Y]]</f>
        <v>-1.246</v>
      </c>
      <c r="S41">
        <f>without_window__step_5_1___2_87m___3[[#This Row],[Z]]-with_window__step_5_1___corrected___4[[#This Row],[Z]]</f>
        <v>4.3000000000120053E-2</v>
      </c>
      <c r="T41">
        <f t="shared" ref="T41:T43" si="12">SQRT(SUMSQ(Q41,R41,S41))</f>
        <v>1.5382347025080501</v>
      </c>
      <c r="V41">
        <f>without_window__step_5_1___2_87m___3[[#This Row],[X]]-vacuum__step_5_1___corrected___3[[#This Row],[X]]</f>
        <v>-0.95100000000002183</v>
      </c>
      <c r="W41">
        <f>without_window__step_5_1___2_87m___3[[#This Row],[Y]]-vacuum__step_5_1___corrected___3[[#This Row],[Y]]</f>
        <v>-1.157</v>
      </c>
      <c r="X41">
        <f>without_window__step_5_1___2_87m___3[[#This Row],[Z]]-vacuum__step_5_1___corrected___3[[#This Row],[Z]]</f>
        <v>9.3000000000074579E-2</v>
      </c>
      <c r="Y41">
        <f t="shared" ref="Y41:Y43" si="13">SQRT(SUMSQ(V41,W41,X41))</f>
        <v>1.5005662264625494</v>
      </c>
    </row>
    <row r="42" spans="1:25" x14ac:dyDescent="0.25">
      <c r="B42" s="1" t="s">
        <v>20</v>
      </c>
      <c r="C42">
        <v>299.80099999999999</v>
      </c>
      <c r="D42">
        <v>140.24700000000001</v>
      </c>
      <c r="E42">
        <v>-1166.953</v>
      </c>
      <c r="G42" s="1" t="s">
        <v>64</v>
      </c>
      <c r="H42">
        <v>300.7</v>
      </c>
      <c r="I42">
        <v>141.416</v>
      </c>
      <c r="J42">
        <v>-1166.9290000000001</v>
      </c>
      <c r="L42" s="1" t="s">
        <v>65</v>
      </c>
      <c r="M42">
        <v>300.74900000000002</v>
      </c>
      <c r="N42">
        <v>141.31899999999999</v>
      </c>
      <c r="O42">
        <v>-1166.9829999999999</v>
      </c>
      <c r="Q42">
        <f>without_window__step_5_1___2_87m___3[[#This Row],[X]]-with_window__step_5_1___corrected___4[[#This Row],[X]]</f>
        <v>-0.89900000000000091</v>
      </c>
      <c r="R42">
        <f>without_window__step_5_1___2_87m___3[[#This Row],[Y]]-with_window__step_5_1___corrected___4[[#This Row],[Y]]</f>
        <v>-1.1689999999999827</v>
      </c>
      <c r="S42">
        <f>without_window__step_5_1___2_87m___3[[#This Row],[Z]]-with_window__step_5_1___corrected___4[[#This Row],[Z]]</f>
        <v>-2.3999999999887223E-2</v>
      </c>
      <c r="T42">
        <f t="shared" si="12"/>
        <v>1.474902708655712</v>
      </c>
      <c r="V42">
        <f>without_window__step_5_1___2_87m___3[[#This Row],[X]]-vacuum__step_5_1___corrected___3[[#This Row],[X]]</f>
        <v>-0.94800000000003593</v>
      </c>
      <c r="W42">
        <f>without_window__step_5_1___2_87m___3[[#This Row],[Y]]-vacuum__step_5_1___corrected___3[[#This Row],[Y]]</f>
        <v>-1.0719999999999743</v>
      </c>
      <c r="X42">
        <f>without_window__step_5_1___2_87m___3[[#This Row],[Z]]-vacuum__step_5_1___corrected___3[[#This Row],[Z]]</f>
        <v>2.9999999999972715E-2</v>
      </c>
      <c r="Y42">
        <f t="shared" si="13"/>
        <v>1.431358794991672</v>
      </c>
    </row>
    <row r="43" spans="1:25" x14ac:dyDescent="0.25">
      <c r="B43" s="1" t="s">
        <v>23</v>
      </c>
      <c r="C43">
        <v>159.92400000000001</v>
      </c>
      <c r="D43">
        <v>139.78700000000001</v>
      </c>
      <c r="E43">
        <v>-1166.991</v>
      </c>
      <c r="G43" s="1" t="s">
        <v>66</v>
      </c>
      <c r="H43">
        <v>160.90899999999999</v>
      </c>
      <c r="I43">
        <v>140.94800000000001</v>
      </c>
      <c r="J43">
        <v>-1167.0070000000001</v>
      </c>
      <c r="L43" s="1" t="s">
        <v>67</v>
      </c>
      <c r="M43">
        <v>160.97800000000001</v>
      </c>
      <c r="N43">
        <v>140.87100000000001</v>
      </c>
      <c r="O43">
        <v>-1167.068</v>
      </c>
      <c r="Q43">
        <f>without_window__step_5_1___2_87m___3[[#This Row],[X]]-with_window__step_5_1___corrected___4[[#This Row],[X]]</f>
        <v>-0.98499999999998522</v>
      </c>
      <c r="R43">
        <f>without_window__step_5_1___2_87m___3[[#This Row],[Y]]-with_window__step_5_1___corrected___4[[#This Row],[Y]]</f>
        <v>-1.1610000000000014</v>
      </c>
      <c r="S43">
        <f>without_window__step_5_1___2_87m___3[[#This Row],[Z]]-with_window__step_5_1___corrected___4[[#This Row],[Z]]</f>
        <v>1.6000000000076398E-2</v>
      </c>
      <c r="T43">
        <f t="shared" si="12"/>
        <v>1.522629961612465</v>
      </c>
      <c r="V43">
        <f>without_window__step_5_1___2_87m___3[[#This Row],[X]]-vacuum__step_5_1___corrected___3[[#This Row],[X]]</f>
        <v>-1.054000000000002</v>
      </c>
      <c r="W43">
        <f>without_window__step_5_1___2_87m___3[[#This Row],[Y]]-vacuum__step_5_1___corrected___3[[#This Row],[Y]]</f>
        <v>-1.0840000000000032</v>
      </c>
      <c r="X43">
        <f>without_window__step_5_1___2_87m___3[[#This Row],[Z]]-vacuum__step_5_1___corrected___3[[#This Row],[Z]]</f>
        <v>7.6999999999998181E-2</v>
      </c>
      <c r="Y43">
        <f t="shared" si="13"/>
        <v>1.5139025728229709</v>
      </c>
    </row>
  </sheetData>
  <pageMargins left="0.7" right="0.7" top="0.75" bottom="0.75" header="0.3" footer="0.3"/>
  <drawing r:id="rId1"/>
  <tableParts count="2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A3C2-B346-481E-84DE-14A95BF1A1CA}">
  <dimension ref="A1:AB43"/>
  <sheetViews>
    <sheetView topLeftCell="C1" zoomScaleNormal="100" workbookViewId="0">
      <selection activeCell="AB75" sqref="AB75"/>
    </sheetView>
  </sheetViews>
  <sheetFormatPr defaultRowHeight="15" x14ac:dyDescent="0.25"/>
  <cols>
    <col min="2" max="5" width="11.140625" bestFit="1" customWidth="1"/>
    <col min="7" max="7" width="24.5703125" bestFit="1" customWidth="1"/>
    <col min="8" max="10" width="11.140625" bestFit="1" customWidth="1"/>
    <col min="12" max="12" width="19.7109375" bestFit="1" customWidth="1"/>
    <col min="13" max="15" width="11.140625" bestFit="1" customWidth="1"/>
  </cols>
  <sheetData>
    <row r="1" spans="1:28" x14ac:dyDescent="0.25">
      <c r="A1" t="s">
        <v>0</v>
      </c>
      <c r="B1" t="s">
        <v>1</v>
      </c>
      <c r="G1" t="s">
        <v>79</v>
      </c>
      <c r="L1" t="s">
        <v>3</v>
      </c>
      <c r="Q1" t="s">
        <v>76</v>
      </c>
      <c r="V1" t="s">
        <v>80</v>
      </c>
      <c r="AB1" t="s">
        <v>114</v>
      </c>
    </row>
    <row r="3" spans="1:28" x14ac:dyDescent="0.25">
      <c r="A3">
        <v>1</v>
      </c>
      <c r="B3" t="s">
        <v>6</v>
      </c>
      <c r="C3" t="s">
        <v>7</v>
      </c>
      <c r="D3" t="s">
        <v>8</v>
      </c>
      <c r="E3" t="s">
        <v>9</v>
      </c>
      <c r="G3" t="s">
        <v>6</v>
      </c>
      <c r="H3" t="s">
        <v>7</v>
      </c>
      <c r="I3" t="s">
        <v>8</v>
      </c>
      <c r="J3" t="s">
        <v>9</v>
      </c>
      <c r="L3" t="s">
        <v>6</v>
      </c>
      <c r="M3" t="s">
        <v>7</v>
      </c>
      <c r="N3" t="s">
        <v>8</v>
      </c>
      <c r="O3" t="s">
        <v>9</v>
      </c>
      <c r="Q3" t="s">
        <v>10</v>
      </c>
      <c r="R3" t="s">
        <v>11</v>
      </c>
      <c r="S3" t="s">
        <v>12</v>
      </c>
      <c r="T3" t="s">
        <v>13</v>
      </c>
      <c r="V3" t="s">
        <v>10</v>
      </c>
      <c r="W3" t="s">
        <v>11</v>
      </c>
      <c r="X3" t="s">
        <v>12</v>
      </c>
      <c r="Y3" t="s">
        <v>13</v>
      </c>
      <c r="AB3">
        <v>1</v>
      </c>
    </row>
    <row r="4" spans="1:28" x14ac:dyDescent="0.25">
      <c r="B4" s="1" t="s">
        <v>14</v>
      </c>
      <c r="C4">
        <v>327.49299999999999</v>
      </c>
      <c r="D4">
        <v>888.75099999999998</v>
      </c>
      <c r="E4">
        <v>-813.48400000000004</v>
      </c>
      <c r="G4" s="1" t="s">
        <v>15</v>
      </c>
      <c r="H4">
        <v>328.04</v>
      </c>
      <c r="I4">
        <v>889.40700000000004</v>
      </c>
      <c r="J4">
        <v>-813.67700000000002</v>
      </c>
      <c r="L4" s="1" t="s">
        <v>16</v>
      </c>
      <c r="M4">
        <v>327.99700000000001</v>
      </c>
      <c r="N4">
        <v>889.34699999999998</v>
      </c>
      <c r="O4">
        <v>-813.69799999999998</v>
      </c>
      <c r="Q4">
        <f>without_window__step_1___1_7m___6[[#This Row],[X]]-With_window__step_1___corrected___5[[#This Row],[X]]</f>
        <v>-0.54700000000002547</v>
      </c>
      <c r="R4">
        <f>without_window__step_1___1_7m___6[[#This Row],[Y]]-With_window__step_1___corrected___5[[#This Row],[Y]]</f>
        <v>-0.65600000000006276</v>
      </c>
      <c r="S4">
        <f>without_window__step_1___1_7m___6[[#This Row],[Z]]-With_window__step_1___corrected___5[[#This Row],[Z]]</f>
        <v>0.19299999999998363</v>
      </c>
      <c r="T4">
        <f>SQRT(SUMSQ(Q4,R4,S4))</f>
        <v>0.87566774520939383</v>
      </c>
      <c r="V4">
        <f>without_window__step_1___1_7m___6[[#This Row],[X]]-vacuum__step_1___corrected___5[[#This Row],[X]]</f>
        <v>-0.5040000000000191</v>
      </c>
      <c r="W4">
        <f>without_window__step_1___1_7m___6[[#This Row],[Y]]-vacuum__step_1___corrected___5[[#This Row],[Y]]</f>
        <v>-0.59600000000000364</v>
      </c>
      <c r="X4">
        <f>without_window__step_1___1_7m___6[[#This Row],[Z]]-vacuum__step_1___corrected___5[[#This Row],[Z]]</f>
        <v>0.21399999999994179</v>
      </c>
      <c r="Y4">
        <f>SQRT(SUMSQ(V4,W4,X4))</f>
        <v>0.80933800108483633</v>
      </c>
      <c r="AB4">
        <v>2</v>
      </c>
    </row>
    <row r="5" spans="1:28" x14ac:dyDescent="0.25">
      <c r="B5" s="1" t="s">
        <v>17</v>
      </c>
      <c r="C5">
        <v>467.39600000000002</v>
      </c>
      <c r="D5">
        <v>889.82899999999995</v>
      </c>
      <c r="E5">
        <v>-815.32299999999998</v>
      </c>
      <c r="G5" s="1" t="s">
        <v>18</v>
      </c>
      <c r="H5">
        <v>467.86200000000002</v>
      </c>
      <c r="I5">
        <v>890.49800000000005</v>
      </c>
      <c r="J5">
        <v>-815.45299999999997</v>
      </c>
      <c r="L5" s="1" t="s">
        <v>19</v>
      </c>
      <c r="M5">
        <v>467.815</v>
      </c>
      <c r="N5">
        <v>890.44899999999996</v>
      </c>
      <c r="O5">
        <v>-815.471</v>
      </c>
      <c r="Q5">
        <f>without_window__step_1___1_7m___6[[#This Row],[X]]-With_window__step_1___corrected___5[[#This Row],[X]]</f>
        <v>-0.46600000000000819</v>
      </c>
      <c r="R5">
        <f>without_window__step_1___1_7m___6[[#This Row],[Y]]-With_window__step_1___corrected___5[[#This Row],[Y]]</f>
        <v>-0.66900000000009641</v>
      </c>
      <c r="S5">
        <f>without_window__step_1___1_7m___6[[#This Row],[Z]]-With_window__step_1___corrected___5[[#This Row],[Z]]</f>
        <v>0.12999999999999545</v>
      </c>
      <c r="T5">
        <f t="shared" ref="T5:T7" si="0">SQRT(SUMSQ(Q5,R5,S5))</f>
        <v>0.82560099321653879</v>
      </c>
      <c r="V5">
        <f>without_window__step_1___1_7m___6[[#This Row],[X]]-vacuum__step_1___corrected___5[[#This Row],[X]]</f>
        <v>-0.41899999999998272</v>
      </c>
      <c r="W5">
        <f>without_window__step_1___1_7m___6[[#This Row],[Y]]-vacuum__step_1___corrected___5[[#This Row],[Y]]</f>
        <v>-0.62000000000000455</v>
      </c>
      <c r="X5">
        <f>without_window__step_1___1_7m___6[[#This Row],[Z]]-vacuum__step_1___corrected___5[[#This Row],[Z]]</f>
        <v>0.14800000000002456</v>
      </c>
      <c r="Y5">
        <f t="shared" ref="Y5:Y7" si="1">SQRT(SUMSQ(V5,W5,X5))</f>
        <v>0.76280076035620104</v>
      </c>
      <c r="AB5">
        <v>3</v>
      </c>
    </row>
    <row r="6" spans="1:28" x14ac:dyDescent="0.25">
      <c r="B6" s="1" t="s">
        <v>20</v>
      </c>
      <c r="C6">
        <v>466.24799999999999</v>
      </c>
      <c r="D6">
        <v>1029.729</v>
      </c>
      <c r="E6">
        <v>-816.24900000000002</v>
      </c>
      <c r="G6" s="1" t="s">
        <v>21</v>
      </c>
      <c r="H6">
        <v>466.71</v>
      </c>
      <c r="I6">
        <v>1030.3130000000001</v>
      </c>
      <c r="J6">
        <v>-816.31200000000001</v>
      </c>
      <c r="L6" s="1" t="s">
        <v>22</v>
      </c>
      <c r="M6">
        <v>466.65300000000002</v>
      </c>
      <c r="N6">
        <v>1030.259</v>
      </c>
      <c r="O6">
        <v>-816.32399999999996</v>
      </c>
      <c r="Q6">
        <f>without_window__step_1___1_7m___6[[#This Row],[X]]-With_window__step_1___corrected___5[[#This Row],[X]]</f>
        <v>-0.46199999999998909</v>
      </c>
      <c r="R6">
        <f>without_window__step_1___1_7m___6[[#This Row],[Y]]-With_window__step_1___corrected___5[[#This Row],[Y]]</f>
        <v>-0.58400000000006003</v>
      </c>
      <c r="S6">
        <f>without_window__step_1___1_7m___6[[#This Row],[Z]]-With_window__step_1___corrected___5[[#This Row],[Z]]</f>
        <v>6.2999999999988177E-2</v>
      </c>
      <c r="T6">
        <f t="shared" si="0"/>
        <v>0.74730783483117491</v>
      </c>
      <c r="V6">
        <f>without_window__step_1___1_7m___6[[#This Row],[X]]-vacuum__step_1___corrected___5[[#This Row],[X]]</f>
        <v>-0.40500000000002956</v>
      </c>
      <c r="W6">
        <f>without_window__step_1___1_7m___6[[#This Row],[Y]]-vacuum__step_1___corrected___5[[#This Row],[Y]]</f>
        <v>-0.52999999999997272</v>
      </c>
      <c r="X6">
        <f>without_window__step_1___1_7m___6[[#This Row],[Z]]-vacuum__step_1___corrected___5[[#This Row],[Z]]</f>
        <v>7.4999999999931788E-2</v>
      </c>
      <c r="Y6">
        <f t="shared" si="1"/>
        <v>0.67123021386107529</v>
      </c>
      <c r="AB6">
        <v>4</v>
      </c>
    </row>
    <row r="7" spans="1:28" x14ac:dyDescent="0.25">
      <c r="B7" s="1" t="s">
        <v>23</v>
      </c>
      <c r="C7">
        <v>326.38400000000001</v>
      </c>
      <c r="D7">
        <v>1028.568</v>
      </c>
      <c r="E7">
        <v>-814.45</v>
      </c>
      <c r="G7" s="1" t="s">
        <v>24</v>
      </c>
      <c r="H7">
        <v>326.94099999999997</v>
      </c>
      <c r="I7">
        <v>1029.146</v>
      </c>
      <c r="J7">
        <v>-814.56200000000001</v>
      </c>
      <c r="L7" s="1" t="s">
        <v>25</v>
      </c>
      <c r="M7">
        <v>326.88799999999998</v>
      </c>
      <c r="N7">
        <v>1029.086</v>
      </c>
      <c r="O7">
        <v>-814.58799999999997</v>
      </c>
      <c r="Q7">
        <f>without_window__step_1___1_7m___6[[#This Row],[X]]-With_window__step_1___corrected___5[[#This Row],[X]]</f>
        <v>-0.55699999999995953</v>
      </c>
      <c r="R7">
        <f>without_window__step_1___1_7m___6[[#This Row],[Y]]-With_window__step_1___corrected___5[[#This Row],[Y]]</f>
        <v>-0.57799999999997453</v>
      </c>
      <c r="S7">
        <f>without_window__step_1___1_7m___6[[#This Row],[Z]]-With_window__step_1___corrected___5[[#This Row],[Z]]</f>
        <v>0.11199999999996635</v>
      </c>
      <c r="T7">
        <f t="shared" si="0"/>
        <v>0.81047948771077349</v>
      </c>
      <c r="V7">
        <f>without_window__step_1___1_7m___6[[#This Row],[X]]-vacuum__step_1___corrected___5[[#This Row],[X]]</f>
        <v>-0.50399999999996226</v>
      </c>
      <c r="W7">
        <f>without_window__step_1___1_7m___6[[#This Row],[Y]]-vacuum__step_1___corrected___5[[#This Row],[Y]]</f>
        <v>-0.5180000000000291</v>
      </c>
      <c r="X7">
        <f>without_window__step_1___1_7m___6[[#This Row],[Z]]-vacuum__step_1___corrected___5[[#This Row],[Z]]</f>
        <v>0.13799999999991996</v>
      </c>
      <c r="Y7">
        <f t="shared" si="1"/>
        <v>0.73578801294936158</v>
      </c>
      <c r="AB7">
        <v>4.0999999999999996</v>
      </c>
    </row>
    <row r="8" spans="1:28" x14ac:dyDescent="0.25">
      <c r="AB8">
        <v>5</v>
      </c>
    </row>
    <row r="9" spans="1:28" x14ac:dyDescent="0.25">
      <c r="A9">
        <v>2</v>
      </c>
      <c r="B9" t="s">
        <v>6</v>
      </c>
      <c r="C9" t="s">
        <v>7</v>
      </c>
      <c r="D9" t="s">
        <v>8</v>
      </c>
      <c r="E9" t="s">
        <v>9</v>
      </c>
      <c r="G9" t="s">
        <v>6</v>
      </c>
      <c r="H9" t="s">
        <v>7</v>
      </c>
      <c r="I9" t="s">
        <v>8</v>
      </c>
      <c r="J9" t="s">
        <v>9</v>
      </c>
      <c r="L9" t="s">
        <v>6</v>
      </c>
      <c r="M9" t="s">
        <v>7</v>
      </c>
      <c r="N9" t="s">
        <v>8</v>
      </c>
      <c r="O9" t="s">
        <v>9</v>
      </c>
      <c r="AB9">
        <v>5.0999999999999996</v>
      </c>
    </row>
    <row r="10" spans="1:28" x14ac:dyDescent="0.25">
      <c r="B10" s="1" t="s">
        <v>14</v>
      </c>
      <c r="C10">
        <v>326.85599999999999</v>
      </c>
      <c r="D10">
        <v>887.22</v>
      </c>
      <c r="E10">
        <v>-1105.529</v>
      </c>
      <c r="G10" s="1" t="s">
        <v>27</v>
      </c>
      <c r="H10">
        <v>327.53800000000001</v>
      </c>
      <c r="I10">
        <v>888.024</v>
      </c>
      <c r="J10">
        <v>-1105.6869999999999</v>
      </c>
      <c r="L10" s="1" t="s">
        <v>28</v>
      </c>
      <c r="M10">
        <v>327.52</v>
      </c>
      <c r="N10">
        <v>887.97400000000005</v>
      </c>
      <c r="O10">
        <v>-1105.739</v>
      </c>
      <c r="Q10">
        <f>without_window__step_2___1_99m___4[[#This Row],[X]]-with_window__step_2___corrected___5[[#This Row],[X]]</f>
        <v>-0.68200000000001637</v>
      </c>
      <c r="R10">
        <f>without_window__step_2___1_99m___4[[#This Row],[Y]]-with_window__step_2___corrected___5[[#This Row],[Y]]</f>
        <v>-0.80399999999997362</v>
      </c>
      <c r="S10">
        <f>without_window__step_2___1_99m___4[[#This Row],[Z]]-with_window__step_2___corrected___5[[#This Row],[Z]]</f>
        <v>0.15799999999990177</v>
      </c>
      <c r="T10">
        <f>SQRT(SUMSQ(Q10,R10,S10))</f>
        <v>1.0660694161263369</v>
      </c>
      <c r="V10">
        <f>without_window__step_2___1_99m___4[[#This Row],[X]]-vacuum__step_2___corrected___5[[#This Row],[X]]</f>
        <v>-0.66399999999998727</v>
      </c>
      <c r="W10">
        <f>without_window__step_2___1_99m___4[[#This Row],[Y]]-vacuum__step_2___corrected___5[[#This Row],[Y]]</f>
        <v>-0.7540000000000191</v>
      </c>
      <c r="X10">
        <f>without_window__step_2___1_99m___4[[#This Row],[Z]]-vacuum__step_2___corrected___5[[#This Row],[Z]]</f>
        <v>0.21000000000003638</v>
      </c>
      <c r="Y10">
        <f>SQRT(SUMSQ(V10,W10,X10))</f>
        <v>1.0264073265521965</v>
      </c>
    </row>
    <row r="11" spans="1:28" x14ac:dyDescent="0.25">
      <c r="B11" s="1" t="s">
        <v>17</v>
      </c>
      <c r="C11">
        <v>466.76900000000001</v>
      </c>
      <c r="D11">
        <v>888.26400000000001</v>
      </c>
      <c r="E11">
        <v>-1107.3520000000001</v>
      </c>
      <c r="G11" s="1" t="s">
        <v>29</v>
      </c>
      <c r="H11">
        <v>467.35700000000003</v>
      </c>
      <c r="I11">
        <v>889.077</v>
      </c>
      <c r="J11">
        <v>-1107.48</v>
      </c>
      <c r="L11" s="1" t="s">
        <v>30</v>
      </c>
      <c r="M11">
        <v>467.339</v>
      </c>
      <c r="N11">
        <v>889.03300000000002</v>
      </c>
      <c r="O11">
        <v>-1107.4949999999999</v>
      </c>
      <c r="Q11">
        <f>without_window__step_2___1_99m___4[[#This Row],[X]]-with_window__step_2___corrected___5[[#This Row],[X]]</f>
        <v>-0.58800000000002228</v>
      </c>
      <c r="R11">
        <f>without_window__step_2___1_99m___4[[#This Row],[Y]]-with_window__step_2___corrected___5[[#This Row],[Y]]</f>
        <v>-0.81299999999998818</v>
      </c>
      <c r="S11">
        <f>without_window__step_2___1_99m___4[[#This Row],[Z]]-with_window__step_2___corrected___5[[#This Row],[Z]]</f>
        <v>0.12799999999992906</v>
      </c>
      <c r="T11">
        <f t="shared" ref="T11:T13" si="2">SQRT(SUMSQ(Q11,R11,S11))</f>
        <v>1.0114825752330037</v>
      </c>
      <c r="V11">
        <f>without_window__step_2___1_99m___4[[#This Row],[X]]-vacuum__step_2___corrected___5[[#This Row],[X]]</f>
        <v>-0.56999999999999318</v>
      </c>
      <c r="W11">
        <f>without_window__step_2___1_99m___4[[#This Row],[Y]]-vacuum__step_2___corrected___5[[#This Row],[Y]]</f>
        <v>-0.76900000000000546</v>
      </c>
      <c r="X11">
        <f>without_window__step_2___1_99m___4[[#This Row],[Z]]-vacuum__step_2___corrected___5[[#This Row],[Z]]</f>
        <v>0.14299999999980173</v>
      </c>
      <c r="Y11">
        <f t="shared" ref="Y11:Y13" si="3">SQRT(SUMSQ(V11,W11,X11))</f>
        <v>0.96783779632743416</v>
      </c>
    </row>
    <row r="12" spans="1:28" x14ac:dyDescent="0.25">
      <c r="B12" s="1" t="s">
        <v>20</v>
      </c>
      <c r="C12">
        <v>465.65199999999999</v>
      </c>
      <c r="D12">
        <v>1028.1669999999999</v>
      </c>
      <c r="E12">
        <v>-1108.3230000000001</v>
      </c>
      <c r="G12" s="1" t="s">
        <v>31</v>
      </c>
      <c r="H12">
        <v>466.23899999999998</v>
      </c>
      <c r="I12">
        <v>1028.886</v>
      </c>
      <c r="J12">
        <v>-1108.383</v>
      </c>
      <c r="L12" s="1" t="s">
        <v>32</v>
      </c>
      <c r="M12">
        <v>466.21499999999997</v>
      </c>
      <c r="N12">
        <v>1028.845</v>
      </c>
      <c r="O12">
        <v>-1108.4010000000001</v>
      </c>
      <c r="Q12">
        <f>without_window__step_2___1_99m___4[[#This Row],[X]]-with_window__step_2___corrected___5[[#This Row],[X]]</f>
        <v>-0.58699999999998909</v>
      </c>
      <c r="R12">
        <f>without_window__step_2___1_99m___4[[#This Row],[Y]]-with_window__step_2___corrected___5[[#This Row],[Y]]</f>
        <v>-0.71900000000005093</v>
      </c>
      <c r="S12">
        <f>without_window__step_2___1_99m___4[[#This Row],[Z]]-with_window__step_2___corrected___5[[#This Row],[Z]]</f>
        <v>5.999999999994543E-2</v>
      </c>
      <c r="T12">
        <f t="shared" si="2"/>
        <v>0.93012364769424827</v>
      </c>
      <c r="V12">
        <f>without_window__step_2___1_99m___4[[#This Row],[X]]-vacuum__step_2___corrected___5[[#This Row],[X]]</f>
        <v>-0.56299999999998818</v>
      </c>
      <c r="W12">
        <f>without_window__step_2___1_99m___4[[#This Row],[Y]]-vacuum__step_2___corrected___5[[#This Row],[Y]]</f>
        <v>-0.67800000000011096</v>
      </c>
      <c r="X12">
        <f>without_window__step_2___1_99m___4[[#This Row],[Z]]-vacuum__step_2___corrected___5[[#This Row],[Z]]</f>
        <v>7.7999999999974534E-2</v>
      </c>
      <c r="Y12">
        <f t="shared" si="3"/>
        <v>0.88472425082628603</v>
      </c>
    </row>
    <row r="13" spans="1:28" x14ac:dyDescent="0.25">
      <c r="B13" s="1" t="s">
        <v>23</v>
      </c>
      <c r="C13">
        <v>325.78399999999999</v>
      </c>
      <c r="D13">
        <v>1027.039</v>
      </c>
      <c r="E13">
        <v>-1106.54</v>
      </c>
      <c r="G13" s="1" t="s">
        <v>33</v>
      </c>
      <c r="H13">
        <v>326.47199999999998</v>
      </c>
      <c r="I13">
        <v>1027.7539999999999</v>
      </c>
      <c r="J13">
        <v>-1106.653</v>
      </c>
      <c r="L13" s="1" t="s">
        <v>34</v>
      </c>
      <c r="M13">
        <v>326.45400000000001</v>
      </c>
      <c r="N13">
        <v>1027.7059999999999</v>
      </c>
      <c r="O13">
        <v>-1106.6780000000001</v>
      </c>
      <c r="Q13">
        <f>without_window__step_2___1_99m___4[[#This Row],[X]]-with_window__step_2___corrected___5[[#This Row],[X]]</f>
        <v>-0.68799999999998818</v>
      </c>
      <c r="R13">
        <f>without_window__step_2___1_99m___4[[#This Row],[Y]]-with_window__step_2___corrected___5[[#This Row],[Y]]</f>
        <v>-0.71499999999991815</v>
      </c>
      <c r="S13">
        <f>without_window__step_2___1_99m___4[[#This Row],[Z]]-with_window__step_2___corrected___5[[#This Row],[Z]]</f>
        <v>0.11300000000005639</v>
      </c>
      <c r="T13">
        <f t="shared" si="2"/>
        <v>0.99866811303850056</v>
      </c>
      <c r="V13">
        <f>without_window__step_2___1_99m___4[[#This Row],[X]]-vacuum__step_2___corrected___5[[#This Row],[X]]</f>
        <v>-0.67000000000001592</v>
      </c>
      <c r="W13">
        <f>without_window__step_2___1_99m___4[[#This Row],[Y]]-vacuum__step_2___corrected___5[[#This Row],[Y]]</f>
        <v>-0.66699999999991633</v>
      </c>
      <c r="X13">
        <f>without_window__step_2___1_99m___4[[#This Row],[Z]]-vacuum__step_2___corrected___5[[#This Row],[Z]]</f>
        <v>0.13800000000014734</v>
      </c>
      <c r="Y13">
        <f t="shared" si="3"/>
        <v>0.95542294299433195</v>
      </c>
    </row>
    <row r="15" spans="1:28" x14ac:dyDescent="0.25">
      <c r="A15">
        <v>3</v>
      </c>
      <c r="B15" t="s">
        <v>6</v>
      </c>
      <c r="C15" t="s">
        <v>7</v>
      </c>
      <c r="D15" t="s">
        <v>8</v>
      </c>
      <c r="E15" t="s">
        <v>9</v>
      </c>
      <c r="G15" t="s">
        <v>6</v>
      </c>
      <c r="H15" t="s">
        <v>7</v>
      </c>
      <c r="I15" t="s">
        <v>8</v>
      </c>
      <c r="J15" t="s">
        <v>9</v>
      </c>
      <c r="L15" t="s">
        <v>6</v>
      </c>
      <c r="M15" t="s">
        <v>7</v>
      </c>
      <c r="N15" t="s">
        <v>8</v>
      </c>
      <c r="O15" t="s">
        <v>9</v>
      </c>
    </row>
    <row r="16" spans="1:28" x14ac:dyDescent="0.25">
      <c r="B16" s="1" t="s">
        <v>14</v>
      </c>
      <c r="C16">
        <v>325.94400000000002</v>
      </c>
      <c r="D16">
        <v>885.61</v>
      </c>
      <c r="E16">
        <v>-1398.0609999999999</v>
      </c>
      <c r="G16" s="1" t="s">
        <v>14</v>
      </c>
      <c r="H16">
        <v>326.75099999999998</v>
      </c>
      <c r="I16">
        <v>886.55100000000004</v>
      </c>
      <c r="J16">
        <v>-1398.239</v>
      </c>
      <c r="L16" s="1" t="s">
        <v>35</v>
      </c>
      <c r="M16">
        <v>326.77800000000002</v>
      </c>
      <c r="N16">
        <v>886.49699999999996</v>
      </c>
      <c r="O16">
        <v>-1398.2809999999999</v>
      </c>
      <c r="Q16">
        <f>without_window__step_3___2_28m___4[[#This Row],[X]]-with_window__step_3___corrected___5[[#This Row],[X]]</f>
        <v>-0.80699999999995953</v>
      </c>
      <c r="R16">
        <f>without_window__step_3___2_28m___4[[#This Row],[Y]]-with_window__step_3___corrected___5[[#This Row],[Y]]</f>
        <v>-0.94100000000003092</v>
      </c>
      <c r="S16">
        <f>without_window__step_3___2_28m___4[[#This Row],[Z]]-with_window__step_3___corrected___5[[#This Row],[Z]]</f>
        <v>0.17800000000011096</v>
      </c>
      <c r="T16">
        <f>SQRT(SUMSQ(Q16,R16,S16))</f>
        <v>1.2523633658008495</v>
      </c>
      <c r="V16">
        <f>without_window__step_3___2_28m___4[[#This Row],[X]]-vacuum__step_3___corrected___4[[#This Row],[X]]</f>
        <v>-0.83400000000000318</v>
      </c>
      <c r="W16">
        <f>without_window__step_3___2_28m___4[[#This Row],[Y]]-vacuum__step_3___corrected___4[[#This Row],[Y]]</f>
        <v>-0.88699999999994361</v>
      </c>
      <c r="X16">
        <f>without_window__step_3___2_28m___4[[#This Row],[Z]]-vacuum__step_3___corrected___4[[#This Row],[Z]]</f>
        <v>0.22000000000002728</v>
      </c>
      <c r="Y16">
        <f>SQRT(SUMSQ(V16,W16,X16))</f>
        <v>1.2372247168562052</v>
      </c>
    </row>
    <row r="17" spans="1:25" x14ac:dyDescent="0.25">
      <c r="B17" s="1" t="s">
        <v>17</v>
      </c>
      <c r="C17">
        <v>465.858</v>
      </c>
      <c r="D17">
        <v>886.68399999999997</v>
      </c>
      <c r="E17">
        <v>-1399.9860000000001</v>
      </c>
      <c r="G17" s="1" t="s">
        <v>17</v>
      </c>
      <c r="H17">
        <v>466.56099999999998</v>
      </c>
      <c r="I17">
        <v>887.64200000000005</v>
      </c>
      <c r="J17">
        <v>-1400.115</v>
      </c>
      <c r="L17" s="1" t="s">
        <v>36</v>
      </c>
      <c r="M17">
        <v>466.59</v>
      </c>
      <c r="N17">
        <v>887.58100000000002</v>
      </c>
      <c r="O17">
        <v>-1400.146</v>
      </c>
      <c r="Q17">
        <f>without_window__step_3___2_28m___4[[#This Row],[X]]-with_window__step_3___corrected___5[[#This Row],[X]]</f>
        <v>-0.70299999999997453</v>
      </c>
      <c r="R17">
        <f>without_window__step_3___2_28m___4[[#This Row],[Y]]-with_window__step_3___corrected___5[[#This Row],[Y]]</f>
        <v>-0.95800000000008367</v>
      </c>
      <c r="S17">
        <f>without_window__step_3___2_28m___4[[#This Row],[Z]]-with_window__step_3___corrected___5[[#This Row],[Z]]</f>
        <v>0.12899999999990541</v>
      </c>
      <c r="T17">
        <f t="shared" ref="T17:T19" si="4">SQRT(SUMSQ(Q17,R17,S17))</f>
        <v>1.1952464181080402</v>
      </c>
      <c r="V17">
        <f>without_window__step_3___2_28m___4[[#This Row],[X]]-vacuum__step_3___corrected___4[[#This Row],[X]]</f>
        <v>-0.7319999999999709</v>
      </c>
      <c r="W17">
        <f>without_window__step_3___2_28m___4[[#This Row],[Y]]-vacuum__step_3___corrected___4[[#This Row],[Y]]</f>
        <v>-0.8970000000000482</v>
      </c>
      <c r="X17">
        <f>without_window__step_3___2_28m___4[[#This Row],[Z]]-vacuum__step_3___corrected___4[[#This Row],[Z]]</f>
        <v>0.15999999999985448</v>
      </c>
      <c r="Y17">
        <f t="shared" ref="Y17:Y19" si="5">SQRT(SUMSQ(V17,W17,X17))</f>
        <v>1.1687741441356398</v>
      </c>
    </row>
    <row r="18" spans="1:25" x14ac:dyDescent="0.25">
      <c r="B18" s="1" t="s">
        <v>20</v>
      </c>
      <c r="C18">
        <v>464.69900000000001</v>
      </c>
      <c r="D18">
        <v>1026.5899999999999</v>
      </c>
      <c r="E18">
        <v>-1401.2249999999999</v>
      </c>
      <c r="G18" s="1" t="s">
        <v>20</v>
      </c>
      <c r="H18">
        <v>465.41199999999998</v>
      </c>
      <c r="I18">
        <v>1027.453</v>
      </c>
      <c r="J18">
        <v>-1401.2760000000001</v>
      </c>
      <c r="L18" s="1" t="s">
        <v>37</v>
      </c>
      <c r="M18">
        <v>465.43900000000002</v>
      </c>
      <c r="N18">
        <v>1027.3910000000001</v>
      </c>
      <c r="O18">
        <v>-1401.3219999999999</v>
      </c>
      <c r="Q18">
        <f>without_window__step_3___2_28m___4[[#This Row],[X]]-with_window__step_3___corrected___5[[#This Row],[X]]</f>
        <v>-0.71299999999996544</v>
      </c>
      <c r="R18">
        <f>without_window__step_3___2_28m___4[[#This Row],[Y]]-with_window__step_3___corrected___5[[#This Row],[Y]]</f>
        <v>-0.86300000000005639</v>
      </c>
      <c r="S18">
        <f>without_window__step_3___2_28m___4[[#This Row],[Z]]-with_window__step_3___corrected___5[[#This Row],[Z]]</f>
        <v>5.1000000000158252E-2</v>
      </c>
      <c r="T18">
        <f t="shared" si="4"/>
        <v>1.120597608421535</v>
      </c>
      <c r="V18">
        <f>without_window__step_3___2_28m___4[[#This Row],[X]]-vacuum__step_3___corrected___4[[#This Row],[X]]</f>
        <v>-0.74000000000000909</v>
      </c>
      <c r="W18">
        <f>without_window__step_3___2_28m___4[[#This Row],[Y]]-vacuum__step_3___corrected___4[[#This Row],[Y]]</f>
        <v>-0.80100000000015825</v>
      </c>
      <c r="X18">
        <f>without_window__step_3___2_28m___4[[#This Row],[Z]]-vacuum__step_3___corrected___4[[#This Row],[Z]]</f>
        <v>9.6999999999979991E-2</v>
      </c>
      <c r="Y18">
        <f t="shared" si="5"/>
        <v>1.0948104858834078</v>
      </c>
    </row>
    <row r="19" spans="1:25" x14ac:dyDescent="0.25">
      <c r="B19" s="1" t="s">
        <v>23</v>
      </c>
      <c r="C19">
        <v>324.83199999999999</v>
      </c>
      <c r="D19">
        <v>1025.431</v>
      </c>
      <c r="E19">
        <v>-1399.3389999999999</v>
      </c>
      <c r="G19" s="1" t="s">
        <v>23</v>
      </c>
      <c r="H19">
        <v>325.64600000000002</v>
      </c>
      <c r="I19">
        <v>1026.2909999999999</v>
      </c>
      <c r="J19">
        <v>-1399.442</v>
      </c>
      <c r="L19" s="1" t="s">
        <v>38</v>
      </c>
      <c r="M19">
        <v>325.68</v>
      </c>
      <c r="N19">
        <v>1026.2339999999999</v>
      </c>
      <c r="O19">
        <v>-1399.4870000000001</v>
      </c>
      <c r="Q19">
        <f>without_window__step_3___2_28m___4[[#This Row],[X]]-with_window__step_3___corrected___5[[#This Row],[X]]</f>
        <v>-0.81400000000002137</v>
      </c>
      <c r="R19">
        <f>without_window__step_3___2_28m___4[[#This Row],[Y]]-with_window__step_3___corrected___5[[#This Row],[Y]]</f>
        <v>-0.85999999999989996</v>
      </c>
      <c r="S19">
        <f>without_window__step_3___2_28m___4[[#This Row],[Z]]-with_window__step_3___corrected___5[[#This Row],[Z]]</f>
        <v>0.10300000000006548</v>
      </c>
      <c r="T19">
        <f t="shared" si="4"/>
        <v>1.18861473993884</v>
      </c>
      <c r="V19">
        <f>without_window__step_3___2_28m___4[[#This Row],[X]]-vacuum__step_3___corrected___4[[#This Row],[X]]</f>
        <v>-0.84800000000001319</v>
      </c>
      <c r="W19">
        <f>without_window__step_3___2_28m___4[[#This Row],[Y]]-vacuum__step_3___corrected___4[[#This Row],[Y]]</f>
        <v>-0.80299999999988358</v>
      </c>
      <c r="X19">
        <f>without_window__step_3___2_28m___4[[#This Row],[Z]]-vacuum__step_3___corrected___4[[#This Row],[Z]]</f>
        <v>0.14800000000013824</v>
      </c>
      <c r="Y19">
        <f t="shared" si="5"/>
        <v>1.1772072884585265</v>
      </c>
    </row>
    <row r="21" spans="1:25" x14ac:dyDescent="0.25">
      <c r="A21">
        <v>4</v>
      </c>
      <c r="B21" t="s">
        <v>6</v>
      </c>
      <c r="C21" t="s">
        <v>7</v>
      </c>
      <c r="D21" t="s">
        <v>8</v>
      </c>
      <c r="E21" t="s">
        <v>9</v>
      </c>
      <c r="G21" t="s">
        <v>6</v>
      </c>
      <c r="H21" t="s">
        <v>7</v>
      </c>
      <c r="I21" t="s">
        <v>8</v>
      </c>
      <c r="J21" t="s">
        <v>9</v>
      </c>
      <c r="L21" t="s">
        <v>6</v>
      </c>
      <c r="M21" t="s">
        <v>7</v>
      </c>
      <c r="N21" t="s">
        <v>8</v>
      </c>
      <c r="O21" t="s">
        <v>9</v>
      </c>
    </row>
    <row r="22" spans="1:25" x14ac:dyDescent="0.25">
      <c r="B22" s="1" t="s">
        <v>14</v>
      </c>
      <c r="C22">
        <v>324.24900000000002</v>
      </c>
      <c r="D22">
        <v>883.08399999999995</v>
      </c>
      <c r="E22">
        <v>-1690.2460000000001</v>
      </c>
      <c r="G22" s="1" t="s">
        <v>40</v>
      </c>
      <c r="H22">
        <v>325.19</v>
      </c>
      <c r="I22">
        <v>884.16300000000001</v>
      </c>
      <c r="J22">
        <v>-1690.423</v>
      </c>
      <c r="L22" s="1" t="s">
        <v>41</v>
      </c>
      <c r="M22">
        <v>325.23</v>
      </c>
      <c r="N22">
        <v>884.10900000000004</v>
      </c>
      <c r="O22">
        <v>-1690.4739999999999</v>
      </c>
      <c r="Q22">
        <f>without_window__step_4___2_58m___4[[#This Row],[X]]-with_window__step_4___corrected___5[[#This Row],[X]]</f>
        <v>-0.94099999999997408</v>
      </c>
      <c r="R22">
        <f>without_window__step_4___2_58m___4[[#This Row],[Y]]-with_window__step_4___corrected___5[[#This Row],[Y]]</f>
        <v>-1.0790000000000646</v>
      </c>
      <c r="S22">
        <f>without_window__step_4___2_58m___4[[#This Row],[Z]]-with_window__step_4___corrected___5[[#This Row],[Z]]</f>
        <v>0.17699999999990723</v>
      </c>
      <c r="T22">
        <f>SQRT(SUMSQ(Q22,R22,S22))</f>
        <v>1.4425848328608122</v>
      </c>
      <c r="V22">
        <f>without_window__step_4___2_58m___4[[#This Row],[X]]-vacuum__step_4___corrected___4[[#This Row],[X]]</f>
        <v>-0.98099999999999454</v>
      </c>
      <c r="W22">
        <f>without_window__step_4___2_58m___4[[#This Row],[Y]]-vacuum__step_4___corrected___4[[#This Row],[Y]]</f>
        <v>-1.0250000000000909</v>
      </c>
      <c r="X22">
        <f>without_window__step_4___2_58m___4[[#This Row],[Z]]-vacuum__step_4___corrected___4[[#This Row],[Z]]</f>
        <v>0.22799999999983811</v>
      </c>
      <c r="Y22">
        <f>SQRT(SUMSQ(V22,W22,X22))</f>
        <v>1.4370003479471054</v>
      </c>
    </row>
    <row r="23" spans="1:25" x14ac:dyDescent="0.25">
      <c r="B23" s="1" t="s">
        <v>17</v>
      </c>
      <c r="C23">
        <v>464.15800000000002</v>
      </c>
      <c r="D23">
        <v>884.36300000000006</v>
      </c>
      <c r="E23">
        <v>-1692.2</v>
      </c>
      <c r="G23" s="1" t="s">
        <v>42</v>
      </c>
      <c r="H23">
        <v>465.00900000000001</v>
      </c>
      <c r="I23">
        <v>885.45699999999999</v>
      </c>
      <c r="J23">
        <v>-1692.3209999999999</v>
      </c>
      <c r="L23" s="1" t="s">
        <v>43</v>
      </c>
      <c r="M23">
        <v>465.04500000000002</v>
      </c>
      <c r="N23">
        <v>885.39099999999996</v>
      </c>
      <c r="O23">
        <v>-1692.3620000000001</v>
      </c>
      <c r="Q23">
        <f>without_window__step_4___2_58m___4[[#This Row],[X]]-with_window__step_4___corrected___5[[#This Row],[X]]</f>
        <v>-0.85099999999999909</v>
      </c>
      <c r="R23">
        <f>without_window__step_4___2_58m___4[[#This Row],[Y]]-with_window__step_4___corrected___5[[#This Row],[Y]]</f>
        <v>-1.0939999999999372</v>
      </c>
      <c r="S23">
        <f>without_window__step_4___2_58m___4[[#This Row],[Z]]-with_window__step_4___corrected___5[[#This Row],[Z]]</f>
        <v>0.12099999999986721</v>
      </c>
      <c r="T23">
        <f t="shared" ref="T23:T25" si="6">SQRT(SUMSQ(Q23,R23,S23))</f>
        <v>1.3912864550479276</v>
      </c>
      <c r="V23">
        <f>without_window__step_4___2_58m___4[[#This Row],[X]]-vacuum__step_4___corrected___4[[#This Row],[X]]</f>
        <v>-0.88700000000000045</v>
      </c>
      <c r="W23">
        <f>without_window__step_4___2_58m___4[[#This Row],[Y]]-vacuum__step_4___corrected___4[[#This Row],[Y]]</f>
        <v>-1.0279999999999063</v>
      </c>
      <c r="X23">
        <f>without_window__step_4___2_58m___4[[#This Row],[Z]]-vacuum__step_4___corrected___4[[#This Row],[Z]]</f>
        <v>0.16200000000003456</v>
      </c>
      <c r="Y23">
        <f t="shared" ref="Y23:Y25" si="7">SQRT(SUMSQ(V23,W23,X23))</f>
        <v>1.3674052069521381</v>
      </c>
    </row>
    <row r="24" spans="1:25" x14ac:dyDescent="0.25">
      <c r="B24" s="1" t="s">
        <v>20</v>
      </c>
      <c r="C24">
        <v>462.79899999999998</v>
      </c>
      <c r="D24">
        <v>1024.2629999999999</v>
      </c>
      <c r="E24">
        <v>-1693.5219999999999</v>
      </c>
      <c r="G24" s="1" t="s">
        <v>44</v>
      </c>
      <c r="H24">
        <v>463.64800000000002</v>
      </c>
      <c r="I24">
        <v>1025.2760000000001</v>
      </c>
      <c r="J24">
        <v>-1693.5740000000001</v>
      </c>
      <c r="L24" s="1" t="s">
        <v>45</v>
      </c>
      <c r="M24">
        <v>463.69600000000003</v>
      </c>
      <c r="N24">
        <v>1025.2</v>
      </c>
      <c r="O24">
        <v>-1693.6179999999999</v>
      </c>
      <c r="Q24">
        <f>without_window__step_4___2_58m___4[[#This Row],[X]]-with_window__step_4___corrected___5[[#This Row],[X]]</f>
        <v>-0.84900000000004638</v>
      </c>
      <c r="R24">
        <f>without_window__step_4___2_58m___4[[#This Row],[Y]]-with_window__step_4___corrected___5[[#This Row],[Y]]</f>
        <v>-1.0130000000001473</v>
      </c>
      <c r="S24">
        <f>without_window__step_4___2_58m___4[[#This Row],[Z]]-with_window__step_4___corrected___5[[#This Row],[Z]]</f>
        <v>5.2000000000134605E-2</v>
      </c>
      <c r="T24">
        <f t="shared" si="6"/>
        <v>1.3227524333753431</v>
      </c>
      <c r="V24">
        <f>without_window__step_4___2_58m___4[[#This Row],[X]]-vacuum__step_4___corrected___4[[#This Row],[X]]</f>
        <v>-0.8970000000000482</v>
      </c>
      <c r="W24">
        <f>without_window__step_4___2_58m___4[[#This Row],[Y]]-vacuum__step_4___corrected___4[[#This Row],[Y]]</f>
        <v>-0.93700000000012551</v>
      </c>
      <c r="X24">
        <f>without_window__step_4___2_58m___4[[#This Row],[Z]]-vacuum__step_4___corrected___4[[#This Row],[Z]]</f>
        <v>9.6000000000003638E-2</v>
      </c>
      <c r="Y24">
        <f t="shared" si="7"/>
        <v>1.300689816981867</v>
      </c>
    </row>
    <row r="25" spans="1:25" x14ac:dyDescent="0.25">
      <c r="B25" s="1" t="s">
        <v>23</v>
      </c>
      <c r="C25">
        <v>322.93299999999999</v>
      </c>
      <c r="D25">
        <v>1022.899</v>
      </c>
      <c r="E25">
        <v>-1691.606</v>
      </c>
      <c r="G25" s="1" t="s">
        <v>46</v>
      </c>
      <c r="H25">
        <v>323.88799999999998</v>
      </c>
      <c r="I25">
        <v>1023.9</v>
      </c>
      <c r="J25">
        <v>-1691.7159999999999</v>
      </c>
      <c r="L25" s="1" t="s">
        <v>47</v>
      </c>
      <c r="M25">
        <v>323.93200000000002</v>
      </c>
      <c r="N25">
        <v>1023.84</v>
      </c>
      <c r="O25">
        <v>-1691.77</v>
      </c>
      <c r="Q25">
        <f>without_window__step_4___2_58m___4[[#This Row],[X]]-with_window__step_4___corrected___5[[#This Row],[X]]</f>
        <v>-0.95499999999998408</v>
      </c>
      <c r="R25">
        <f>without_window__step_4___2_58m___4[[#This Row],[Y]]-with_window__step_4___corrected___5[[#This Row],[Y]]</f>
        <v>-1.0009999999999764</v>
      </c>
      <c r="S25">
        <f>without_window__step_4___2_58m___4[[#This Row],[Z]]-with_window__step_4___corrected___5[[#This Row],[Z]]</f>
        <v>0.10999999999989996</v>
      </c>
      <c r="T25">
        <f t="shared" si="6"/>
        <v>1.3878494154626071</v>
      </c>
      <c r="V25">
        <f>without_window__step_4___2_58m___4[[#This Row],[X]]-vacuum__step_4___corrected___4[[#This Row],[X]]</f>
        <v>-0.99900000000002365</v>
      </c>
      <c r="W25">
        <f>without_window__step_4___2_58m___4[[#This Row],[Y]]-vacuum__step_4___corrected___4[[#This Row],[Y]]</f>
        <v>-0.94100000000003092</v>
      </c>
      <c r="X25">
        <f>without_window__step_4___2_58m___4[[#This Row],[Z]]-vacuum__step_4___corrected___4[[#This Row],[Z]]</f>
        <v>0.16399999999998727</v>
      </c>
      <c r="Y25">
        <f t="shared" si="7"/>
        <v>1.3821642449434515</v>
      </c>
    </row>
    <row r="27" spans="1:25" x14ac:dyDescent="0.25">
      <c r="A27">
        <v>4.0999999999999996</v>
      </c>
      <c r="B27" t="s">
        <v>6</v>
      </c>
      <c r="C27" t="s">
        <v>7</v>
      </c>
      <c r="D27" t="s">
        <v>8</v>
      </c>
      <c r="E27" t="s">
        <v>9</v>
      </c>
      <c r="G27" t="s">
        <v>6</v>
      </c>
      <c r="H27" t="s">
        <v>7</v>
      </c>
      <c r="I27" t="s">
        <v>8</v>
      </c>
      <c r="J27" t="s">
        <v>9</v>
      </c>
      <c r="L27" t="s">
        <v>6</v>
      </c>
      <c r="M27" t="s">
        <v>7</v>
      </c>
      <c r="N27" t="s">
        <v>8</v>
      </c>
      <c r="O27" t="s">
        <v>9</v>
      </c>
    </row>
    <row r="28" spans="1:25" x14ac:dyDescent="0.25">
      <c r="B28" s="1" t="s">
        <v>14</v>
      </c>
      <c r="C28">
        <v>474.39499999999998</v>
      </c>
      <c r="D28">
        <v>884.30899999999997</v>
      </c>
      <c r="E28">
        <v>-1690.395</v>
      </c>
      <c r="G28" s="1" t="s">
        <v>48</v>
      </c>
      <c r="H28">
        <v>475.226</v>
      </c>
      <c r="I28">
        <v>885.40599999999995</v>
      </c>
      <c r="J28">
        <v>-1690.508</v>
      </c>
      <c r="L28" s="1" t="s">
        <v>49</v>
      </c>
      <c r="M28">
        <v>475.27300000000002</v>
      </c>
      <c r="N28">
        <v>885.34199999999998</v>
      </c>
      <c r="O28">
        <v>-1690.558</v>
      </c>
      <c r="Q28">
        <f>without_window__step_4_1___2_58m___4[[#This Row],[X]]-with_window__step_4_1___corrected___5[[#This Row],[X]]</f>
        <v>-0.83100000000001728</v>
      </c>
      <c r="R28">
        <f>without_window__step_4_1___2_58m___4[[#This Row],[Y]]-with_window__step_4_1___corrected___5[[#This Row],[Y]]</f>
        <v>-1.09699999999998</v>
      </c>
      <c r="S28">
        <f>without_window__step_4_1___2_58m___4[[#This Row],[Z]]-with_window__step_4_1___corrected___5[[#This Row],[Z]]</f>
        <v>0.11300000000005639</v>
      </c>
      <c r="T28">
        <f>SQRT(SUMSQ(Q28,R28,S28))</f>
        <v>1.3808472037122708</v>
      </c>
      <c r="V28">
        <f>without_window__step_4_1___2_58m___4[[#This Row],[X]]-vacuum__step_4_1___corrected___4[[#This Row],[X]]</f>
        <v>-0.87800000000004275</v>
      </c>
      <c r="W28">
        <f>without_window__step_4_1___2_58m___4[[#This Row],[Y]]-vacuum__step_4_1___corrected___4[[#This Row],[Y]]</f>
        <v>-1.0330000000000155</v>
      </c>
      <c r="X28">
        <f>without_window__step_4_1___2_58m___4[[#This Row],[Z]]-vacuum__step_4_1___corrected___4[[#This Row],[Z]]</f>
        <v>0.16300000000001091</v>
      </c>
      <c r="Y28">
        <f>SQRT(SUMSQ(V28,W28,X28))</f>
        <v>1.3654823323646887</v>
      </c>
    </row>
    <row r="29" spans="1:25" x14ac:dyDescent="0.25">
      <c r="B29" s="1" t="s">
        <v>17</v>
      </c>
      <c r="C29">
        <v>614.30399999999997</v>
      </c>
      <c r="D29">
        <v>885.524</v>
      </c>
      <c r="E29">
        <v>-1692.25</v>
      </c>
      <c r="G29" s="1" t="s">
        <v>50</v>
      </c>
      <c r="H29">
        <v>615.053</v>
      </c>
      <c r="I29">
        <v>886.63099999999997</v>
      </c>
      <c r="J29">
        <v>-1692.317</v>
      </c>
      <c r="L29" s="1" t="s">
        <v>51</v>
      </c>
      <c r="M29">
        <v>615.07899999999995</v>
      </c>
      <c r="N29">
        <v>886.56600000000003</v>
      </c>
      <c r="O29">
        <v>-1692.36</v>
      </c>
      <c r="Q29">
        <f>without_window__step_4_1___2_58m___4[[#This Row],[X]]-with_window__step_4_1___corrected___5[[#This Row],[X]]</f>
        <v>-0.74900000000002365</v>
      </c>
      <c r="R29">
        <f>without_window__step_4_1___2_58m___4[[#This Row],[Y]]-with_window__step_4_1___corrected___5[[#This Row],[Y]]</f>
        <v>-1.1069999999999709</v>
      </c>
      <c r="S29">
        <f>without_window__step_4_1___2_58m___4[[#This Row],[Z]]-with_window__step_4_1___corrected___5[[#This Row],[Z]]</f>
        <v>6.7000000000007276E-2</v>
      </c>
      <c r="T29">
        <f t="shared" ref="T29:T31" si="8">SQRT(SUMSQ(Q29,R29,S29))</f>
        <v>1.3382596907924755</v>
      </c>
      <c r="V29">
        <f>without_window__step_4_1___2_58m___4[[#This Row],[X]]-vacuum__step_4_1___corrected___4[[#This Row],[X]]</f>
        <v>-0.77499999999997726</v>
      </c>
      <c r="W29">
        <f>without_window__step_4_1___2_58m___4[[#This Row],[Y]]-vacuum__step_4_1___corrected___4[[#This Row],[Y]]</f>
        <v>-1.04200000000003</v>
      </c>
      <c r="X29">
        <f>without_window__step_4_1___2_58m___4[[#This Row],[Z]]-vacuum__step_4_1___corrected___4[[#This Row],[Z]]</f>
        <v>0.10999999999989996</v>
      </c>
      <c r="Y29">
        <f t="shared" ref="Y29:Y31" si="9">SQRT(SUMSQ(V29,W29,X29))</f>
        <v>1.3032609101787735</v>
      </c>
    </row>
    <row r="30" spans="1:25" x14ac:dyDescent="0.25">
      <c r="B30" s="1" t="s">
        <v>20</v>
      </c>
      <c r="C30">
        <v>613.01099999999997</v>
      </c>
      <c r="D30">
        <v>1025.422</v>
      </c>
      <c r="E30">
        <v>-1693.4259999999999</v>
      </c>
      <c r="G30" s="1" t="s">
        <v>52</v>
      </c>
      <c r="H30">
        <v>613.76700000000005</v>
      </c>
      <c r="I30">
        <v>1026.444</v>
      </c>
      <c r="J30">
        <v>-1693.422</v>
      </c>
      <c r="L30" s="1" t="s">
        <v>53</v>
      </c>
      <c r="M30">
        <v>613.80200000000002</v>
      </c>
      <c r="N30">
        <v>1026.3689999999999</v>
      </c>
      <c r="O30">
        <v>-1693.4780000000001</v>
      </c>
      <c r="Q30">
        <f>without_window__step_4_1___2_58m___4[[#This Row],[X]]-with_window__step_4_1___corrected___5[[#This Row],[X]]</f>
        <v>-0.75600000000008549</v>
      </c>
      <c r="R30">
        <f>without_window__step_4_1___2_58m___4[[#This Row],[Y]]-with_window__step_4_1___corrected___5[[#This Row],[Y]]</f>
        <v>-1.0219999999999345</v>
      </c>
      <c r="S30">
        <f>without_window__step_4_1___2_58m___4[[#This Row],[Z]]-with_window__step_4_1___corrected___5[[#This Row],[Z]]</f>
        <v>-3.9999999999054126E-3</v>
      </c>
      <c r="T30">
        <f t="shared" si="8"/>
        <v>1.2712340461142451</v>
      </c>
      <c r="V30">
        <f>without_window__step_4_1___2_58m___4[[#This Row],[X]]-vacuum__step_4_1___corrected___4[[#This Row],[X]]</f>
        <v>-0.79100000000005366</v>
      </c>
      <c r="W30">
        <f>without_window__step_4_1___2_58m___4[[#This Row],[Y]]-vacuum__step_4_1___corrected___4[[#This Row],[Y]]</f>
        <v>-0.94699999999988904</v>
      </c>
      <c r="X30">
        <f>without_window__step_4_1___2_58m___4[[#This Row],[Z]]-vacuum__step_4_1___corrected___4[[#This Row],[Z]]</f>
        <v>5.2000000000134605E-2</v>
      </c>
      <c r="Y30">
        <f t="shared" si="9"/>
        <v>1.2349874493288944</v>
      </c>
    </row>
    <row r="31" spans="1:25" x14ac:dyDescent="0.25">
      <c r="B31" s="1" t="s">
        <v>23</v>
      </c>
      <c r="C31">
        <v>473.15899999999999</v>
      </c>
      <c r="D31">
        <v>1024.1379999999999</v>
      </c>
      <c r="E31">
        <v>-1691.6089999999999</v>
      </c>
      <c r="G31" s="1" t="s">
        <v>54</v>
      </c>
      <c r="H31">
        <v>473.98700000000002</v>
      </c>
      <c r="I31">
        <v>1025.143</v>
      </c>
      <c r="J31">
        <v>-1691.654</v>
      </c>
      <c r="L31" s="1" t="s">
        <v>55</v>
      </c>
      <c r="M31">
        <v>474.04199999999997</v>
      </c>
      <c r="N31">
        <v>1025.078</v>
      </c>
      <c r="O31">
        <v>-1691.7070000000001</v>
      </c>
      <c r="Q31">
        <f>without_window__step_4_1___2_58m___4[[#This Row],[X]]-with_window__step_4_1___corrected___5[[#This Row],[X]]</f>
        <v>-0.82800000000003138</v>
      </c>
      <c r="R31">
        <f>without_window__step_4_1___2_58m___4[[#This Row],[Y]]-with_window__step_4_1___corrected___5[[#This Row],[Y]]</f>
        <v>-1.0050000000001091</v>
      </c>
      <c r="S31">
        <f>without_window__step_4_1___2_58m___4[[#This Row],[Z]]-with_window__step_4_1___corrected___5[[#This Row],[Z]]</f>
        <v>4.500000000007276E-2</v>
      </c>
      <c r="T31">
        <f t="shared" si="8"/>
        <v>1.3029328455451101</v>
      </c>
      <c r="V31">
        <f>without_window__step_4_1___2_58m___4[[#This Row],[X]]-vacuum__step_4_1___corrected___4[[#This Row],[X]]</f>
        <v>-0.88299999999998136</v>
      </c>
      <c r="W31">
        <f>without_window__step_4_1___2_58m___4[[#This Row],[Y]]-vacuum__step_4_1___corrected___4[[#This Row],[Y]]</f>
        <v>-0.94000000000005457</v>
      </c>
      <c r="X31">
        <f>without_window__step_4_1___2_58m___4[[#This Row],[Z]]-vacuum__step_4_1___corrected___4[[#This Row],[Z]]</f>
        <v>9.8000000000183718E-2</v>
      </c>
      <c r="Y31">
        <f t="shared" si="9"/>
        <v>1.2934036492913206</v>
      </c>
    </row>
    <row r="33" spans="1:25" x14ac:dyDescent="0.25">
      <c r="A33">
        <v>5</v>
      </c>
      <c r="B33" t="s">
        <v>6</v>
      </c>
      <c r="C33" t="s">
        <v>7</v>
      </c>
      <c r="D33" t="s">
        <v>8</v>
      </c>
      <c r="E33" t="s">
        <v>9</v>
      </c>
      <c r="G33" t="s">
        <v>6</v>
      </c>
      <c r="H33" t="s">
        <v>7</v>
      </c>
      <c r="I33" t="s">
        <v>8</v>
      </c>
      <c r="J33" t="s">
        <v>9</v>
      </c>
      <c r="L33" t="s">
        <v>6</v>
      </c>
      <c r="M33" t="s">
        <v>7</v>
      </c>
      <c r="N33" t="s">
        <v>8</v>
      </c>
      <c r="O33" t="s">
        <v>9</v>
      </c>
    </row>
    <row r="34" spans="1:25" x14ac:dyDescent="0.25">
      <c r="B34" s="1" t="s">
        <v>14</v>
      </c>
      <c r="C34">
        <v>322.41000000000003</v>
      </c>
      <c r="D34">
        <v>880.298</v>
      </c>
      <c r="E34">
        <v>-1982.1279999999999</v>
      </c>
      <c r="G34" s="1" t="s">
        <v>14</v>
      </c>
      <c r="H34">
        <v>323.49</v>
      </c>
      <c r="I34">
        <v>881.52700000000004</v>
      </c>
      <c r="J34">
        <v>-1982.306</v>
      </c>
      <c r="L34" s="1" t="s">
        <v>56</v>
      </c>
      <c r="M34">
        <v>323.52800000000002</v>
      </c>
      <c r="N34">
        <v>881.45500000000004</v>
      </c>
      <c r="O34">
        <v>-1982.357</v>
      </c>
      <c r="Q34">
        <f>without_window__step_5___2_87m___4[[#This Row],[X]]-with_window__step_5___corrected___5[[#This Row],[X]]</f>
        <v>-1.0799999999999841</v>
      </c>
      <c r="R34">
        <f>without_window__step_5___2_87m___4[[#This Row],[Y]]-with_window__step_5___corrected___5[[#This Row],[Y]]</f>
        <v>-1.2290000000000418</v>
      </c>
      <c r="S34">
        <f>without_window__step_5___2_87m___4[[#This Row],[Z]]-with_window__step_5___corrected___5[[#This Row],[Z]]</f>
        <v>0.17800000000011096</v>
      </c>
      <c r="T34">
        <f>SQRT(SUMSQ(Q34,R34,S34))</f>
        <v>1.6457597029943671</v>
      </c>
      <c r="V34">
        <f>without_window__step_5___2_87m___4[[#This Row],[X]]-vacuum__step_5___corrected___5[[#This Row],[X]]</f>
        <v>-1.117999999999995</v>
      </c>
      <c r="W34">
        <f>without_window__step_5___2_87m___4[[#This Row],[Y]]-vacuum__step_5___corrected___5[[#This Row],[Y]]</f>
        <v>-1.1570000000000391</v>
      </c>
      <c r="X34">
        <f>without_window__step_5___2_87m___4[[#This Row],[Z]]-vacuum__step_5___corrected___5[[#This Row],[Z]]</f>
        <v>0.22900000000004184</v>
      </c>
      <c r="Y34">
        <f>SQRT(SUMSQ(V34,W34,X34))</f>
        <v>1.6251196878999707</v>
      </c>
    </row>
    <row r="35" spans="1:25" x14ac:dyDescent="0.25">
      <c r="B35" s="1" t="s">
        <v>17</v>
      </c>
      <c r="C35">
        <v>462.31900000000002</v>
      </c>
      <c r="D35">
        <v>881.82899999999995</v>
      </c>
      <c r="E35">
        <v>-1984.076</v>
      </c>
      <c r="G35" s="1" t="s">
        <v>17</v>
      </c>
      <c r="H35">
        <v>463.30099999999999</v>
      </c>
      <c r="I35">
        <v>883.07299999999998</v>
      </c>
      <c r="J35">
        <v>-1984.194</v>
      </c>
      <c r="L35" s="1" t="s">
        <v>57</v>
      </c>
      <c r="M35">
        <v>463.339</v>
      </c>
      <c r="N35">
        <v>882.99699999999996</v>
      </c>
      <c r="O35">
        <v>-1984.2439999999999</v>
      </c>
      <c r="Q35">
        <f>without_window__step_5___2_87m___4[[#This Row],[X]]-with_window__step_5___corrected___5[[#This Row],[X]]</f>
        <v>-0.9819999999999709</v>
      </c>
      <c r="R35">
        <f>without_window__step_5___2_87m___4[[#This Row],[Y]]-with_window__step_5___corrected___5[[#This Row],[Y]]</f>
        <v>-1.2440000000000282</v>
      </c>
      <c r="S35">
        <f>without_window__step_5___2_87m___4[[#This Row],[Z]]-with_window__step_5___corrected___5[[#This Row],[Z]]</f>
        <v>0.11799999999993815</v>
      </c>
      <c r="T35">
        <f t="shared" ref="T35:T37" si="10">SQRT(SUMSQ(Q35,R35,S35))</f>
        <v>1.5892715312368741</v>
      </c>
      <c r="V35">
        <f>without_window__step_5___2_87m___4[[#This Row],[X]]-vacuum__step_5___corrected___5[[#This Row],[X]]</f>
        <v>-1.0199999999999818</v>
      </c>
      <c r="W35">
        <f>without_window__step_5___2_87m___4[[#This Row],[Y]]-vacuum__step_5___corrected___5[[#This Row],[Y]]</f>
        <v>-1.1680000000000064</v>
      </c>
      <c r="X35">
        <f>without_window__step_5___2_87m___4[[#This Row],[Z]]-vacuum__step_5___corrected___5[[#This Row],[Z]]</f>
        <v>0.16799999999989268</v>
      </c>
      <c r="Y35">
        <f t="shared" ref="Y35:Y37" si="11">SQRT(SUMSQ(V35,W35,X35))</f>
        <v>1.5597589557364118</v>
      </c>
    </row>
    <row r="36" spans="1:25" x14ac:dyDescent="0.25">
      <c r="B36" s="1" t="s">
        <v>20</v>
      </c>
      <c r="C36">
        <v>460.71</v>
      </c>
      <c r="D36">
        <v>1021.723</v>
      </c>
      <c r="E36">
        <v>-1985.3910000000001</v>
      </c>
      <c r="G36" s="1" t="s">
        <v>20</v>
      </c>
      <c r="H36">
        <v>461.69400000000002</v>
      </c>
      <c r="I36">
        <v>1022.883</v>
      </c>
      <c r="J36">
        <v>-1985.4449999999999</v>
      </c>
      <c r="L36" s="1" t="s">
        <v>58</v>
      </c>
      <c r="M36">
        <v>461.738</v>
      </c>
      <c r="N36">
        <v>1022.804</v>
      </c>
      <c r="O36">
        <v>-1985.499</v>
      </c>
      <c r="Q36">
        <f>without_window__step_5___2_87m___4[[#This Row],[X]]-with_window__step_5___corrected___5[[#This Row],[X]]</f>
        <v>-0.98400000000003729</v>
      </c>
      <c r="R36">
        <f>without_window__step_5___2_87m___4[[#This Row],[Y]]-with_window__step_5___corrected___5[[#This Row],[Y]]</f>
        <v>-1.1600000000000819</v>
      </c>
      <c r="S36">
        <f>without_window__step_5___2_87m___4[[#This Row],[Z]]-with_window__step_5___corrected___5[[#This Row],[Z]]</f>
        <v>5.3999999999859938E-2</v>
      </c>
      <c r="T36">
        <f t="shared" si="10"/>
        <v>1.5220946094117305</v>
      </c>
      <c r="V36">
        <f>without_window__step_5___2_87m___4[[#This Row],[X]]-vacuum__step_5___corrected___5[[#This Row],[X]]</f>
        <v>-1.02800000000002</v>
      </c>
      <c r="W36">
        <f>without_window__step_5___2_87m___4[[#This Row],[Y]]-vacuum__step_5___corrected___5[[#This Row],[Y]]</f>
        <v>-1.0810000000000173</v>
      </c>
      <c r="X36">
        <f>without_window__step_5___2_87m___4[[#This Row],[Z]]-vacuum__step_5___corrected___5[[#This Row],[Z]]</f>
        <v>0.10799999999994725</v>
      </c>
      <c r="Y36">
        <f t="shared" si="11"/>
        <v>1.4956633979609406</v>
      </c>
    </row>
    <row r="37" spans="1:25" x14ac:dyDescent="0.25">
      <c r="B37" s="1" t="s">
        <v>23</v>
      </c>
      <c r="C37">
        <v>320.839</v>
      </c>
      <c r="D37">
        <v>1020.117</v>
      </c>
      <c r="E37">
        <v>-1983.4829999999999</v>
      </c>
      <c r="G37" s="1" t="s">
        <v>23</v>
      </c>
      <c r="H37">
        <v>321.923</v>
      </c>
      <c r="I37">
        <v>1021.266</v>
      </c>
      <c r="J37">
        <v>-1983.597</v>
      </c>
      <c r="L37" s="1" t="s">
        <v>59</v>
      </c>
      <c r="M37">
        <v>321.96699999999998</v>
      </c>
      <c r="N37">
        <v>1021.186</v>
      </c>
      <c r="O37">
        <v>-1983.6510000000001</v>
      </c>
      <c r="Q37">
        <f>without_window__step_5___2_87m___4[[#This Row],[X]]-with_window__step_5___corrected___5[[#This Row],[X]]</f>
        <v>-1.0840000000000032</v>
      </c>
      <c r="R37">
        <f>without_window__step_5___2_87m___4[[#This Row],[Y]]-with_window__step_5___corrected___5[[#This Row],[Y]]</f>
        <v>-1.1490000000000009</v>
      </c>
      <c r="S37">
        <f>without_window__step_5___2_87m___4[[#This Row],[Z]]-with_window__step_5___corrected___5[[#This Row],[Z]]</f>
        <v>0.11400000000003274</v>
      </c>
      <c r="T37">
        <f t="shared" si="10"/>
        <v>1.5837465074941812</v>
      </c>
      <c r="V37">
        <f>without_window__step_5___2_87m___4[[#This Row],[X]]-vacuum__step_5___corrected___5[[#This Row],[X]]</f>
        <v>-1.1279999999999859</v>
      </c>
      <c r="W37">
        <f>without_window__step_5___2_87m___4[[#This Row],[Y]]-vacuum__step_5___corrected___5[[#This Row],[Y]]</f>
        <v>-1.0690000000000737</v>
      </c>
      <c r="X37">
        <f>without_window__step_5___2_87m___4[[#This Row],[Z]]-vacuum__step_5___corrected___5[[#This Row],[Z]]</f>
        <v>0.16800000000012005</v>
      </c>
      <c r="Y37">
        <f t="shared" si="11"/>
        <v>1.563127953815735</v>
      </c>
    </row>
    <row r="39" spans="1:25" x14ac:dyDescent="0.25">
      <c r="A39">
        <v>5.0999999999999996</v>
      </c>
      <c r="B39" t="s">
        <v>6</v>
      </c>
      <c r="C39" t="s">
        <v>7</v>
      </c>
      <c r="D39" t="s">
        <v>8</v>
      </c>
      <c r="E39" t="s">
        <v>9</v>
      </c>
      <c r="G39" t="s">
        <v>6</v>
      </c>
      <c r="H39" t="s">
        <v>7</v>
      </c>
      <c r="I39" t="s">
        <v>8</v>
      </c>
      <c r="J39" t="s">
        <v>9</v>
      </c>
      <c r="L39" t="s">
        <v>6</v>
      </c>
      <c r="M39" t="s">
        <v>7</v>
      </c>
      <c r="N39" t="s">
        <v>8</v>
      </c>
      <c r="O39" t="s">
        <v>9</v>
      </c>
    </row>
    <row r="40" spans="1:25" x14ac:dyDescent="0.25">
      <c r="B40" s="1" t="s">
        <v>14</v>
      </c>
      <c r="C40">
        <v>472.50799999999998</v>
      </c>
      <c r="D40">
        <v>881.78300000000002</v>
      </c>
      <c r="E40">
        <v>-1982.222</v>
      </c>
      <c r="G40" s="1" t="s">
        <v>60</v>
      </c>
      <c r="H40">
        <v>473.48500000000001</v>
      </c>
      <c r="I40">
        <v>883.029</v>
      </c>
      <c r="J40">
        <v>-1982.336</v>
      </c>
      <c r="L40" s="1" t="s">
        <v>61</v>
      </c>
      <c r="M40">
        <v>473.54</v>
      </c>
      <c r="N40">
        <v>882.94500000000005</v>
      </c>
      <c r="O40">
        <v>-1982.385</v>
      </c>
      <c r="Q40">
        <f>without_window__step_5_1___2_87m___4[[#This Row],[X]]-with_window__step_5_1___corrected___5[[#This Row],[X]]</f>
        <v>-0.97700000000003229</v>
      </c>
      <c r="R40">
        <f>without_window__step_5_1___2_87m___4[[#This Row],[Y]]-with_window__step_5_1___corrected___5[[#This Row],[Y]]</f>
        <v>-1.2459999999999809</v>
      </c>
      <c r="S40">
        <f>without_window__step_5_1___2_87m___4[[#This Row],[Z]]-with_window__step_5_1___corrected___5[[#This Row],[Z]]</f>
        <v>0.11400000000003274</v>
      </c>
      <c r="T40">
        <f>SQRT(SUMSQ(R40,Q40,S40))</f>
        <v>1.5874637003723968</v>
      </c>
      <c r="V40">
        <f>without_window__step_5_1___2_87m___4[[#This Row],[X]]-vacuum__step_5_1___corrected___4[[#This Row],[X]]</f>
        <v>-1.0320000000000391</v>
      </c>
      <c r="W40">
        <f>without_window__step_5_1___2_87m___4[[#This Row],[Y]]-vacuum__step_5_1___corrected___4[[#This Row],[Y]]</f>
        <v>-1.1620000000000346</v>
      </c>
      <c r="X40">
        <f>without_window__step_5_1___2_87m___4[[#This Row],[Z]]-vacuum__step_5_1___corrected___4[[#This Row],[Z]]</f>
        <v>0.16300000000001091</v>
      </c>
      <c r="Y40">
        <f>SQRT(SUMSQ(V40,W40,X40))</f>
        <v>1.5626378339206319</v>
      </c>
    </row>
    <row r="41" spans="1:25" x14ac:dyDescent="0.25">
      <c r="B41" s="1" t="s">
        <v>17</v>
      </c>
      <c r="C41">
        <v>612.41700000000003</v>
      </c>
      <c r="D41">
        <v>883.26099999999997</v>
      </c>
      <c r="E41">
        <v>-1984.0650000000001</v>
      </c>
      <c r="G41" s="1" t="s">
        <v>62</v>
      </c>
      <c r="H41">
        <v>613.30600000000004</v>
      </c>
      <c r="I41">
        <v>884.51400000000001</v>
      </c>
      <c r="J41">
        <v>-1984.1289999999999</v>
      </c>
      <c r="L41" s="1" t="s">
        <v>63</v>
      </c>
      <c r="M41">
        <v>613.35599999999999</v>
      </c>
      <c r="N41">
        <v>884.42499999999995</v>
      </c>
      <c r="O41">
        <v>-1984.1790000000001</v>
      </c>
      <c r="Q41">
        <f>without_window__step_5_1___2_87m___4[[#This Row],[X]]-with_window__step_5_1___corrected___5[[#This Row],[X]]</f>
        <v>-0.88900000000001</v>
      </c>
      <c r="R41">
        <f>without_window__step_5_1___2_87m___4[[#This Row],[Y]]-with_window__step_5_1___corrected___5[[#This Row],[Y]]</f>
        <v>-1.2530000000000427</v>
      </c>
      <c r="S41">
        <f>without_window__step_5_1___2_87m___4[[#This Row],[Z]]-with_window__step_5_1___corrected___5[[#This Row],[Z]]</f>
        <v>6.3999999999850843E-2</v>
      </c>
      <c r="T41">
        <f t="shared" ref="T41:T43" si="12">SQRT(SUMSQ(R41,Q41,S41))</f>
        <v>1.5376690151004884</v>
      </c>
      <c r="V41">
        <f>without_window__step_5_1___2_87m___4[[#This Row],[X]]-vacuum__step_5_1___corrected___4[[#This Row],[X]]</f>
        <v>-0.93899999999996453</v>
      </c>
      <c r="W41">
        <f>without_window__step_5_1___2_87m___4[[#This Row],[Y]]-vacuum__step_5_1___corrected___4[[#This Row],[Y]]</f>
        <v>-1.1639999999999873</v>
      </c>
      <c r="X41">
        <f>without_window__step_5_1___2_87m___4[[#This Row],[Z]]-vacuum__step_5_1___corrected___4[[#This Row],[Z]]</f>
        <v>0.11400000000003274</v>
      </c>
      <c r="Y41">
        <f t="shared" ref="Y41:Y43" si="13">SQRT(SUMSQ(V41,W41,X41))</f>
        <v>1.4998709944524933</v>
      </c>
    </row>
    <row r="42" spans="1:25" x14ac:dyDescent="0.25">
      <c r="B42" s="1" t="s">
        <v>20</v>
      </c>
      <c r="C42">
        <v>610.86900000000003</v>
      </c>
      <c r="D42">
        <v>1023.154</v>
      </c>
      <c r="E42">
        <v>-1985.2190000000001</v>
      </c>
      <c r="G42" s="1" t="s">
        <v>64</v>
      </c>
      <c r="H42">
        <v>611.75900000000001</v>
      </c>
      <c r="I42">
        <v>1024.329</v>
      </c>
      <c r="J42">
        <v>-1985.2149999999999</v>
      </c>
      <c r="L42" s="1" t="s">
        <v>65</v>
      </c>
      <c r="M42">
        <v>611.80700000000002</v>
      </c>
      <c r="N42">
        <v>1024.232</v>
      </c>
      <c r="O42">
        <v>-1985.269</v>
      </c>
      <c r="Q42">
        <f>without_window__step_5_1___2_87m___4[[#This Row],[X]]-with_window__step_5_1___corrected___5[[#This Row],[X]]</f>
        <v>-0.88999999999998636</v>
      </c>
      <c r="R42">
        <f>without_window__step_5_1___2_87m___4[[#This Row],[Y]]-with_window__step_5_1___corrected___5[[#This Row],[Y]]</f>
        <v>-1.1749999999999545</v>
      </c>
      <c r="S42">
        <f>without_window__step_5_1___2_87m___4[[#This Row],[Z]]-with_window__step_5_1___corrected___5[[#This Row],[Z]]</f>
        <v>-4.0000000001327862E-3</v>
      </c>
      <c r="T42">
        <f t="shared" si="12"/>
        <v>1.474022048681725</v>
      </c>
      <c r="V42">
        <f>without_window__step_5_1___2_87m___4[[#This Row],[X]]-vacuum__step_5_1___corrected___4[[#This Row],[X]]</f>
        <v>-0.93799999999998818</v>
      </c>
      <c r="W42">
        <f>without_window__step_5_1___2_87m___4[[#This Row],[Y]]-vacuum__step_5_1___corrected___4[[#This Row],[Y]]</f>
        <v>-1.0779999999999745</v>
      </c>
      <c r="X42">
        <f>without_window__step_5_1___2_87m___4[[#This Row],[Z]]-vacuum__step_5_1___corrected___4[[#This Row],[Z]]</f>
        <v>4.9999999999954525E-2</v>
      </c>
      <c r="Y42">
        <f t="shared" si="13"/>
        <v>1.4298349555105718</v>
      </c>
    </row>
    <row r="43" spans="1:25" x14ac:dyDescent="0.25">
      <c r="B43" s="1" t="s">
        <v>23</v>
      </c>
      <c r="C43">
        <v>471.012</v>
      </c>
      <c r="D43">
        <v>1021.596</v>
      </c>
      <c r="E43">
        <v>-1983.415</v>
      </c>
      <c r="G43" s="1" t="s">
        <v>66</v>
      </c>
      <c r="H43">
        <v>471.98700000000002</v>
      </c>
      <c r="I43">
        <v>1022.764</v>
      </c>
      <c r="J43">
        <v>-1983.452</v>
      </c>
      <c r="L43" s="1" t="s">
        <v>67</v>
      </c>
      <c r="M43">
        <v>472.05500000000001</v>
      </c>
      <c r="N43">
        <v>1022.688</v>
      </c>
      <c r="O43">
        <v>-1983.5129999999999</v>
      </c>
      <c r="Q43">
        <f>without_window__step_5_1___2_87m___4[[#This Row],[X]]-with_window__step_5_1___corrected___5[[#This Row],[X]]</f>
        <v>-0.97500000000002274</v>
      </c>
      <c r="R43">
        <f>without_window__step_5_1___2_87m___4[[#This Row],[Y]]-with_window__step_5_1___corrected___5[[#This Row],[Y]]</f>
        <v>-1.1680000000000064</v>
      </c>
      <c r="S43">
        <f>without_window__step_5_1___2_87m___4[[#This Row],[Z]]-with_window__step_5_1___corrected___5[[#This Row],[Z]]</f>
        <v>3.7000000000034561E-2</v>
      </c>
      <c r="T43">
        <f t="shared" si="12"/>
        <v>1.5219126124715774</v>
      </c>
      <c r="V43">
        <f>without_window__step_5_1___2_87m___4[[#This Row],[X]]-vacuum__step_5_1___corrected___4[[#This Row],[X]]</f>
        <v>-1.0430000000000064</v>
      </c>
      <c r="W43">
        <f>without_window__step_5_1___2_87m___4[[#This Row],[Y]]-vacuum__step_5_1___corrected___4[[#This Row],[Y]]</f>
        <v>-1.0919999999999845</v>
      </c>
      <c r="X43">
        <f>without_window__step_5_1___2_87m___4[[#This Row],[Z]]-vacuum__step_5_1___corrected___4[[#This Row],[Z]]</f>
        <v>9.7999999999956344E-2</v>
      </c>
      <c r="Y43">
        <f t="shared" si="13"/>
        <v>1.5132471708217303</v>
      </c>
    </row>
  </sheetData>
  <pageMargins left="0.7" right="0.7" top="0.75" bottom="0.75" header="0.3" footer="0.3"/>
  <drawing r:id="rId1"/>
  <tableParts count="2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4AF4BFE96BAB148AA4508F5076D66E3" ma:contentTypeVersion="12" ma:contentTypeDescription="Ein neues Dokument erstellen." ma:contentTypeScope="" ma:versionID="98cb5e40a8348e558c90dab60031c013">
  <xsd:schema xmlns:xsd="http://www.w3.org/2001/XMLSchema" xmlns:xs="http://www.w3.org/2001/XMLSchema" xmlns:p="http://schemas.microsoft.com/office/2006/metadata/properties" xmlns:ns2="e7e5f41c-2c07-483d-a801-c0c806150947" xmlns:ns3="ae693d3e-5c55-41b7-9d87-3e7e4c5a91e4" targetNamespace="http://schemas.microsoft.com/office/2006/metadata/properties" ma:root="true" ma:fieldsID="bb0bc18d88064477d5fdc3671838708b" ns2:_="" ns3:_="">
    <xsd:import namespace="e7e5f41c-2c07-483d-a801-c0c806150947"/>
    <xsd:import namespace="ae693d3e-5c55-41b7-9d87-3e7e4c5a91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e5f41c-2c07-483d-a801-c0c8061509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693d3e-5c55-41b7-9d87-3e7e4c5a91e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J U J A A B Q S w M E F A A C A A g A 5 G x L U v l U R z q k A A A A 9 Q A A A B I A H A B D b 2 5 m a W c v U G F j a 2 F n Z S 5 4 b W w g o h g A K K A U A A A A A A A A A A A A A A A A A A A A A A A A A A A A h Y + x D o I w G I R f h X S n L X U h 5 K c k O r h I Y m J i X B u o 0 A g / h h b L u z n 4 S L 6 C G E X d H O + + u + T u f r 1 B N r Z N c N G 9 N R 2 m J K K c B B q L r j R Y p W R w x z A m m Y S t K k 6 q 0 s E U R p u M 1 q S k d u 6 c M O a 9 p 3 5 B u 7 5 i g v O I H f L N r q h 1 q 0 K D 1 i k s N P m 0 y v 8 t I m H / G i M F j W M q + D Q J 2 O x B b v D L x c S e 9 M e E 1 d C 4 o d d S Y 7 h e A p s l s P c F + Q B Q S w M E F A A C A A g A 5 G x L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R s S 1 I 9 o 5 w Q j w Y A A L A K A Q A T A B w A R m 9 y b X V s Y X M v U 2 V j d G l v b j E u b S C i G A A o o B Q A A A A A A A A A A A A A A A A A A A A A A A A A A A D t n c F v 2 k g U x u + R 8 j + M 6 A U k Z A m D t 2 l X H F a k e 9 q u d p e o P S w 9 u D A p 1 o I d 2 a Z p V f V / 3 w G S D Q m m z P h N x v P Y L 5 c E O + C B 3 x v b 3 3 v f G w o 5 L Z M s F e P t 7 9 7 P 5 2 f n Z 8 U 8 z u V M v G j d J u U 8 W 5 X i N k l n 2 a 1 o F 6 W 8 E b 2 O a P f E y 2 W n J Y Z i I c v z M 6 F + x t k q n 0 q 1 Z V R 8 D i 6 z 6 W o p 0 7 L 9 a 7 K Q w S h L S / W g a L c u X 0 / e x u p F c l H O Z Z E U k 7 d / v B G / x Y X a c J X H 0 3 / U 7 6 W M i 1 U u 1 8 8 W s 7 i M J + 8 f j W H y P s s X M 3 G d x 0 s 5 G c V 5 q V 4 m T s U 0 y / J Z k s b q 4 e T w o A M 1 6 K D 8 U r Y 6 3 b 8 v 5 S J Z J m o o w 1 a 3 1 R W j b L F a p s V w 0 B V v 0 m m m X u v T s B d G Y V f 8 u c p K O S 6 / L u T w 4 c / g 9 y y V H z r d 7 X t / 0 R r N 4 / S T + s i u v t 7 I 9 c d y F X 9 U / 6 T e U 1 p c Z / l y + + r r n U V 7 + 0 F 1 v 3 1 r b b f 2 1 N F L t U e U 8 k v 5 v S v u t 4 f 3 2 9 P V 8 q P M d / b 0 D + 4 Z P N n z v X N + l q S V g z Q B L d o h Y J 8 4 7 H A D + 9 U r X t N 6 M + p g P W q g 1 k b d X 0 9 o E V 7 w Q r 0 Z d b A e N V B r o x 5 s U E f M U G 9 G H U R A b Y R 6 c 9 l j C D v o A b c 5 7 m g D + 4 L Z b f h m 1 M E F b s 2 M U N / N b H a w 7 2 Y 2 c B / C v f 6 c 9 6 X L N M t z J c f l z C H t / 0 b x c H A N 7 M f G D + q H J v m + j O F D / d j 4 Q V 2 P e p 8 5 9 T 6 o 1 6 A + Y E 5 9 A O p 1 q D O 7 s l e 8 g w D X 9 j r k I + b c I 1 C v Q 5 3 9 f I 8 w 3 z X I f 4 6 n q 9 W y Q f H 2 7 m 4 A h 2 k X e 7 g n P x g 1 M B / F 3 I R a o 2 O G R j P E 3 I Q 8 o 2 O G K D P E 3 I Q e o 2 O G C j P F z P T q D N l l j L o J x U U H D Z 1 F w u z O o w b U 7 l E z P X l D Q 9 s w n / a b r 3 q P b + Y y T 6 b x A u b T 5 4 D 9 Y D 7 1 w m p s Q B s G V J I B l R t u m F B J J l R u u G F E J R p R 2 Q G H G Z V m R u U G H I Z U o i G V H X C Y U o m m V L f E j 5 W z q 9 H D m G r H x h C y I w 9 z q h 3 y / R M g j 1 o o 3 a D K k z z K o z Z M q k z Z I + l u w a j K k z 0 q a z b M q k z Z Y 9 7 T D K v e l N C r i M O z a t G z y o g 0 1 B v J t s q I N N Q a y b n K i D T U G d G 8 y o k 1 7 s q o x k Z X / i c y a 6 g v o q + R 0 b y G 2 r J h b R w 0 V D t 9 P C w s s O m W e g T q / x f q u 8 7 W p n z M R O y w u B I t r k y 5 w + t K 9 L o y 5 Q 7 T K 9 n 0 y p U 8 3 K 9 U 9 y t T 8 r D B k m 2 w X M n D D 0 v 2 w 7 p E X 1 k t 3 9 m O 5 V r d u 2 K 5 8 I c 3 1 g 7 / p y V W v v x R c 7 X h k O X L H 5 V Y O z 5 Z x h G A O o 4 V t y z f C E D V 1 o 5 n l n E E 4 B x A d c 4 2 6 d E 4 w j 2 Z b b n D Q G v T Q M s N O J S e j U y P S 7 / G o X P 8 X r Z v W n G a R 6 7 n m X I 9 f C I A 2 Z 7 n y f Z w j g D k e 2 z k e z h H A D I + d j I + r G M A e s 9 K z o d z D C D r Y y f r w z o G c B 6 g 5 n 1 c 4 T + Q B t B 0 f i D 1 Y z P 1 w 5 A 5 l B + x i 7 r h d F 8 d 5 t B 6 x H 5 q h s y h 7 s i d 1 R y p 4 z 6 O 2 m P N 8 J o O B U f u t m Y 4 1 6 H Z b H T g / t S M W f 8 v e S 1 z m a p D 3 e r i R y v u c 7 T i N t R 3 b 4 0 / e n K J P b n c A w D N u c T m X O 4 B g C 5 d c p c u + x B A u y 6 1 X Z d 7 C K B v l 9 y 3 y z 4 E 0 M B L t n W 6 X J C p q o i r g s E 0 F u D v t F P R f 1 r c Y x g K M H r a C Y W n N b + T C A V U A W 0 4 P k 8 i F F A c t G P 9 P I 1 g Q B 3 B i g f 0 J I I B p U Q 7 Z t D T C A a c G a i u U F d x U F F X P p R X q K Y P Y 6 h N Y y h P 7 B C L R G 9 o g 9 4 h A n Y I Q 6 I 9 l C d 2 i E C y Q 5 Q p e N z W U U 2 i P K / v E H d k n y j P G Q 8 h V 0 / X 9 9 y r + O o v X 6 o Q 5 z 1 Q 1 C 7 s + U s x B E X t m p y / F P u g a F B Z 9 X k + g q R + Y d R f i g N Q N K h p e s w x w F 2 O f j n S X 4 4 R K B p U E j 3 m i P m o V w R 0 m S Q 4 + n W 9 e 6 u + A K F G Q c 9 n h F C N W s U 5 n x F C a G g V 2 n x G C J W h W T T z G i J u a f Q K Y D 5 D h L 7 Q L G Z 5 D R E z s X 7 v o k v 1 v / u d o 0 c R o 1 P R I n K + w I G b u k Y B L + B Y k a A e c r 7 A g Z u 2 D h E v 3 F h 1 i L j u G C / c W G W M t s r g S 1 a 0 s a Z g j V V E x r 8 0 0 f K n j r q l X M n 3 w N o g 6 k k g q 0 c 2 5 E M 2 B F k T s n 0 + Z P s g a 0 J 2 w I f s A G S N y H K 6 0 m 5 T I K C r Q 3 d 8 n y T 0 n + 3 u U E F W b 9 5 G n O Z t h H n 7 I 7 r v H n v J H G K 9 P / I R o l U D B M q j K J 0 q n T o o o W 9 0 U T q V N n V Q Q t D o o n S q Z e q g h I L R R u n / 1 R K S R R + n U 7 V S B y Y 0 i j Z K / 2 c m R I m Z K C l l U T r G u T n k v v r Y b A Y 1 L f 3 h B 7 U Q 1 I y k h h / U + q B m p C r 8 o D Y A N U M B 4 Q m 3 A N c 2 M 6 3 g B 7 c I 1 H S p R f 5 M t w i z b Y / b v 1 B L A Q I t A B Q A A g A I A O R s S 1 L 5 V E c 6 p A A A A P U A A A A S A A A A A A A A A A A A A A A A A A A A A A B D b 2 5 m a W c v U G F j a 2 F n Z S 5 4 b W x Q S w E C L Q A U A A I A C A D k b E t S D 8 r p q 6 Q A A A D p A A A A E w A A A A A A A A A A A A A A A A D w A A A A W 0 N v b n R l b n R f V H l w Z X N d L n h t b F B L A Q I t A B Q A A g A I A O R s S 1 I 9 o 5 w Q j w Y A A L A K A Q A T A A A A A A A A A A A A A A A A A O E B A A B G b 3 J t d W x h c y 9 T Z W N 0 a W 9 u M S 5 t U E s F B g A A A A A D A A M A w g A A A L 0 I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J N B Q A A A A A A 8 E w F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p d G h v d X Q l M j B 3 a W 5 k b 3 c l M j A o c 3 R l c C U y M D E p J T I w K D E l M j A 3 b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x V D E z O j I z O j Q y L j g w M D A z N z V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h v d X Q g d 2 l u Z G 9 3 I C h z d G V w I D E p I C g x I D d t K S 9 B d X R v U m V t b 3 Z l Z E N v b H V t b n M x L n t D b 2 x 1 b W 4 x L D B 9 J n F 1 b 3 Q 7 L C Z x d W 9 0 O 1 N l Y 3 R p b 2 4 x L 3 d p d G h v d X Q g d 2 l u Z G 9 3 I C h z d G V w I D E p I C g x I D d t K S 9 B d X R v U m V t b 3 Z l Z E N v b H V t b n M x L n t D b 2 x 1 b W 4 y L D F 9 J n F 1 b 3 Q 7 L C Z x d W 9 0 O 1 N l Y 3 R p b 2 4 x L 3 d p d G h v d X Q g d 2 l u Z G 9 3 I C h z d G V w I D E p I C g x I D d t K S 9 B d X R v U m V t b 3 Z l Z E N v b H V t b n M x L n t D b 2 x 1 b W 4 z L D J 9 J n F 1 b 3 Q 7 L C Z x d W 9 0 O 1 N l Y 3 R p b 2 4 x L 3 d p d G h v d X Q g d 2 l u Z G 9 3 I C h z d G V w I D E p I C g x I D d t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h v d X Q g d 2 l u Z G 9 3 I C h z d G V w I D E p I C g x I D d t K S 9 B d X R v U m V t b 3 Z l Z E N v b H V t b n M x L n t D b 2 x 1 b W 4 x L D B 9 J n F 1 b 3 Q 7 L C Z x d W 9 0 O 1 N l Y 3 R p b 2 4 x L 3 d p d G h v d X Q g d 2 l u Z G 9 3 I C h z d G V w I D E p I C g x I D d t K S 9 B d X R v U m V t b 3 Z l Z E N v b H V t b n M x L n t D b 2 x 1 b W 4 y L D F 9 J n F 1 b 3 Q 7 L C Z x d W 9 0 O 1 N l Y 3 R p b 2 4 x L 3 d p d G h v d X Q g d 2 l u Z G 9 3 I C h z d G V w I D E p I C g x I D d t K S 9 B d X R v U m V t b 3 Z l Z E N v b H V t b n M x L n t D b 2 x 1 b W 4 z L D J 9 J n F 1 b 3 Q 7 L C Z x d W 9 0 O 1 N l Y 3 R p b 2 4 x L 3 d p d G h v d X Q g d 2 l u Z G 9 3 I C h z d G V w I D E p I C g x I D d t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b 3 V 0 J T I w d 2 l u Z G 9 3 J T I w K H N 0 Z X A l M j A x K S U y M C g x J T I w N 2 0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E p J T I w K D E l M j A 3 b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J T I w d 2 l u Z G 9 3 J T I w K H N 0 Z X A l M j A x K S U y M C g x J T I w N 2 0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Q 2 F y d G V z a W F u I i A v P j x F b n R y e S B U e X B l P S J S Z W N v d m V y e V R h c m d l d E N v b H V t b i I g V m F s d W U 9 I m w y I i A v P j x F b n R y e S B U e X B l P S J S Z W N v d m V y e V R h c m d l d F J v d y I g V m F s d W U 9 I m w z I i A v P j x F b n R y e S B U e X B l P S J G a W x s V G F y Z 2 V 0 I i B W Y W x 1 Z T 0 i c 3 d p d G h v d X R f d 2 l u Z G 9 3 X 1 9 z d G V w X z F f X 1 8 x X z d t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x V D E z O j I 0 O j I 4 L j g 5 O T k 2 O T d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h v d X Q g d 2 l u Z G 9 3 I C h z d G V w I D E p I C g x I D d t K S A o M i k v Q X V 0 b 1 J l b W 9 2 Z W R D b 2 x 1 b W 5 z M S 5 7 Q 2 9 s d W 1 u M S w w f S Z x d W 9 0 O y w m c X V v d D t T Z W N 0 a W 9 u M S 9 3 a X R o b 3 V 0 I H d p b m R v d y A o c 3 R l c C A x K S A o M S A 3 b S k g K D I p L 0 F 1 d G 9 S Z W 1 v d m V k Q 2 9 s d W 1 u c z E u e 0 N v b H V t b j I s M X 0 m c X V v d D s s J n F 1 b 3 Q 7 U 2 V j d G l v b j E v d 2 l 0 a G 9 1 d C B 3 a W 5 k b 3 c g K H N 0 Z X A g M S k g K D E g N 2 0 p I C g y K S 9 B d X R v U m V t b 3 Z l Z E N v b H V t b n M x L n t D b 2 x 1 b W 4 z L D J 9 J n F 1 b 3 Q 7 L C Z x d W 9 0 O 1 N l Y 3 R p b 2 4 x L 3 d p d G h v d X Q g d 2 l u Z G 9 3 I C h z d G V w I D E p I C g x I D d t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X R o b 3 V 0 I H d p b m R v d y A o c 3 R l c C A x K S A o M S A 3 b S k g K D I p L 0 F 1 d G 9 S Z W 1 v d m V k Q 2 9 s d W 1 u c z E u e 0 N v b H V t b j E s M H 0 m c X V v d D s s J n F 1 b 3 Q 7 U 2 V j d G l v b j E v d 2 l 0 a G 9 1 d C B 3 a W 5 k b 3 c g K H N 0 Z X A g M S k g K D E g N 2 0 p I C g y K S 9 B d X R v U m V t b 3 Z l Z E N v b H V t b n M x L n t D b 2 x 1 b W 4 y L D F 9 J n F 1 b 3 Q 7 L C Z x d W 9 0 O 1 N l Y 3 R p b 2 4 x L 3 d p d G h v d X Q g d 2 l u Z G 9 3 I C h z d G V w I D E p I C g x I D d t K S A o M i k v Q X V 0 b 1 J l b W 9 2 Z W R D b 2 x 1 b W 5 z M S 5 7 Q 2 9 s d W 1 u M y w y f S Z x d W 9 0 O y w m c X V v d D t T Z W N 0 a W 9 u M S 9 3 a X R o b 3 V 0 I H d p b m R v d y A o c 3 R l c C A x K S A o M S A 3 b S k g K D I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h v d X Q l M j B 3 a W 5 k b 3 c l M j A o c 3 R l c C U y M D E p J T I w K D E l M j A 3 b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M S k l M j A o M S U y M D d t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I p J T I w K D E l M j A 5 O W 0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Q 2 F y d G V z a W F u I i A v P j x F b n R y e S B U e X B l P S J S Z W N v d m V y e V R h c m d l d E N v b H V t b i I g V m F s d W U 9 I m w y I i A v P j x F b n R y e S B U e X B l P S J S Z W N v d m V y e V R h c m d l d F J v d y I g V m F s d W U 9 I m w x M C I g L z 4 8 R W 5 0 c n k g V H l w Z T 0 i R m l s b F R h c m d l d C I g V m F s d W U 9 I n N 3 a X R o b 3 V 0 X 3 d p b m R v d 1 9 f c 3 R l c F 8 y X 1 9 f M V 8 5 O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V Q x M z o y N T o y O S 4 3 N D k 2 N z U x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b 3 V 0 I H d p b m R v d y A o c 3 R l c C A y K S A o M S A 5 O W 0 p L 0 F 1 d G 9 S Z W 1 v d m V k Q 2 9 s d W 1 u c z E u e 0 N v b H V t b j E s M H 0 m c X V v d D s s J n F 1 b 3 Q 7 U 2 V j d G l v b j E v d 2 l 0 a G 9 1 d C B 3 a W 5 k b 3 c g K H N 0 Z X A g M i k g K D E g O T l t K S 9 B d X R v U m V t b 3 Z l Z E N v b H V t b n M x L n t D b 2 x 1 b W 4 y L D F 9 J n F 1 b 3 Q 7 L C Z x d W 9 0 O 1 N l Y 3 R p b 2 4 x L 3 d p d G h v d X Q g d 2 l u Z G 9 3 I C h z d G V w I D I p I C g x I D k 5 b S k v Q X V 0 b 1 J l b W 9 2 Z W R D b 2 x 1 b W 5 z M S 5 7 Q 2 9 s d W 1 u M y w y f S Z x d W 9 0 O y w m c X V v d D t T Z W N 0 a W 9 u M S 9 3 a X R o b 3 V 0 I H d p b m R v d y A o c 3 R l c C A y K S A o M S A 5 O W 0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G 9 1 d C B 3 a W 5 k b 3 c g K H N 0 Z X A g M i k g K D E g O T l t K S 9 B d X R v U m V t b 3 Z l Z E N v b H V t b n M x L n t D b 2 x 1 b W 4 x L D B 9 J n F 1 b 3 Q 7 L C Z x d W 9 0 O 1 N l Y 3 R p b 2 4 x L 3 d p d G h v d X Q g d 2 l u Z G 9 3 I C h z d G V w I D I p I C g x I D k 5 b S k v Q X V 0 b 1 J l b W 9 2 Z W R D b 2 x 1 b W 5 z M S 5 7 Q 2 9 s d W 1 u M i w x f S Z x d W 9 0 O y w m c X V v d D t T Z W N 0 a W 9 u M S 9 3 a X R o b 3 V 0 I H d p b m R v d y A o c 3 R l c C A y K S A o M S A 5 O W 0 p L 0 F 1 d G 9 S Z W 1 v d m V k Q 2 9 s d W 1 u c z E u e 0 N v b H V t b j M s M n 0 m c X V v d D s s J n F 1 b 3 Q 7 U 2 V j d G l v b j E v d 2 l 0 a G 9 1 d C B 3 a W 5 k b 3 c g K H N 0 Z X A g M i k g K D E g O T l t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b 3 V 0 J T I w d 2 l u Z G 9 3 J T I w K H N 0 Z X A l M j A y K S U y M C g x J T I w O T l t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J T I w d 2 l u Z G 9 3 J T I w K H N 0 Z X A l M j A y K S U y M C g x J T I w O T l t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M p J T I w K D I l M j A y O G 0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Q 2 F y d G V z a W F u I i A v P j x F b n R y e S B U e X B l P S J S Z W N v d m V y e V R h c m d l d E N v b H V t b i I g V m F s d W U 9 I m w y I i A v P j x F b n R y e S B U e X B l P S J S Z W N v d m V y e V R h c m d l d F J v d y I g V m F s d W U 9 I m w x N y I g L z 4 8 R W 5 0 c n k g V H l w Z T 0 i R m l s b F R h c m d l d C I g V m F s d W U 9 I n N 3 a X R o b 3 V 0 X 3 d p b m R v d 1 9 f c 3 R l c F 8 z X 1 9 f M l 8 y O G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V Q x M z o y N j o w N S 4 0 M T k w N D g 5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b 3 V 0 I H d p b m R v d y A o c 3 R l c C A z K S A o M i A y O G 0 p L 0 F 1 d G 9 S Z W 1 v d m V k Q 2 9 s d W 1 u c z E u e 0 N v b H V t b j E s M H 0 m c X V v d D s s J n F 1 b 3 Q 7 U 2 V j d G l v b j E v d 2 l 0 a G 9 1 d C B 3 a W 5 k b 3 c g K H N 0 Z X A g M y k g K D I g M j h t K S 9 B d X R v U m V t b 3 Z l Z E N v b H V t b n M x L n t D b 2 x 1 b W 4 y L D F 9 J n F 1 b 3 Q 7 L C Z x d W 9 0 O 1 N l Y 3 R p b 2 4 x L 3 d p d G h v d X Q g d 2 l u Z G 9 3 I C h z d G V w I D M p I C g y I D I 4 b S k v Q X V 0 b 1 J l b W 9 2 Z W R D b 2 x 1 b W 5 z M S 5 7 Q 2 9 s d W 1 u M y w y f S Z x d W 9 0 O y w m c X V v d D t T Z W N 0 a W 9 u M S 9 3 a X R o b 3 V 0 I H d p b m R v d y A o c 3 R l c C A z K S A o M i A y O G 0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G 9 1 d C B 3 a W 5 k b 3 c g K H N 0 Z X A g M y k g K D I g M j h t K S 9 B d X R v U m V t b 3 Z l Z E N v b H V t b n M x L n t D b 2 x 1 b W 4 x L D B 9 J n F 1 b 3 Q 7 L C Z x d W 9 0 O 1 N l Y 3 R p b 2 4 x L 3 d p d G h v d X Q g d 2 l u Z G 9 3 I C h z d G V w I D M p I C g y I D I 4 b S k v Q X V 0 b 1 J l b W 9 2 Z W R D b 2 x 1 b W 5 z M S 5 7 Q 2 9 s d W 1 u M i w x f S Z x d W 9 0 O y w m c X V v d D t T Z W N 0 a W 9 u M S 9 3 a X R o b 3 V 0 I H d p b m R v d y A o c 3 R l c C A z K S A o M i A y O G 0 p L 0 F 1 d G 9 S Z W 1 v d m V k Q 2 9 s d W 1 u c z E u e 0 N v b H V t b j M s M n 0 m c X V v d D s s J n F 1 b 3 Q 7 U 2 V j d G l v b j E v d 2 l 0 a G 9 1 d C B 3 a W 5 k b 3 c g K H N 0 Z X A g M y k g K D I g M j h t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b 3 V 0 J T I w d 2 l u Z G 9 3 J T I w K H N 0 Z X A l M j A z K S U y M C g y J T I w M j h t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J T I w d 2 l u Z G 9 3 J T I w K H N 0 Z X A l M j A z K S U y M C g y J T I w M j h t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Q p J T I w K D I l M j A 1 O G 0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Q 2 F y d G V z a W F u I i A v P j x F b n R y e S B U e X B l P S J S Z W N v d m V y e V R h c m d l d E N v b H V t b i I g V m F s d W U 9 I m w y I i A v P j x F b n R y e S B U e X B l P S J S Z W N v d m V y e V R h c m d l d F J v d y I g V m F s d W U 9 I m w y N C I g L z 4 8 R W 5 0 c n k g V H l w Z T 0 i R m l s b F R h c m d l d C I g V m F s d W U 9 I n N 3 a X R o b 3 V 0 X 3 d p b m R v d 1 9 f c 3 R l c F 8 0 X 1 9 f M l 8 1 O G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V Q x M z o y N j o y N y 4 w M D Y w N D Y 3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b 3 V 0 I H d p b m R v d y A o c 3 R l c C A 0 K S A o M i A 1 O G 0 p L 0 F 1 d G 9 S Z W 1 v d m V k Q 2 9 s d W 1 u c z E u e 0 N v b H V t b j E s M H 0 m c X V v d D s s J n F 1 b 3 Q 7 U 2 V j d G l v b j E v d 2 l 0 a G 9 1 d C B 3 a W 5 k b 3 c g K H N 0 Z X A g N C k g K D I g N T h t K S 9 B d X R v U m V t b 3 Z l Z E N v b H V t b n M x L n t D b 2 x 1 b W 4 y L D F 9 J n F 1 b 3 Q 7 L C Z x d W 9 0 O 1 N l Y 3 R p b 2 4 x L 3 d p d G h v d X Q g d 2 l u Z G 9 3 I C h z d G V w I D Q p I C g y I D U 4 b S k v Q X V 0 b 1 J l b W 9 2 Z W R D b 2 x 1 b W 5 z M S 5 7 Q 2 9 s d W 1 u M y w y f S Z x d W 9 0 O y w m c X V v d D t T Z W N 0 a W 9 u M S 9 3 a X R o b 3 V 0 I H d p b m R v d y A o c 3 R l c C A 0 K S A o M i A 1 O G 0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G 9 1 d C B 3 a W 5 k b 3 c g K H N 0 Z X A g N C k g K D I g N T h t K S 9 B d X R v U m V t b 3 Z l Z E N v b H V t b n M x L n t D b 2 x 1 b W 4 x L D B 9 J n F 1 b 3 Q 7 L C Z x d W 9 0 O 1 N l Y 3 R p b 2 4 x L 3 d p d G h v d X Q g d 2 l u Z G 9 3 I C h z d G V w I D Q p I C g y I D U 4 b S k v Q X V 0 b 1 J l b W 9 2 Z W R D b 2 x 1 b W 5 z M S 5 7 Q 2 9 s d W 1 u M i w x f S Z x d W 9 0 O y w m c X V v d D t T Z W N 0 a W 9 u M S 9 3 a X R o b 3 V 0 I H d p b m R v d y A o c 3 R l c C A 0 K S A o M i A 1 O G 0 p L 0 F 1 d G 9 S Z W 1 v d m V k Q 2 9 s d W 1 u c z E u e 0 N v b H V t b j M s M n 0 m c X V v d D s s J n F 1 b 3 Q 7 U 2 V j d G l v b j E v d 2 l 0 a G 9 1 d C B 3 a W 5 k b 3 c g K H N 0 Z X A g N C k g K D I g N T h t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b 3 V 0 J T I w d 2 l u Z G 9 3 J T I w K H N 0 Z X A l M j A 0 K S U y M C g y J T I w N T h t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J T I w d 2 l u Z G 9 3 J T I w K H N 0 Z X A l M j A 0 K S U y M C g y J T I w N T h t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Q l M j A x K S U y M C g y J T I w N T h t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E N h c n R l c 2 l h b i I g L z 4 8 R W 5 0 c n k g V H l w Z T 0 i U m V j b 3 Z l c n l U Y X J n Z X R D b 2 x 1 b W 4 i I F Z h b H V l P S J s M i I g L z 4 8 R W 5 0 c n k g V H l w Z T 0 i U m V j b 3 Z l c n l U Y X J n Z X R S b 3 c i I F Z h b H V l P S J s M z E i I C 8 + P E V u d H J 5 I F R 5 c G U 9 I k Z p b G x U Y X J n Z X Q i I F Z h b H V l P S J z d 2 l 0 a G 9 1 d F 9 3 a W 5 k b 3 d f X 3 N 0 Z X B f N F 8 x X 1 9 f M l 8 1 O G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V Q x M z o y N j o 1 M C 4 y N z I 1 M T c x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b 3 V 0 I H d p b m R v d y A o c 3 R l c C A 0 I D E p I C g y I D U 4 b S k v Q X V 0 b 1 J l b W 9 2 Z W R D b 2 x 1 b W 5 z M S 5 7 Q 2 9 s d W 1 u M S w w f S Z x d W 9 0 O y w m c X V v d D t T Z W N 0 a W 9 u M S 9 3 a X R o b 3 V 0 I H d p b m R v d y A o c 3 R l c C A 0 I D E p I C g y I D U 4 b S k v Q X V 0 b 1 J l b W 9 2 Z W R D b 2 x 1 b W 5 z M S 5 7 Q 2 9 s d W 1 u M i w x f S Z x d W 9 0 O y w m c X V v d D t T Z W N 0 a W 9 u M S 9 3 a X R o b 3 V 0 I H d p b m R v d y A o c 3 R l c C A 0 I D E p I C g y I D U 4 b S k v Q X V 0 b 1 J l b W 9 2 Z W R D b 2 x 1 b W 5 z M S 5 7 Q 2 9 s d W 1 u M y w y f S Z x d W 9 0 O y w m c X V v d D t T Z W N 0 a W 9 u M S 9 3 a X R o b 3 V 0 I H d p b m R v d y A o c 3 R l c C A 0 I D E p I C g y I D U 4 b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X R o b 3 V 0 I H d p b m R v d y A o c 3 R l c C A 0 I D E p I C g y I D U 4 b S k v Q X V 0 b 1 J l b W 9 2 Z W R D b 2 x 1 b W 5 z M S 5 7 Q 2 9 s d W 1 u M S w w f S Z x d W 9 0 O y w m c X V v d D t T Z W N 0 a W 9 u M S 9 3 a X R o b 3 V 0 I H d p b m R v d y A o c 3 R l c C A 0 I D E p I C g y I D U 4 b S k v Q X V 0 b 1 J l b W 9 2 Z W R D b 2 x 1 b W 5 z M S 5 7 Q 2 9 s d W 1 u M i w x f S Z x d W 9 0 O y w m c X V v d D t T Z W N 0 a W 9 u M S 9 3 a X R o b 3 V 0 I H d p b m R v d y A o c 3 R l c C A 0 I D E p I C g y I D U 4 b S k v Q X V 0 b 1 J l b W 9 2 Z W R D b 2 x 1 b W 5 z M S 5 7 Q 2 9 s d W 1 u M y w y f S Z x d W 9 0 O y w m c X V v d D t T Z W N 0 a W 9 u M S 9 3 a X R o b 3 V 0 I H d p b m R v d y A o c 3 R l c C A 0 I D E p I C g y I D U 4 b S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G 9 1 d C U y M H d p b m R v d y U y M C h z d G V w J T I w N C U y M D E p J T I w K D I l M j A 1 O G 0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Q l M j A x K S U y M C g y J T I w N T h t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U p J T I w K D I l M j A 4 N 2 0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Q 2 F y d G V z a W F u I i A v P j x F b n R y e S B U e X B l P S J S Z W N v d m V y e V R h c m d l d E N v b H V t b i I g V m F s d W U 9 I m w y I i A v P j x F b n R y e S B U e X B l P S J S Z W N v d m V y e V R h c m d l d F J v d y I g V m F s d W U 9 I m w z O C I g L z 4 8 R W 5 0 c n k g V H l w Z T 0 i R m l s b F R h c m d l d C I g V m F s d W U 9 I n N 3 a X R o b 3 V 0 X 3 d p b m R v d 1 9 f c 3 R l c F 8 1 X 1 9 f M l 8 4 N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V Q x M z o y N z o x M S 4 5 M j g 2 N j M y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b 3 V 0 I H d p b m R v d y A o c 3 R l c C A 1 K S A o M i A 4 N 2 0 p L 0 F 1 d G 9 S Z W 1 v d m V k Q 2 9 s d W 1 u c z E u e 0 N v b H V t b j E s M H 0 m c X V v d D s s J n F 1 b 3 Q 7 U 2 V j d G l v b j E v d 2 l 0 a G 9 1 d C B 3 a W 5 k b 3 c g K H N 0 Z X A g N S k g K D I g O D d t K S 9 B d X R v U m V t b 3 Z l Z E N v b H V t b n M x L n t D b 2 x 1 b W 4 y L D F 9 J n F 1 b 3 Q 7 L C Z x d W 9 0 O 1 N l Y 3 R p b 2 4 x L 3 d p d G h v d X Q g d 2 l u Z G 9 3 I C h z d G V w I D U p I C g y I D g 3 b S k v Q X V 0 b 1 J l b W 9 2 Z W R D b 2 x 1 b W 5 z M S 5 7 Q 2 9 s d W 1 u M y w y f S Z x d W 9 0 O y w m c X V v d D t T Z W N 0 a W 9 u M S 9 3 a X R o b 3 V 0 I H d p b m R v d y A o c 3 R l c C A 1 K S A o M i A 4 N 2 0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G 9 1 d C B 3 a W 5 k b 3 c g K H N 0 Z X A g N S k g K D I g O D d t K S 9 B d X R v U m V t b 3 Z l Z E N v b H V t b n M x L n t D b 2 x 1 b W 4 x L D B 9 J n F 1 b 3 Q 7 L C Z x d W 9 0 O 1 N l Y 3 R p b 2 4 x L 3 d p d G h v d X Q g d 2 l u Z G 9 3 I C h z d G V w I D U p I C g y I D g 3 b S k v Q X V 0 b 1 J l b W 9 2 Z W R D b 2 x 1 b W 5 z M S 5 7 Q 2 9 s d W 1 u M i w x f S Z x d W 9 0 O y w m c X V v d D t T Z W N 0 a W 9 u M S 9 3 a X R o b 3 V 0 I H d p b m R v d y A o c 3 R l c C A 1 K S A o M i A 4 N 2 0 p L 0 F 1 d G 9 S Z W 1 v d m V k Q 2 9 s d W 1 u c z E u e 0 N v b H V t b j M s M n 0 m c X V v d D s s J n F 1 b 3 Q 7 U 2 V j d G l v b j E v d 2 l 0 a G 9 1 d C B 3 a W 5 k b 3 c g K H N 0 Z X A g N S k g K D I g O D d t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b 3 V 0 J T I w d 2 l u Z G 9 3 J T I w K H N 0 Z X A l M j A 1 K S U y M C g y J T I w O D d t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J T I w d 2 l u Z G 9 3 J T I w K H N 0 Z X A l M j A 1 K S U y M C g y J T I w O D d t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U l M j A x K S U y M C g y J T I w O D d t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E N h c n R l c 2 l h b i I g L z 4 8 R W 5 0 c n k g V H l w Z T 0 i U m V j b 3 Z l c n l U Y X J n Z X R D b 2 x 1 b W 4 i I F Z h b H V l P S J s M i I g L z 4 8 R W 5 0 c n k g V H l w Z T 0 i U m V j b 3 Z l c n l U Y X J n Z X R S b 3 c i I F Z h b H V l P S J s N D U i I C 8 + P E V u d H J 5 I F R 5 c G U 9 I k Z p b G x U Y X J n Z X Q i I F Z h b H V l P S J z d 2 l 0 a G 9 1 d F 9 3 a W 5 k b 3 d f X 3 N 0 Z X B f N V 8 x X 1 9 f M l 8 4 N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V Q x M z o y N z o z N i 4 4 O T E z N j k y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b 3 V 0 I H d p b m R v d y A o c 3 R l c C A 1 I D E p I C g y I D g 3 b S k v Q X V 0 b 1 J l b W 9 2 Z W R D b 2 x 1 b W 5 z M S 5 7 Q 2 9 s d W 1 u M S w w f S Z x d W 9 0 O y w m c X V v d D t T Z W N 0 a W 9 u M S 9 3 a X R o b 3 V 0 I H d p b m R v d y A o c 3 R l c C A 1 I D E p I C g y I D g 3 b S k v Q X V 0 b 1 J l b W 9 2 Z W R D b 2 x 1 b W 5 z M S 5 7 Q 2 9 s d W 1 u M i w x f S Z x d W 9 0 O y w m c X V v d D t T Z W N 0 a W 9 u M S 9 3 a X R o b 3 V 0 I H d p b m R v d y A o c 3 R l c C A 1 I D E p I C g y I D g 3 b S k v Q X V 0 b 1 J l b W 9 2 Z W R D b 2 x 1 b W 5 z M S 5 7 Q 2 9 s d W 1 u M y w y f S Z x d W 9 0 O y w m c X V v d D t T Z W N 0 a W 9 u M S 9 3 a X R o b 3 V 0 I H d p b m R v d y A o c 3 R l c C A 1 I D E p I C g y I D g 3 b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X R o b 3 V 0 I H d p b m R v d y A o c 3 R l c C A 1 I D E p I C g y I D g 3 b S k v Q X V 0 b 1 J l b W 9 2 Z W R D b 2 x 1 b W 5 z M S 5 7 Q 2 9 s d W 1 u M S w w f S Z x d W 9 0 O y w m c X V v d D t T Z W N 0 a W 9 u M S 9 3 a X R o b 3 V 0 I H d p b m R v d y A o c 3 R l c C A 1 I D E p I C g y I D g 3 b S k v Q X V 0 b 1 J l b W 9 2 Z W R D b 2 x 1 b W 5 z M S 5 7 Q 2 9 s d W 1 u M i w x f S Z x d W 9 0 O y w m c X V v d D t T Z W N 0 a W 9 u M S 9 3 a X R o b 3 V 0 I H d p b m R v d y A o c 3 R l c C A 1 I D E p I C g y I D g 3 b S k v Q X V 0 b 1 J l b W 9 2 Z W R D b 2 x 1 b W 5 z M S 5 7 Q 2 9 s d W 1 u M y w y f S Z x d W 9 0 O y w m c X V v d D t T Z W N 0 a W 9 u M S 9 3 a X R o b 3 V 0 I H d p b m R v d y A o c 3 R l c C A 1 I D E p I C g y I D g 3 b S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G 9 1 d C U y M H d p b m R v d y U y M C h z d G V w J T I w N S U y M D E p J T I w K D I l M j A 4 N 2 0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U l M j A x K S U y M C g y J T I w O D d t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d G g l M j B 3 a W 5 k b 3 c l M j A o c 3 R l c C U y M D E p J T I w K G N v c n J l Y 3 R l Z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D Y X J 0 Z X N p Y W 4 i I C 8 + P E V u d H J 5 I F R 5 c G U 9 I l J l Y 2 9 2 Z X J 5 V G F y Z 2 V 0 Q 2 9 s d W 1 u I i B W Y W x 1 Z T 0 i b D c i I C 8 + P E V u d H J 5 I F R 5 c G U 9 I l J l Y 2 9 2 Z X J 5 V G F y Z 2 V 0 U m 9 3 I i B W Y W x 1 Z T 0 i b D M i I C 8 + P E V u d H J 5 I F R 5 c G U 9 I k Z p b G x U Y X J n Z X Q i I F Z h b H V l P S J z V 2 l 0 a F 9 3 a W 5 k b 3 d f X 3 N 0 Z X B f M V 9 f X 2 N v c n J l Y 3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x V D E z O j I 4 O j I 5 L j I 2 O D E 4 O T B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d G g g d 2 l u Z G 9 3 I C h z d G V w I D E p I C h j b 3 J y Z W N 0 Z W Q p L 0 F 1 d G 9 S Z W 1 v d m V k Q 2 9 s d W 1 u c z E u e 0 N v b H V t b j E s M H 0 m c X V v d D s s J n F 1 b 3 Q 7 U 2 V j d G l v b j E v V 2 l 0 a C B 3 a W 5 k b 3 c g K H N 0 Z X A g M S k g K G N v c n J l Y 3 R l Z C k v Q X V 0 b 1 J l b W 9 2 Z W R D b 2 x 1 b W 5 z M S 5 7 Q 2 9 s d W 1 u M i w x f S Z x d W 9 0 O y w m c X V v d D t T Z W N 0 a W 9 u M S 9 X a X R o I H d p b m R v d y A o c 3 R l c C A x K S A o Y 2 9 y c m V j d G V k K S 9 B d X R v U m V t b 3 Z l Z E N v b H V t b n M x L n t D b 2 x 1 b W 4 z L D J 9 J n F 1 b 3 Q 7 L C Z x d W 9 0 O 1 N l Y 3 R p b 2 4 x L 1 d p d G g g d 2 l u Z G 9 3 I C h z d G V w I D E p I C h j b 3 J y Z W N 0 Z W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2 l 0 a C B 3 a W 5 k b 3 c g K H N 0 Z X A g M S k g K G N v c n J l Y 3 R l Z C k v Q X V 0 b 1 J l b W 9 2 Z W R D b 2 x 1 b W 5 z M S 5 7 Q 2 9 s d W 1 u M S w w f S Z x d W 9 0 O y w m c X V v d D t T Z W N 0 a W 9 u M S 9 X a X R o I H d p b m R v d y A o c 3 R l c C A x K S A o Y 2 9 y c m V j d G V k K S 9 B d X R v U m V t b 3 Z l Z E N v b H V t b n M x L n t D b 2 x 1 b W 4 y L D F 9 J n F 1 b 3 Q 7 L C Z x d W 9 0 O 1 N l Y 3 R p b 2 4 x L 1 d p d G g g d 2 l u Z G 9 3 I C h z d G V w I D E p I C h j b 3 J y Z W N 0 Z W Q p L 0 F 1 d G 9 S Z W 1 v d m V k Q 2 9 s d W 1 u c z E u e 0 N v b H V t b j M s M n 0 m c X V v d D s s J n F 1 b 3 Q 7 U 2 V j d G l v b j E v V 2 l 0 a C B 3 a W 5 k b 3 c g K H N 0 Z X A g M S k g K G N v c n J l Y 3 R l Z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0 a C U y M H d p b m R v d y U y M C h z d G V w J T I w M S k l M j A o Y 2 9 y c m V j d G V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X R o J T I w d 2 l u Z G 9 3 J T I w K H N 0 Z X A l M j A x K S U y M C h j b 3 J y Z W N 0 Z W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M i k l M j A o Y 2 9 y c m V j d G V k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E N h c n R l c 2 l h b i I g L z 4 8 R W 5 0 c n k g V H l w Z T 0 i U m V j b 3 Z l c n l U Y X J n Z X R D b 2 x 1 b W 4 i I F Z h b H V l P S J s N y I g L z 4 8 R W 5 0 c n k g V H l w Z T 0 i U m V j b 3 Z l c n l U Y X J n Z X R S b 3 c i I F Z h b H V l P S J s M T A i I C 8 + P E V u d H J 5 I F R 5 c G U 9 I k Z p b G x U Y X J n Z X Q i I F Z h b H V l P S J z d 2 l 0 a F 9 3 a W 5 k b 3 d f X 3 N 0 Z X B f M l 9 f X 2 N v c n J l Y 3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x V D E z O j I 4 O j U x L j E 5 O D E w O D N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g g d 2 l u Z G 9 3 I C h z d G V w I D I p I C h j b 3 J y Z W N 0 Z W Q p L 0 F 1 d G 9 S Z W 1 v d m V k Q 2 9 s d W 1 u c z E u e 0 N v b H V t b j E s M H 0 m c X V v d D s s J n F 1 b 3 Q 7 U 2 V j d G l v b j E v d 2 l 0 a C B 3 a W 5 k b 3 c g K H N 0 Z X A g M i k g K G N v c n J l Y 3 R l Z C k v Q X V 0 b 1 J l b W 9 2 Z W R D b 2 x 1 b W 5 z M S 5 7 Q 2 9 s d W 1 u M i w x f S Z x d W 9 0 O y w m c X V v d D t T Z W N 0 a W 9 u M S 9 3 a X R o I H d p b m R v d y A o c 3 R l c C A y K S A o Y 2 9 y c m V j d G V k K S 9 B d X R v U m V t b 3 Z l Z E N v b H V t b n M x L n t D b 2 x 1 b W 4 z L D J 9 J n F 1 b 3 Q 7 L C Z x d W 9 0 O 1 N l Y 3 R p b 2 4 x L 3 d p d G g g d 2 l u Z G 9 3 I C h z d G V w I D I p I C h j b 3 J y Z W N 0 Z W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C B 3 a W 5 k b 3 c g K H N 0 Z X A g M i k g K G N v c n J l Y 3 R l Z C k v Q X V 0 b 1 J l b W 9 2 Z W R D b 2 x 1 b W 5 z M S 5 7 Q 2 9 s d W 1 u M S w w f S Z x d W 9 0 O y w m c X V v d D t T Z W N 0 a W 9 u M S 9 3 a X R o I H d p b m R v d y A o c 3 R l c C A y K S A o Y 2 9 y c m V j d G V k K S 9 B d X R v U m V t b 3 Z l Z E N v b H V t b n M x L n t D b 2 x 1 b W 4 y L D F 9 J n F 1 b 3 Q 7 L C Z x d W 9 0 O 1 N l Y 3 R p b 2 4 x L 3 d p d G g g d 2 l u Z G 9 3 I C h z d G V w I D I p I C h j b 3 J y Z W N 0 Z W Q p L 0 F 1 d G 9 S Z W 1 v d m V k Q 2 9 s d W 1 u c z E u e 0 N v b H V t b j M s M n 0 m c X V v d D s s J n F 1 b 3 Q 7 U 2 V j d G l v b j E v d 2 l 0 a C B 3 a W 5 k b 3 c g K H N 0 Z X A g M i k g K G N v c n J l Y 3 R l Z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C U y M H d p b m R v d y U y M C h z d G V w J T I w M i k l M j A o Y 2 9 y c m V j d G V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y K S U y M C h j b 3 J y Z W N 0 Z W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M y k l M j A o Y 2 9 y c m V j d G V k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E N h c n R l c 2 l h b i I g L z 4 8 R W 5 0 c n k g V H l w Z T 0 i U m V j b 3 Z l c n l U Y X J n Z X R D b 2 x 1 b W 4 i I F Z h b H V l P S J s N y I g L z 4 8 R W 5 0 c n k g V H l w Z T 0 i U m V j b 3 Z l c n l U Y X J n Z X R S b 3 c i I F Z h b H V l P S J s M T c i I C 8 + P E V u d H J 5 I F R 5 c G U 9 I k Z p b G x U Y X J n Z X Q i I F Z h b H V l P S J z d 2 l 0 a F 9 3 a W 5 k b 3 d f X 3 N 0 Z X B f M 1 9 f X 2 N v c n J l Y 3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x V D E z O j M x O j U 1 L j I 2 O T E x M D B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g g d 2 l u Z G 9 3 I C h z d G V w I D M p I C h j b 3 J y Z W N 0 Z W Q p L 0 F 1 d G 9 S Z W 1 v d m V k Q 2 9 s d W 1 u c z E u e 0 N v b H V t b j E s M H 0 m c X V v d D s s J n F 1 b 3 Q 7 U 2 V j d G l v b j E v d 2 l 0 a C B 3 a W 5 k b 3 c g K H N 0 Z X A g M y k g K G N v c n J l Y 3 R l Z C k v Q X V 0 b 1 J l b W 9 2 Z W R D b 2 x 1 b W 5 z M S 5 7 Q 2 9 s d W 1 u M i w x f S Z x d W 9 0 O y w m c X V v d D t T Z W N 0 a W 9 u M S 9 3 a X R o I H d p b m R v d y A o c 3 R l c C A z K S A o Y 2 9 y c m V j d G V k K S 9 B d X R v U m V t b 3 Z l Z E N v b H V t b n M x L n t D b 2 x 1 b W 4 z L D J 9 J n F 1 b 3 Q 7 L C Z x d W 9 0 O 1 N l Y 3 R p b 2 4 x L 3 d p d G g g d 2 l u Z G 9 3 I C h z d G V w I D M p I C h j b 3 J y Z W N 0 Z W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C B 3 a W 5 k b 3 c g K H N 0 Z X A g M y k g K G N v c n J l Y 3 R l Z C k v Q X V 0 b 1 J l b W 9 2 Z W R D b 2 x 1 b W 5 z M S 5 7 Q 2 9 s d W 1 u M S w w f S Z x d W 9 0 O y w m c X V v d D t T Z W N 0 a W 9 u M S 9 3 a X R o I H d p b m R v d y A o c 3 R l c C A z K S A o Y 2 9 y c m V j d G V k K S 9 B d X R v U m V t b 3 Z l Z E N v b H V t b n M x L n t D b 2 x 1 b W 4 y L D F 9 J n F 1 b 3 Q 7 L C Z x d W 9 0 O 1 N l Y 3 R p b 2 4 x L 3 d p d G g g d 2 l u Z G 9 3 I C h z d G V w I D M p I C h j b 3 J y Z W N 0 Z W Q p L 0 F 1 d G 9 S Z W 1 v d m V k Q 2 9 s d W 1 u c z E u e 0 N v b H V t b j M s M n 0 m c X V v d D s s J n F 1 b 3 Q 7 U 2 V j d G l v b j E v d 2 l 0 a C B 3 a W 5 k b 3 c g K H N 0 Z X A g M y k g K G N v c n J l Y 3 R l Z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C U y M H d p b m R v d y U y M C h z d G V w J T I w M y k l M j A o Y 2 9 y c m V j d G V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z K S U y M C h j b 3 J y Z W N 0 Z W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N C k l M j A o Y 2 9 y c m V j d G V k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E N h c n R l c 2 l h b i I g L z 4 8 R W 5 0 c n k g V H l w Z T 0 i U m V j b 3 Z l c n l U Y X J n Z X R D b 2 x 1 b W 4 i I F Z h b H V l P S J s N y I g L z 4 8 R W 5 0 c n k g V H l w Z T 0 i U m V j b 3 Z l c n l U Y X J n Z X R S b 3 c i I F Z h b H V l P S J s M j Q i I C 8 + P E V u d H J 5 I F R 5 c G U 9 I k Z p b G x U Y X J n Z X Q i I F Z h b H V l P S J z d 2 l 0 a F 9 3 a W 5 k b 3 d f X 3 N 0 Z X B f N F 9 f X 2 N v c n J l Y 3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x V D E z O j M 0 O j U z L j I 3 N T Q 1 O D l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g g d 2 l u Z G 9 3 I C h z d G V w I D Q p I C h j b 3 J y Z W N 0 Z W Q p L 0 F 1 d G 9 S Z W 1 v d m V k Q 2 9 s d W 1 u c z E u e 0 N v b H V t b j E s M H 0 m c X V v d D s s J n F 1 b 3 Q 7 U 2 V j d G l v b j E v d 2 l 0 a C B 3 a W 5 k b 3 c g K H N 0 Z X A g N C k g K G N v c n J l Y 3 R l Z C k v Q X V 0 b 1 J l b W 9 2 Z W R D b 2 x 1 b W 5 z M S 5 7 Q 2 9 s d W 1 u M i w x f S Z x d W 9 0 O y w m c X V v d D t T Z W N 0 a W 9 u M S 9 3 a X R o I H d p b m R v d y A o c 3 R l c C A 0 K S A o Y 2 9 y c m V j d G V k K S 9 B d X R v U m V t b 3 Z l Z E N v b H V t b n M x L n t D b 2 x 1 b W 4 z L D J 9 J n F 1 b 3 Q 7 L C Z x d W 9 0 O 1 N l Y 3 R p b 2 4 x L 3 d p d G g g d 2 l u Z G 9 3 I C h z d G V w I D Q p I C h j b 3 J y Z W N 0 Z W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C B 3 a W 5 k b 3 c g K H N 0 Z X A g N C k g K G N v c n J l Y 3 R l Z C k v Q X V 0 b 1 J l b W 9 2 Z W R D b 2 x 1 b W 5 z M S 5 7 Q 2 9 s d W 1 u M S w w f S Z x d W 9 0 O y w m c X V v d D t T Z W N 0 a W 9 u M S 9 3 a X R o I H d p b m R v d y A o c 3 R l c C A 0 K S A o Y 2 9 y c m V j d G V k K S 9 B d X R v U m V t b 3 Z l Z E N v b H V t b n M x L n t D b 2 x 1 b W 4 y L D F 9 J n F 1 b 3 Q 7 L C Z x d W 9 0 O 1 N l Y 3 R p b 2 4 x L 3 d p d G g g d 2 l u Z G 9 3 I C h z d G V w I D Q p I C h j b 3 J y Z W N 0 Z W Q p L 0 F 1 d G 9 S Z W 1 v d m V k Q 2 9 s d W 1 u c z E u e 0 N v b H V t b j M s M n 0 m c X V v d D s s J n F 1 b 3 Q 7 U 2 V j d G l v b j E v d 2 l 0 a C B 3 a W 5 k b 3 c g K H N 0 Z X A g N C k g K G N v c n J l Y 3 R l Z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C U y M H d p b m R v d y U y M C h z d G V w J T I w N C k l M j A o Y 2 9 y c m V j d G V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0 K S U y M C h j b 3 J y Z W N 0 Z W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N C U y M D E p J T I w K G N v c n J l Y 3 R l Z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D Y X J 0 Z X N p Y W 4 i I C 8 + P E V u d H J 5 I F R 5 c G U 9 I l J l Y 2 9 2 Z X J 5 V G F y Z 2 V 0 Q 2 9 s d W 1 u I i B W Y W x 1 Z T 0 i b D c i I C 8 + P E V u d H J 5 I F R 5 c G U 9 I l J l Y 2 9 2 Z X J 5 V G F y Z 2 V 0 U m 9 3 I i B W Y W x 1 Z T 0 i b D M x I i A v P j x F b n R y e S B U e X B l P S J G a W x s V G F y Z 2 V 0 I i B W Y W x 1 Z T 0 i c 3 d p d G h f d 2 l u Z G 9 3 X 1 9 z d G V w X z R f M V 9 f X 2 N v c n J l Y 3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x V D E z O j M 1 O j E 0 L j Y 5 O T c w N D d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g g d 2 l u Z G 9 3 I C h z d G V w I D Q g M S k g K G N v c n J l Y 3 R l Z C k v Q X V 0 b 1 J l b W 9 2 Z W R D b 2 x 1 b W 5 z M S 5 7 Q 2 9 s d W 1 u M S w w f S Z x d W 9 0 O y w m c X V v d D t T Z W N 0 a W 9 u M S 9 3 a X R o I H d p b m R v d y A o c 3 R l c C A 0 I D E p I C h j b 3 J y Z W N 0 Z W Q p L 0 F 1 d G 9 S Z W 1 v d m V k Q 2 9 s d W 1 u c z E u e 0 N v b H V t b j I s M X 0 m c X V v d D s s J n F 1 b 3 Q 7 U 2 V j d G l v b j E v d 2 l 0 a C B 3 a W 5 k b 3 c g K H N 0 Z X A g N C A x K S A o Y 2 9 y c m V j d G V k K S 9 B d X R v U m V t b 3 Z l Z E N v b H V t b n M x L n t D b 2 x 1 b W 4 z L D J 9 J n F 1 b 3 Q 7 L C Z x d W 9 0 O 1 N l Y 3 R p b 2 4 x L 3 d p d G g g d 2 l u Z G 9 3 I C h z d G V w I D Q g M S k g K G N v c n J l Y 3 R l Z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X R o I H d p b m R v d y A o c 3 R l c C A 0 I D E p I C h j b 3 J y Z W N 0 Z W Q p L 0 F 1 d G 9 S Z W 1 v d m V k Q 2 9 s d W 1 u c z E u e 0 N v b H V t b j E s M H 0 m c X V v d D s s J n F 1 b 3 Q 7 U 2 V j d G l v b j E v d 2 l 0 a C B 3 a W 5 k b 3 c g K H N 0 Z X A g N C A x K S A o Y 2 9 y c m V j d G V k K S 9 B d X R v U m V t b 3 Z l Z E N v b H V t b n M x L n t D b 2 x 1 b W 4 y L D F 9 J n F 1 b 3 Q 7 L C Z x d W 9 0 O 1 N l Y 3 R p b 2 4 x L 3 d p d G g g d 2 l u Z G 9 3 I C h z d G V w I D Q g M S k g K G N v c n J l Y 3 R l Z C k v Q X V 0 b 1 J l b W 9 2 Z W R D b 2 x 1 b W 5 z M S 5 7 Q 2 9 s d W 1 u M y w y f S Z x d W 9 0 O y w m c X V v d D t T Z W N 0 a W 9 u M S 9 3 a X R o I H d p b m R v d y A o c 3 R l c C A 0 I D E p I C h j b 3 J y Z W N 0 Z W Q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g l M j B 3 a W 5 k b 3 c l M j A o c 3 R l c C U y M D Q l M j A x K S U y M C h j b 3 J y Z W N 0 Z W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Q l M j A x K S U y M C h j b 3 J y Z W N 0 Z W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N S k l M j A o Y 2 9 y c m V j d G V k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E N h c n R l c 2 l h b i I g L z 4 8 R W 5 0 c n k g V H l w Z T 0 i U m V j b 3 Z l c n l U Y X J n Z X R D b 2 x 1 b W 4 i I F Z h b H V l P S J s N y I g L z 4 8 R W 5 0 c n k g V H l w Z T 0 i U m V j b 3 Z l c n l U Y X J n Z X R S b 3 c i I F Z h b H V l P S J s M z g i I C 8 + P E V u d H J 5 I F R 5 c G U 9 I k Z p b G x U Y X J n Z X Q i I F Z h b H V l P S J z d 2 l 0 a F 9 3 a W 5 k b 3 d f X 3 N 0 Z X B f N V 9 f X 2 N v c n J l Y 3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x V D E z O j M 1 O j M 2 L j g 2 O T g x M j V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g g d 2 l u Z G 9 3 I C h z d G V w I D U p I C h j b 3 J y Z W N 0 Z W Q p L 0 F 1 d G 9 S Z W 1 v d m V k Q 2 9 s d W 1 u c z E u e 0 N v b H V t b j E s M H 0 m c X V v d D s s J n F 1 b 3 Q 7 U 2 V j d G l v b j E v d 2 l 0 a C B 3 a W 5 k b 3 c g K H N 0 Z X A g N S k g K G N v c n J l Y 3 R l Z C k v Q X V 0 b 1 J l b W 9 2 Z W R D b 2 x 1 b W 5 z M S 5 7 Q 2 9 s d W 1 u M i w x f S Z x d W 9 0 O y w m c X V v d D t T Z W N 0 a W 9 u M S 9 3 a X R o I H d p b m R v d y A o c 3 R l c C A 1 K S A o Y 2 9 y c m V j d G V k K S 9 B d X R v U m V t b 3 Z l Z E N v b H V t b n M x L n t D b 2 x 1 b W 4 z L D J 9 J n F 1 b 3 Q 7 L C Z x d W 9 0 O 1 N l Y 3 R p b 2 4 x L 3 d p d G g g d 2 l u Z G 9 3 I C h z d G V w I D U p I C h j b 3 J y Z W N 0 Z W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C B 3 a W 5 k b 3 c g K H N 0 Z X A g N S k g K G N v c n J l Y 3 R l Z C k v Q X V 0 b 1 J l b W 9 2 Z W R D b 2 x 1 b W 5 z M S 5 7 Q 2 9 s d W 1 u M S w w f S Z x d W 9 0 O y w m c X V v d D t T Z W N 0 a W 9 u M S 9 3 a X R o I H d p b m R v d y A o c 3 R l c C A 1 K S A o Y 2 9 y c m V j d G V k K S 9 B d X R v U m V t b 3 Z l Z E N v b H V t b n M x L n t D b 2 x 1 b W 4 y L D F 9 J n F 1 b 3 Q 7 L C Z x d W 9 0 O 1 N l Y 3 R p b 2 4 x L 3 d p d G g g d 2 l u Z G 9 3 I C h z d G V w I D U p I C h j b 3 J y Z W N 0 Z W Q p L 0 F 1 d G 9 S Z W 1 v d m V k Q 2 9 s d W 1 u c z E u e 0 N v b H V t b j M s M n 0 m c X V v d D s s J n F 1 b 3 Q 7 U 2 V j d G l v b j E v d 2 l 0 a C B 3 a W 5 k b 3 c g K H N 0 Z X A g N S k g K G N v c n J l Y 3 R l Z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C U y M H d p b m R v d y U y M C h z d G V w J T I w N S k l M j A o Y 2 9 y c m V j d G V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1 K S U y M C h j b 3 J y Z W N 0 Z W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N S U y M D E p J T I w K G N v c n J l Y 3 R l Z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D Y X J 0 Z X N p Y W 4 i I C 8 + P E V u d H J 5 I F R 5 c G U 9 I l J l Y 2 9 2 Z X J 5 V G F y Z 2 V 0 Q 2 9 s d W 1 u I i B W Y W x 1 Z T 0 i b D c i I C 8 + P E V u d H J 5 I F R 5 c G U 9 I l J l Y 2 9 2 Z X J 5 V G F y Z 2 V 0 U m 9 3 I i B W Y W x 1 Z T 0 i b D Q 1 I i A v P j x F b n R y e S B U e X B l P S J G a W x s V G F y Z 2 V 0 I i B W Y W x 1 Z T 0 i c 3 d p d G h f d 2 l u Z G 9 3 X 1 9 z d G V w X z V f M V 9 f X 2 N v c n J l Y 3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x V D E z O j M 1 O j U 4 L j U 3 N z g 3 M j B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g g d 2 l u Z G 9 3 I C h z d G V w I D U g M S k g K G N v c n J l Y 3 R l Z C k v Q X V 0 b 1 J l b W 9 2 Z W R D b 2 x 1 b W 5 z M S 5 7 Q 2 9 s d W 1 u M S w w f S Z x d W 9 0 O y w m c X V v d D t T Z W N 0 a W 9 u M S 9 3 a X R o I H d p b m R v d y A o c 3 R l c C A 1 I D E p I C h j b 3 J y Z W N 0 Z W Q p L 0 F 1 d G 9 S Z W 1 v d m V k Q 2 9 s d W 1 u c z E u e 0 N v b H V t b j I s M X 0 m c X V v d D s s J n F 1 b 3 Q 7 U 2 V j d G l v b j E v d 2 l 0 a C B 3 a W 5 k b 3 c g K H N 0 Z X A g N S A x K S A o Y 2 9 y c m V j d G V k K S 9 B d X R v U m V t b 3 Z l Z E N v b H V t b n M x L n t D b 2 x 1 b W 4 z L D J 9 J n F 1 b 3 Q 7 L C Z x d W 9 0 O 1 N l Y 3 R p b 2 4 x L 3 d p d G g g d 2 l u Z G 9 3 I C h z d G V w I D U g M S k g K G N v c n J l Y 3 R l Z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X R o I H d p b m R v d y A o c 3 R l c C A 1 I D E p I C h j b 3 J y Z W N 0 Z W Q p L 0 F 1 d G 9 S Z W 1 v d m V k Q 2 9 s d W 1 u c z E u e 0 N v b H V t b j E s M H 0 m c X V v d D s s J n F 1 b 3 Q 7 U 2 V j d G l v b j E v d 2 l 0 a C B 3 a W 5 k b 3 c g K H N 0 Z X A g N S A x K S A o Y 2 9 y c m V j d G V k K S 9 B d X R v U m V t b 3 Z l Z E N v b H V t b n M x L n t D b 2 x 1 b W 4 y L D F 9 J n F 1 b 3 Q 7 L C Z x d W 9 0 O 1 N l Y 3 R p b 2 4 x L 3 d p d G g g d 2 l u Z G 9 3 I C h z d G V w I D U g M S k g K G N v c n J l Y 3 R l Z C k v Q X V 0 b 1 J l b W 9 2 Z W R D b 2 x 1 b W 5 z M S 5 7 Q 2 9 s d W 1 u M y w y f S Z x d W 9 0 O y w m c X V v d D t T Z W N 0 a W 9 u M S 9 3 a X R o I H d p b m R v d y A o c 3 R l c C A 1 I D E p I C h j b 3 J y Z W N 0 Z W Q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g l M j B 3 a W 5 k b 3 c l M j A o c 3 R l c C U y M D U l M j A x K S U y M C h j b 3 J y Z W N 0 Z W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U l M j A x K S U y M C h j b 3 J y Z W N 0 Z W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x K S U y M C h j b 3 J y Z W N 0 Z W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Q 2 F y d G V z a W F u I i A v P j x F b n R y e S B U e X B l P S J S Z W N v d m V y e V R h c m d l d E N v b H V t b i I g V m F s d W U 9 I m w x M i I g L z 4 8 R W 5 0 c n k g V H l w Z T 0 i U m V j b 3 Z l c n l U Y X J n Z X R S b 3 c i I F Z h b H V l P S J s M y I g L z 4 8 R W 5 0 c n k g V H l w Z T 0 i R m l s b F R h c m d l d C I g V m F s d W U 9 I n N 2 Y W N 1 d W 1 f X 3 N 0 Z X B f M V 9 f X 2 N v c n J l Y 3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x V D E z O j M 2 O j Q z L j Y 4 N j Y z M T V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Y 3 V 1 b S A o c 3 R l c C A x K S A o Y 2 9 y c m V j d G V k K S 9 B d X R v U m V t b 3 Z l Z E N v b H V t b n M x L n t D b 2 x 1 b W 4 x L D B 9 J n F 1 b 3 Q 7 L C Z x d W 9 0 O 1 N l Y 3 R p b 2 4 x L 3 Z h Y 3 V 1 b S A o c 3 R l c C A x K S A o Y 2 9 y c m V j d G V k K S 9 B d X R v U m V t b 3 Z l Z E N v b H V t b n M x L n t D b 2 x 1 b W 4 y L D F 9 J n F 1 b 3 Q 7 L C Z x d W 9 0 O 1 N l Y 3 R p b 2 4 x L 3 Z h Y 3 V 1 b S A o c 3 R l c C A x K S A o Y 2 9 y c m V j d G V k K S 9 B d X R v U m V t b 3 Z l Z E N v b H V t b n M x L n t D b 2 x 1 b W 4 z L D J 9 J n F 1 b 3 Q 7 L C Z x d W 9 0 O 1 N l Y 3 R p b 2 4 x L 3 Z h Y 3 V 1 b S A o c 3 R l c C A x K S A o Y 2 9 y c m V j d G V k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Y 3 V 1 b S A o c 3 R l c C A x K S A o Y 2 9 y c m V j d G V k K S 9 B d X R v U m V t b 3 Z l Z E N v b H V t b n M x L n t D b 2 x 1 b W 4 x L D B 9 J n F 1 b 3 Q 7 L C Z x d W 9 0 O 1 N l Y 3 R p b 2 4 x L 3 Z h Y 3 V 1 b S A o c 3 R l c C A x K S A o Y 2 9 y c m V j d G V k K S 9 B d X R v U m V t b 3 Z l Z E N v b H V t b n M x L n t D b 2 x 1 b W 4 y L D F 9 J n F 1 b 3 Q 7 L C Z x d W 9 0 O 1 N l Y 3 R p b 2 4 x L 3 Z h Y 3 V 1 b S A o c 3 R l c C A x K S A o Y 2 9 y c m V j d G V k K S 9 B d X R v U m V t b 3 Z l Z E N v b H V t b n M x L n t D b 2 x 1 b W 4 z L D J 9 J n F 1 b 3 Q 7 L C Z x d W 9 0 O 1 N l Y 3 R p b 2 4 x L 3 Z h Y 3 V 1 b S A o c 3 R l c C A x K S A o Y 2 9 y c m V j d G V k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N 1 d W 0 l M j A o c 3 R l c C U y M D E p J T I w K G N v c n J l Y 3 R l Z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x K S U y M C h j b 3 J y Z W N 0 Z W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y K S U y M C h j b 3 J y Z W N 0 Z W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Q 2 F y d G V z a W F u I i A v P j x F b n R y e S B U e X B l P S J S Z W N v d m V y e V R h c m d l d E N v b H V t b i I g V m F s d W U 9 I m w x M i I g L z 4 8 R W 5 0 c n k g V H l w Z T 0 i U m V j b 3 Z l c n l U Y X J n Z X R S b 3 c i I F Z h b H V l P S J s M T A i I C 8 + P E V u d H J 5 I F R 5 c G U 9 I k Z p b G x U Y X J n Z X Q i I F Z h b H V l P S J z d m F j d X V t X 1 9 z d G V w X z J f X 1 9 j b 3 J y Z W N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V Q x M z o z N z o x M C 4 z M D E 1 M z M y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N 1 d W 0 g K H N 0 Z X A g M i k g K G N v c n J l Y 3 R l Z C k v Q X V 0 b 1 J l b W 9 2 Z W R D b 2 x 1 b W 5 z M S 5 7 Q 2 9 s d W 1 u M S w w f S Z x d W 9 0 O y w m c X V v d D t T Z W N 0 a W 9 u M S 9 2 Y W N 1 d W 0 g K H N 0 Z X A g M i k g K G N v c n J l Y 3 R l Z C k v Q X V 0 b 1 J l b W 9 2 Z W R D b 2 x 1 b W 5 z M S 5 7 Q 2 9 s d W 1 u M i w x f S Z x d W 9 0 O y w m c X V v d D t T Z W N 0 a W 9 u M S 9 2 Y W N 1 d W 0 g K H N 0 Z X A g M i k g K G N v c n J l Y 3 R l Z C k v Q X V 0 b 1 J l b W 9 2 Z W R D b 2 x 1 b W 5 z M S 5 7 Q 2 9 s d W 1 u M y w y f S Z x d W 9 0 O y w m c X V v d D t T Z W N 0 a W 9 u M S 9 2 Y W N 1 d W 0 g K H N 0 Z X A g M i k g K G N v c n J l Y 3 R l Z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N 1 d W 0 g K H N 0 Z X A g M i k g K G N v c n J l Y 3 R l Z C k v Q X V 0 b 1 J l b W 9 2 Z W R D b 2 x 1 b W 5 z M S 5 7 Q 2 9 s d W 1 u M S w w f S Z x d W 9 0 O y w m c X V v d D t T Z W N 0 a W 9 u M S 9 2 Y W N 1 d W 0 g K H N 0 Z X A g M i k g K G N v c n J l Y 3 R l Z C k v Q X V 0 b 1 J l b W 9 2 Z W R D b 2 x 1 b W 5 z M S 5 7 Q 2 9 s d W 1 u M i w x f S Z x d W 9 0 O y w m c X V v d D t T Z W N 0 a W 9 u M S 9 2 Y W N 1 d W 0 g K H N 0 Z X A g M i k g K G N v c n J l Y 3 R l Z C k v Q X V 0 b 1 J l b W 9 2 Z W R D b 2 x 1 b W 5 z M S 5 7 Q 2 9 s d W 1 u M y w y f S Z x d W 9 0 O y w m c X V v d D t T Z W N 0 a W 9 u M S 9 2 Y W N 1 d W 0 g K H N 0 Z X A g M i k g K G N v c n J l Y 3 R l Z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j d X V t J T I w K H N 0 Z X A l M j A y K S U y M C h j b 3 J y Z W N 0 Z W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M i k l M j A o Y 2 9 y c m V j d G V k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M y k l M j A o Y 2 9 y c m V j d G V k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E N h c n R l c 2 l h b i I g L z 4 8 R W 5 0 c n k g V H l w Z T 0 i U m V j b 3 Z l c n l U Y X J n Z X R D b 2 x 1 b W 4 i I F Z h b H V l P S J s M T I i I C 8 + P E V u d H J 5 I F R 5 c G U 9 I l J l Y 2 9 2 Z X J 5 V G F y Z 2 V 0 U m 9 3 I i B W Y W x 1 Z T 0 i b D E 3 I i A v P j x F b n R y e S B U e X B l P S J G a W x s V G F y Z 2 V 0 I i B W Y W x 1 Z T 0 i c 3 Z h Y 3 V 1 b V 9 f c 3 R l c F 8 z X 1 9 f Y 2 9 y c m V j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F U M T M 6 M z c 6 M z g u N j g 2 O D I 2 M 1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j d X V t I C h z d G V w I D M p I C h j b 3 J y Z W N 0 Z W Q p L 0 F 1 d G 9 S Z W 1 v d m V k Q 2 9 s d W 1 u c z E u e 0 N v b H V t b j E s M H 0 m c X V v d D s s J n F 1 b 3 Q 7 U 2 V j d G l v b j E v d m F j d X V t I C h z d G V w I D M p I C h j b 3 J y Z W N 0 Z W Q p L 0 F 1 d G 9 S Z W 1 v d m V k Q 2 9 s d W 1 u c z E u e 0 N v b H V t b j I s M X 0 m c X V v d D s s J n F 1 b 3 Q 7 U 2 V j d G l v b j E v d m F j d X V t I C h z d G V w I D M p I C h j b 3 J y Z W N 0 Z W Q p L 0 F 1 d G 9 S Z W 1 v d m V k Q 2 9 s d W 1 u c z E u e 0 N v b H V t b j M s M n 0 m c X V v d D s s J n F 1 b 3 Q 7 U 2 V j d G l v b j E v d m F j d X V t I C h z d G V w I D M p I C h j b 3 J y Z W N 0 Z W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j d X V t I C h z d G V w I D M p I C h j b 3 J y Z W N 0 Z W Q p L 0 F 1 d G 9 S Z W 1 v d m V k Q 2 9 s d W 1 u c z E u e 0 N v b H V t b j E s M H 0 m c X V v d D s s J n F 1 b 3 Q 7 U 2 V j d G l v b j E v d m F j d X V t I C h z d G V w I D M p I C h j b 3 J y Z W N 0 Z W Q p L 0 F 1 d G 9 S Z W 1 v d m V k Q 2 9 s d W 1 u c z E u e 0 N v b H V t b j I s M X 0 m c X V v d D s s J n F 1 b 3 Q 7 U 2 V j d G l v b j E v d m F j d X V t I C h z d G V w I D M p I C h j b 3 J y Z W N 0 Z W Q p L 0 F 1 d G 9 S Z W 1 v d m V k Q 2 9 s d W 1 u c z E u e 0 N v b H V t b j M s M n 0 m c X V v d D s s J n F 1 b 3 Q 7 U 2 V j d G l v b j E v d m F j d X V t I C h z d G V w I D M p I C h j b 3 J y Z W N 0 Z W Q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Y 3 V 1 b S U y M C h z d G V w J T I w M y k l M j A o Y 2 9 y c m V j d G V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M p J T I w K G N v c n J l Y 3 R l Z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Q p J T I w K G N v c n J l Y 3 R l Z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D Y X J 0 Z X N p Y W 4 i I C 8 + P E V u d H J 5 I F R 5 c G U 9 I l J l Y 2 9 2 Z X J 5 V G F y Z 2 V 0 Q 2 9 s d W 1 u I i B W Y W x 1 Z T 0 i b D E y I i A v P j x F b n R y e S B U e X B l P S J S Z W N v d m V y e V R h c m d l d F J v d y I g V m F s d W U 9 I m w y N C I g L z 4 8 R W 5 0 c n k g V H l w Z T 0 i R m l s b F R h c m d l d C I g V m F s d W U 9 I n N 2 Y W N 1 d W 1 f X 3 N 0 Z X B f N F 9 f X 2 N v c n J l Y 3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x V D E z O j M 4 O j A x L j k w N T A 0 M j l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Y 3 V 1 b S A o c 3 R l c C A 0 K S A o Y 2 9 y c m V j d G V k K S 9 B d X R v U m V t b 3 Z l Z E N v b H V t b n M x L n t D b 2 x 1 b W 4 x L D B 9 J n F 1 b 3 Q 7 L C Z x d W 9 0 O 1 N l Y 3 R p b 2 4 x L 3 Z h Y 3 V 1 b S A o c 3 R l c C A 0 K S A o Y 2 9 y c m V j d G V k K S 9 B d X R v U m V t b 3 Z l Z E N v b H V t b n M x L n t D b 2 x 1 b W 4 y L D F 9 J n F 1 b 3 Q 7 L C Z x d W 9 0 O 1 N l Y 3 R p b 2 4 x L 3 Z h Y 3 V 1 b S A o c 3 R l c C A 0 K S A o Y 2 9 y c m V j d G V k K S 9 B d X R v U m V t b 3 Z l Z E N v b H V t b n M x L n t D b 2 x 1 b W 4 z L D J 9 J n F 1 b 3 Q 7 L C Z x d W 9 0 O 1 N l Y 3 R p b 2 4 x L 3 Z h Y 3 V 1 b S A o c 3 R l c C A 0 K S A o Y 2 9 y c m V j d G V k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Y 3 V 1 b S A o c 3 R l c C A 0 K S A o Y 2 9 y c m V j d G V k K S 9 B d X R v U m V t b 3 Z l Z E N v b H V t b n M x L n t D b 2 x 1 b W 4 x L D B 9 J n F 1 b 3 Q 7 L C Z x d W 9 0 O 1 N l Y 3 R p b 2 4 x L 3 Z h Y 3 V 1 b S A o c 3 R l c C A 0 K S A o Y 2 9 y c m V j d G V k K S 9 B d X R v U m V t b 3 Z l Z E N v b H V t b n M x L n t D b 2 x 1 b W 4 y L D F 9 J n F 1 b 3 Q 7 L C Z x d W 9 0 O 1 N l Y 3 R p b 2 4 x L 3 Z h Y 3 V 1 b S A o c 3 R l c C A 0 K S A o Y 2 9 y c m V j d G V k K S 9 B d X R v U m V t b 3 Z l Z E N v b H V t b n M x L n t D b 2 x 1 b W 4 z L D J 9 J n F 1 b 3 Q 7 L C Z x d W 9 0 O 1 N l Y 3 R p b 2 4 x L 3 Z h Y 3 V 1 b S A o c 3 R l c C A 0 K S A o Y 2 9 y c m V j d G V k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N 1 d W 0 l M j A o c 3 R l c C U y M D Q p J T I w K G N v c n J l Y 3 R l Z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0 K S U y M C h j b 3 J y Z W N 0 Z W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0 J T I w M S k l M j A o Y 2 9 y c m V j d G V k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E N h c n R l c 2 l h b i I g L z 4 8 R W 5 0 c n k g V H l w Z T 0 i U m V j b 3 Z l c n l U Y X J n Z X R D b 2 x 1 b W 4 i I F Z h b H V l P S J s M T I i I C 8 + P E V u d H J 5 I F R 5 c G U 9 I l J l Y 2 9 2 Z X J 5 V G F y Z 2 V 0 U m 9 3 I i B W Y W x 1 Z T 0 i b D M x I i A v P j x F b n R y e S B U e X B l P S J G a W x s V G F y Z 2 V 0 I i B W Y W x 1 Z T 0 i c 3 Z h Y 3 V 1 b V 9 f c 3 R l c F 8 0 X z F f X 1 9 j b 3 J y Z W N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V Q x M z o z O D o z N C 4 3 M z g 5 O T c y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N 1 d W 0 g K H N 0 Z X A g N C A x K S A o Y 2 9 y c m V j d G V k K S 9 B d X R v U m V t b 3 Z l Z E N v b H V t b n M x L n t D b 2 x 1 b W 4 x L D B 9 J n F 1 b 3 Q 7 L C Z x d W 9 0 O 1 N l Y 3 R p b 2 4 x L 3 Z h Y 3 V 1 b S A o c 3 R l c C A 0 I D E p I C h j b 3 J y Z W N 0 Z W Q p L 0 F 1 d G 9 S Z W 1 v d m V k Q 2 9 s d W 1 u c z E u e 0 N v b H V t b j I s M X 0 m c X V v d D s s J n F 1 b 3 Q 7 U 2 V j d G l v b j E v d m F j d X V t I C h z d G V w I D Q g M S k g K G N v c n J l Y 3 R l Z C k v Q X V 0 b 1 J l b W 9 2 Z W R D b 2 x 1 b W 5 z M S 5 7 Q 2 9 s d W 1 u M y w y f S Z x d W 9 0 O y w m c X V v d D t T Z W N 0 a W 9 u M S 9 2 Y W N 1 d W 0 g K H N 0 Z X A g N C A x K S A o Y 2 9 y c m V j d G V k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Y 3 V 1 b S A o c 3 R l c C A 0 I D E p I C h j b 3 J y Z W N 0 Z W Q p L 0 F 1 d G 9 S Z W 1 v d m V k Q 2 9 s d W 1 u c z E u e 0 N v b H V t b j E s M H 0 m c X V v d D s s J n F 1 b 3 Q 7 U 2 V j d G l v b j E v d m F j d X V t I C h z d G V w I D Q g M S k g K G N v c n J l Y 3 R l Z C k v Q X V 0 b 1 J l b W 9 2 Z W R D b 2 x 1 b W 5 z M S 5 7 Q 2 9 s d W 1 u M i w x f S Z x d W 9 0 O y w m c X V v d D t T Z W N 0 a W 9 u M S 9 2 Y W N 1 d W 0 g K H N 0 Z X A g N C A x K S A o Y 2 9 y c m V j d G V k K S 9 B d X R v U m V t b 3 Z l Z E N v b H V t b n M x L n t D b 2 x 1 b W 4 z L D J 9 J n F 1 b 3 Q 7 L C Z x d W 9 0 O 1 N l Y 3 R p b 2 4 x L 3 Z h Y 3 V 1 b S A o c 3 R l c C A 0 I D E p I C h j b 3 J y Z W N 0 Z W Q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Y 3 V 1 b S U y M C h z d G V w J T I w N C U y M D E p J T I w K G N v c n J l Y 3 R l Z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0 J T I w M S k l M j A o Y 2 9 y c m V j d G V k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N S k l M j A o Y 2 9 y c m V j d G V k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F U M T M 6 M z g 6 N T I u N z Q y N D I 0 O F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j d X V t I C h z d G V w I D U p I C h j b 3 J y Z W N 0 Z W Q p L 0 F 1 d G 9 S Z W 1 v d m V k Q 2 9 s d W 1 u c z E u e 0 N v b H V t b j E s M H 0 m c X V v d D s s J n F 1 b 3 Q 7 U 2 V j d G l v b j E v d m F j d X V t I C h z d G V w I D U p I C h j b 3 J y Z W N 0 Z W Q p L 0 F 1 d G 9 S Z W 1 v d m V k Q 2 9 s d W 1 u c z E u e 0 N v b H V t b j I s M X 0 m c X V v d D s s J n F 1 b 3 Q 7 U 2 V j d G l v b j E v d m F j d X V t I C h z d G V w I D U p I C h j b 3 J y Z W N 0 Z W Q p L 0 F 1 d G 9 S Z W 1 v d m V k Q 2 9 s d W 1 u c z E u e 0 N v b H V t b j M s M n 0 m c X V v d D s s J n F 1 b 3 Q 7 U 2 V j d G l v b j E v d m F j d X V t I C h z d G V w I D U p I C h j b 3 J y Z W N 0 Z W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j d X V t I C h z d G V w I D U p I C h j b 3 J y Z W N 0 Z W Q p L 0 F 1 d G 9 S Z W 1 v d m V k Q 2 9 s d W 1 u c z E u e 0 N v b H V t b j E s M H 0 m c X V v d D s s J n F 1 b 3 Q 7 U 2 V j d G l v b j E v d m F j d X V t I C h z d G V w I D U p I C h j b 3 J y Z W N 0 Z W Q p L 0 F 1 d G 9 S Z W 1 v d m V k Q 2 9 s d W 1 u c z E u e 0 N v b H V t b j I s M X 0 m c X V v d D s s J n F 1 b 3 Q 7 U 2 V j d G l v b j E v d m F j d X V t I C h z d G V w I D U p I C h j b 3 J y Z W N 0 Z W Q p L 0 F 1 d G 9 S Z W 1 v d m V k Q 2 9 s d W 1 u c z E u e 0 N v b H V t b j M s M n 0 m c X V v d D s s J n F 1 b 3 Q 7 U 2 V j d G l v b j E v d m F j d X V t I C h z d G V w I D U p I C h j b 3 J y Z W N 0 Z W Q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Y 3 V 1 b S U y M C h z d G V w J T I w N S k l M j A o Y 2 9 y c m V j d G V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U p J T I w K G N v c n J l Y 3 R l Z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U p J T I w K G N v c n J l Y 3 R l Z C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D Y X J 0 Z X N p Y W 4 i I C 8 + P E V u d H J 5 I F R 5 c G U 9 I l J l Y 2 9 2 Z X J 5 V G F y Z 2 V 0 Q 2 9 s d W 1 u I i B W Y W x 1 Z T 0 i b D E y I i A v P j x F b n R y e S B U e X B l P S J S Z W N v d m V y e V R h c m d l d F J v d y I g V m F s d W U 9 I m w z O C I g L z 4 8 R W 5 0 c n k g V H l w Z T 0 i R m l s b F R h c m d l d C I g V m F s d W U 9 I n N 2 Y W N 1 d W 1 f X 3 N 0 Z X B f N V 9 f X 2 N v c n J l Y 3 R l Z F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V Q x M z o z O T o x M S 4 y M T A 2 N T U 2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N 1 d W 0 g K H N 0 Z X A g N S k g K G N v c n J l Y 3 R l Z C k g K D I p L 0 F 1 d G 9 S Z W 1 v d m V k Q 2 9 s d W 1 u c z E u e 0 N v b H V t b j E s M H 0 m c X V v d D s s J n F 1 b 3 Q 7 U 2 V j d G l v b j E v d m F j d X V t I C h z d G V w I D U p I C h j b 3 J y Z W N 0 Z W Q p I C g y K S 9 B d X R v U m V t b 3 Z l Z E N v b H V t b n M x L n t D b 2 x 1 b W 4 y L D F 9 J n F 1 b 3 Q 7 L C Z x d W 9 0 O 1 N l Y 3 R p b 2 4 x L 3 Z h Y 3 V 1 b S A o c 3 R l c C A 1 K S A o Y 2 9 y c m V j d G V k K S A o M i k v Q X V 0 b 1 J l b W 9 2 Z W R D b 2 x 1 b W 5 z M S 5 7 Q 2 9 s d W 1 u M y w y f S Z x d W 9 0 O y w m c X V v d D t T Z W N 0 a W 9 u M S 9 2 Y W N 1 d W 0 g K H N 0 Z X A g N S k g K G N v c n J l Y 3 R l Z C k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j d X V t I C h z d G V w I D U p I C h j b 3 J y Z W N 0 Z W Q p I C g y K S 9 B d X R v U m V t b 3 Z l Z E N v b H V t b n M x L n t D b 2 x 1 b W 4 x L D B 9 J n F 1 b 3 Q 7 L C Z x d W 9 0 O 1 N l Y 3 R p b 2 4 x L 3 Z h Y 3 V 1 b S A o c 3 R l c C A 1 K S A o Y 2 9 y c m V j d G V k K S A o M i k v Q X V 0 b 1 J l b W 9 2 Z W R D b 2 x 1 b W 5 z M S 5 7 Q 2 9 s d W 1 u M i w x f S Z x d W 9 0 O y w m c X V v d D t T Z W N 0 a W 9 u M S 9 2 Y W N 1 d W 0 g K H N 0 Z X A g N S k g K G N v c n J l Y 3 R l Z C k g K D I p L 0 F 1 d G 9 S Z W 1 v d m V k Q 2 9 s d W 1 u c z E u e 0 N v b H V t b j M s M n 0 m c X V v d D s s J n F 1 b 3 Q 7 U 2 V j d G l v b j E v d m F j d X V t I C h z d G V w I D U p I C h j b 3 J y Z W N 0 Z W Q p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N 1 d W 0 l M j A o c 3 R l c C U y M D U p J T I w K G N v c n J l Y 3 R l Z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1 K S U y M C h j b 3 J y Z W N 0 Z W Q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1 J T I w M S k l M j A o Y 2 9 y c m V j d G V k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E N h c n R l c 2 l h b i I g L z 4 8 R W 5 0 c n k g V H l w Z T 0 i U m V j b 3 Z l c n l U Y X J n Z X R D b 2 x 1 b W 4 i I F Z h b H V l P S J s M T I i I C 8 + P E V u d H J 5 I F R 5 c G U 9 I l J l Y 2 9 2 Z X J 5 V G F y Z 2 V 0 U m 9 3 I i B W Y W x 1 Z T 0 i b D Q 1 I i A v P j x F b n R y e S B U e X B l P S J G a W x s V G F y Z 2 V 0 I i B W Y W x 1 Z T 0 i c 3 Z h Y 3 V 1 b V 9 f c 3 R l c F 8 1 X z F f X 1 9 j b 3 J y Z W N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V Q x M z o z O T o y O C 4 y M T k 3 N D k 2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N 1 d W 0 g K H N 0 Z X A g N S A x K S A o Y 2 9 y c m V j d G V k K S 9 B d X R v U m V t b 3 Z l Z E N v b H V t b n M x L n t D b 2 x 1 b W 4 x L D B 9 J n F 1 b 3 Q 7 L C Z x d W 9 0 O 1 N l Y 3 R p b 2 4 x L 3 Z h Y 3 V 1 b S A o c 3 R l c C A 1 I D E p I C h j b 3 J y Z W N 0 Z W Q p L 0 F 1 d G 9 S Z W 1 v d m V k Q 2 9 s d W 1 u c z E u e 0 N v b H V t b j I s M X 0 m c X V v d D s s J n F 1 b 3 Q 7 U 2 V j d G l v b j E v d m F j d X V t I C h z d G V w I D U g M S k g K G N v c n J l Y 3 R l Z C k v Q X V 0 b 1 J l b W 9 2 Z W R D b 2 x 1 b W 5 z M S 5 7 Q 2 9 s d W 1 u M y w y f S Z x d W 9 0 O y w m c X V v d D t T Z W N 0 a W 9 u M S 9 2 Y W N 1 d W 0 g K H N 0 Z X A g N S A x K S A o Y 2 9 y c m V j d G V k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Y 3 V 1 b S A o c 3 R l c C A 1 I D E p I C h j b 3 J y Z W N 0 Z W Q p L 0 F 1 d G 9 S Z W 1 v d m V k Q 2 9 s d W 1 u c z E u e 0 N v b H V t b j E s M H 0 m c X V v d D s s J n F 1 b 3 Q 7 U 2 V j d G l v b j E v d m F j d X V t I C h z d G V w I D U g M S k g K G N v c n J l Y 3 R l Z C k v Q X V 0 b 1 J l b W 9 2 Z W R D b 2 x 1 b W 5 z M S 5 7 Q 2 9 s d W 1 u M i w x f S Z x d W 9 0 O y w m c X V v d D t T Z W N 0 a W 9 u M S 9 2 Y W N 1 d W 0 g K H N 0 Z X A g N S A x K S A o Y 2 9 y c m V j d G V k K S 9 B d X R v U m V t b 3 Z l Z E N v b H V t b n M x L n t D b 2 x 1 b W 4 z L D J 9 J n F 1 b 3 Q 7 L C Z x d W 9 0 O 1 N l Y 3 R p b 2 4 x L 3 Z h Y 3 V 1 b S A o c 3 R l c C A 1 I D E p I C h j b 3 J y Z W N 0 Z W Q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Y 3 V 1 b S U y M C h z d G V w J T I w N S U y M D E p J T I w K G N v c n J l Y 3 R l Z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1 J T I w M S k l M j A o Y 2 9 y c m V j d G V k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E p J T I w K D E l M j A 3 b S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T c G h l c m l j Y W w i I C 8 + P E V u d H J 5 I F R 5 c G U 9 I l J l Y 2 9 2 Z X J 5 V G F y Z 2 V 0 Q 2 9 s d W 1 u I i B W Y W x 1 Z T 0 i b D I i I C 8 + P E V u d H J 5 I F R 5 c G U 9 I l J l Y 2 9 2 Z X J 5 V G F y Z 2 V 0 U m 9 3 I i B W Y W x 1 Z T 0 i b D M i I C 8 + P E V u d H J 5 I F R 5 c G U 9 I k Z p b G x U Y X J n Z X Q i I F Z h b H V l P S J z d 2 l 0 a G 9 1 d F 9 3 a W 5 k b 3 d f X 3 N 0 Z X B f M V 9 f X z F f N 2 1 f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A 6 M j M 6 N D k u M z k 4 N j g y M V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0 a G 9 1 d C B 3 a W 5 k b 3 c g K H N 0 Z X A g M S k g K D E g N 2 0 p I C g z K S 9 B d X R v U m V t b 3 Z l Z E N v b H V t b n M x L n t D b 2 x 1 b W 4 x L D B 9 J n F 1 b 3 Q 7 L C Z x d W 9 0 O 1 N l Y 3 R p b 2 4 x L 3 d p d G h v d X Q g d 2 l u Z G 9 3 I C h z d G V w I D E p I C g x I D d t K S A o M y k v Q X V 0 b 1 J l b W 9 2 Z W R D b 2 x 1 b W 5 z M S 5 7 Q 2 9 s d W 1 u M i w x f S Z x d W 9 0 O y w m c X V v d D t T Z W N 0 a W 9 u M S 9 3 a X R o b 3 V 0 I H d p b m R v d y A o c 3 R l c C A x K S A o M S A 3 b S k g K D M p L 0 F 1 d G 9 S Z W 1 v d m V k Q 2 9 s d W 1 u c z E u e 0 N v b H V t b j M s M n 0 m c X V v d D s s J n F 1 b 3 Q 7 U 2 V j d G l v b j E v d 2 l 0 a G 9 1 d C B 3 a W 5 k b 3 c g K H N 0 Z X A g M S k g K D E g N 2 0 p I C g z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h v d X Q g d 2 l u Z G 9 3 I C h z d G V w I D E p I C g x I D d t K S A o M y k v Q X V 0 b 1 J l b W 9 2 Z W R D b 2 x 1 b W 5 z M S 5 7 Q 2 9 s d W 1 u M S w w f S Z x d W 9 0 O y w m c X V v d D t T Z W N 0 a W 9 u M S 9 3 a X R o b 3 V 0 I H d p b m R v d y A o c 3 R l c C A x K S A o M S A 3 b S k g K D M p L 0 F 1 d G 9 S Z W 1 v d m V k Q 2 9 s d W 1 u c z E u e 0 N v b H V t b j I s M X 0 m c X V v d D s s J n F 1 b 3 Q 7 U 2 V j d G l v b j E v d 2 l 0 a G 9 1 d C B 3 a W 5 k b 3 c g K H N 0 Z X A g M S k g K D E g N 2 0 p I C g z K S 9 B d X R v U m V t b 3 Z l Z E N v b H V t b n M x L n t D b 2 x 1 b W 4 z L D J 9 J n F 1 b 3 Q 7 L C Z x d W 9 0 O 1 N l Y 3 R p b 2 4 x L 3 d p d G h v d X Q g d 2 l u Z G 9 3 I C h z d G V w I D E p I C g x I D d t K S A o M y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G 9 1 d C U y M H d p b m R v d y U y M C h z d G V w J T I w M S k l M j A o M S U y M D d t K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J T I w d 2 l u Z G 9 3 J T I w K H N 0 Z X A l M j A x K S U y M C g x J T I w N 2 0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M i k l M j A o M S U y M D k 5 b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T c G h l c m l j Y W w i I C 8 + P E V u d H J 5 I F R 5 c G U 9 I l J l Y 2 9 2 Z X J 5 V G F y Z 2 V 0 Q 2 9 s d W 1 u I i B W Y W x 1 Z T 0 i b D I i I C 8 + P E V u d H J 5 I F R 5 c G U 9 I l J l Y 2 9 2 Z X J 5 V G F y Z 2 V 0 U m 9 3 I i B W Y W x 1 Z T 0 i b D E w I i A v P j x F b n R y e S B U e X B l P S J G a W x s V G F y Z 2 V 0 I i B W Y W x 1 Z T 0 i c 3 d p d G h v d X R f d 2 l u Z G 9 3 X 1 9 z d G V w X z J f X 1 8 x X z k 5 b V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D o y N D o y M i 4 1 O T E 4 M D E 4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b 3 V 0 I H d p b m R v d y A o c 3 R l c C A y K S A o M S A 5 O W 0 p I C g y K S 9 B d X R v U m V t b 3 Z l Z E N v b H V t b n M x L n t D b 2 x 1 b W 4 x L D B 9 J n F 1 b 3 Q 7 L C Z x d W 9 0 O 1 N l Y 3 R p b 2 4 x L 3 d p d G h v d X Q g d 2 l u Z G 9 3 I C h z d G V w I D I p I C g x I D k 5 b S k g K D I p L 0 F 1 d G 9 S Z W 1 v d m V k Q 2 9 s d W 1 u c z E u e 0 N v b H V t b j I s M X 0 m c X V v d D s s J n F 1 b 3 Q 7 U 2 V j d G l v b j E v d 2 l 0 a G 9 1 d C B 3 a W 5 k b 3 c g K H N 0 Z X A g M i k g K D E g O T l t K S A o M i k v Q X V 0 b 1 J l b W 9 2 Z W R D b 2 x 1 b W 5 z M S 5 7 Q 2 9 s d W 1 u M y w y f S Z x d W 9 0 O y w m c X V v d D t T Z W N 0 a W 9 u M S 9 3 a X R o b 3 V 0 I H d p b m R v d y A o c 3 R l c C A y K S A o M S A 5 O W 0 p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h v d X Q g d 2 l u Z G 9 3 I C h z d G V w I D I p I C g x I D k 5 b S k g K D I p L 0 F 1 d G 9 S Z W 1 v d m V k Q 2 9 s d W 1 u c z E u e 0 N v b H V t b j E s M H 0 m c X V v d D s s J n F 1 b 3 Q 7 U 2 V j d G l v b j E v d 2 l 0 a G 9 1 d C B 3 a W 5 k b 3 c g K H N 0 Z X A g M i k g K D E g O T l t K S A o M i k v Q X V 0 b 1 J l b W 9 2 Z W R D b 2 x 1 b W 5 z M S 5 7 Q 2 9 s d W 1 u M i w x f S Z x d W 9 0 O y w m c X V v d D t T Z W N 0 a W 9 u M S 9 3 a X R o b 3 V 0 I H d p b m R v d y A o c 3 R l c C A y K S A o M S A 5 O W 0 p I C g y K S 9 B d X R v U m V t b 3 Z l Z E N v b H V t b n M x L n t D b 2 x 1 b W 4 z L D J 9 J n F 1 b 3 Q 7 L C Z x d W 9 0 O 1 N l Y 3 R p b 2 4 x L 3 d p d G h v d X Q g d 2 l u Z G 9 3 I C h z d G V w I D I p I C g x I D k 5 b S k g K D I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h v d X Q l M j B 3 a W 5 k b 3 c l M j A o c 3 R l c C U y M D I p J T I w K D E l M j A 5 O W 0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I p J T I w K D E l M j A 5 O W 0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M y k l M j A o M i U y M D I 4 b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T c G h l c m l j Y W w i I C 8 + P E V u d H J 5 I F R 5 c G U 9 I l J l Y 2 9 2 Z X J 5 V G F y Z 2 V 0 Q 2 9 s d W 1 u I i B W Y W x 1 Z T 0 i b D I i I C 8 + P E V u d H J 5 I F R 5 c G U 9 I l J l Y 2 9 2 Z X J 5 V G F y Z 2 V 0 U m 9 3 I i B W Y W x 1 Z T 0 i b D E 3 I i A v P j x F b n R y e S B U e X B l P S J G a W x s V G F y Z 2 V 0 I i B W Y W x 1 Z T 0 i c 3 d p d G h v d X R f d 2 l u Z G 9 3 X 1 9 z d G V w X z N f X 1 8 y X z I 4 b V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D o y N D o 0 M y 4 z N j U 5 M T k x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b 3 V 0 I H d p b m R v d y A o c 3 R l c C A z K S A o M i A y O G 0 p I C g y K S 9 B d X R v U m V t b 3 Z l Z E N v b H V t b n M x L n t D b 2 x 1 b W 4 x L D B 9 J n F 1 b 3 Q 7 L C Z x d W 9 0 O 1 N l Y 3 R p b 2 4 x L 3 d p d G h v d X Q g d 2 l u Z G 9 3 I C h z d G V w I D M p I C g y I D I 4 b S k g K D I p L 0 F 1 d G 9 S Z W 1 v d m V k Q 2 9 s d W 1 u c z E u e 0 N v b H V t b j I s M X 0 m c X V v d D s s J n F 1 b 3 Q 7 U 2 V j d G l v b j E v d 2 l 0 a G 9 1 d C B 3 a W 5 k b 3 c g K H N 0 Z X A g M y k g K D I g M j h t K S A o M i k v Q X V 0 b 1 J l b W 9 2 Z W R D b 2 x 1 b W 5 z M S 5 7 Q 2 9 s d W 1 u M y w y f S Z x d W 9 0 O y w m c X V v d D t T Z W N 0 a W 9 u M S 9 3 a X R o b 3 V 0 I H d p b m R v d y A o c 3 R l c C A z K S A o M i A y O G 0 p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h v d X Q g d 2 l u Z G 9 3 I C h z d G V w I D M p I C g y I D I 4 b S k g K D I p L 0 F 1 d G 9 S Z W 1 v d m V k Q 2 9 s d W 1 u c z E u e 0 N v b H V t b j E s M H 0 m c X V v d D s s J n F 1 b 3 Q 7 U 2 V j d G l v b j E v d 2 l 0 a G 9 1 d C B 3 a W 5 k b 3 c g K H N 0 Z X A g M y k g K D I g M j h t K S A o M i k v Q X V 0 b 1 J l b W 9 2 Z W R D b 2 x 1 b W 5 z M S 5 7 Q 2 9 s d W 1 u M i w x f S Z x d W 9 0 O y w m c X V v d D t T Z W N 0 a W 9 u M S 9 3 a X R o b 3 V 0 I H d p b m R v d y A o c 3 R l c C A z K S A o M i A y O G 0 p I C g y K S 9 B d X R v U m V t b 3 Z l Z E N v b H V t b n M x L n t D b 2 x 1 b W 4 z L D J 9 J n F 1 b 3 Q 7 L C Z x d W 9 0 O 1 N l Y 3 R p b 2 4 x L 3 d p d G h v d X Q g d 2 l u Z G 9 3 I C h z d G V w I D M p I C g y I D I 4 b S k g K D I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h v d X Q l M j B 3 a W 5 k b 3 c l M j A o c 3 R l c C U y M D M p J T I w K D I l M j A y O G 0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M p J T I w K D I l M j A y O G 0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N C k l M j A o M i U y M D U 4 b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T c G h l c m l j Y W w i I C 8 + P E V u d H J 5 I F R 5 c G U 9 I l J l Y 2 9 2 Z X J 5 V G F y Z 2 V 0 Q 2 9 s d W 1 u I i B W Y W x 1 Z T 0 i b D I i I C 8 + P E V u d H J 5 I F R 5 c G U 9 I l J l Y 2 9 2 Z X J 5 V G F y Z 2 V 0 U m 9 3 I i B W Y W x 1 Z T 0 i b D I 0 I i A v P j x F b n R y e S B U e X B l P S J G a W x s V G F y Z 2 V 0 I i B W Y W x 1 Z T 0 i c 3 d p d G h v d X R f d 2 l u Z G 9 3 X 1 9 z d G V w X z R f X 1 8 y X z U 4 b V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D o y N T o w N y 4 2 M z Q 5 O T A 0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b 3 V 0 I H d p b m R v d y A o c 3 R l c C A 0 K S A o M i A 1 O G 0 p I C g y K S 9 B d X R v U m V t b 3 Z l Z E N v b H V t b n M x L n t D b 2 x 1 b W 4 x L D B 9 J n F 1 b 3 Q 7 L C Z x d W 9 0 O 1 N l Y 3 R p b 2 4 x L 3 d p d G h v d X Q g d 2 l u Z G 9 3 I C h z d G V w I D Q p I C g y I D U 4 b S k g K D I p L 0 F 1 d G 9 S Z W 1 v d m V k Q 2 9 s d W 1 u c z E u e 0 N v b H V t b j I s M X 0 m c X V v d D s s J n F 1 b 3 Q 7 U 2 V j d G l v b j E v d 2 l 0 a G 9 1 d C B 3 a W 5 k b 3 c g K H N 0 Z X A g N C k g K D I g N T h t K S A o M i k v Q X V 0 b 1 J l b W 9 2 Z W R D b 2 x 1 b W 5 z M S 5 7 Q 2 9 s d W 1 u M y w y f S Z x d W 9 0 O y w m c X V v d D t T Z W N 0 a W 9 u M S 9 3 a X R o b 3 V 0 I H d p b m R v d y A o c 3 R l c C A 0 K S A o M i A 1 O G 0 p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h v d X Q g d 2 l u Z G 9 3 I C h z d G V w I D Q p I C g y I D U 4 b S k g K D I p L 0 F 1 d G 9 S Z W 1 v d m V k Q 2 9 s d W 1 u c z E u e 0 N v b H V t b j E s M H 0 m c X V v d D s s J n F 1 b 3 Q 7 U 2 V j d G l v b j E v d 2 l 0 a G 9 1 d C B 3 a W 5 k b 3 c g K H N 0 Z X A g N C k g K D I g N T h t K S A o M i k v Q X V 0 b 1 J l b W 9 2 Z W R D b 2 x 1 b W 5 z M S 5 7 Q 2 9 s d W 1 u M i w x f S Z x d W 9 0 O y w m c X V v d D t T Z W N 0 a W 9 u M S 9 3 a X R o b 3 V 0 I H d p b m R v d y A o c 3 R l c C A 0 K S A o M i A 1 O G 0 p I C g y K S 9 B d X R v U m V t b 3 Z l Z E N v b H V t b n M x L n t D b 2 x 1 b W 4 z L D J 9 J n F 1 b 3 Q 7 L C Z x d W 9 0 O 1 N l Y 3 R p b 2 4 x L 3 d p d G h v d X Q g d 2 l u Z G 9 3 I C h z d G V w I D Q p I C g y I D U 4 b S k g K D I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h v d X Q l M j B 3 a W 5 k b 3 c l M j A o c 3 R l c C U y M D Q p J T I w K D I l M j A 1 O G 0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Q p J T I w K D I l M j A 1 O G 0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N C U y M D E p J T I w K D I l M j A 1 O G 0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U 3 B o Z X J p Y 2 F s I i A v P j x F b n R y e S B U e X B l P S J S Z W N v d m V y e V R h c m d l d E N v b H V t b i I g V m F s d W U 9 I m w y I i A v P j x F b n R y e S B U e X B l P S J S Z W N v d m V y e V R h c m d l d F J v d y I g V m F s d W U 9 I m w z M S I g L z 4 8 R W 5 0 c n k g V H l w Z T 0 i R m l s b F R h c m d l d C I g V m F s d W U 9 I n N 3 a X R o b 3 V 0 X 3 d p b m R v d 1 9 f c 3 R l c F 8 0 X z F f X 1 8 y X z U 4 b V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D o y N T o y O C 4 z O T E 2 N z Q 1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b 3 V 0 I H d p b m R v d y A o c 3 R l c C A 0 I D E p I C g y I D U 4 b S k g K D I p L 0 F 1 d G 9 S Z W 1 v d m V k Q 2 9 s d W 1 u c z E u e 0 N v b H V t b j E s M H 0 m c X V v d D s s J n F 1 b 3 Q 7 U 2 V j d G l v b j E v d 2 l 0 a G 9 1 d C B 3 a W 5 k b 3 c g K H N 0 Z X A g N C A x K S A o M i A 1 O G 0 p I C g y K S 9 B d X R v U m V t b 3 Z l Z E N v b H V t b n M x L n t D b 2 x 1 b W 4 y L D F 9 J n F 1 b 3 Q 7 L C Z x d W 9 0 O 1 N l Y 3 R p b 2 4 x L 3 d p d G h v d X Q g d 2 l u Z G 9 3 I C h z d G V w I D Q g M S k g K D I g N T h t K S A o M i k v Q X V 0 b 1 J l b W 9 2 Z W R D b 2 x 1 b W 5 z M S 5 7 Q 2 9 s d W 1 u M y w y f S Z x d W 9 0 O y w m c X V v d D t T Z W N 0 a W 9 u M S 9 3 a X R o b 3 V 0 I H d p b m R v d y A o c 3 R l c C A 0 I D E p I C g y I D U 4 b S k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G 9 1 d C B 3 a W 5 k b 3 c g K H N 0 Z X A g N C A x K S A o M i A 1 O G 0 p I C g y K S 9 B d X R v U m V t b 3 Z l Z E N v b H V t b n M x L n t D b 2 x 1 b W 4 x L D B 9 J n F 1 b 3 Q 7 L C Z x d W 9 0 O 1 N l Y 3 R p b 2 4 x L 3 d p d G h v d X Q g d 2 l u Z G 9 3 I C h z d G V w I D Q g M S k g K D I g N T h t K S A o M i k v Q X V 0 b 1 J l b W 9 2 Z W R D b 2 x 1 b W 5 z M S 5 7 Q 2 9 s d W 1 u M i w x f S Z x d W 9 0 O y w m c X V v d D t T Z W N 0 a W 9 u M S 9 3 a X R o b 3 V 0 I H d p b m R v d y A o c 3 R l c C A 0 I D E p I C g y I D U 4 b S k g K D I p L 0 F 1 d G 9 S Z W 1 v d m V k Q 2 9 s d W 1 u c z E u e 0 N v b H V t b j M s M n 0 m c X V v d D s s J n F 1 b 3 Q 7 U 2 V j d G l v b j E v d 2 l 0 a G 9 1 d C B 3 a W 5 k b 3 c g K H N 0 Z X A g N C A x K S A o M i A 1 O G 0 p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b 3 V 0 J T I w d 2 l u Z G 9 3 J T I w K H N 0 Z X A l M j A 0 J T I w M S k l M j A o M i U y M D U 4 b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N C U y M D E p J T I w K D I l M j A 1 O G 0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N S k l M j A o M i U y M D g 3 b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T c G h l c m l j Y W w i I C 8 + P E V u d H J 5 I F R 5 c G U 9 I l J l Y 2 9 2 Z X J 5 V G F y Z 2 V 0 Q 2 9 s d W 1 u I i B W Y W x 1 Z T 0 i b D I i I C 8 + P E V u d H J 5 I F R 5 c G U 9 I l J l Y 2 9 2 Z X J 5 V G F y Z 2 V 0 U m 9 3 I i B W Y W x 1 Z T 0 i b D M 4 I i A v P j x F b n R y e S B U e X B l P S J G a W x s V G F y Z 2 V 0 I i B W Y W x 1 Z T 0 i c 3 d p d G h v d X R f d 2 l u Z G 9 3 X 1 9 z d G V w X z V f X 1 8 y X z g 3 b V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D o y N T o 1 M i 4 4 O D Q 5 N T M 3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b 3 V 0 I H d p b m R v d y A o c 3 R l c C A 1 K S A o M i A 4 N 2 0 p I C g y K S 9 B d X R v U m V t b 3 Z l Z E N v b H V t b n M x L n t D b 2 x 1 b W 4 x L D B 9 J n F 1 b 3 Q 7 L C Z x d W 9 0 O 1 N l Y 3 R p b 2 4 x L 3 d p d G h v d X Q g d 2 l u Z G 9 3 I C h z d G V w I D U p I C g y I D g 3 b S k g K D I p L 0 F 1 d G 9 S Z W 1 v d m V k Q 2 9 s d W 1 u c z E u e 0 N v b H V t b j I s M X 0 m c X V v d D s s J n F 1 b 3 Q 7 U 2 V j d G l v b j E v d 2 l 0 a G 9 1 d C B 3 a W 5 k b 3 c g K H N 0 Z X A g N S k g K D I g O D d t K S A o M i k v Q X V 0 b 1 J l b W 9 2 Z W R D b 2 x 1 b W 5 z M S 5 7 Q 2 9 s d W 1 u M y w y f S Z x d W 9 0 O y w m c X V v d D t T Z W N 0 a W 9 u M S 9 3 a X R o b 3 V 0 I H d p b m R v d y A o c 3 R l c C A 1 K S A o M i A 4 N 2 0 p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h v d X Q g d 2 l u Z G 9 3 I C h z d G V w I D U p I C g y I D g 3 b S k g K D I p L 0 F 1 d G 9 S Z W 1 v d m V k Q 2 9 s d W 1 u c z E u e 0 N v b H V t b j E s M H 0 m c X V v d D s s J n F 1 b 3 Q 7 U 2 V j d G l v b j E v d 2 l 0 a G 9 1 d C B 3 a W 5 k b 3 c g K H N 0 Z X A g N S k g K D I g O D d t K S A o M i k v Q X V 0 b 1 J l b W 9 2 Z W R D b 2 x 1 b W 5 z M S 5 7 Q 2 9 s d W 1 u M i w x f S Z x d W 9 0 O y w m c X V v d D t T Z W N 0 a W 9 u M S 9 3 a X R o b 3 V 0 I H d p b m R v d y A o c 3 R l c C A 1 K S A o M i A 4 N 2 0 p I C g y K S 9 B d X R v U m V t b 3 Z l Z E N v b H V t b n M x L n t D b 2 x 1 b W 4 z L D J 9 J n F 1 b 3 Q 7 L C Z x d W 9 0 O 1 N l Y 3 R p b 2 4 x L 3 d p d G h v d X Q g d 2 l u Z G 9 3 I C h z d G V w I D U p I C g y I D g 3 b S k g K D I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h v d X Q l M j B 3 a W 5 k b 3 c l M j A o c 3 R l c C U y M D U p J T I w K D I l M j A 4 N 2 0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U p J T I w K D I l M j A 4 N 2 0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N S U y M D E p J T I w K D I l M j A 4 N 2 0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U 3 B o Z X J p Y 2 F s I i A v P j x F b n R y e S B U e X B l P S J S Z W N v d m V y e V R h c m d l d E N v b H V t b i I g V m F s d W U 9 I m w y I i A v P j x F b n R y e S B U e X B l P S J S Z W N v d m V y e V R h c m d l d F J v d y I g V m F s d W U 9 I m w 0 N S I g L z 4 8 R W 5 0 c n k g V H l w Z T 0 i R m l s b F R h c m d l d C I g V m F s d W U 9 I n N 3 a X R o b 3 V 0 X 3 d p b m R v d 1 9 f c 3 R l c F 8 1 X z F f X 1 8 y X z g 3 b V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D o y N j o x M y 4 z M j M 4 M T k 1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b 3 V 0 I H d p b m R v d y A o c 3 R l c C A 1 I D E p I C g y I D g 3 b S k g K D I p L 0 F 1 d G 9 S Z W 1 v d m V k Q 2 9 s d W 1 u c z E u e 0 N v b H V t b j E s M H 0 m c X V v d D s s J n F 1 b 3 Q 7 U 2 V j d G l v b j E v d 2 l 0 a G 9 1 d C B 3 a W 5 k b 3 c g K H N 0 Z X A g N S A x K S A o M i A 4 N 2 0 p I C g y K S 9 B d X R v U m V t b 3 Z l Z E N v b H V t b n M x L n t D b 2 x 1 b W 4 y L D F 9 J n F 1 b 3 Q 7 L C Z x d W 9 0 O 1 N l Y 3 R p b 2 4 x L 3 d p d G h v d X Q g d 2 l u Z G 9 3 I C h z d G V w I D U g M S k g K D I g O D d t K S A o M i k v Q X V 0 b 1 J l b W 9 2 Z W R D b 2 x 1 b W 5 z M S 5 7 Q 2 9 s d W 1 u M y w y f S Z x d W 9 0 O y w m c X V v d D t T Z W N 0 a W 9 u M S 9 3 a X R o b 3 V 0 I H d p b m R v d y A o c 3 R l c C A 1 I D E p I C g y I D g 3 b S k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G 9 1 d C B 3 a W 5 k b 3 c g K H N 0 Z X A g N S A x K S A o M i A 4 N 2 0 p I C g y K S 9 B d X R v U m V t b 3 Z l Z E N v b H V t b n M x L n t D b 2 x 1 b W 4 x L D B 9 J n F 1 b 3 Q 7 L C Z x d W 9 0 O 1 N l Y 3 R p b 2 4 x L 3 d p d G h v d X Q g d 2 l u Z G 9 3 I C h z d G V w I D U g M S k g K D I g O D d t K S A o M i k v Q X V 0 b 1 J l b W 9 2 Z W R D b 2 x 1 b W 5 z M S 5 7 Q 2 9 s d W 1 u M i w x f S Z x d W 9 0 O y w m c X V v d D t T Z W N 0 a W 9 u M S 9 3 a X R o b 3 V 0 I H d p b m R v d y A o c 3 R l c C A 1 I D E p I C g y I D g 3 b S k g K D I p L 0 F 1 d G 9 S Z W 1 v d m V k Q 2 9 s d W 1 u c z E u e 0 N v b H V t b j M s M n 0 m c X V v d D s s J n F 1 b 3 Q 7 U 2 V j d G l v b j E v d 2 l 0 a G 9 1 d C B 3 a W 5 k b 3 c g K H N 0 Z X A g N S A x K S A o M i A 4 N 2 0 p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b 3 V 0 J T I w d 2 l u Z G 9 3 J T I w K H N 0 Z X A l M j A 1 J T I w M S k l M j A o M i U y M D g 3 b S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N S U y M D E p J T I w K D I l M j A 4 N 2 0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0 a C U y M H d p b m R v d y U y M C h z d G V w J T I w M S k l M j A o Y 2 9 y c m V j d G V k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F N w a G V y a W N h b C I g L z 4 8 R W 5 0 c n k g V H l w Z T 0 i U m V j b 3 Z l c n l U Y X J n Z X R D b 2 x 1 b W 4 i I F Z h b H V l P S J s N y I g L z 4 8 R W 5 0 c n k g V H l w Z T 0 i U m V j b 3 Z l c n l U Y X J n Z X R S b 3 c i I F Z h b H V l P S J s M y I g L z 4 8 R W 5 0 c n k g V H l w Z T 0 i R m l s b F R h c m d l d C I g V m F s d W U 9 I n N X a X R o X 3 d p b m R v d 1 9 f c 3 R l c F 8 x X 1 9 f Y 2 9 y c m V j d G V k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w O j I 2 O j U x L j E x M D Q 1 M z F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d G g g d 2 l u Z G 9 3 I C h z d G V w I D E p I C h j b 3 J y Z W N 0 Z W Q p I C g y K S 9 B d X R v U m V t b 3 Z l Z E N v b H V t b n M x L n t D b 2 x 1 b W 4 x L D B 9 J n F 1 b 3 Q 7 L C Z x d W 9 0 O 1 N l Y 3 R p b 2 4 x L 1 d p d G g g d 2 l u Z G 9 3 I C h z d G V w I D E p I C h j b 3 J y Z W N 0 Z W Q p I C g y K S 9 B d X R v U m V t b 3 Z l Z E N v b H V t b n M x L n t D b 2 x 1 b W 4 y L D F 9 J n F 1 b 3 Q 7 L C Z x d W 9 0 O 1 N l Y 3 R p b 2 4 x L 1 d p d G g g d 2 l u Z G 9 3 I C h z d G V w I D E p I C h j b 3 J y Z W N 0 Z W Q p I C g y K S 9 B d X R v U m V t b 3 Z l Z E N v b H V t b n M x L n t D b 2 x 1 b W 4 z L D J 9 J n F 1 b 3 Q 7 L C Z x d W 9 0 O 1 N l Y 3 R p b 2 4 x L 1 d p d G g g d 2 l u Z G 9 3 I C h z d G V w I D E p I C h j b 3 J y Z W N 0 Z W Q p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d p d G g g d 2 l u Z G 9 3 I C h z d G V w I D E p I C h j b 3 J y Z W N 0 Z W Q p I C g y K S 9 B d X R v U m V t b 3 Z l Z E N v b H V t b n M x L n t D b 2 x 1 b W 4 x L D B 9 J n F 1 b 3 Q 7 L C Z x d W 9 0 O 1 N l Y 3 R p b 2 4 x L 1 d p d G g g d 2 l u Z G 9 3 I C h z d G V w I D E p I C h j b 3 J y Z W N 0 Z W Q p I C g y K S 9 B d X R v U m V t b 3 Z l Z E N v b H V t b n M x L n t D b 2 x 1 b W 4 y L D F 9 J n F 1 b 3 Q 7 L C Z x d W 9 0 O 1 N l Y 3 R p b 2 4 x L 1 d p d G g g d 2 l u Z G 9 3 I C h z d G V w I D E p I C h j b 3 J y Z W N 0 Z W Q p I C g y K S 9 B d X R v U m V t b 3 Z l Z E N v b H V t b n M x L n t D b 2 x 1 b W 4 z L D J 9 J n F 1 b 3 Q 7 L C Z x d W 9 0 O 1 N l Y 3 R p b 2 4 x L 1 d p d G g g d 2 l u Z G 9 3 I C h z d G V w I D E p I C h j b 3 J y Z W N 0 Z W Q p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X R o J T I w d 2 l u Z G 9 3 J T I w K H N 0 Z X A l M j A x K S U y M C h j b 3 J y Z W N 0 Z W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d G g l M j B 3 a W 5 k b 3 c l M j A o c 3 R l c C U y M D E p J T I w K G N v c n J l Y 3 R l Z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y K S U y M C h j b 3 J y Z W N 0 Z W Q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U 3 B o Z X J p Y 2 F s I i A v P j x F b n R y e S B U e X B l P S J S Z W N v d m V y e V R h c m d l d E N v b H V t b i I g V m F s d W U 9 I m w 3 I i A v P j x F b n R y e S B U e X B l P S J S Z W N v d m V y e V R h c m d l d F J v d y I g V m F s d W U 9 I m w x M C I g L z 4 8 R W 5 0 c n k g V H l w Z T 0 i R m l s b F R h c m d l d C I g V m F s d W U 9 I n N 3 a X R o X 3 d p b m R v d 1 9 f c 3 R l c F 8 y X 1 9 f Y 2 9 y c m V j d G V k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w O j I 3 O j E z L j Y 2 N j k 1 N j V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g g d 2 l u Z G 9 3 I C h z d G V w I D I p I C h j b 3 J y Z W N 0 Z W Q p I C g y K S 9 B d X R v U m V t b 3 Z l Z E N v b H V t b n M x L n t D b 2 x 1 b W 4 x L D B 9 J n F 1 b 3 Q 7 L C Z x d W 9 0 O 1 N l Y 3 R p b 2 4 x L 3 d p d G g g d 2 l u Z G 9 3 I C h z d G V w I D I p I C h j b 3 J y Z W N 0 Z W Q p I C g y K S 9 B d X R v U m V t b 3 Z l Z E N v b H V t b n M x L n t D b 2 x 1 b W 4 y L D F 9 J n F 1 b 3 Q 7 L C Z x d W 9 0 O 1 N l Y 3 R p b 2 4 x L 3 d p d G g g d 2 l u Z G 9 3 I C h z d G V w I D I p I C h j b 3 J y Z W N 0 Z W Q p I C g y K S 9 B d X R v U m V t b 3 Z l Z E N v b H V t b n M x L n t D b 2 x 1 b W 4 z L D J 9 J n F 1 b 3 Q 7 L C Z x d W 9 0 O 1 N l Y 3 R p b 2 4 x L 3 d p d G g g d 2 l u Z G 9 3 I C h z d G V w I D I p I C h j b 3 J y Z W N 0 Z W Q p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g g d 2 l u Z G 9 3 I C h z d G V w I D I p I C h j b 3 J y Z W N 0 Z W Q p I C g y K S 9 B d X R v U m V t b 3 Z l Z E N v b H V t b n M x L n t D b 2 x 1 b W 4 x L D B 9 J n F 1 b 3 Q 7 L C Z x d W 9 0 O 1 N l Y 3 R p b 2 4 x L 3 d p d G g g d 2 l u Z G 9 3 I C h z d G V w I D I p I C h j b 3 J y Z W N 0 Z W Q p I C g y K S 9 B d X R v U m V t b 3 Z l Z E N v b H V t b n M x L n t D b 2 x 1 b W 4 y L D F 9 J n F 1 b 3 Q 7 L C Z x d W 9 0 O 1 N l Y 3 R p b 2 4 x L 3 d p d G g g d 2 l u Z G 9 3 I C h z d G V w I D I p I C h j b 3 J y Z W N 0 Z W Q p I C g y K S 9 B d X R v U m V t b 3 Z l Z E N v b H V t b n M x L n t D b 2 x 1 b W 4 z L D J 9 J n F 1 b 3 Q 7 L C Z x d W 9 0 O 1 N l Y 3 R p b 2 4 x L 3 d p d G g g d 2 l u Z G 9 3 I C h z d G V w I D I p I C h j b 3 J y Z W N 0 Z W Q p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J T I w d 2 l u Z G 9 3 J T I w K H N 0 Z X A l M j A y K S U y M C h j b 3 J y Z W N 0 Z W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I p J T I w K G N v c n J l Y 3 R l Z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z K S U y M C h j b 3 J y Z W N 0 Z W Q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U 3 B o Z X J p Y 2 F s I i A v P j x F b n R y e S B U e X B l P S J S Z W N v d m V y e V R h c m d l d E N v b H V t b i I g V m F s d W U 9 I m w 3 I i A v P j x F b n R y e S B U e X B l P S J S Z W N v d m V y e V R h c m d l d F J v d y I g V m F s d W U 9 I m w x N y I g L z 4 8 R W 5 0 c n k g V H l w Z T 0 i R m l s b F R h c m d l d C I g V m F s d W U 9 I n N 3 a X R o X 3 d p b m R v d 1 9 f c 3 R l c F 8 z X 1 9 f Y 2 9 y c m V j d G V k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w O j I 3 O j M w L j I 2 M j M 0 M T N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g g d 2 l u Z G 9 3 I C h z d G V w I D M p I C h j b 3 J y Z W N 0 Z W Q p I C g y K S 9 B d X R v U m V t b 3 Z l Z E N v b H V t b n M x L n t D b 2 x 1 b W 4 x L D B 9 J n F 1 b 3 Q 7 L C Z x d W 9 0 O 1 N l Y 3 R p b 2 4 x L 3 d p d G g g d 2 l u Z G 9 3 I C h z d G V w I D M p I C h j b 3 J y Z W N 0 Z W Q p I C g y K S 9 B d X R v U m V t b 3 Z l Z E N v b H V t b n M x L n t D b 2 x 1 b W 4 y L D F 9 J n F 1 b 3 Q 7 L C Z x d W 9 0 O 1 N l Y 3 R p b 2 4 x L 3 d p d G g g d 2 l u Z G 9 3 I C h z d G V w I D M p I C h j b 3 J y Z W N 0 Z W Q p I C g y K S 9 B d X R v U m V t b 3 Z l Z E N v b H V t b n M x L n t D b 2 x 1 b W 4 z L D J 9 J n F 1 b 3 Q 7 L C Z x d W 9 0 O 1 N l Y 3 R p b 2 4 x L 3 d p d G g g d 2 l u Z G 9 3 I C h z d G V w I D M p I C h j b 3 J y Z W N 0 Z W Q p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g g d 2 l u Z G 9 3 I C h z d G V w I D M p I C h j b 3 J y Z W N 0 Z W Q p I C g y K S 9 B d X R v U m V t b 3 Z l Z E N v b H V t b n M x L n t D b 2 x 1 b W 4 x L D B 9 J n F 1 b 3 Q 7 L C Z x d W 9 0 O 1 N l Y 3 R p b 2 4 x L 3 d p d G g g d 2 l u Z G 9 3 I C h z d G V w I D M p I C h j b 3 J y Z W N 0 Z W Q p I C g y K S 9 B d X R v U m V t b 3 Z l Z E N v b H V t b n M x L n t D b 2 x 1 b W 4 y L D F 9 J n F 1 b 3 Q 7 L C Z x d W 9 0 O 1 N l Y 3 R p b 2 4 x L 3 d p d G g g d 2 l u Z G 9 3 I C h z d G V w I D M p I C h j b 3 J y Z W N 0 Z W Q p I C g y K S 9 B d X R v U m V t b 3 Z l Z E N v b H V t b n M x L n t D b 2 x 1 b W 4 z L D J 9 J n F 1 b 3 Q 7 L C Z x d W 9 0 O 1 N l Y 3 R p b 2 4 x L 3 d p d G g g d 2 l u Z G 9 3 I C h z d G V w I D M p I C h j b 3 J y Z W N 0 Z W Q p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J T I w d 2 l u Z G 9 3 J T I w K H N 0 Z X A l M j A z K S U y M C h j b 3 J y Z W N 0 Z W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M p J T I w K G N v c n J l Y 3 R l Z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0 K S U y M C h j b 3 J y Z W N 0 Z W Q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U 3 B o Z X J p Y 2 F s I i A v P j x F b n R y e S B U e X B l P S J S Z W N v d m V y e V R h c m d l d E N v b H V t b i I g V m F s d W U 9 I m w 3 I i A v P j x F b n R y e S B U e X B l P S J S Z W N v d m V y e V R h c m d l d F J v d y I g V m F s d W U 9 I m w y N C I g L z 4 8 R W 5 0 c n k g V H l w Z T 0 i R m l s b F R h c m d l d C I g V m F s d W U 9 I n N 3 a X R o X 3 d p b m R v d 1 9 f c 3 R l c F 8 0 X 1 9 f Y 2 9 y c m V j d G V k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w O j I 3 O j U 3 L j I w M j A x N T d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g g d 2 l u Z G 9 3 I C h z d G V w I D Q p I C h j b 3 J y Z W N 0 Z W Q p I C g y K S 9 B d X R v U m V t b 3 Z l Z E N v b H V t b n M x L n t D b 2 x 1 b W 4 x L D B 9 J n F 1 b 3 Q 7 L C Z x d W 9 0 O 1 N l Y 3 R p b 2 4 x L 3 d p d G g g d 2 l u Z G 9 3 I C h z d G V w I D Q p I C h j b 3 J y Z W N 0 Z W Q p I C g y K S 9 B d X R v U m V t b 3 Z l Z E N v b H V t b n M x L n t D b 2 x 1 b W 4 y L D F 9 J n F 1 b 3 Q 7 L C Z x d W 9 0 O 1 N l Y 3 R p b 2 4 x L 3 d p d G g g d 2 l u Z G 9 3 I C h z d G V w I D Q p I C h j b 3 J y Z W N 0 Z W Q p I C g y K S 9 B d X R v U m V t b 3 Z l Z E N v b H V t b n M x L n t D b 2 x 1 b W 4 z L D J 9 J n F 1 b 3 Q 7 L C Z x d W 9 0 O 1 N l Y 3 R p b 2 4 x L 3 d p d G g g d 2 l u Z G 9 3 I C h z d G V w I D Q p I C h j b 3 J y Z W N 0 Z W Q p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g g d 2 l u Z G 9 3 I C h z d G V w I D Q p I C h j b 3 J y Z W N 0 Z W Q p I C g y K S 9 B d X R v U m V t b 3 Z l Z E N v b H V t b n M x L n t D b 2 x 1 b W 4 x L D B 9 J n F 1 b 3 Q 7 L C Z x d W 9 0 O 1 N l Y 3 R p b 2 4 x L 3 d p d G g g d 2 l u Z G 9 3 I C h z d G V w I D Q p I C h j b 3 J y Z W N 0 Z W Q p I C g y K S 9 B d X R v U m V t b 3 Z l Z E N v b H V t b n M x L n t D b 2 x 1 b W 4 y L D F 9 J n F 1 b 3 Q 7 L C Z x d W 9 0 O 1 N l Y 3 R p b 2 4 x L 3 d p d G g g d 2 l u Z G 9 3 I C h z d G V w I D Q p I C h j b 3 J y Z W N 0 Z W Q p I C g y K S 9 B d X R v U m V t b 3 Z l Z E N v b H V t b n M x L n t D b 2 x 1 b W 4 z L D J 9 J n F 1 b 3 Q 7 L C Z x d W 9 0 O 1 N l Y 3 R p b 2 4 x L 3 d p d G g g d 2 l u Z G 9 3 I C h z d G V w I D Q p I C h j b 3 J y Z W N 0 Z W Q p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J T I w d 2 l u Z G 9 3 J T I w K H N 0 Z X A l M j A 0 K S U y M C h j b 3 J y Z W N 0 Z W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Q p J T I w K G N v c n J l Y 3 R l Z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0 J T I w M S k l M j A o Y 2 9 y c m V j d G V k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F N w a G V y a W N h b C I g L z 4 8 R W 5 0 c n k g V H l w Z T 0 i U m V j b 3 Z l c n l U Y X J n Z X R D b 2 x 1 b W 4 i I F Z h b H V l P S J s N y I g L z 4 8 R W 5 0 c n k g V H l w Z T 0 i U m V j b 3 Z l c n l U Y X J n Z X R S b 3 c i I F Z h b H V l P S J s M z E i I C 8 + P E V u d H J 5 I F R 5 c G U 9 I k Z p b G x U Y X J n Z X Q i I F Z h b H V l P S J z d 2 l 0 a F 9 3 a W 5 k b 3 d f X 3 N 0 Z X B f N F 8 x X 1 9 f Y 2 9 y c m V j d G V k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w O j I 4 O j E 2 L j g z N D Q 0 N j l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g g d 2 l u Z G 9 3 I C h z d G V w I D Q g M S k g K G N v c n J l Y 3 R l Z C k g K D I p L 0 F 1 d G 9 S Z W 1 v d m V k Q 2 9 s d W 1 u c z E u e 0 N v b H V t b j E s M H 0 m c X V v d D s s J n F 1 b 3 Q 7 U 2 V j d G l v b j E v d 2 l 0 a C B 3 a W 5 k b 3 c g K H N 0 Z X A g N C A x K S A o Y 2 9 y c m V j d G V k K S A o M i k v Q X V 0 b 1 J l b W 9 2 Z W R D b 2 x 1 b W 5 z M S 5 7 Q 2 9 s d W 1 u M i w x f S Z x d W 9 0 O y w m c X V v d D t T Z W N 0 a W 9 u M S 9 3 a X R o I H d p b m R v d y A o c 3 R l c C A 0 I D E p I C h j b 3 J y Z W N 0 Z W Q p I C g y K S 9 B d X R v U m V t b 3 Z l Z E N v b H V t b n M x L n t D b 2 x 1 b W 4 z L D J 9 J n F 1 b 3 Q 7 L C Z x d W 9 0 O 1 N l Y 3 R p b 2 4 x L 3 d p d G g g d 2 l u Z G 9 3 I C h z d G V w I D Q g M S k g K G N v c n J l Y 3 R l Z C k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C B 3 a W 5 k b 3 c g K H N 0 Z X A g N C A x K S A o Y 2 9 y c m V j d G V k K S A o M i k v Q X V 0 b 1 J l b W 9 2 Z W R D b 2 x 1 b W 5 z M S 5 7 Q 2 9 s d W 1 u M S w w f S Z x d W 9 0 O y w m c X V v d D t T Z W N 0 a W 9 u M S 9 3 a X R o I H d p b m R v d y A o c 3 R l c C A 0 I D E p I C h j b 3 J y Z W N 0 Z W Q p I C g y K S 9 B d X R v U m V t b 3 Z l Z E N v b H V t b n M x L n t D b 2 x 1 b W 4 y L D F 9 J n F 1 b 3 Q 7 L C Z x d W 9 0 O 1 N l Y 3 R p b 2 4 x L 3 d p d G g g d 2 l u Z G 9 3 I C h z d G V w I D Q g M S k g K G N v c n J l Y 3 R l Z C k g K D I p L 0 F 1 d G 9 S Z W 1 v d m V k Q 2 9 s d W 1 u c z E u e 0 N v b H V t b j M s M n 0 m c X V v d D s s J n F 1 b 3 Q 7 U 2 V j d G l v b j E v d 2 l 0 a C B 3 a W 5 k b 3 c g K H N 0 Z X A g N C A x K S A o Y 2 9 y c m V j d G V k K S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C U y M H d p b m R v d y U y M C h z d G V w J T I w N C U y M D E p J T I w K G N v c n J l Y 3 R l Z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N C U y M D E p J T I w K G N v c n J l Y 3 R l Z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1 K S U y M C h j b 3 J y Z W N 0 Z W Q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U 3 B o Z X J p Y 2 F s I i A v P j x F b n R y e S B U e X B l P S J S Z W N v d m V y e V R h c m d l d E N v b H V t b i I g V m F s d W U 9 I m w 3 I i A v P j x F b n R y e S B U e X B l P S J S Z W N v d m V y e V R h c m d l d F J v d y I g V m F s d W U 9 I m w z O C I g L z 4 8 R W 5 0 c n k g V H l w Z T 0 i R m l s b F R h c m d l d C I g V m F s d W U 9 I n N 3 a X R o X 3 d p b m R v d 1 9 f c 3 R l c F 8 1 X 1 9 f Y 2 9 y c m V j d G V k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w O j I 4 O j M z L j c x N D Y y O D B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g g d 2 l u Z G 9 3 I C h z d G V w I D U p I C h j b 3 J y Z W N 0 Z W Q p I C g y K S 9 B d X R v U m V t b 3 Z l Z E N v b H V t b n M x L n t D b 2 x 1 b W 4 x L D B 9 J n F 1 b 3 Q 7 L C Z x d W 9 0 O 1 N l Y 3 R p b 2 4 x L 3 d p d G g g d 2 l u Z G 9 3 I C h z d G V w I D U p I C h j b 3 J y Z W N 0 Z W Q p I C g y K S 9 B d X R v U m V t b 3 Z l Z E N v b H V t b n M x L n t D b 2 x 1 b W 4 y L D F 9 J n F 1 b 3 Q 7 L C Z x d W 9 0 O 1 N l Y 3 R p b 2 4 x L 3 d p d G g g d 2 l u Z G 9 3 I C h z d G V w I D U p I C h j b 3 J y Z W N 0 Z W Q p I C g y K S 9 B d X R v U m V t b 3 Z l Z E N v b H V t b n M x L n t D b 2 x 1 b W 4 z L D J 9 J n F 1 b 3 Q 7 L C Z x d W 9 0 O 1 N l Y 3 R p b 2 4 x L 3 d p d G g g d 2 l u Z G 9 3 I C h z d G V w I D U p I C h j b 3 J y Z W N 0 Z W Q p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g g d 2 l u Z G 9 3 I C h z d G V w I D U p I C h j b 3 J y Z W N 0 Z W Q p I C g y K S 9 B d X R v U m V t b 3 Z l Z E N v b H V t b n M x L n t D b 2 x 1 b W 4 x L D B 9 J n F 1 b 3 Q 7 L C Z x d W 9 0 O 1 N l Y 3 R p b 2 4 x L 3 d p d G g g d 2 l u Z G 9 3 I C h z d G V w I D U p I C h j b 3 J y Z W N 0 Z W Q p I C g y K S 9 B d X R v U m V t b 3 Z l Z E N v b H V t b n M x L n t D b 2 x 1 b W 4 y L D F 9 J n F 1 b 3 Q 7 L C Z x d W 9 0 O 1 N l Y 3 R p b 2 4 x L 3 d p d G g g d 2 l u Z G 9 3 I C h z d G V w I D U p I C h j b 3 J y Z W N 0 Z W Q p I C g y K S 9 B d X R v U m V t b 3 Z l Z E N v b H V t b n M x L n t D b 2 x 1 b W 4 z L D J 9 J n F 1 b 3 Q 7 L C Z x d W 9 0 O 1 N l Y 3 R p b 2 4 x L 3 d p d G g g d 2 l u Z G 9 3 I C h z d G V w I D U p I C h j b 3 J y Z W N 0 Z W Q p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J T I w d 2 l u Z G 9 3 J T I w K H N 0 Z X A l M j A 1 K S U y M C h j b 3 J y Z W N 0 Z W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U p J T I w K G N v c n J l Y 3 R l Z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1 J T I w M S k l M j A o Y 2 9 y c m V j d G V k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F N w a G V y a W N h b C I g L z 4 8 R W 5 0 c n k g V H l w Z T 0 i U m V j b 3 Z l c n l U Y X J n Z X R D b 2 x 1 b W 4 i I F Z h b H V l P S J s N y I g L z 4 8 R W 5 0 c n k g V H l w Z T 0 i U m V j b 3 Z l c n l U Y X J n Z X R S b 3 c i I F Z h b H V l P S J s N D U i I C 8 + P E V u d H J 5 I F R 5 c G U 9 I k Z p b G x U Y X J n Z X Q i I F Z h b H V l P S J z d 2 l 0 a F 9 3 a W 5 k b 3 d f X 3 N 0 Z X B f N V 8 x X 1 9 f Y 2 9 y c m V j d G V k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w O j I 4 O j U 0 L j Q 3 M T M x M z F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g g d 2 l u Z G 9 3 I C h z d G V w I D U g M S k g K G N v c n J l Y 3 R l Z C k g K D I p L 0 F 1 d G 9 S Z W 1 v d m V k Q 2 9 s d W 1 u c z E u e 0 N v b H V t b j E s M H 0 m c X V v d D s s J n F 1 b 3 Q 7 U 2 V j d G l v b j E v d 2 l 0 a C B 3 a W 5 k b 3 c g K H N 0 Z X A g N S A x K S A o Y 2 9 y c m V j d G V k K S A o M i k v Q X V 0 b 1 J l b W 9 2 Z W R D b 2 x 1 b W 5 z M S 5 7 Q 2 9 s d W 1 u M i w x f S Z x d W 9 0 O y w m c X V v d D t T Z W N 0 a W 9 u M S 9 3 a X R o I H d p b m R v d y A o c 3 R l c C A 1 I D E p I C h j b 3 J y Z W N 0 Z W Q p I C g y K S 9 B d X R v U m V t b 3 Z l Z E N v b H V t b n M x L n t D b 2 x 1 b W 4 z L D J 9 J n F 1 b 3 Q 7 L C Z x d W 9 0 O 1 N l Y 3 R p b 2 4 x L 3 d p d G g g d 2 l u Z G 9 3 I C h z d G V w I D U g M S k g K G N v c n J l Y 3 R l Z C k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C B 3 a W 5 k b 3 c g K H N 0 Z X A g N S A x K S A o Y 2 9 y c m V j d G V k K S A o M i k v Q X V 0 b 1 J l b W 9 2 Z W R D b 2 x 1 b W 5 z M S 5 7 Q 2 9 s d W 1 u M S w w f S Z x d W 9 0 O y w m c X V v d D t T Z W N 0 a W 9 u M S 9 3 a X R o I H d p b m R v d y A o c 3 R l c C A 1 I D E p I C h j b 3 J y Z W N 0 Z W Q p I C g y K S 9 B d X R v U m V t b 3 Z l Z E N v b H V t b n M x L n t D b 2 x 1 b W 4 y L D F 9 J n F 1 b 3 Q 7 L C Z x d W 9 0 O 1 N l Y 3 R p b 2 4 x L 3 d p d G g g d 2 l u Z G 9 3 I C h z d G V w I D U g M S k g K G N v c n J l Y 3 R l Z C k g K D I p L 0 F 1 d G 9 S Z W 1 v d m V k Q 2 9 s d W 1 u c z E u e 0 N v b H V t b j M s M n 0 m c X V v d D s s J n F 1 b 3 Q 7 U 2 V j d G l v b j E v d 2 l 0 a C B 3 a W 5 k b 3 c g K H N 0 Z X A g N S A x K S A o Y 2 9 y c m V j d G V k K S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C U y M H d p b m R v d y U y M C h z d G V w J T I w N S U y M D E p J T I w K G N v c n J l Y 3 R l Z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N S U y M D E p J T I w K G N v c n J l Y 3 R l Z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E p J T I w K G N v c n J l Y 3 R l Z C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T c G h l c m l j Y W w i I C 8 + P E V u d H J 5 I F R 5 c G U 9 I l J l Y 2 9 2 Z X J 5 V G F y Z 2 V 0 Q 2 9 s d W 1 u I i B W Y W x 1 Z T 0 i b D E y I i A v P j x F b n R y e S B U e X B l P S J S Z W N v d m V y e V R h c m d l d F J v d y I g V m F s d W U 9 I m w z I i A v P j x F b n R y e S B U e X B l P S J G a W x s V G F y Z 2 V 0 I i B W Y W x 1 Z T 0 i c 3 Z h Y 3 V 1 b V 9 f c 3 R l c F 8 x X 1 9 f Y 2 9 y c m V j d G V k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w O j I 5 O j I 3 L j I 2 M z U 3 M T R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Y 3 V 1 b S A o c 3 R l c C A x K S A o Y 2 9 y c m V j d G V k K S A o M i k v Q X V 0 b 1 J l b W 9 2 Z W R D b 2 x 1 b W 5 z M S 5 7 Q 2 9 s d W 1 u M S w w f S Z x d W 9 0 O y w m c X V v d D t T Z W N 0 a W 9 u M S 9 2 Y W N 1 d W 0 g K H N 0 Z X A g M S k g K G N v c n J l Y 3 R l Z C k g K D I p L 0 F 1 d G 9 S Z W 1 v d m V k Q 2 9 s d W 1 u c z E u e 0 N v b H V t b j I s M X 0 m c X V v d D s s J n F 1 b 3 Q 7 U 2 V j d G l v b j E v d m F j d X V t I C h z d G V w I D E p I C h j b 3 J y Z W N 0 Z W Q p I C g y K S 9 B d X R v U m V t b 3 Z l Z E N v b H V t b n M x L n t D b 2 x 1 b W 4 z L D J 9 J n F 1 b 3 Q 7 L C Z x d W 9 0 O 1 N l Y 3 R p b 2 4 x L 3 Z h Y 3 V 1 b S A o c 3 R l c C A x K S A o Y 2 9 y c m V j d G V k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N 1 d W 0 g K H N 0 Z X A g M S k g K G N v c n J l Y 3 R l Z C k g K D I p L 0 F 1 d G 9 S Z W 1 v d m V k Q 2 9 s d W 1 u c z E u e 0 N v b H V t b j E s M H 0 m c X V v d D s s J n F 1 b 3 Q 7 U 2 V j d G l v b j E v d m F j d X V t I C h z d G V w I D E p I C h j b 3 J y Z W N 0 Z W Q p I C g y K S 9 B d X R v U m V t b 3 Z l Z E N v b H V t b n M x L n t D b 2 x 1 b W 4 y L D F 9 J n F 1 b 3 Q 7 L C Z x d W 9 0 O 1 N l Y 3 R p b 2 4 x L 3 Z h Y 3 V 1 b S A o c 3 R l c C A x K S A o Y 2 9 y c m V j d G V k K S A o M i k v Q X V 0 b 1 J l b W 9 2 Z W R D b 2 x 1 b W 5 z M S 5 7 Q 2 9 s d W 1 u M y w y f S Z x d W 9 0 O y w m c X V v d D t T Z W N 0 a W 9 u M S 9 2 Y W N 1 d W 0 g K H N 0 Z X A g M S k g K G N v c n J l Y 3 R l Z C k g K D I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Y 3 V 1 b S U y M C h z d G V w J T I w M S k l M j A o Y 2 9 y c m V j d G V k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E p J T I w K G N v c n J l Y 3 R l Z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I p J T I w K G N v c n J l Y 3 R l Z C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T c G h l c m l j Y W w i I C 8 + P E V u d H J 5 I F R 5 c G U 9 I l J l Y 2 9 2 Z X J 5 V G F y Z 2 V 0 Q 2 9 s d W 1 u I i B W Y W x 1 Z T 0 i b D E y I i A v P j x F b n R y e S B U e X B l P S J S Z W N v d m V y e V R h c m d l d F J v d y I g V m F s d W U 9 I m w x M C I g L z 4 8 R W 5 0 c n k g V H l w Z T 0 i R m l s b F R h c m d l d C I g V m F s d W U 9 I n N 2 Y W N 1 d W 1 f X 3 N 0 Z X B f M l 9 f X 2 N v c n J l Y 3 R l Z F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D o y O T o 0 N i 4 1 N T E 4 N D k x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N 1 d W 0 g K H N 0 Z X A g M i k g K G N v c n J l Y 3 R l Z C k g K D I p L 0 F 1 d G 9 S Z W 1 v d m V k Q 2 9 s d W 1 u c z E u e 0 N v b H V t b j E s M H 0 m c X V v d D s s J n F 1 b 3 Q 7 U 2 V j d G l v b j E v d m F j d X V t I C h z d G V w I D I p I C h j b 3 J y Z W N 0 Z W Q p I C g y K S 9 B d X R v U m V t b 3 Z l Z E N v b H V t b n M x L n t D b 2 x 1 b W 4 y L D F 9 J n F 1 b 3 Q 7 L C Z x d W 9 0 O 1 N l Y 3 R p b 2 4 x L 3 Z h Y 3 V 1 b S A o c 3 R l c C A y K S A o Y 2 9 y c m V j d G V k K S A o M i k v Q X V 0 b 1 J l b W 9 2 Z W R D b 2 x 1 b W 5 z M S 5 7 Q 2 9 s d W 1 u M y w y f S Z x d W 9 0 O y w m c X V v d D t T Z W N 0 a W 9 u M S 9 2 Y W N 1 d W 0 g K H N 0 Z X A g M i k g K G N v c n J l Y 3 R l Z C k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j d X V t I C h z d G V w I D I p I C h j b 3 J y Z W N 0 Z W Q p I C g y K S 9 B d X R v U m V t b 3 Z l Z E N v b H V t b n M x L n t D b 2 x 1 b W 4 x L D B 9 J n F 1 b 3 Q 7 L C Z x d W 9 0 O 1 N l Y 3 R p b 2 4 x L 3 Z h Y 3 V 1 b S A o c 3 R l c C A y K S A o Y 2 9 y c m V j d G V k K S A o M i k v Q X V 0 b 1 J l b W 9 2 Z W R D b 2 x 1 b W 5 z M S 5 7 Q 2 9 s d W 1 u M i w x f S Z x d W 9 0 O y w m c X V v d D t T Z W N 0 a W 9 u M S 9 2 Y W N 1 d W 0 g K H N 0 Z X A g M i k g K G N v c n J l Y 3 R l Z C k g K D I p L 0 F 1 d G 9 S Z W 1 v d m V k Q 2 9 s d W 1 u c z E u e 0 N v b H V t b j M s M n 0 m c X V v d D s s J n F 1 b 3 Q 7 U 2 V j d G l v b j E v d m F j d X V t I C h z d G V w I D I p I C h j b 3 J y Z W N 0 Z W Q p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N 1 d W 0 l M j A o c 3 R l c C U y M D I p J T I w K G N v c n J l Y 3 R l Z C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y K S U y M C h j b 3 J y Z W N 0 Z W Q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z K S U y M C h j b 3 J y Z W N 0 Z W Q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U 3 B o Z X J p Y 2 F s I i A v P j x F b n R y e S B U e X B l P S J S Z W N v d m V y e V R h c m d l d E N v b H V t b i I g V m F s d W U 9 I m w x M i I g L z 4 8 R W 5 0 c n k g V H l w Z T 0 i U m V j b 3 Z l c n l U Y X J n Z X R S b 3 c i I F Z h b H V l P S J s M T c i I C 8 + P E V u d H J 5 I F R 5 c G U 9 I k Z p b G x U Y X J n Z X Q i I F Z h b H V l P S J z d m F j d X V t X 1 9 z d G V w X z N f X 1 9 j b 3 J y Z W N 0 Z W R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A 6 M z A 6 M D Q u N z Q x N T I 3 N 1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j d X V t I C h z d G V w I D M p I C h j b 3 J y Z W N 0 Z W Q p I C g y K S 9 B d X R v U m V t b 3 Z l Z E N v b H V t b n M x L n t D b 2 x 1 b W 4 x L D B 9 J n F 1 b 3 Q 7 L C Z x d W 9 0 O 1 N l Y 3 R p b 2 4 x L 3 Z h Y 3 V 1 b S A o c 3 R l c C A z K S A o Y 2 9 y c m V j d G V k K S A o M i k v Q X V 0 b 1 J l b W 9 2 Z W R D b 2 x 1 b W 5 z M S 5 7 Q 2 9 s d W 1 u M i w x f S Z x d W 9 0 O y w m c X V v d D t T Z W N 0 a W 9 u M S 9 2 Y W N 1 d W 0 g K H N 0 Z X A g M y k g K G N v c n J l Y 3 R l Z C k g K D I p L 0 F 1 d G 9 S Z W 1 v d m V k Q 2 9 s d W 1 u c z E u e 0 N v b H V t b j M s M n 0 m c X V v d D s s J n F 1 b 3 Q 7 U 2 V j d G l v b j E v d m F j d X V t I C h z d G V w I D M p I C h j b 3 J y Z W N 0 Z W Q p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Y 3 V 1 b S A o c 3 R l c C A z K S A o Y 2 9 y c m V j d G V k K S A o M i k v Q X V 0 b 1 J l b W 9 2 Z W R D b 2 x 1 b W 5 z M S 5 7 Q 2 9 s d W 1 u M S w w f S Z x d W 9 0 O y w m c X V v d D t T Z W N 0 a W 9 u M S 9 2 Y W N 1 d W 0 g K H N 0 Z X A g M y k g K G N v c n J l Y 3 R l Z C k g K D I p L 0 F 1 d G 9 S Z W 1 v d m V k Q 2 9 s d W 1 u c z E u e 0 N v b H V t b j I s M X 0 m c X V v d D s s J n F 1 b 3 Q 7 U 2 V j d G l v b j E v d m F j d X V t I C h z d G V w I D M p I C h j b 3 J y Z W N 0 Z W Q p I C g y K S 9 B d X R v U m V t b 3 Z l Z E N v b H V t b n M x L n t D b 2 x 1 b W 4 z L D J 9 J n F 1 b 3 Q 7 L C Z x d W 9 0 O 1 N l Y 3 R p b 2 4 x L 3 Z h Y 3 V 1 b S A o c 3 R l c C A z K S A o Y 2 9 y c m V j d G V k K S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j d X V t J T I w K H N 0 Z X A l M j A z K S U y M C h j b 3 J y Z W N 0 Z W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M y k l M j A o Y 2 9 y c m V j d G V k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N C k l M j A o Y 2 9 y c m V j d G V k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F N w a G V y a W N h b C I g L z 4 8 R W 5 0 c n k g V H l w Z T 0 i U m V j b 3 Z l c n l U Y X J n Z X R D b 2 x 1 b W 4 i I F Z h b H V l P S J s M T I i I C 8 + P E V u d H J 5 I F R 5 c G U 9 I l J l Y 2 9 2 Z X J 5 V G F y Z 2 V 0 U m 9 3 I i B W Y W x 1 Z T 0 i b D I 0 I i A v P j x F b n R y e S B U e X B l P S J G a W x s V G F y Z 2 V 0 I i B W Y W x 1 Z T 0 i c 3 Z h Y 3 V 1 b V 9 f c 3 R l c F 8 0 X 1 9 f Y 2 9 y c m V j d G V k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w O j M w O j M 2 L j U w O D I x O T B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Y 3 V 1 b S A o c 3 R l c C A 0 K S A o Y 2 9 y c m V j d G V k K S A o M i k v Q X V 0 b 1 J l b W 9 2 Z W R D b 2 x 1 b W 5 z M S 5 7 Q 2 9 s d W 1 u M S w w f S Z x d W 9 0 O y w m c X V v d D t T Z W N 0 a W 9 u M S 9 2 Y W N 1 d W 0 g K H N 0 Z X A g N C k g K G N v c n J l Y 3 R l Z C k g K D I p L 0 F 1 d G 9 S Z W 1 v d m V k Q 2 9 s d W 1 u c z E u e 0 N v b H V t b j I s M X 0 m c X V v d D s s J n F 1 b 3 Q 7 U 2 V j d G l v b j E v d m F j d X V t I C h z d G V w I D Q p I C h j b 3 J y Z W N 0 Z W Q p I C g y K S 9 B d X R v U m V t b 3 Z l Z E N v b H V t b n M x L n t D b 2 x 1 b W 4 z L D J 9 J n F 1 b 3 Q 7 L C Z x d W 9 0 O 1 N l Y 3 R p b 2 4 x L 3 Z h Y 3 V 1 b S A o c 3 R l c C A 0 K S A o Y 2 9 y c m V j d G V k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N 1 d W 0 g K H N 0 Z X A g N C k g K G N v c n J l Y 3 R l Z C k g K D I p L 0 F 1 d G 9 S Z W 1 v d m V k Q 2 9 s d W 1 u c z E u e 0 N v b H V t b j E s M H 0 m c X V v d D s s J n F 1 b 3 Q 7 U 2 V j d G l v b j E v d m F j d X V t I C h z d G V w I D Q p I C h j b 3 J y Z W N 0 Z W Q p I C g y K S 9 B d X R v U m V t b 3 Z l Z E N v b H V t b n M x L n t D b 2 x 1 b W 4 y L D F 9 J n F 1 b 3 Q 7 L C Z x d W 9 0 O 1 N l Y 3 R p b 2 4 x L 3 Z h Y 3 V 1 b S A o c 3 R l c C A 0 K S A o Y 2 9 y c m V j d G V k K S A o M i k v Q X V 0 b 1 J l b W 9 2 Z W R D b 2 x 1 b W 5 z M S 5 7 Q 2 9 s d W 1 u M y w y f S Z x d W 9 0 O y w m c X V v d D t T Z W N 0 a W 9 u M S 9 2 Y W N 1 d W 0 g K H N 0 Z X A g N C k g K G N v c n J l Y 3 R l Z C k g K D I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Y 3 V 1 b S U y M C h z d G V w J T I w N C k l M j A o Y 2 9 y c m V j d G V k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Q p J T I w K G N v c n J l Y 3 R l Z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Q l M j A x K S U y M C h j b 3 J y Z W N 0 Z W Q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U 3 B o Z X J p Y 2 F s I i A v P j x F b n R y e S B U e X B l P S J S Z W N v d m V y e V R h c m d l d E N v b H V t b i I g V m F s d W U 9 I m w x M i I g L z 4 8 R W 5 0 c n k g V H l w Z T 0 i U m V j b 3 Z l c n l U Y X J n Z X R S b 3 c i I F Z h b H V l P S J s M z E i I C 8 + P E V u d H J 5 I F R 5 c G U 9 I k Z p b G x U Y X J n Z X Q i I F Z h b H V l P S J z d m F j d X V t X 1 9 z d G V w X z R f M V 9 f X 2 N v c n J l Y 3 R l Z F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D o z M D o 1 N y 4 3 M D I 5 N T c 2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N 1 d W 0 g K H N 0 Z X A g N C A x K S A o Y 2 9 y c m V j d G V k K S A o M i k v Q X V 0 b 1 J l b W 9 2 Z W R D b 2 x 1 b W 5 z M S 5 7 Q 2 9 s d W 1 u M S w w f S Z x d W 9 0 O y w m c X V v d D t T Z W N 0 a W 9 u M S 9 2 Y W N 1 d W 0 g K H N 0 Z X A g N C A x K S A o Y 2 9 y c m V j d G V k K S A o M i k v Q X V 0 b 1 J l b W 9 2 Z W R D b 2 x 1 b W 5 z M S 5 7 Q 2 9 s d W 1 u M i w x f S Z x d W 9 0 O y w m c X V v d D t T Z W N 0 a W 9 u M S 9 2 Y W N 1 d W 0 g K H N 0 Z X A g N C A x K S A o Y 2 9 y c m V j d G V k K S A o M i k v Q X V 0 b 1 J l b W 9 2 Z W R D b 2 x 1 b W 5 z M S 5 7 Q 2 9 s d W 1 u M y w y f S Z x d W 9 0 O y w m c X V v d D t T Z W N 0 a W 9 u M S 9 2 Y W N 1 d W 0 g K H N 0 Z X A g N C A x K S A o Y 2 9 y c m V j d G V k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N 1 d W 0 g K H N 0 Z X A g N C A x K S A o Y 2 9 y c m V j d G V k K S A o M i k v Q X V 0 b 1 J l b W 9 2 Z W R D b 2 x 1 b W 5 z M S 5 7 Q 2 9 s d W 1 u M S w w f S Z x d W 9 0 O y w m c X V v d D t T Z W N 0 a W 9 u M S 9 2 Y W N 1 d W 0 g K H N 0 Z X A g N C A x K S A o Y 2 9 y c m V j d G V k K S A o M i k v Q X V 0 b 1 J l b W 9 2 Z W R D b 2 x 1 b W 5 z M S 5 7 Q 2 9 s d W 1 u M i w x f S Z x d W 9 0 O y w m c X V v d D t T Z W N 0 a W 9 u M S 9 2 Y W N 1 d W 0 g K H N 0 Z X A g N C A x K S A o Y 2 9 y c m V j d G V k K S A o M i k v Q X V 0 b 1 J l b W 9 2 Z W R D b 2 x 1 b W 5 z M S 5 7 Q 2 9 s d W 1 u M y w y f S Z x d W 9 0 O y w m c X V v d D t T Z W N 0 a W 9 u M S 9 2 Y W N 1 d W 0 g K H N 0 Z X A g N C A x K S A o Y 2 9 y c m V j d G V k K S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j d X V t J T I w K H N 0 Z X A l M j A 0 J T I w M S k l M j A o Y 2 9 y c m V j d G V k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Q l M j A x K S U y M C h j b 3 J y Z W N 0 Z W Q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1 K S U y M C h j b 3 J y Z W N 0 Z W Q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U 3 B o Z X J p Y 2 F s I i A v P j x F b n R y e S B U e X B l P S J S Z W N v d m V y e V R h c m d l d E N v b H V t b i I g V m F s d W U 9 I m w x M i I g L z 4 8 R W 5 0 c n k g V H l w Z T 0 i U m V j b 3 Z l c n l U Y X J n Z X R S b 3 c i I F Z h b H V l P S J s M z g i I C 8 + P E V u d H J 5 I F R 5 c G U 9 I k Z p b G x U Y X J n Z X Q i I F Z h b H V l P S J z d m F j d X V t X 1 9 z d G V w X z V f X 1 9 j b 3 J y Z W N 0 Z W R f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A 6 M z E 6 M T c u N D M w O T U 0 M 1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j d X V t I C h z d G V w I D U p I C h j b 3 J y Z W N 0 Z W Q p I C g z K S 9 B d X R v U m V t b 3 Z l Z E N v b H V t b n M x L n t D b 2 x 1 b W 4 x L D B 9 J n F 1 b 3 Q 7 L C Z x d W 9 0 O 1 N l Y 3 R p b 2 4 x L 3 Z h Y 3 V 1 b S A o c 3 R l c C A 1 K S A o Y 2 9 y c m V j d G V k K S A o M y k v Q X V 0 b 1 J l b W 9 2 Z W R D b 2 x 1 b W 5 z M S 5 7 Q 2 9 s d W 1 u M i w x f S Z x d W 9 0 O y w m c X V v d D t T Z W N 0 a W 9 u M S 9 2 Y W N 1 d W 0 g K H N 0 Z X A g N S k g K G N v c n J l Y 3 R l Z C k g K D M p L 0 F 1 d G 9 S Z W 1 v d m V k Q 2 9 s d W 1 u c z E u e 0 N v b H V t b j M s M n 0 m c X V v d D s s J n F 1 b 3 Q 7 U 2 V j d G l v b j E v d m F j d X V t I C h z d G V w I D U p I C h j b 3 J y Z W N 0 Z W Q p I C g z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Y 3 V 1 b S A o c 3 R l c C A 1 K S A o Y 2 9 y c m V j d G V k K S A o M y k v Q X V 0 b 1 J l b W 9 2 Z W R D b 2 x 1 b W 5 z M S 5 7 Q 2 9 s d W 1 u M S w w f S Z x d W 9 0 O y w m c X V v d D t T Z W N 0 a W 9 u M S 9 2 Y W N 1 d W 0 g K H N 0 Z X A g N S k g K G N v c n J l Y 3 R l Z C k g K D M p L 0 F 1 d G 9 S Z W 1 v d m V k Q 2 9 s d W 1 u c z E u e 0 N v b H V t b j I s M X 0 m c X V v d D s s J n F 1 b 3 Q 7 U 2 V j d G l v b j E v d m F j d X V t I C h z d G V w I D U p I C h j b 3 J y Z W N 0 Z W Q p I C g z K S 9 B d X R v U m V t b 3 Z l Z E N v b H V t b n M x L n t D b 2 x 1 b W 4 z L D J 9 J n F 1 b 3 Q 7 L C Z x d W 9 0 O 1 N l Y 3 R p b 2 4 x L 3 Z h Y 3 V 1 b S A o c 3 R l c C A 1 K S A o Y 2 9 y c m V j d G V k K S A o M y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j d X V t J T I w K H N 0 Z X A l M j A 1 K S U y M C h j b 3 J y Z W N 0 Z W Q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N S k l M j A o Y 2 9 y c m V j d G V k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N S U y M D E p J T I w K G N v c n J l Y 3 R l Z C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T c G h l c m l j Y W w i I C 8 + P E V u d H J 5 I F R 5 c G U 9 I l J l Y 2 9 2 Z X J 5 V G F y Z 2 V 0 Q 2 9 s d W 1 u I i B W Y W x 1 Z T 0 i b D E y I i A v P j x F b n R y e S B U e X B l P S J S Z W N v d m V y e V R h c m d l d F J v d y I g V m F s d W U 9 I m w 0 N S I g L z 4 8 R W 5 0 c n k g V H l w Z T 0 i R m l s b F R h c m d l d C I g V m F s d W U 9 I n N 2 Y W N 1 d W 1 f X 3 N 0 Z X B f N V 8 x X 1 9 f Y 2 9 y c m V j d G V k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w O j M x O j M 0 L j A 4 O T I 2 N D Z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Y 3 V 1 b S A o c 3 R l c C A 1 I D E p I C h j b 3 J y Z W N 0 Z W Q p I C g y K S 9 B d X R v U m V t b 3 Z l Z E N v b H V t b n M x L n t D b 2 x 1 b W 4 x L D B 9 J n F 1 b 3 Q 7 L C Z x d W 9 0 O 1 N l Y 3 R p b 2 4 x L 3 Z h Y 3 V 1 b S A o c 3 R l c C A 1 I D E p I C h j b 3 J y Z W N 0 Z W Q p I C g y K S 9 B d X R v U m V t b 3 Z l Z E N v b H V t b n M x L n t D b 2 x 1 b W 4 y L D F 9 J n F 1 b 3 Q 7 L C Z x d W 9 0 O 1 N l Y 3 R p b 2 4 x L 3 Z h Y 3 V 1 b S A o c 3 R l c C A 1 I D E p I C h j b 3 J y Z W N 0 Z W Q p I C g y K S 9 B d X R v U m V t b 3 Z l Z E N v b H V t b n M x L n t D b 2 x 1 b W 4 z L D J 9 J n F 1 b 3 Q 7 L C Z x d W 9 0 O 1 N l Y 3 R p b 2 4 x L 3 Z h Y 3 V 1 b S A o c 3 R l c C A 1 I D E p I C h j b 3 J y Z W N 0 Z W Q p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Y 3 V 1 b S A o c 3 R l c C A 1 I D E p I C h j b 3 J y Z W N 0 Z W Q p I C g y K S 9 B d X R v U m V t b 3 Z l Z E N v b H V t b n M x L n t D b 2 x 1 b W 4 x L D B 9 J n F 1 b 3 Q 7 L C Z x d W 9 0 O 1 N l Y 3 R p b 2 4 x L 3 Z h Y 3 V 1 b S A o c 3 R l c C A 1 I D E p I C h j b 3 J y Z W N 0 Z W Q p I C g y K S 9 B d X R v U m V t b 3 Z l Z E N v b H V t b n M x L n t D b 2 x 1 b W 4 y L D F 9 J n F 1 b 3 Q 7 L C Z x d W 9 0 O 1 N l Y 3 R p b 2 4 x L 3 Z h Y 3 V 1 b S A o c 3 R l c C A 1 I D E p I C h j b 3 J y Z W N 0 Z W Q p I C g y K S 9 B d X R v U m V t b 3 Z l Z E N v b H V t b n M x L n t D b 2 x 1 b W 4 z L D J 9 J n F 1 b 3 Q 7 L C Z x d W 9 0 O 1 N l Y 3 R p b 2 4 x L 3 Z h Y 3 V 1 b S A o c 3 R l c C A 1 I D E p I C h j b 3 J y Z W N 0 Z W Q p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N 1 d W 0 l M j A o c 3 R l c C U y M D U l M j A x K S U y M C h j b 3 J y Z W N 0 Z W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N S U y M D E p J T I w K G N v c n J l Y 3 R l Z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J T I w d 2 l u Z G 9 3 J T I w K H N 0 Z X A l M j A x K S U y M C g x J T I w N 2 0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I 1 V D E x O j A x O j I w L j I 3 N j M x N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d p d G h v d X Q l M j B 3 a W 5 k b 3 c l M j A o c 3 R l c C U y M D E p J T I w K D E l M j A 3 b S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M S k l M j A o M S U y M D d t K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E p J T I w K D E l M j A 3 b S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a X R o f n d p d G h v d X Q g d 2 l u Z G 9 3 I i A v P j x F b n R y e S B U e X B l P S J S Z W N v d m V y e V R h c m d l d E N v b H V t b i I g V m F s d W U 9 I m w y I i A v P j x F b n R y e S B U e X B l P S J S Z W N v d m V y e V R h c m d l d F J v d y I g V m F s d W U 9 I m w z I i A v P j x F b n R y e S B U e X B l P S J G a W x s V G F y Z 2 V 0 I i B W Y W x 1 Z T 0 i c 3 d p d G h v d X R f d 2 l u Z G 9 3 X 1 9 z d G V w X z F f X 1 8 x X z d t X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x O j A x O j Q z L j k z M D E 1 M T d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h v d X Q g d 2 l u Z G 9 3 I C h z d G V w I D E p I C g x I D d t K S A o N S k v Q X V 0 b 1 J l b W 9 2 Z W R D b 2 x 1 b W 5 z M S 5 7 Q 2 9 s d W 1 u M S w w f S Z x d W 9 0 O y w m c X V v d D t T Z W N 0 a W 9 u M S 9 3 a X R o b 3 V 0 I H d p b m R v d y A o c 3 R l c C A x K S A o M S A 3 b S k g K D U p L 0 F 1 d G 9 S Z W 1 v d m V k Q 2 9 s d W 1 u c z E u e 0 N v b H V t b j I s M X 0 m c X V v d D s s J n F 1 b 3 Q 7 U 2 V j d G l v b j E v d 2 l 0 a G 9 1 d C B 3 a W 5 k b 3 c g K H N 0 Z X A g M S k g K D E g N 2 0 p I C g 1 K S 9 B d X R v U m V t b 3 Z l Z E N v b H V t b n M x L n t D b 2 x 1 b W 4 z L D J 9 J n F 1 b 3 Q 7 L C Z x d W 9 0 O 1 N l Y 3 R p b 2 4 x L 3 d p d G h v d X Q g d 2 l u Z G 9 3 I C h z d G V w I D E p I C g x I D d t K S A o N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X R o b 3 V 0 I H d p b m R v d y A o c 3 R l c C A x K S A o M S A 3 b S k g K D U p L 0 F 1 d G 9 S Z W 1 v d m V k Q 2 9 s d W 1 u c z E u e 0 N v b H V t b j E s M H 0 m c X V v d D s s J n F 1 b 3 Q 7 U 2 V j d G l v b j E v d 2 l 0 a G 9 1 d C B 3 a W 5 k b 3 c g K H N 0 Z X A g M S k g K D E g N 2 0 p I C g 1 K S 9 B d X R v U m V t b 3 Z l Z E N v b H V t b n M x L n t D b 2 x 1 b W 4 y L D F 9 J n F 1 b 3 Q 7 L C Z x d W 9 0 O 1 N l Y 3 R p b 2 4 x L 3 d p d G h v d X Q g d 2 l u Z G 9 3 I C h z d G V w I D E p I C g x I D d t K S A o N S k v Q X V 0 b 1 J l b W 9 2 Z W R D b 2 x 1 b W 5 z M S 5 7 Q 2 9 s d W 1 u M y w y f S Z x d W 9 0 O y w m c X V v d D t T Z W N 0 a W 9 u M S 9 3 a X R o b 3 V 0 I H d p b m R v d y A o c 3 R l c C A x K S A o M S A 3 b S k g K D U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h v d X Q l M j B 3 a W 5 k b 3 c l M j A o c 3 R l c C U y M D E p J T I w K D E l M j A 3 b S k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M S k l M j A o M S U y M D d t K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I p J T I w K D E l M j A 5 O W 0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l 0 a H 5 3 a X R o b 3 V 0 I H d p b m R v d y I g L z 4 8 R W 5 0 c n k g V H l w Z T 0 i U m V j b 3 Z l c n l U Y X J n Z X R D b 2 x 1 b W 4 i I F Z h b H V l P S J s M i I g L z 4 8 R W 5 0 c n k g V H l w Z T 0 i U m V j b 3 Z l c n l U Y X J n Z X R S b 3 c i I F Z h b H V l P S J s M T A i I C 8 + P E V u d H J 5 I F R 5 c G U 9 I k Z p b G x U Y X J n Z X Q i I F Z h b H V l P S J z d 2 l 0 a G 9 1 d F 9 3 a W 5 k b 3 d f X 3 N 0 Z X B f M l 9 f X z F f O T l t X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x O j A y O j A 0 L j E z M T I 0 N j l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h v d X Q g d 2 l u Z G 9 3 I C h z d G V w I D I p I C g x I D k 5 b S k g K D M p L 0 F 1 d G 9 S Z W 1 v d m V k Q 2 9 s d W 1 u c z E u e 0 N v b H V t b j E s M H 0 m c X V v d D s s J n F 1 b 3 Q 7 U 2 V j d G l v b j E v d 2 l 0 a G 9 1 d C B 3 a W 5 k b 3 c g K H N 0 Z X A g M i k g K D E g O T l t K S A o M y k v Q X V 0 b 1 J l b W 9 2 Z W R D b 2 x 1 b W 5 z M S 5 7 Q 2 9 s d W 1 u M i w x f S Z x d W 9 0 O y w m c X V v d D t T Z W N 0 a W 9 u M S 9 3 a X R o b 3 V 0 I H d p b m R v d y A o c 3 R l c C A y K S A o M S A 5 O W 0 p I C g z K S 9 B d X R v U m V t b 3 Z l Z E N v b H V t b n M x L n t D b 2 x 1 b W 4 z L D J 9 J n F 1 b 3 Q 7 L C Z x d W 9 0 O 1 N l Y 3 R p b 2 4 x L 3 d p d G h v d X Q g d 2 l u Z G 9 3 I C h z d G V w I D I p I C g x I D k 5 b S k g K D M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G 9 1 d C B 3 a W 5 k b 3 c g K H N 0 Z X A g M i k g K D E g O T l t K S A o M y k v Q X V 0 b 1 J l b W 9 2 Z W R D b 2 x 1 b W 5 z M S 5 7 Q 2 9 s d W 1 u M S w w f S Z x d W 9 0 O y w m c X V v d D t T Z W N 0 a W 9 u M S 9 3 a X R o b 3 V 0 I H d p b m R v d y A o c 3 R l c C A y K S A o M S A 5 O W 0 p I C g z K S 9 B d X R v U m V t b 3 Z l Z E N v b H V t b n M x L n t D b 2 x 1 b W 4 y L D F 9 J n F 1 b 3 Q 7 L C Z x d W 9 0 O 1 N l Y 3 R p b 2 4 x L 3 d p d G h v d X Q g d 2 l u Z G 9 3 I C h z d G V w I D I p I C g x I D k 5 b S k g K D M p L 0 F 1 d G 9 S Z W 1 v d m V k Q 2 9 s d W 1 u c z E u e 0 N v b H V t b j M s M n 0 m c X V v d D s s J n F 1 b 3 Q 7 U 2 V j d G l v b j E v d 2 l 0 a G 9 1 d C B 3 a W 5 k b 3 c g K H N 0 Z X A g M i k g K D E g O T l t K S A o M y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G 9 1 d C U y M H d p b m R v d y U y M C h z d G V w J T I w M i k l M j A o M S U y M D k 5 b S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M i k l M j A o M S U y M D k 5 b S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J T I w d 2 l u Z G 9 3 J T I w K H N 0 Z X A l M j A z K S U y M C g y J T I w M j h t K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p d G h + d 2 l 0 a G 9 1 d C B 3 a W 5 k b 3 c i I C 8 + P E V u d H J 5 I F R 5 c G U 9 I l J l Y 2 9 2 Z X J 5 V G F y Z 2 V 0 Q 2 9 s d W 1 u I i B W Y W x 1 Z T 0 i b D I i I C 8 + P E V u d H J 5 I F R 5 c G U 9 I l J l Y 2 9 2 Z X J 5 V G F y Z 2 V 0 U m 9 3 I i B W Y W x 1 Z T 0 i b D E 3 I i A v P j x F b n R y e S B U e X B l P S J G a W x s V G F y Z 2 V 0 I i B W Y W x 1 Z T 0 i c 3 d p d G h v d X R f d 2 l u Z G 9 3 X 1 9 z d G V w X z N f X 1 8 y X z I 4 b V 9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T o w M j o y M y 4 z M z c 5 M j g 0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b 3 V 0 I H d p b m R v d y A o c 3 R l c C A z K S A o M i A y O G 0 p I C g z K S 9 B d X R v U m V t b 3 Z l Z E N v b H V t b n M x L n t D b 2 x 1 b W 4 x L D B 9 J n F 1 b 3 Q 7 L C Z x d W 9 0 O 1 N l Y 3 R p b 2 4 x L 3 d p d G h v d X Q g d 2 l u Z G 9 3 I C h z d G V w I D M p I C g y I D I 4 b S k g K D M p L 0 F 1 d G 9 S Z W 1 v d m V k Q 2 9 s d W 1 u c z E u e 0 N v b H V t b j I s M X 0 m c X V v d D s s J n F 1 b 3 Q 7 U 2 V j d G l v b j E v d 2 l 0 a G 9 1 d C B 3 a W 5 k b 3 c g K H N 0 Z X A g M y k g K D I g M j h t K S A o M y k v Q X V 0 b 1 J l b W 9 2 Z W R D b 2 x 1 b W 5 z M S 5 7 Q 2 9 s d W 1 u M y w y f S Z x d W 9 0 O y w m c X V v d D t T Z W N 0 a W 9 u M S 9 3 a X R o b 3 V 0 I H d p b m R v d y A o c 3 R l c C A z K S A o M i A y O G 0 p I C g z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h v d X Q g d 2 l u Z G 9 3 I C h z d G V w I D M p I C g y I D I 4 b S k g K D M p L 0 F 1 d G 9 S Z W 1 v d m V k Q 2 9 s d W 1 u c z E u e 0 N v b H V t b j E s M H 0 m c X V v d D s s J n F 1 b 3 Q 7 U 2 V j d G l v b j E v d 2 l 0 a G 9 1 d C B 3 a W 5 k b 3 c g K H N 0 Z X A g M y k g K D I g M j h t K S A o M y k v Q X V 0 b 1 J l b W 9 2 Z W R D b 2 x 1 b W 5 z M S 5 7 Q 2 9 s d W 1 u M i w x f S Z x d W 9 0 O y w m c X V v d D t T Z W N 0 a W 9 u M S 9 3 a X R o b 3 V 0 I H d p b m R v d y A o c 3 R l c C A z K S A o M i A y O G 0 p I C g z K S 9 B d X R v U m V t b 3 Z l Z E N v b H V t b n M x L n t D b 2 x 1 b W 4 z L D J 9 J n F 1 b 3 Q 7 L C Z x d W 9 0 O 1 N l Y 3 R p b 2 4 x L 3 d p d G h v d X Q g d 2 l u Z G 9 3 I C h z d G V w I D M p I C g y I D I 4 b S k g K D M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h v d X Q l M j B 3 a W 5 k b 3 c l M j A o c 3 R l c C U y M D M p J T I w K D I l M j A y O G 0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M p J T I w K D I l M j A y O G 0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N C k l M j A o M i U y M D U 4 b S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a X R o f n d p d G h v d X Q g d 2 l u Z G 9 3 I i A v P j x F b n R y e S B U e X B l P S J S Z W N v d m V y e V R h c m d l d E N v b H V t b i I g V m F s d W U 9 I m w y I i A v P j x F b n R y e S B U e X B l P S J S Z W N v d m V y e V R h c m d l d F J v d y I g V m F s d W U 9 I m w y N C I g L z 4 8 R W 5 0 c n k g V H l w Z T 0 i R m l s b F R h c m d l d C I g V m F s d W U 9 I n N 3 a X R o b 3 V 0 X 3 d p b m R v d 1 9 f c 3 R l c F 8 0 X 1 9 f M l 8 1 O G 1 f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E 6 M D I 6 N D I u N D g 3 N j Q x M 1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0 a G 9 1 d C B 3 a W 5 k b 3 c g K H N 0 Z X A g N C k g K D I g N T h t K S A o M y k v Q X V 0 b 1 J l b W 9 2 Z W R D b 2 x 1 b W 5 z M S 5 7 Q 2 9 s d W 1 u M S w w f S Z x d W 9 0 O y w m c X V v d D t T Z W N 0 a W 9 u M S 9 3 a X R o b 3 V 0 I H d p b m R v d y A o c 3 R l c C A 0 K S A o M i A 1 O G 0 p I C g z K S 9 B d X R v U m V t b 3 Z l Z E N v b H V t b n M x L n t D b 2 x 1 b W 4 y L D F 9 J n F 1 b 3 Q 7 L C Z x d W 9 0 O 1 N l Y 3 R p b 2 4 x L 3 d p d G h v d X Q g d 2 l u Z G 9 3 I C h z d G V w I D Q p I C g y I D U 4 b S k g K D M p L 0 F 1 d G 9 S Z W 1 v d m V k Q 2 9 s d W 1 u c z E u e 0 N v b H V t b j M s M n 0 m c X V v d D s s J n F 1 b 3 Q 7 U 2 V j d G l v b j E v d 2 l 0 a G 9 1 d C B 3 a W 5 k b 3 c g K H N 0 Z X A g N C k g K D I g N T h t K S A o M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X R o b 3 V 0 I H d p b m R v d y A o c 3 R l c C A 0 K S A o M i A 1 O G 0 p I C g z K S 9 B d X R v U m V t b 3 Z l Z E N v b H V t b n M x L n t D b 2 x 1 b W 4 x L D B 9 J n F 1 b 3 Q 7 L C Z x d W 9 0 O 1 N l Y 3 R p b 2 4 x L 3 d p d G h v d X Q g d 2 l u Z G 9 3 I C h z d G V w I D Q p I C g y I D U 4 b S k g K D M p L 0 F 1 d G 9 S Z W 1 v d m V k Q 2 9 s d W 1 u c z E u e 0 N v b H V t b j I s M X 0 m c X V v d D s s J n F 1 b 3 Q 7 U 2 V j d G l v b j E v d 2 l 0 a G 9 1 d C B 3 a W 5 k b 3 c g K H N 0 Z X A g N C k g K D I g N T h t K S A o M y k v Q X V 0 b 1 J l b W 9 2 Z W R D b 2 x 1 b W 5 z M S 5 7 Q 2 9 s d W 1 u M y w y f S Z x d W 9 0 O y w m c X V v d D t T Z W N 0 a W 9 u M S 9 3 a X R o b 3 V 0 I H d p b m R v d y A o c 3 R l c C A 0 K S A o M i A 1 O G 0 p I C g z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b 3 V 0 J T I w d 2 l u Z G 9 3 J T I w K H N 0 Z X A l M j A 0 K S U y M C g y J T I w N T h t K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J T I w d 2 l u Z G 9 3 J T I w K H N 0 Z X A l M j A 0 K S U y M C g y J T I w N T h t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Q l M j A x K S U y M C g y J T I w N T h t K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p d G h + d 2 l 0 a G 9 1 d C B 3 a W 5 k b 3 c i I C 8 + P E V u d H J 5 I F R 5 c G U 9 I l J l Y 2 9 2 Z X J 5 V G F y Z 2 V 0 Q 2 9 s d W 1 u I i B W Y W x 1 Z T 0 i b D I i I C 8 + P E V u d H J 5 I F R 5 c G U 9 I l J l Y 2 9 2 Z X J 5 V G F y Z 2 V 0 U m 9 3 I i B W Y W x 1 Z T 0 i b D M x I i A v P j x F b n R y e S B U e X B l P S J G a W x s V G F y Z 2 V 0 I i B W Y W x 1 Z T 0 i c 3 d p d G h v d X R f d 2 l u Z G 9 3 X 1 9 z d G V w X z R f M V 9 f X z J f N T h t X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x O j A z O j A 4 L j Q 1 M j k 4 N D h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h v d X Q g d 2 l u Z G 9 3 I C h z d G V w I D Q g M S k g K D I g N T h t K S A o M y k v Q X V 0 b 1 J l b W 9 2 Z W R D b 2 x 1 b W 5 z M S 5 7 Q 2 9 s d W 1 u M S w w f S Z x d W 9 0 O y w m c X V v d D t T Z W N 0 a W 9 u M S 9 3 a X R o b 3 V 0 I H d p b m R v d y A o c 3 R l c C A 0 I D E p I C g y I D U 4 b S k g K D M p L 0 F 1 d G 9 S Z W 1 v d m V k Q 2 9 s d W 1 u c z E u e 0 N v b H V t b j I s M X 0 m c X V v d D s s J n F 1 b 3 Q 7 U 2 V j d G l v b j E v d 2 l 0 a G 9 1 d C B 3 a W 5 k b 3 c g K H N 0 Z X A g N C A x K S A o M i A 1 O G 0 p I C g z K S 9 B d X R v U m V t b 3 Z l Z E N v b H V t b n M x L n t D b 2 x 1 b W 4 z L D J 9 J n F 1 b 3 Q 7 L C Z x d W 9 0 O 1 N l Y 3 R p b 2 4 x L 3 d p d G h v d X Q g d 2 l u Z G 9 3 I C h z d G V w I D Q g M S k g K D I g N T h t K S A o M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X R o b 3 V 0 I H d p b m R v d y A o c 3 R l c C A 0 I D E p I C g y I D U 4 b S k g K D M p L 0 F 1 d G 9 S Z W 1 v d m V k Q 2 9 s d W 1 u c z E u e 0 N v b H V t b j E s M H 0 m c X V v d D s s J n F 1 b 3 Q 7 U 2 V j d G l v b j E v d 2 l 0 a G 9 1 d C B 3 a W 5 k b 3 c g K H N 0 Z X A g N C A x K S A o M i A 1 O G 0 p I C g z K S 9 B d X R v U m V t b 3 Z l Z E N v b H V t b n M x L n t D b 2 x 1 b W 4 y L D F 9 J n F 1 b 3 Q 7 L C Z x d W 9 0 O 1 N l Y 3 R p b 2 4 x L 3 d p d G h v d X Q g d 2 l u Z G 9 3 I C h z d G V w I D Q g M S k g K D I g N T h t K S A o M y k v Q X V 0 b 1 J l b W 9 2 Z W R D b 2 x 1 b W 5 z M S 5 7 Q 2 9 s d W 1 u M y w y f S Z x d W 9 0 O y w m c X V v d D t T Z W N 0 a W 9 u M S 9 3 a X R o b 3 V 0 I H d p b m R v d y A o c 3 R l c C A 0 I D E p I C g y I D U 4 b S k g K D M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h v d X Q l M j B 3 a W 5 k b 3 c l M j A o c 3 R l c C U y M D Q l M j A x K S U y M C g y J T I w N T h t K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J T I w d 2 l u Z G 9 3 J T I w K H N 0 Z X A l M j A 0 J T I w M S k l M j A o M i U y M D U 4 b S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J T I w d 2 l u Z G 9 3 J T I w K H N 0 Z X A l M j A 1 K S U y M C g y J T I w O D d t K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p d G h + d 2 l 0 a G 9 1 d C B 3 a W 5 k b 3 c i I C 8 + P E V u d H J 5 I F R 5 c G U 9 I l J l Y 2 9 2 Z X J 5 V G F y Z 2 V 0 Q 2 9 s d W 1 u I i B W Y W x 1 Z T 0 i b D I i I C 8 + P E V u d H J 5 I F R 5 c G U 9 I l J l Y 2 9 2 Z X J 5 V G F y Z 2 V 0 U m 9 3 I i B W Y W x 1 Z T 0 i b D M 4 I i A v P j x F b n R y e S B U e X B l P S J G a W x s V G F y Z 2 V 0 I i B W Y W x 1 Z T 0 i c 3 d p d G h v d X R f d 2 l u Z G 9 3 X 1 9 z d G V w X z V f X 1 8 y X z g 3 b V 9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T o w M z o y O S 4 x O T Q 2 N T I 0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b 3 V 0 I H d p b m R v d y A o c 3 R l c C A 1 K S A o M i A 4 N 2 0 p I C g z K S 9 B d X R v U m V t b 3 Z l Z E N v b H V t b n M x L n t D b 2 x 1 b W 4 x L D B 9 J n F 1 b 3 Q 7 L C Z x d W 9 0 O 1 N l Y 3 R p b 2 4 x L 3 d p d G h v d X Q g d 2 l u Z G 9 3 I C h z d G V w I D U p I C g y I D g 3 b S k g K D M p L 0 F 1 d G 9 S Z W 1 v d m V k Q 2 9 s d W 1 u c z E u e 0 N v b H V t b j I s M X 0 m c X V v d D s s J n F 1 b 3 Q 7 U 2 V j d G l v b j E v d 2 l 0 a G 9 1 d C B 3 a W 5 k b 3 c g K H N 0 Z X A g N S k g K D I g O D d t K S A o M y k v Q X V 0 b 1 J l b W 9 2 Z W R D b 2 x 1 b W 5 z M S 5 7 Q 2 9 s d W 1 u M y w y f S Z x d W 9 0 O y w m c X V v d D t T Z W N 0 a W 9 u M S 9 3 a X R o b 3 V 0 I H d p b m R v d y A o c 3 R l c C A 1 K S A o M i A 4 N 2 0 p I C g z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h v d X Q g d 2 l u Z G 9 3 I C h z d G V w I D U p I C g y I D g 3 b S k g K D M p L 0 F 1 d G 9 S Z W 1 v d m V k Q 2 9 s d W 1 u c z E u e 0 N v b H V t b j E s M H 0 m c X V v d D s s J n F 1 b 3 Q 7 U 2 V j d G l v b j E v d 2 l 0 a G 9 1 d C B 3 a W 5 k b 3 c g K H N 0 Z X A g N S k g K D I g O D d t K S A o M y k v Q X V 0 b 1 J l b W 9 2 Z W R D b 2 x 1 b W 5 z M S 5 7 Q 2 9 s d W 1 u M i w x f S Z x d W 9 0 O y w m c X V v d D t T Z W N 0 a W 9 u M S 9 3 a X R o b 3 V 0 I H d p b m R v d y A o c 3 R l c C A 1 K S A o M i A 4 N 2 0 p I C g z K S 9 B d X R v U m V t b 3 Z l Z E N v b H V t b n M x L n t D b 2 x 1 b W 4 z L D J 9 J n F 1 b 3 Q 7 L C Z x d W 9 0 O 1 N l Y 3 R p b 2 4 x L 3 d p d G h v d X Q g d 2 l u Z G 9 3 I C h z d G V w I D U p I C g y I D g 3 b S k g K D M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h v d X Q l M j B 3 a W 5 k b 3 c l M j A o c 3 R l c C U y M D U p J T I w K D I l M j A 4 N 2 0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U p J T I w K D I l M j A 4 N 2 0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N S U y M D E p J T I w K D I l M j A 4 N 2 0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l 0 a H 5 3 a X R o b 3 V 0 I H d p b m R v d y I g L z 4 8 R W 5 0 c n k g V H l w Z T 0 i U m V j b 3 Z l c n l U Y X J n Z X R D b 2 x 1 b W 4 i I F Z h b H V l P S J s M i I g L z 4 8 R W 5 0 c n k g V H l w Z T 0 i U m V j b 3 Z l c n l U Y X J n Z X R S b 3 c i I F Z h b H V l P S J s N D U i I C 8 + P E V u d H J 5 I F R 5 c G U 9 I k Z p b G x U Y X J n Z X Q i I F Z h b H V l P S J z d 2 l 0 a G 9 1 d F 9 3 a W 5 k b 3 d f X 3 N 0 Z X B f N V 8 x X 1 9 f M l 8 4 N 2 1 f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E 6 M D M 6 N T A u N D M 5 M D I 4 M V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0 a G 9 1 d C B 3 a W 5 k b 3 c g K H N 0 Z X A g N S A x K S A o M i A 4 N 2 0 p I C g z K S 9 B d X R v U m V t b 3 Z l Z E N v b H V t b n M x L n t D b 2 x 1 b W 4 x L D B 9 J n F 1 b 3 Q 7 L C Z x d W 9 0 O 1 N l Y 3 R p b 2 4 x L 3 d p d G h v d X Q g d 2 l u Z G 9 3 I C h z d G V w I D U g M S k g K D I g O D d t K S A o M y k v Q X V 0 b 1 J l b W 9 2 Z W R D b 2 x 1 b W 5 z M S 5 7 Q 2 9 s d W 1 u M i w x f S Z x d W 9 0 O y w m c X V v d D t T Z W N 0 a W 9 u M S 9 3 a X R o b 3 V 0 I H d p b m R v d y A o c 3 R l c C A 1 I D E p I C g y I D g 3 b S k g K D M p L 0 F 1 d G 9 S Z W 1 v d m V k Q 2 9 s d W 1 u c z E u e 0 N v b H V t b j M s M n 0 m c X V v d D s s J n F 1 b 3 Q 7 U 2 V j d G l v b j E v d 2 l 0 a G 9 1 d C B 3 a W 5 k b 3 c g K H N 0 Z X A g N S A x K S A o M i A 4 N 2 0 p I C g z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h v d X Q g d 2 l u Z G 9 3 I C h z d G V w I D U g M S k g K D I g O D d t K S A o M y k v Q X V 0 b 1 J l b W 9 2 Z W R D b 2 x 1 b W 5 z M S 5 7 Q 2 9 s d W 1 u M S w w f S Z x d W 9 0 O y w m c X V v d D t T Z W N 0 a W 9 u M S 9 3 a X R o b 3 V 0 I H d p b m R v d y A o c 3 R l c C A 1 I D E p I C g y I D g 3 b S k g K D M p L 0 F 1 d G 9 S Z W 1 v d m V k Q 2 9 s d W 1 u c z E u e 0 N v b H V t b j I s M X 0 m c X V v d D s s J n F 1 b 3 Q 7 U 2 V j d G l v b j E v d 2 l 0 a G 9 1 d C B 3 a W 5 k b 3 c g K H N 0 Z X A g N S A x K S A o M i A 4 N 2 0 p I C g z K S 9 B d X R v U m V t b 3 Z l Z E N v b H V t b n M x L n t D b 2 x 1 b W 4 z L D J 9 J n F 1 b 3 Q 7 L C Z x d W 9 0 O 1 N l Y 3 R p b 2 4 x L 3 d p d G h v d X Q g d 2 l u Z G 9 3 I C h z d G V w I D U g M S k g K D I g O D d t K S A o M y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G 9 1 d C U y M H d p b m R v d y U y M C h z d G V w J T I w N S U y M D E p J T I w K D I l M j A 4 N 2 0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U l M j A x K S U y M C g y J T I w O D d t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d G g l M j B 3 a W 5 k b 3 c l M j A o c 3 R l c C U y M D E p J T I w K G N v c n J l Y 3 R l Z C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a X R o f n d p d G h v d X Q g d 2 l u Z G 9 3 I i A v P j x F b n R y e S B U e X B l P S J S Z W N v d m V y e V R h c m d l d E N v b H V t b i I g V m F s d W U 9 I m w 3 I i A v P j x F b n R y e S B U e X B l P S J S Z W N v d m V y e V R h c m d l d F J v d y I g V m F s d W U 9 I m w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E 6 M D Q 6 M j I u M j g y O D Q 1 M l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0 a C B 3 a W 5 k b 3 c g K H N 0 Z X A g M S k g K G N v c n J l Y 3 R l Z C k g K D M p L 0 F 1 d G 9 S Z W 1 v d m V k Q 2 9 s d W 1 u c z E u e 0 N v b H V t b j E s M H 0 m c X V v d D s s J n F 1 b 3 Q 7 U 2 V j d G l v b j E v V 2 l 0 a C B 3 a W 5 k b 3 c g K H N 0 Z X A g M S k g K G N v c n J l Y 3 R l Z C k g K D M p L 0 F 1 d G 9 S Z W 1 v d m V k Q 2 9 s d W 1 u c z E u e 0 N v b H V t b j I s M X 0 m c X V v d D s s J n F 1 b 3 Q 7 U 2 V j d G l v b j E v V 2 l 0 a C B 3 a W 5 k b 3 c g K H N 0 Z X A g M S k g K G N v c n J l Y 3 R l Z C k g K D M p L 0 F 1 d G 9 S Z W 1 v d m V k Q 2 9 s d W 1 u c z E u e 0 N v b H V t b j M s M n 0 m c X V v d D s s J n F 1 b 3 Q 7 U 2 V j d G l v b j E v V 2 l 0 a C B 3 a W 5 k b 3 c g K H N 0 Z X A g M S k g K G N v c n J l Y 3 R l Z C k g K D M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2 l 0 a C B 3 a W 5 k b 3 c g K H N 0 Z X A g M S k g K G N v c n J l Y 3 R l Z C k g K D M p L 0 F 1 d G 9 S Z W 1 v d m V k Q 2 9 s d W 1 u c z E u e 0 N v b H V t b j E s M H 0 m c X V v d D s s J n F 1 b 3 Q 7 U 2 V j d G l v b j E v V 2 l 0 a C B 3 a W 5 k b 3 c g K H N 0 Z X A g M S k g K G N v c n J l Y 3 R l Z C k g K D M p L 0 F 1 d G 9 S Z W 1 v d m V k Q 2 9 s d W 1 u c z E u e 0 N v b H V t b j I s M X 0 m c X V v d D s s J n F 1 b 3 Q 7 U 2 V j d G l v b j E v V 2 l 0 a C B 3 a W 5 k b 3 c g K H N 0 Z X A g M S k g K G N v c n J l Y 3 R l Z C k g K D M p L 0 F 1 d G 9 S Z W 1 v d m V k Q 2 9 s d W 1 u c z E u e 0 N v b H V t b j M s M n 0 m c X V v d D s s J n F 1 b 3 Q 7 U 2 V j d G l v b j E v V 2 l 0 a C B 3 a W 5 k b 3 c g K H N 0 Z X A g M S k g K G N v c n J l Y 3 R l Z C k g K D M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d G g l M j B 3 a W 5 k b 3 c l M j A o c 3 R l c C U y M D E p J T I w K G N v c n J l Y 3 R l Z C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0 a C U y M H d p b m R v d y U y M C h z d G V w J T I w M S k l M j A o Y 2 9 y c m V j d G V k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I p J T I w K G N v c n J l Y 3 R l Z C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a X R o f n d p d G h v d X Q g d 2 l u Z G 9 3 I i A v P j x F b n R y e S B U e X B l P S J S Z W N v d m V y e V R h c m d l d E N v b H V t b i I g V m F s d W U 9 I m w 3 I i A v P j x F b n R y e S B U e X B l P S J S Z W N v d m V y e V R h c m d l d F J v d y I g V m F s d W U 9 I m w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x O j A 0 O j M 5 L j A 1 N j E 0 M j F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g g d 2 l u Z G 9 3 I C h z d G V w I D I p I C h j b 3 J y Z W N 0 Z W Q p I C g z K S 9 B d X R v U m V t b 3 Z l Z E N v b H V t b n M x L n t D b 2 x 1 b W 4 x L D B 9 J n F 1 b 3 Q 7 L C Z x d W 9 0 O 1 N l Y 3 R p b 2 4 x L 3 d p d G g g d 2 l u Z G 9 3 I C h z d G V w I D I p I C h j b 3 J y Z W N 0 Z W Q p I C g z K S 9 B d X R v U m V t b 3 Z l Z E N v b H V t b n M x L n t D b 2 x 1 b W 4 y L D F 9 J n F 1 b 3 Q 7 L C Z x d W 9 0 O 1 N l Y 3 R p b 2 4 x L 3 d p d G g g d 2 l u Z G 9 3 I C h z d G V w I D I p I C h j b 3 J y Z W N 0 Z W Q p I C g z K S 9 B d X R v U m V t b 3 Z l Z E N v b H V t b n M x L n t D b 2 x 1 b W 4 z L D J 9 J n F 1 b 3 Q 7 L C Z x d W 9 0 O 1 N l Y 3 R p b 2 4 x L 3 d p d G g g d 2 l u Z G 9 3 I C h z d G V w I D I p I C h j b 3 J y Z W N 0 Z W Q p I C g z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g g d 2 l u Z G 9 3 I C h z d G V w I D I p I C h j b 3 J y Z W N 0 Z W Q p I C g z K S 9 B d X R v U m V t b 3 Z l Z E N v b H V t b n M x L n t D b 2 x 1 b W 4 x L D B 9 J n F 1 b 3 Q 7 L C Z x d W 9 0 O 1 N l Y 3 R p b 2 4 x L 3 d p d G g g d 2 l u Z G 9 3 I C h z d G V w I D I p I C h j b 3 J y Z W N 0 Z W Q p I C g z K S 9 B d X R v U m V t b 3 Z l Z E N v b H V t b n M x L n t D b 2 x 1 b W 4 y L D F 9 J n F 1 b 3 Q 7 L C Z x d W 9 0 O 1 N l Y 3 R p b 2 4 x L 3 d p d G g g d 2 l u Z G 9 3 I C h z d G V w I D I p I C h j b 3 J y Z W N 0 Z W Q p I C g z K S 9 B d X R v U m V t b 3 Z l Z E N v b H V t b n M x L n t D b 2 x 1 b W 4 z L D J 9 J n F 1 b 3 Q 7 L C Z x d W 9 0 O 1 N l Y 3 R p b 2 4 x L 3 d p d G g g d 2 l u Z G 9 3 I C h z d G V w I D I p I C h j b 3 J y Z W N 0 Z W Q p I C g z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J T I w d 2 l u Z G 9 3 J T I w K H N 0 Z X A l M j A y K S U y M C h j b 3 J y Z W N 0 Z W Q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I p J T I w K G N v c n J l Y 3 R l Z C k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z K S U y M C h j b 3 J y Z W N 0 Z W Q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l 0 a H 5 3 a X R o b 3 V 0 I H d p b m R v d y I g L z 4 8 R W 5 0 c n k g V H l w Z T 0 i U m V j b 3 Z l c n l U Y X J n Z X R D b 2 x 1 b W 4 i I F Z h b H V l P S J s N y I g L z 4 8 R W 5 0 c n k g V H l w Z T 0 i U m V j b 3 Z l c n l U Y X J n Z X R S b 3 c i I F Z h b H V l P S J s M T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T o w N T o w M S 4 2 N D E 2 N D c 3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I H d p b m R v d y A o c 3 R l c C A z K S A o Y 2 9 y c m V j d G V k K S A o M y k v Q X V 0 b 1 J l b W 9 2 Z W R D b 2 x 1 b W 5 z M S 5 7 Q 2 9 s d W 1 u M S w w f S Z x d W 9 0 O y w m c X V v d D t T Z W N 0 a W 9 u M S 9 3 a X R o I H d p b m R v d y A o c 3 R l c C A z K S A o Y 2 9 y c m V j d G V k K S A o M y k v Q X V 0 b 1 J l b W 9 2 Z W R D b 2 x 1 b W 5 z M S 5 7 Q 2 9 s d W 1 u M i w x f S Z x d W 9 0 O y w m c X V v d D t T Z W N 0 a W 9 u M S 9 3 a X R o I H d p b m R v d y A o c 3 R l c C A z K S A o Y 2 9 y c m V j d G V k K S A o M y k v Q X V 0 b 1 J l b W 9 2 Z W R D b 2 x 1 b W 5 z M S 5 7 Q 2 9 s d W 1 u M y w y f S Z x d W 9 0 O y w m c X V v d D t T Z W N 0 a W 9 u M S 9 3 a X R o I H d p b m R v d y A o c 3 R l c C A z K S A o Y 2 9 y c m V j d G V k K S A o M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X R o I H d p b m R v d y A o c 3 R l c C A z K S A o Y 2 9 y c m V j d G V k K S A o M y k v Q X V 0 b 1 J l b W 9 2 Z W R D b 2 x 1 b W 5 z M S 5 7 Q 2 9 s d W 1 u M S w w f S Z x d W 9 0 O y w m c X V v d D t T Z W N 0 a W 9 u M S 9 3 a X R o I H d p b m R v d y A o c 3 R l c C A z K S A o Y 2 9 y c m V j d G V k K S A o M y k v Q X V 0 b 1 J l b W 9 2 Z W R D b 2 x 1 b W 5 z M S 5 7 Q 2 9 s d W 1 u M i w x f S Z x d W 9 0 O y w m c X V v d D t T Z W N 0 a W 9 u M S 9 3 a X R o I H d p b m R v d y A o c 3 R l c C A z K S A o Y 2 9 y c m V j d G V k K S A o M y k v Q X V 0 b 1 J l b W 9 2 Z W R D b 2 x 1 b W 5 z M S 5 7 Q 2 9 s d W 1 u M y w y f S Z x d W 9 0 O y w m c X V v d D t T Z W N 0 a W 9 u M S 9 3 a X R o I H d p b m R v d y A o c 3 R l c C A z K S A o Y 2 9 y c m V j d G V k K S A o M y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C U y M H d p b m R v d y U y M C h z d G V w J T I w M y k l M j A o Y 2 9 y c m V j d G V k K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z K S U y M C h j b 3 J y Z W N 0 Z W Q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N C k l M j A o Y 2 9 y c m V j d G V k K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p d G h + d 2 l 0 a G 9 1 d C B 3 a W 5 k b 3 c i I C 8 + P E V u d H J 5 I F R 5 c G U 9 I l J l Y 2 9 2 Z X J 5 V G F y Z 2 V 0 Q 2 9 s d W 1 u I i B W Y W x 1 Z T 0 i b D c i I C 8 + P E V u d H J 5 I F R 5 c G U 9 I l J l Y 2 9 2 Z X J 5 V G F y Z 2 V 0 U m 9 3 I i B W Y W x 1 Z T 0 i b D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E 6 M D U 6 M j I u O D Q 4 M D Q 1 M 1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0 a C B 3 a W 5 k b 3 c g K H N 0 Z X A g N C k g K G N v c n J l Y 3 R l Z C k g K D M p L 0 F 1 d G 9 S Z W 1 v d m V k Q 2 9 s d W 1 u c z E u e 0 N v b H V t b j E s M H 0 m c X V v d D s s J n F 1 b 3 Q 7 U 2 V j d G l v b j E v d 2 l 0 a C B 3 a W 5 k b 3 c g K H N 0 Z X A g N C k g K G N v c n J l Y 3 R l Z C k g K D M p L 0 F 1 d G 9 S Z W 1 v d m V k Q 2 9 s d W 1 u c z E u e 0 N v b H V t b j I s M X 0 m c X V v d D s s J n F 1 b 3 Q 7 U 2 V j d G l v b j E v d 2 l 0 a C B 3 a W 5 k b 3 c g K H N 0 Z X A g N C k g K G N v c n J l Y 3 R l Z C k g K D M p L 0 F 1 d G 9 S Z W 1 v d m V k Q 2 9 s d W 1 u c z E u e 0 N v b H V t b j M s M n 0 m c X V v d D s s J n F 1 b 3 Q 7 U 2 V j d G l v b j E v d 2 l 0 a C B 3 a W 5 k b 3 c g K H N 0 Z X A g N C k g K G N v c n J l Y 3 R l Z C k g K D M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C B 3 a W 5 k b 3 c g K H N 0 Z X A g N C k g K G N v c n J l Y 3 R l Z C k g K D M p L 0 F 1 d G 9 S Z W 1 v d m V k Q 2 9 s d W 1 u c z E u e 0 N v b H V t b j E s M H 0 m c X V v d D s s J n F 1 b 3 Q 7 U 2 V j d G l v b j E v d 2 l 0 a C B 3 a W 5 k b 3 c g K H N 0 Z X A g N C k g K G N v c n J l Y 3 R l Z C k g K D M p L 0 F 1 d G 9 S Z W 1 v d m V k Q 2 9 s d W 1 u c z E u e 0 N v b H V t b j I s M X 0 m c X V v d D s s J n F 1 b 3 Q 7 U 2 V j d G l v b j E v d 2 l 0 a C B 3 a W 5 k b 3 c g K H N 0 Z X A g N C k g K G N v c n J l Y 3 R l Z C k g K D M p L 0 F 1 d G 9 S Z W 1 v d m V k Q 2 9 s d W 1 u c z E u e 0 N v b H V t b j M s M n 0 m c X V v d D s s J n F 1 b 3 Q 7 U 2 V j d G l v b j E v d 2 l 0 a C B 3 a W 5 k b 3 c g K H N 0 Z X A g N C k g K G N v c n J l Y 3 R l Z C k g K D M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g l M j B 3 a W 5 k b 3 c l M j A o c 3 R l c C U y M D Q p J T I w K G N v c n J l Y 3 R l Z C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N C k l M j A o Y 2 9 y c m V j d G V k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Q l M j A x K S U y M C h j b 3 J y Z W N 0 Z W Q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l 0 a H 5 3 a X R o b 3 V 0 I H d p b m R v d y I g L z 4 8 R W 5 0 c n k g V H l w Z T 0 i U m V j b 3 Z l c n l U Y X J n Z X R D b 2 x 1 b W 4 i I F Z h b H V l P S J s N y I g L z 4 8 R W 5 0 c n k g V H l w Z T 0 i U m V j b 3 Z l c n l U Y X J n Z X R S b 3 c i I F Z h b H V l P S J s M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T o w N T o 0 M y 4 1 O T M 3 M z E z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I H d p b m R v d y A o c 3 R l c C A 0 I D E p I C h j b 3 J y Z W N 0 Z W Q p I C g z K S 9 B d X R v U m V t b 3 Z l Z E N v b H V t b n M x L n t D b 2 x 1 b W 4 x L D B 9 J n F 1 b 3 Q 7 L C Z x d W 9 0 O 1 N l Y 3 R p b 2 4 x L 3 d p d G g g d 2 l u Z G 9 3 I C h z d G V w I D Q g M S k g K G N v c n J l Y 3 R l Z C k g K D M p L 0 F 1 d G 9 S Z W 1 v d m V k Q 2 9 s d W 1 u c z E u e 0 N v b H V t b j I s M X 0 m c X V v d D s s J n F 1 b 3 Q 7 U 2 V j d G l v b j E v d 2 l 0 a C B 3 a W 5 k b 3 c g K H N 0 Z X A g N C A x K S A o Y 2 9 y c m V j d G V k K S A o M y k v Q X V 0 b 1 J l b W 9 2 Z W R D b 2 x 1 b W 5 z M S 5 7 Q 2 9 s d W 1 u M y w y f S Z x d W 9 0 O y w m c X V v d D t T Z W N 0 a W 9 u M S 9 3 a X R o I H d p b m R v d y A o c 3 R l c C A 0 I D E p I C h j b 3 J y Z W N 0 Z W Q p I C g z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g g d 2 l u Z G 9 3 I C h z d G V w I D Q g M S k g K G N v c n J l Y 3 R l Z C k g K D M p L 0 F 1 d G 9 S Z W 1 v d m V k Q 2 9 s d W 1 u c z E u e 0 N v b H V t b j E s M H 0 m c X V v d D s s J n F 1 b 3 Q 7 U 2 V j d G l v b j E v d 2 l 0 a C B 3 a W 5 k b 3 c g K H N 0 Z X A g N C A x K S A o Y 2 9 y c m V j d G V k K S A o M y k v Q X V 0 b 1 J l b W 9 2 Z W R D b 2 x 1 b W 5 z M S 5 7 Q 2 9 s d W 1 u M i w x f S Z x d W 9 0 O y w m c X V v d D t T Z W N 0 a W 9 u M S 9 3 a X R o I H d p b m R v d y A o c 3 R l c C A 0 I D E p I C h j b 3 J y Z W N 0 Z W Q p I C g z K S 9 B d X R v U m V t b 3 Z l Z E N v b H V t b n M x L n t D b 2 x 1 b W 4 z L D J 9 J n F 1 b 3 Q 7 L C Z x d W 9 0 O 1 N l Y 3 R p b 2 4 x L 3 d p d G g g d 2 l u Z G 9 3 I C h z d G V w I D Q g M S k g K G N v c n J l Y 3 R l Z C k g K D M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g l M j B 3 a W 5 k b 3 c l M j A o c 3 R l c C U y M D Q l M j A x K S U y M C h j b 3 J y Z W N 0 Z W Q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Q l M j A x K S U y M C h j b 3 J y Z W N 0 Z W Q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N S k l M j A o Y 2 9 y c m V j d G V k K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p d G h + d 2 l 0 a G 9 1 d C B 3 a W 5 k b 3 c i I C 8 + P E V u d H J 5 I F R 5 c G U 9 I l J l Y 2 9 2 Z X J 5 V G F y Z 2 V 0 Q 2 9 s d W 1 u I i B W Y W x 1 Z T 0 i b D c i I C 8 + P E V u d H J 5 I F R 5 c G U 9 I l J l Y 2 9 2 Z X J 5 V G F y Z 2 V 0 U m 9 3 I i B W Y W x 1 Z T 0 i b D M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E 6 M D Y 6 M D I u M T M 1 M D g 5 N V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0 a C B 3 a W 5 k b 3 c g K H N 0 Z X A g N S k g K G N v c n J l Y 3 R l Z C k g K D M p L 0 F 1 d G 9 S Z W 1 v d m V k Q 2 9 s d W 1 u c z E u e 0 N v b H V t b j E s M H 0 m c X V v d D s s J n F 1 b 3 Q 7 U 2 V j d G l v b j E v d 2 l 0 a C B 3 a W 5 k b 3 c g K H N 0 Z X A g N S k g K G N v c n J l Y 3 R l Z C k g K D M p L 0 F 1 d G 9 S Z W 1 v d m V k Q 2 9 s d W 1 u c z E u e 0 N v b H V t b j I s M X 0 m c X V v d D s s J n F 1 b 3 Q 7 U 2 V j d G l v b j E v d 2 l 0 a C B 3 a W 5 k b 3 c g K H N 0 Z X A g N S k g K G N v c n J l Y 3 R l Z C k g K D M p L 0 F 1 d G 9 S Z W 1 v d m V k Q 2 9 s d W 1 u c z E u e 0 N v b H V t b j M s M n 0 m c X V v d D s s J n F 1 b 3 Q 7 U 2 V j d G l v b j E v d 2 l 0 a C B 3 a W 5 k b 3 c g K H N 0 Z X A g N S k g K G N v c n J l Y 3 R l Z C k g K D M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C B 3 a W 5 k b 3 c g K H N 0 Z X A g N S k g K G N v c n J l Y 3 R l Z C k g K D M p L 0 F 1 d G 9 S Z W 1 v d m V k Q 2 9 s d W 1 u c z E u e 0 N v b H V t b j E s M H 0 m c X V v d D s s J n F 1 b 3 Q 7 U 2 V j d G l v b j E v d 2 l 0 a C B 3 a W 5 k b 3 c g K H N 0 Z X A g N S k g K G N v c n J l Y 3 R l Z C k g K D M p L 0 F 1 d G 9 S Z W 1 v d m V k Q 2 9 s d W 1 u c z E u e 0 N v b H V t b j I s M X 0 m c X V v d D s s J n F 1 b 3 Q 7 U 2 V j d G l v b j E v d 2 l 0 a C B 3 a W 5 k b 3 c g K H N 0 Z X A g N S k g K G N v c n J l Y 3 R l Z C k g K D M p L 0 F 1 d G 9 S Z W 1 v d m V k Q 2 9 s d W 1 u c z E u e 0 N v b H V t b j M s M n 0 m c X V v d D s s J n F 1 b 3 Q 7 U 2 V j d G l v b j E v d 2 l 0 a C B 3 a W 5 k b 3 c g K H N 0 Z X A g N S k g K G N v c n J l Y 3 R l Z C k g K D M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g l M j B 3 a W 5 k b 3 c l M j A o c 3 R l c C U y M D U p J T I w K G N v c n J l Y 3 R l Z C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N S k l M j A o Y 2 9 y c m V j d G V k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U l M j A x K S U y M C h j b 3 J y Z W N 0 Z W Q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l 0 a H 5 3 a X R o b 3 V 0 I H d p b m R v d y I g L z 4 8 R W 5 0 c n k g V H l w Z T 0 i U m V j b 3 Z l c n l U Y X J n Z X R D b 2 x 1 b W 4 i I F Z h b H V l P S J s N y I g L z 4 8 R W 5 0 c n k g V H l w Z T 0 i U m V j b 3 Z l c n l U Y X J n Z X R S b 3 c i I F Z h b H V l P S J s N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T o w N j o y N y 4 1 N j c 4 O T c w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I H d p b m R v d y A o c 3 R l c C A 1 I D E p I C h j b 3 J y Z W N 0 Z W Q p I C g z K S 9 B d X R v U m V t b 3 Z l Z E N v b H V t b n M x L n t D b 2 x 1 b W 4 x L D B 9 J n F 1 b 3 Q 7 L C Z x d W 9 0 O 1 N l Y 3 R p b 2 4 x L 3 d p d G g g d 2 l u Z G 9 3 I C h z d G V w I D U g M S k g K G N v c n J l Y 3 R l Z C k g K D M p L 0 F 1 d G 9 S Z W 1 v d m V k Q 2 9 s d W 1 u c z E u e 0 N v b H V t b j I s M X 0 m c X V v d D s s J n F 1 b 3 Q 7 U 2 V j d G l v b j E v d 2 l 0 a C B 3 a W 5 k b 3 c g K H N 0 Z X A g N S A x K S A o Y 2 9 y c m V j d G V k K S A o M y k v Q X V 0 b 1 J l b W 9 2 Z W R D b 2 x 1 b W 5 z M S 5 7 Q 2 9 s d W 1 u M y w y f S Z x d W 9 0 O y w m c X V v d D t T Z W N 0 a W 9 u M S 9 3 a X R o I H d p b m R v d y A o c 3 R l c C A 1 I D E p I C h j b 3 J y Z W N 0 Z W Q p I C g z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g g d 2 l u Z G 9 3 I C h z d G V w I D U g M S k g K G N v c n J l Y 3 R l Z C k g K D M p L 0 F 1 d G 9 S Z W 1 v d m V k Q 2 9 s d W 1 u c z E u e 0 N v b H V t b j E s M H 0 m c X V v d D s s J n F 1 b 3 Q 7 U 2 V j d G l v b j E v d 2 l 0 a C B 3 a W 5 k b 3 c g K H N 0 Z X A g N S A x K S A o Y 2 9 y c m V j d G V k K S A o M y k v Q X V 0 b 1 J l b W 9 2 Z W R D b 2 x 1 b W 5 z M S 5 7 Q 2 9 s d W 1 u M i w x f S Z x d W 9 0 O y w m c X V v d D t T Z W N 0 a W 9 u M S 9 3 a X R o I H d p b m R v d y A o c 3 R l c C A 1 I D E p I C h j b 3 J y Z W N 0 Z W Q p I C g z K S 9 B d X R v U m V t b 3 Z l Z E N v b H V t b n M x L n t D b 2 x 1 b W 4 z L D J 9 J n F 1 b 3 Q 7 L C Z x d W 9 0 O 1 N l Y 3 R p b 2 4 x L 3 d p d G g g d 2 l u Z G 9 3 I C h z d G V w I D U g M S k g K G N v c n J l Y 3 R l Z C k g K D M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g l M j B 3 a W 5 k b 3 c l M j A o c 3 R l c C U y M D U l M j A x K S U y M C h j b 3 J y Z W N 0 Z W Q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U l M j A x K S U y M C h j b 3 J y Z W N 0 Z W Q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x K S U y M C h j b 3 J y Z W N 0 Z W Q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l 0 a H 5 3 a X R o b 3 V 0 I H d p b m R v d y I g L z 4 8 R W 5 0 c n k g V H l w Z T 0 i U m V j b 3 Z l c n l U Y X J n Z X R D b 2 x 1 b W 4 i I F Z h b H V l P S J s M T I i I C 8 + P E V u d H J 5 I F R 5 c G U 9 I l J l Y 2 9 2 Z X J 5 V G F y Z 2 V 0 U m 9 3 I i B W Y W x 1 Z T 0 i b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T o w N z o x O S 4 0 M D g 1 O D U z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N 1 d W 0 g K H N 0 Z X A g M S k g K G N v c n J l Y 3 R l Z C k g K D M p L 0 F 1 d G 9 S Z W 1 v d m V k Q 2 9 s d W 1 u c z E u e 0 N v b H V t b j E s M H 0 m c X V v d D s s J n F 1 b 3 Q 7 U 2 V j d G l v b j E v d m F j d X V t I C h z d G V w I D E p I C h j b 3 J y Z W N 0 Z W Q p I C g z K S 9 B d X R v U m V t b 3 Z l Z E N v b H V t b n M x L n t D b 2 x 1 b W 4 y L D F 9 J n F 1 b 3 Q 7 L C Z x d W 9 0 O 1 N l Y 3 R p b 2 4 x L 3 Z h Y 3 V 1 b S A o c 3 R l c C A x K S A o Y 2 9 y c m V j d G V k K S A o M y k v Q X V 0 b 1 J l b W 9 2 Z W R D b 2 x 1 b W 5 z M S 5 7 Q 2 9 s d W 1 u M y w y f S Z x d W 9 0 O y w m c X V v d D t T Z W N 0 a W 9 u M S 9 2 Y W N 1 d W 0 g K H N 0 Z X A g M S k g K G N v c n J l Y 3 R l Z C k g K D M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j d X V t I C h z d G V w I D E p I C h j b 3 J y Z W N 0 Z W Q p I C g z K S 9 B d X R v U m V t b 3 Z l Z E N v b H V t b n M x L n t D b 2 x 1 b W 4 x L D B 9 J n F 1 b 3 Q 7 L C Z x d W 9 0 O 1 N l Y 3 R p b 2 4 x L 3 Z h Y 3 V 1 b S A o c 3 R l c C A x K S A o Y 2 9 y c m V j d G V k K S A o M y k v Q X V 0 b 1 J l b W 9 2 Z W R D b 2 x 1 b W 5 z M S 5 7 Q 2 9 s d W 1 u M i w x f S Z x d W 9 0 O y w m c X V v d D t T Z W N 0 a W 9 u M S 9 2 Y W N 1 d W 0 g K H N 0 Z X A g M S k g K G N v c n J l Y 3 R l Z C k g K D M p L 0 F 1 d G 9 S Z W 1 v d m V k Q 2 9 s d W 1 u c z E u e 0 N v b H V t b j M s M n 0 m c X V v d D s s J n F 1 b 3 Q 7 U 2 V j d G l v b j E v d m F j d X V t I C h z d G V w I D E p I C h j b 3 J y Z W N 0 Z W Q p I C g z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N 1 d W 0 l M j A o c 3 R l c C U y M D E p J T I w K G N v c n J l Y 3 R l Z C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x K S U y M C h j b 3 J y Z W N 0 Z W Q p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y K S U y M C h j b 3 J y Z W N 0 Z W Q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l 0 a H 5 3 a X R o b 3 V 0 I H d p b m R v d y I g L z 4 8 R W 5 0 c n k g V H l w Z T 0 i U m V j b 3 Z l c n l U Y X J n Z X R D b 2 x 1 b W 4 i I F Z h b H V l P S J s M T I i I C 8 + P E V u d H J 5 I F R 5 c G U 9 I l J l Y 2 9 2 Z X J 5 V G F y Z 2 V 0 U m 9 3 I i B W Y W x 1 Z T 0 i b D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E 6 M D k 6 M T U u O D A 2 M T c 0 O F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j d X V t I C h z d G V w I D I p I C h j b 3 J y Z W N 0 Z W Q p I C g z K S 9 B d X R v U m V t b 3 Z l Z E N v b H V t b n M x L n t D b 2 x 1 b W 4 x L D B 9 J n F 1 b 3 Q 7 L C Z x d W 9 0 O 1 N l Y 3 R p b 2 4 x L 3 Z h Y 3 V 1 b S A o c 3 R l c C A y K S A o Y 2 9 y c m V j d G V k K S A o M y k v Q X V 0 b 1 J l b W 9 2 Z W R D b 2 x 1 b W 5 z M S 5 7 Q 2 9 s d W 1 u M i w x f S Z x d W 9 0 O y w m c X V v d D t T Z W N 0 a W 9 u M S 9 2 Y W N 1 d W 0 g K H N 0 Z X A g M i k g K G N v c n J l Y 3 R l Z C k g K D M p L 0 F 1 d G 9 S Z W 1 v d m V k Q 2 9 s d W 1 u c z E u e 0 N v b H V t b j M s M n 0 m c X V v d D s s J n F 1 b 3 Q 7 U 2 V j d G l v b j E v d m F j d X V t I C h z d G V w I D I p I C h j b 3 J y Z W N 0 Z W Q p I C g z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Y 3 V 1 b S A o c 3 R l c C A y K S A o Y 2 9 y c m V j d G V k K S A o M y k v Q X V 0 b 1 J l b W 9 2 Z W R D b 2 x 1 b W 5 z M S 5 7 Q 2 9 s d W 1 u M S w w f S Z x d W 9 0 O y w m c X V v d D t T Z W N 0 a W 9 u M S 9 2 Y W N 1 d W 0 g K H N 0 Z X A g M i k g K G N v c n J l Y 3 R l Z C k g K D M p L 0 F 1 d G 9 S Z W 1 v d m V k Q 2 9 s d W 1 u c z E u e 0 N v b H V t b j I s M X 0 m c X V v d D s s J n F 1 b 3 Q 7 U 2 V j d G l v b j E v d m F j d X V t I C h z d G V w I D I p I C h j b 3 J y Z W N 0 Z W Q p I C g z K S 9 B d X R v U m V t b 3 Z l Z E N v b H V t b n M x L n t D b 2 x 1 b W 4 z L D J 9 J n F 1 b 3 Q 7 L C Z x d W 9 0 O 1 N l Y 3 R p b 2 4 x L 3 Z h Y 3 V 1 b S A o c 3 R l c C A y K S A o Y 2 9 y c m V j d G V k K S A o M y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j d X V t J T I w K H N 0 Z X A l M j A y K S U y M C h j b 3 J y Z W N 0 Z W Q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M i k l M j A o Y 2 9 y c m V j d G V k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d G g l M j B 3 a W 5 k b 3 c l M j A o c 3 R l c C U y M D E p J T I w K G N v c n J l Y 3 R l Z C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a X R o b 3 V 0 I H d p b m R v d y I g L z 4 8 R W 5 0 c n k g V H l w Z T 0 i U m V j b 3 Z l c n l U Y X J n Z X R D b 2 x 1 b W 4 i I F Z h b H V l P S J s N y I g L z 4 8 R W 5 0 c n k g V H l w Z T 0 i U m V j b 3 Z l c n l U Y X J n Z X R S b 3 c i I F Z h b H V l P S J s M y I g L z 4 8 R W 5 0 c n k g V H l w Z T 0 i R m l s b F R h c m d l d C I g V m F s d W U 9 I n N X a X R o X 3 d p b m R v d 1 9 f c 3 R l c F 8 x X 1 9 f Y 2 9 y c m V j d G V k X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x O j I 0 O j M y L j Q 5 M j Q 5 N T B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d G g g d 2 l u Z G 9 3 I C h z d G V w I D E p I C h j b 3 J y Z W N 0 Z W Q p I C g 0 K S 9 B d X R v U m V t b 3 Z l Z E N v b H V t b n M x L n t D b 2 x 1 b W 4 x L D B 9 J n F 1 b 3 Q 7 L C Z x d W 9 0 O 1 N l Y 3 R p b 2 4 x L 1 d p d G g g d 2 l u Z G 9 3 I C h z d G V w I D E p I C h j b 3 J y Z W N 0 Z W Q p I C g 0 K S 9 B d X R v U m V t b 3 Z l Z E N v b H V t b n M x L n t D b 2 x 1 b W 4 y L D F 9 J n F 1 b 3 Q 7 L C Z x d W 9 0 O 1 N l Y 3 R p b 2 4 x L 1 d p d G g g d 2 l u Z G 9 3 I C h z d G V w I D E p I C h j b 3 J y Z W N 0 Z W Q p I C g 0 K S 9 B d X R v U m V t b 3 Z l Z E N v b H V t b n M x L n t D b 2 x 1 b W 4 z L D J 9 J n F 1 b 3 Q 7 L C Z x d W 9 0 O 1 N l Y 3 R p b 2 4 x L 1 d p d G g g d 2 l u Z G 9 3 I C h z d G V w I D E p I C h j b 3 J y Z W N 0 Z W Q p I C g 0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d p d G g g d 2 l u Z G 9 3 I C h z d G V w I D E p I C h j b 3 J y Z W N 0 Z W Q p I C g 0 K S 9 B d X R v U m V t b 3 Z l Z E N v b H V t b n M x L n t D b 2 x 1 b W 4 x L D B 9 J n F 1 b 3 Q 7 L C Z x d W 9 0 O 1 N l Y 3 R p b 2 4 x L 1 d p d G g g d 2 l u Z G 9 3 I C h z d G V w I D E p I C h j b 3 J y Z W N 0 Z W Q p I C g 0 K S 9 B d X R v U m V t b 3 Z l Z E N v b H V t b n M x L n t D b 2 x 1 b W 4 y L D F 9 J n F 1 b 3 Q 7 L C Z x d W 9 0 O 1 N l Y 3 R p b 2 4 x L 1 d p d G g g d 2 l u Z G 9 3 I C h z d G V w I D E p I C h j b 3 J y Z W N 0 Z W Q p I C g 0 K S 9 B d X R v U m V t b 3 Z l Z E N v b H V t b n M x L n t D b 2 x 1 b W 4 z L D J 9 J n F 1 b 3 Q 7 L C Z x d W 9 0 O 1 N l Y 3 R p b 2 4 x L 1 d p d G g g d 2 l u Z G 9 3 I C h z d G V w I D E p I C h j b 3 J y Z W N 0 Z W Q p I C g 0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X R o J T I w d 2 l u Z G 9 3 J T I w K H N 0 Z X A l M j A x K S U y M C h j b 3 J y Z W N 0 Z W Q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d G g l M j B 3 a W 5 k b 3 c l M j A o c 3 R l c C U y M D E p J T I w K G N v c n J l Y 3 R l Z C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y K S U y M C h j b 3 J y Z W N 0 Z W Q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l 0 a G 9 1 d C B 3 a W 5 k b 3 c i I C 8 + P E V u d H J 5 I F R 5 c G U 9 I l J l Y 2 9 2 Z X J 5 V G F y Z 2 V 0 Q 2 9 s d W 1 u I i B W Y W x 1 Z T 0 i b D c i I C 8 + P E V u d H J 5 I F R 5 c G U 9 I l J l Y 2 9 2 Z X J 5 V G F y Z 2 V 0 U m 9 3 I i B W Y W x 1 Z T 0 i b D E w I i A v P j x F b n R y e S B U e X B l P S J G a W x s V G F y Z 2 V 0 I i B W Y W x 1 Z T 0 i c 3 d p d G h f d 2 l u Z G 9 3 X 1 9 z d G V w X z J f X 1 9 j b 3 J y Z W N 0 Z W R f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E 6 M j Q 6 N T g u M j E 3 M D E 5 N V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0 a C B 3 a W 5 k b 3 c g K H N 0 Z X A g M i k g K G N v c n J l Y 3 R l Z C k g K D Q p L 0 F 1 d G 9 S Z W 1 v d m V k Q 2 9 s d W 1 u c z E u e 0 N v b H V t b j E s M H 0 m c X V v d D s s J n F 1 b 3 Q 7 U 2 V j d G l v b j E v d 2 l 0 a C B 3 a W 5 k b 3 c g K H N 0 Z X A g M i k g K G N v c n J l Y 3 R l Z C k g K D Q p L 0 F 1 d G 9 S Z W 1 v d m V k Q 2 9 s d W 1 u c z E u e 0 N v b H V t b j I s M X 0 m c X V v d D s s J n F 1 b 3 Q 7 U 2 V j d G l v b j E v d 2 l 0 a C B 3 a W 5 k b 3 c g K H N 0 Z X A g M i k g K G N v c n J l Y 3 R l Z C k g K D Q p L 0 F 1 d G 9 S Z W 1 v d m V k Q 2 9 s d W 1 u c z E u e 0 N v b H V t b j M s M n 0 m c X V v d D s s J n F 1 b 3 Q 7 U 2 V j d G l v b j E v d 2 l 0 a C B 3 a W 5 k b 3 c g K H N 0 Z X A g M i k g K G N v c n J l Y 3 R l Z C k g K D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C B 3 a W 5 k b 3 c g K H N 0 Z X A g M i k g K G N v c n J l Y 3 R l Z C k g K D Q p L 0 F 1 d G 9 S Z W 1 v d m V k Q 2 9 s d W 1 u c z E u e 0 N v b H V t b j E s M H 0 m c X V v d D s s J n F 1 b 3 Q 7 U 2 V j d G l v b j E v d 2 l 0 a C B 3 a W 5 k b 3 c g K H N 0 Z X A g M i k g K G N v c n J l Y 3 R l Z C k g K D Q p L 0 F 1 d G 9 S Z W 1 v d m V k Q 2 9 s d W 1 u c z E u e 0 N v b H V t b j I s M X 0 m c X V v d D s s J n F 1 b 3 Q 7 U 2 V j d G l v b j E v d 2 l 0 a C B 3 a W 5 k b 3 c g K H N 0 Z X A g M i k g K G N v c n J l Y 3 R l Z C k g K D Q p L 0 F 1 d G 9 S Z W 1 v d m V k Q 2 9 s d W 1 u c z E u e 0 N v b H V t b j M s M n 0 m c X V v d D s s J n F 1 b 3 Q 7 U 2 V j d G l v b j E v d 2 l 0 a C B 3 a W 5 k b 3 c g K H N 0 Z X A g M i k g K G N v c n J l Y 3 R l Z C k g K D Q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g l M j B 3 a W 5 k b 3 c l M j A o c 3 R l c C U y M D I p J T I w K G N v c n J l Y 3 R l Z C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M i k l M j A o Y 2 9 y c m V j d G V k K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M p J T I w K G N v c n J l Y 3 R l Z C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a X R o b 3 V 0 I H d p b m R v d y I g L z 4 8 R W 5 0 c n k g V H l w Z T 0 i U m V j b 3 Z l c n l U Y X J n Z X R D b 2 x 1 b W 4 i I F Z h b H V l P S J s N y I g L z 4 8 R W 5 0 c n k g V H l w Z T 0 i U m V j b 3 Z l c n l U Y X J n Z X R S b 3 c i I F Z h b H V l P S J s M T c i I C 8 + P E V u d H J 5 I F R 5 c G U 9 I k Z p b G x U Y X J n Z X Q i I F Z h b H V l P S J z d 2 l 0 a F 9 3 a W 5 k b 3 d f X 3 N 0 Z X B f M 1 9 f X 2 N v c n J l Y 3 R l Z F 9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T o y N T o y M C 4 5 N T Q 2 M z U x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I H d p b m R v d y A o c 3 R l c C A z K S A o Y 2 9 y c m V j d G V k K S A o N C k v Q X V 0 b 1 J l b W 9 2 Z W R D b 2 x 1 b W 5 z M S 5 7 Q 2 9 s d W 1 u M S w w f S Z x d W 9 0 O y w m c X V v d D t T Z W N 0 a W 9 u M S 9 3 a X R o I H d p b m R v d y A o c 3 R l c C A z K S A o Y 2 9 y c m V j d G V k K S A o N C k v Q X V 0 b 1 J l b W 9 2 Z W R D b 2 x 1 b W 5 z M S 5 7 Q 2 9 s d W 1 u M i w x f S Z x d W 9 0 O y w m c X V v d D t T Z W N 0 a W 9 u M S 9 3 a X R o I H d p b m R v d y A o c 3 R l c C A z K S A o Y 2 9 y c m V j d G V k K S A o N C k v Q X V 0 b 1 J l b W 9 2 Z W R D b 2 x 1 b W 5 z M S 5 7 Q 2 9 s d W 1 u M y w y f S Z x d W 9 0 O y w m c X V v d D t T Z W N 0 a W 9 u M S 9 3 a X R o I H d p b m R v d y A o c 3 R l c C A z K S A o Y 2 9 y c m V j d G V k K S A o N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X R o I H d p b m R v d y A o c 3 R l c C A z K S A o Y 2 9 y c m V j d G V k K S A o N C k v Q X V 0 b 1 J l b W 9 2 Z W R D b 2 x 1 b W 5 z M S 5 7 Q 2 9 s d W 1 u M S w w f S Z x d W 9 0 O y w m c X V v d D t T Z W N 0 a W 9 u M S 9 3 a X R o I H d p b m R v d y A o c 3 R l c C A z K S A o Y 2 9 y c m V j d G V k K S A o N C k v Q X V 0 b 1 J l b W 9 2 Z W R D b 2 x 1 b W 5 z M S 5 7 Q 2 9 s d W 1 u M i w x f S Z x d W 9 0 O y w m c X V v d D t T Z W N 0 a W 9 u M S 9 3 a X R o I H d p b m R v d y A o c 3 R l c C A z K S A o Y 2 9 y c m V j d G V k K S A o N C k v Q X V 0 b 1 J l b W 9 2 Z W R D b 2 x 1 b W 5 z M S 5 7 Q 2 9 s d W 1 u M y w y f S Z x d W 9 0 O y w m c X V v d D t T Z W N 0 a W 9 u M S 9 3 a X R o I H d p b m R v d y A o c 3 R l c C A z K S A o Y 2 9 y c m V j d G V k K S A o N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C U y M H d p b m R v d y U y M C h z d G V w J T I w M y k l M j A o Y 2 9 y c m V j d G V k K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z K S U y M C h j b 3 J y Z W N 0 Z W Q p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N C k l M j A o Y 2 9 y c m V j d G V k K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p d G h v d X Q g d 2 l u Z G 9 3 I i A v P j x F b n R y e S B U e X B l P S J S Z W N v d m V y e V R h c m d l d E N v b H V t b i I g V m F s d W U 9 I m w 3 I i A v P j x F b n R y e S B U e X B l P S J S Z W N v d m V y e V R h c m d l d F J v d y I g V m F s d W U 9 I m w y N C I g L z 4 8 R W 5 0 c n k g V H l w Z T 0 i R m l s b F R h c m d l d C I g V m F s d W U 9 I n N 3 a X R o X 3 d p b m R v d 1 9 f c 3 R l c F 8 0 X 1 9 f Y 2 9 y c m V j d G V k X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x O j I 1 O j Q x L j U 2 M z Q x M z V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g g d 2 l u Z G 9 3 I C h z d G V w I D Q p I C h j b 3 J y Z W N 0 Z W Q p I C g 0 K S 9 B d X R v U m V t b 3 Z l Z E N v b H V t b n M x L n t D b 2 x 1 b W 4 x L D B 9 J n F 1 b 3 Q 7 L C Z x d W 9 0 O 1 N l Y 3 R p b 2 4 x L 3 d p d G g g d 2 l u Z G 9 3 I C h z d G V w I D Q p I C h j b 3 J y Z W N 0 Z W Q p I C g 0 K S 9 B d X R v U m V t b 3 Z l Z E N v b H V t b n M x L n t D b 2 x 1 b W 4 y L D F 9 J n F 1 b 3 Q 7 L C Z x d W 9 0 O 1 N l Y 3 R p b 2 4 x L 3 d p d G g g d 2 l u Z G 9 3 I C h z d G V w I D Q p I C h j b 3 J y Z W N 0 Z W Q p I C g 0 K S 9 B d X R v U m V t b 3 Z l Z E N v b H V t b n M x L n t D b 2 x 1 b W 4 z L D J 9 J n F 1 b 3 Q 7 L C Z x d W 9 0 O 1 N l Y 3 R p b 2 4 x L 3 d p d G g g d 2 l u Z G 9 3 I C h z d G V w I D Q p I C h j b 3 J y Z W N 0 Z W Q p I C g 0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g g d 2 l u Z G 9 3 I C h z d G V w I D Q p I C h j b 3 J y Z W N 0 Z W Q p I C g 0 K S 9 B d X R v U m V t b 3 Z l Z E N v b H V t b n M x L n t D b 2 x 1 b W 4 x L D B 9 J n F 1 b 3 Q 7 L C Z x d W 9 0 O 1 N l Y 3 R p b 2 4 x L 3 d p d G g g d 2 l u Z G 9 3 I C h z d G V w I D Q p I C h j b 3 J y Z W N 0 Z W Q p I C g 0 K S 9 B d X R v U m V t b 3 Z l Z E N v b H V t b n M x L n t D b 2 x 1 b W 4 y L D F 9 J n F 1 b 3 Q 7 L C Z x d W 9 0 O 1 N l Y 3 R p b 2 4 x L 3 d p d G g g d 2 l u Z G 9 3 I C h z d G V w I D Q p I C h j b 3 J y Z W N 0 Z W Q p I C g 0 K S 9 B d X R v U m V t b 3 Z l Z E N v b H V t b n M x L n t D b 2 x 1 b W 4 z L D J 9 J n F 1 b 3 Q 7 L C Z x d W 9 0 O 1 N l Y 3 R p b 2 4 x L 3 d p d G g g d 2 l u Z G 9 3 I C h z d G V w I D Q p I C h j b 3 J y Z W N 0 Z W Q p I C g 0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J T I w d 2 l u Z G 9 3 J T I w K H N 0 Z X A l M j A 0 K S U y M C h j b 3 J y Z W N 0 Z W Q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Q p J T I w K G N v c n J l Y 3 R l Z C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0 J T I w M S k l M j A o Y 2 9 y c m V j d G V k K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p d G h v d X Q g d 2 l u Z G 9 3 I i A v P j x F b n R y e S B U e X B l P S J S Z W N v d m V y e V R h c m d l d E N v b H V t b i I g V m F s d W U 9 I m w 3 I i A v P j x F b n R y e S B U e X B l P S J S Z W N v d m V y e V R h c m d l d F J v d y I g V m F s d W U 9 I m w z M S I g L z 4 8 R W 5 0 c n k g V H l w Z T 0 i R m l s b F R h c m d l d C I g V m F s d W U 9 I n N 3 a X R o X 3 d p b m R v d 1 9 f c 3 R l c F 8 0 X z F f X 1 9 j b 3 J y Z W N 0 Z W R f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E 6 M j Y 6 M D E u N j c z M z A x M V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0 a C B 3 a W 5 k b 3 c g K H N 0 Z X A g N C A x K S A o Y 2 9 y c m V j d G V k K S A o N C k v Q X V 0 b 1 J l b W 9 2 Z W R D b 2 x 1 b W 5 z M S 5 7 Q 2 9 s d W 1 u M S w w f S Z x d W 9 0 O y w m c X V v d D t T Z W N 0 a W 9 u M S 9 3 a X R o I H d p b m R v d y A o c 3 R l c C A 0 I D E p I C h j b 3 J y Z W N 0 Z W Q p I C g 0 K S 9 B d X R v U m V t b 3 Z l Z E N v b H V t b n M x L n t D b 2 x 1 b W 4 y L D F 9 J n F 1 b 3 Q 7 L C Z x d W 9 0 O 1 N l Y 3 R p b 2 4 x L 3 d p d G g g d 2 l u Z G 9 3 I C h z d G V w I D Q g M S k g K G N v c n J l Y 3 R l Z C k g K D Q p L 0 F 1 d G 9 S Z W 1 v d m V k Q 2 9 s d W 1 u c z E u e 0 N v b H V t b j M s M n 0 m c X V v d D s s J n F 1 b 3 Q 7 U 2 V j d G l v b j E v d 2 l 0 a C B 3 a W 5 k b 3 c g K H N 0 Z X A g N C A x K S A o Y 2 9 y c m V j d G V k K S A o N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X R o I H d p b m R v d y A o c 3 R l c C A 0 I D E p I C h j b 3 J y Z W N 0 Z W Q p I C g 0 K S 9 B d X R v U m V t b 3 Z l Z E N v b H V t b n M x L n t D b 2 x 1 b W 4 x L D B 9 J n F 1 b 3 Q 7 L C Z x d W 9 0 O 1 N l Y 3 R p b 2 4 x L 3 d p d G g g d 2 l u Z G 9 3 I C h z d G V w I D Q g M S k g K G N v c n J l Y 3 R l Z C k g K D Q p L 0 F 1 d G 9 S Z W 1 v d m V k Q 2 9 s d W 1 u c z E u e 0 N v b H V t b j I s M X 0 m c X V v d D s s J n F 1 b 3 Q 7 U 2 V j d G l v b j E v d 2 l 0 a C B 3 a W 5 k b 3 c g K H N 0 Z X A g N C A x K S A o Y 2 9 y c m V j d G V k K S A o N C k v Q X V 0 b 1 J l b W 9 2 Z W R D b 2 x 1 b W 5 z M S 5 7 Q 2 9 s d W 1 u M y w y f S Z x d W 9 0 O y w m c X V v d D t T Z W N 0 a W 9 u M S 9 3 a X R o I H d p b m R v d y A o c 3 R l c C A 0 I D E p I C h j b 3 J y Z W N 0 Z W Q p I C g 0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J T I w d 2 l u Z G 9 3 J T I w K H N 0 Z X A l M j A 0 J T I w M S k l M j A o Y 2 9 y c m V j d G V k K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0 J T I w M S k l M j A o Y 2 9 y c m V j d G V k K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U p J T I w K G N v c n J l Y 3 R l Z C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a X R o b 3 V 0 I H d p b m R v d y I g L z 4 8 R W 5 0 c n k g V H l w Z T 0 i U m V j b 3 Z l c n l U Y X J n Z X R D b 2 x 1 b W 4 i I F Z h b H V l P S J s N y I g L z 4 8 R W 5 0 c n k g V H l w Z T 0 i U m V j b 3 Z l c n l U Y X J n Z X R S b 3 c i I F Z h b H V l P S J s M z g i I C 8 + P E V u d H J 5 I F R 5 c G U 9 I k Z p b G x U Y X J n Z X Q i I F Z h b H V l P S J z d 2 l 0 a F 9 3 a W 5 k b 3 d f X 3 N 0 Z X B f N V 9 f X 2 N v c n J l Y 3 R l Z F 9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T o y N j o 0 M S 4 4 O T I x O T Q y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I H d p b m R v d y A o c 3 R l c C A 1 K S A o Y 2 9 y c m V j d G V k K S A o N C k v Q X V 0 b 1 J l b W 9 2 Z W R D b 2 x 1 b W 5 z M S 5 7 Q 2 9 s d W 1 u M S w w f S Z x d W 9 0 O y w m c X V v d D t T Z W N 0 a W 9 u M S 9 3 a X R o I H d p b m R v d y A o c 3 R l c C A 1 K S A o Y 2 9 y c m V j d G V k K S A o N C k v Q X V 0 b 1 J l b W 9 2 Z W R D b 2 x 1 b W 5 z M S 5 7 Q 2 9 s d W 1 u M i w x f S Z x d W 9 0 O y w m c X V v d D t T Z W N 0 a W 9 u M S 9 3 a X R o I H d p b m R v d y A o c 3 R l c C A 1 K S A o Y 2 9 y c m V j d G V k K S A o N C k v Q X V 0 b 1 J l b W 9 2 Z W R D b 2 x 1 b W 5 z M S 5 7 Q 2 9 s d W 1 u M y w y f S Z x d W 9 0 O y w m c X V v d D t T Z W N 0 a W 9 u M S 9 3 a X R o I H d p b m R v d y A o c 3 R l c C A 1 K S A o Y 2 9 y c m V j d G V k K S A o N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X R o I H d p b m R v d y A o c 3 R l c C A 1 K S A o Y 2 9 y c m V j d G V k K S A o N C k v Q X V 0 b 1 J l b W 9 2 Z W R D b 2 x 1 b W 5 z M S 5 7 Q 2 9 s d W 1 u M S w w f S Z x d W 9 0 O y w m c X V v d D t T Z W N 0 a W 9 u M S 9 3 a X R o I H d p b m R v d y A o c 3 R l c C A 1 K S A o Y 2 9 y c m V j d G V k K S A o N C k v Q X V 0 b 1 J l b W 9 2 Z W R D b 2 x 1 b W 5 z M S 5 7 Q 2 9 s d W 1 u M i w x f S Z x d W 9 0 O y w m c X V v d D t T Z W N 0 a W 9 u M S 9 3 a X R o I H d p b m R v d y A o c 3 R l c C A 1 K S A o Y 2 9 y c m V j d G V k K S A o N C k v Q X V 0 b 1 J l b W 9 2 Z W R D b 2 x 1 b W 5 z M S 5 7 Q 2 9 s d W 1 u M y w y f S Z x d W 9 0 O y w m c X V v d D t T Z W N 0 a W 9 u M S 9 3 a X R o I H d p b m R v d y A o c 3 R l c C A 1 K S A o Y 2 9 y c m V j d G V k K S A o N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C U y M H d p b m R v d y U y M C h z d G V w J T I w N S k l M j A o Y 2 9 y c m V j d G V k K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1 K S U y M C h j b 3 J y Z W N 0 Z W Q p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N S U y M D E p J T I w K G N v c n J l Y 3 R l Z C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a X R o b 3 V 0 I H d p b m R v d y I g L z 4 8 R W 5 0 c n k g V H l w Z T 0 i U m V j b 3 Z l c n l U Y X J n Z X R D b 2 x 1 b W 4 i I F Z h b H V l P S J s N y I g L z 4 8 R W 5 0 c n k g V H l w Z T 0 i U m V j b 3 Z l c n l U Y X J n Z X R S b 3 c i I F Z h b H V l P S J s N D U i I C 8 + P E V u d H J 5 I F R 5 c G U 9 I k Z p b G x U Y X J n Z X Q i I F Z h b H V l P S J z d 2 l 0 a F 9 3 a W 5 k b 3 d f X 3 N 0 Z X B f N V 8 x X 1 9 f Y 2 9 y c m V j d G V k X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x O j I 3 O j A 2 L j k 2 M D E x N z h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g g d 2 l u Z G 9 3 I C h z d G V w I D U g M S k g K G N v c n J l Y 3 R l Z C k g K D Q p L 0 F 1 d G 9 S Z W 1 v d m V k Q 2 9 s d W 1 u c z E u e 0 N v b H V t b j E s M H 0 m c X V v d D s s J n F 1 b 3 Q 7 U 2 V j d G l v b j E v d 2 l 0 a C B 3 a W 5 k b 3 c g K H N 0 Z X A g N S A x K S A o Y 2 9 y c m V j d G V k K S A o N C k v Q X V 0 b 1 J l b W 9 2 Z W R D b 2 x 1 b W 5 z M S 5 7 Q 2 9 s d W 1 u M i w x f S Z x d W 9 0 O y w m c X V v d D t T Z W N 0 a W 9 u M S 9 3 a X R o I H d p b m R v d y A o c 3 R l c C A 1 I D E p I C h j b 3 J y Z W N 0 Z W Q p I C g 0 K S 9 B d X R v U m V t b 3 Z l Z E N v b H V t b n M x L n t D b 2 x 1 b W 4 z L D J 9 J n F 1 b 3 Q 7 L C Z x d W 9 0 O 1 N l Y 3 R p b 2 4 x L 3 d p d G g g d 2 l u Z G 9 3 I C h z d G V w I D U g M S k g K G N v c n J l Y 3 R l Z C k g K D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C B 3 a W 5 k b 3 c g K H N 0 Z X A g N S A x K S A o Y 2 9 y c m V j d G V k K S A o N C k v Q X V 0 b 1 J l b W 9 2 Z W R D b 2 x 1 b W 5 z M S 5 7 Q 2 9 s d W 1 u M S w w f S Z x d W 9 0 O y w m c X V v d D t T Z W N 0 a W 9 u M S 9 3 a X R o I H d p b m R v d y A o c 3 R l c C A 1 I D E p I C h j b 3 J y Z W N 0 Z W Q p I C g 0 K S 9 B d X R v U m V t b 3 Z l Z E N v b H V t b n M x L n t D b 2 x 1 b W 4 y L D F 9 J n F 1 b 3 Q 7 L C Z x d W 9 0 O 1 N l Y 3 R p b 2 4 x L 3 d p d G g g d 2 l u Z G 9 3 I C h z d G V w I D U g M S k g K G N v c n J l Y 3 R l Z C k g K D Q p L 0 F 1 d G 9 S Z W 1 v d m V k Q 2 9 s d W 1 u c z E u e 0 N v b H V t b j M s M n 0 m c X V v d D s s J n F 1 b 3 Q 7 U 2 V j d G l v b j E v d 2 l 0 a C B 3 a W 5 k b 3 c g K H N 0 Z X A g N S A x K S A o Y 2 9 y c m V j d G V k K S A o N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C U y M H d p b m R v d y U y M C h z d G V w J T I w N S U y M D E p J T I w K G N v c n J l Y 3 R l Z C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N S U y M D E p J T I w K G N v c n J l Y 3 R l Z C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E p J T I w K G N v c n J l Y 3 R l Z C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a X R o b 3 V 0 I H d p b m R v d y I g L z 4 8 R W 5 0 c n k g V H l w Z T 0 i U m V j b 3 Z l c n l U Y X J n Z X R D b 2 x 1 b W 4 i I F Z h b H V l P S J s M T I i I C 8 + P E V u d H J 5 I F R 5 c G U 9 I l J l Y 2 9 2 Z X J 5 V G F y Z 2 V 0 U m 9 3 I i B W Y W x 1 Z T 0 i b D M i I C 8 + P E V u d H J 5 I F R 5 c G U 9 I k Z p b G x U Y X J n Z X Q i I F Z h b H V l P S J z d m F j d X V t X 1 9 z d G V w X z F f X 1 9 j b 3 J y Z W N 0 Z W R f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E 6 M j g 6 M D c u N D k w M j Y 0 N 1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j d X V t I C h z d G V w I D E p I C h j b 3 J y Z W N 0 Z W Q p I C g 0 K S 9 B d X R v U m V t b 3 Z l Z E N v b H V t b n M x L n t D b 2 x 1 b W 4 x L D B 9 J n F 1 b 3 Q 7 L C Z x d W 9 0 O 1 N l Y 3 R p b 2 4 x L 3 Z h Y 3 V 1 b S A o c 3 R l c C A x K S A o Y 2 9 y c m V j d G V k K S A o N C k v Q X V 0 b 1 J l b W 9 2 Z W R D b 2 x 1 b W 5 z M S 5 7 Q 2 9 s d W 1 u M i w x f S Z x d W 9 0 O y w m c X V v d D t T Z W N 0 a W 9 u M S 9 2 Y W N 1 d W 0 g K H N 0 Z X A g M S k g K G N v c n J l Y 3 R l Z C k g K D Q p L 0 F 1 d G 9 S Z W 1 v d m V k Q 2 9 s d W 1 u c z E u e 0 N v b H V t b j M s M n 0 m c X V v d D s s J n F 1 b 3 Q 7 U 2 V j d G l v b j E v d m F j d X V t I C h z d G V w I D E p I C h j b 3 J y Z W N 0 Z W Q p I C g 0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Y 3 V 1 b S A o c 3 R l c C A x K S A o Y 2 9 y c m V j d G V k K S A o N C k v Q X V 0 b 1 J l b W 9 2 Z W R D b 2 x 1 b W 5 z M S 5 7 Q 2 9 s d W 1 u M S w w f S Z x d W 9 0 O y w m c X V v d D t T Z W N 0 a W 9 u M S 9 2 Y W N 1 d W 0 g K H N 0 Z X A g M S k g K G N v c n J l Y 3 R l Z C k g K D Q p L 0 F 1 d G 9 S Z W 1 v d m V k Q 2 9 s d W 1 u c z E u e 0 N v b H V t b j I s M X 0 m c X V v d D s s J n F 1 b 3 Q 7 U 2 V j d G l v b j E v d m F j d X V t I C h z d G V w I D E p I C h j b 3 J y Z W N 0 Z W Q p I C g 0 K S 9 B d X R v U m V t b 3 Z l Z E N v b H V t b n M x L n t D b 2 x 1 b W 4 z L D J 9 J n F 1 b 3 Q 7 L C Z x d W 9 0 O 1 N l Y 3 R p b 2 4 x L 3 Z h Y 3 V 1 b S A o c 3 R l c C A x K S A o Y 2 9 y c m V j d G V k K S A o N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j d X V t J T I w K H N 0 Z X A l M j A x K S U y M C h j b 3 J y Z W N 0 Z W Q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M S k l M j A o Y 2 9 y c m V j d G V k K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M i k l M j A o Y 2 9 y c m V j d G V k K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p d G h v d X Q g d 2 l u Z G 9 3 I i A v P j x F b n R y e S B U e X B l P S J S Z W N v d m V y e V R h c m d l d E N v b H V t b i I g V m F s d W U 9 I m w x M i I g L z 4 8 R W 5 0 c n k g V H l w Z T 0 i U m V j b 3 Z l c n l U Y X J n Z X R S b 3 c i I F Z h b H V l P S J s M T A i I C 8 + P E V u d H J 5 I F R 5 c G U 9 I k Z p b G x U Y X J n Z X Q i I F Z h b H V l P S J z d m F j d X V t X 1 9 z d G V w X z J f X 1 9 j b 3 J y Z W N 0 Z W R f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E 6 M j k 6 M j E u M z Y 4 N D k 5 O F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j d X V t I C h z d G V w I D I p I C h j b 3 J y Z W N 0 Z W Q p I C g 0 K S 9 B d X R v U m V t b 3 Z l Z E N v b H V t b n M x L n t D b 2 x 1 b W 4 x L D B 9 J n F 1 b 3 Q 7 L C Z x d W 9 0 O 1 N l Y 3 R p b 2 4 x L 3 Z h Y 3 V 1 b S A o c 3 R l c C A y K S A o Y 2 9 y c m V j d G V k K S A o N C k v Q X V 0 b 1 J l b W 9 2 Z W R D b 2 x 1 b W 5 z M S 5 7 Q 2 9 s d W 1 u M i w x f S Z x d W 9 0 O y w m c X V v d D t T Z W N 0 a W 9 u M S 9 2 Y W N 1 d W 0 g K H N 0 Z X A g M i k g K G N v c n J l Y 3 R l Z C k g K D Q p L 0 F 1 d G 9 S Z W 1 v d m V k Q 2 9 s d W 1 u c z E u e 0 N v b H V t b j M s M n 0 m c X V v d D s s J n F 1 b 3 Q 7 U 2 V j d G l v b j E v d m F j d X V t I C h z d G V w I D I p I C h j b 3 J y Z W N 0 Z W Q p I C g 0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Y 3 V 1 b S A o c 3 R l c C A y K S A o Y 2 9 y c m V j d G V k K S A o N C k v Q X V 0 b 1 J l b W 9 2 Z W R D b 2 x 1 b W 5 z M S 5 7 Q 2 9 s d W 1 u M S w w f S Z x d W 9 0 O y w m c X V v d D t T Z W N 0 a W 9 u M S 9 2 Y W N 1 d W 0 g K H N 0 Z X A g M i k g K G N v c n J l Y 3 R l Z C k g K D Q p L 0 F 1 d G 9 S Z W 1 v d m V k Q 2 9 s d W 1 u c z E u e 0 N v b H V t b j I s M X 0 m c X V v d D s s J n F 1 b 3 Q 7 U 2 V j d G l v b j E v d m F j d X V t I C h z d G V w I D I p I C h j b 3 J y Z W N 0 Z W Q p I C g 0 K S 9 B d X R v U m V t b 3 Z l Z E N v b H V t b n M x L n t D b 2 x 1 b W 4 z L D J 9 J n F 1 b 3 Q 7 L C Z x d W 9 0 O 1 N l Y 3 R p b 2 4 x L 3 Z h Y 3 V 1 b S A o c 3 R l c C A y K S A o Y 2 9 y c m V j d G V k K S A o N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j d X V t J T I w K H N 0 Z X A l M j A y K S U y M C h j b 3 J y Z W N 0 Z W Q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M i k l M j A o Y 2 9 y c m V j d G V k K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M y k l M j A o Y 2 9 y c m V j d G V k K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p d G h v d X Q g d 2 l u Z G 9 3 I i A v P j x F b n R y e S B U e X B l P S J S Z W N v d m V y e V R h c m d l d E N v b H V t b i I g V m F s d W U 9 I m w x M i I g L z 4 8 R W 5 0 c n k g V H l w Z T 0 i U m V j b 3 Z l c n l U Y X J n Z X R S b 3 c i I F Z h b H V l P S J s M T c i I C 8 + P E V u d H J 5 I F R 5 c G U 9 I k Z p b G x U Y X J n Z X Q i I F Z h b H V l P S J z d m F j d X V t X 1 9 z d G V w X z N f X 1 9 j b 3 J y Z W N 0 Z W R f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E 6 M j k 6 N D I u N j Q z O D U 0 N 1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j d X V t I C h z d G V w I D M p I C h j b 3 J y Z W N 0 Z W Q p I C g z K S 9 B d X R v U m V t b 3 Z l Z E N v b H V t b n M x L n t D b 2 x 1 b W 4 x L D B 9 J n F 1 b 3 Q 7 L C Z x d W 9 0 O 1 N l Y 3 R p b 2 4 x L 3 Z h Y 3 V 1 b S A o c 3 R l c C A z K S A o Y 2 9 y c m V j d G V k K S A o M y k v Q X V 0 b 1 J l b W 9 2 Z W R D b 2 x 1 b W 5 z M S 5 7 Q 2 9 s d W 1 u M i w x f S Z x d W 9 0 O y w m c X V v d D t T Z W N 0 a W 9 u M S 9 2 Y W N 1 d W 0 g K H N 0 Z X A g M y k g K G N v c n J l Y 3 R l Z C k g K D M p L 0 F 1 d G 9 S Z W 1 v d m V k Q 2 9 s d W 1 u c z E u e 0 N v b H V t b j M s M n 0 m c X V v d D s s J n F 1 b 3 Q 7 U 2 V j d G l v b j E v d m F j d X V t I C h z d G V w I D M p I C h j b 3 J y Z W N 0 Z W Q p I C g z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Y 3 V 1 b S A o c 3 R l c C A z K S A o Y 2 9 y c m V j d G V k K S A o M y k v Q X V 0 b 1 J l b W 9 2 Z W R D b 2 x 1 b W 5 z M S 5 7 Q 2 9 s d W 1 u M S w w f S Z x d W 9 0 O y w m c X V v d D t T Z W N 0 a W 9 u M S 9 2 Y W N 1 d W 0 g K H N 0 Z X A g M y k g K G N v c n J l Y 3 R l Z C k g K D M p L 0 F 1 d G 9 S Z W 1 v d m V k Q 2 9 s d W 1 u c z E u e 0 N v b H V t b j I s M X 0 m c X V v d D s s J n F 1 b 3 Q 7 U 2 V j d G l v b j E v d m F j d X V t I C h z d G V w I D M p I C h j b 3 J y Z W N 0 Z W Q p I C g z K S 9 B d X R v U m V t b 3 Z l Z E N v b H V t b n M x L n t D b 2 x 1 b W 4 z L D J 9 J n F 1 b 3 Q 7 L C Z x d W 9 0 O 1 N l Y 3 R p b 2 4 x L 3 Z h Y 3 V 1 b S A o c 3 R l c C A z K S A o Y 2 9 y c m V j d G V k K S A o M y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j d X V t J T I w K H N 0 Z X A l M j A z K S U y M C h j b 3 J y Z W N 0 Z W Q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M y k l M j A o Y 2 9 y c m V j d G V k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N C k l M j A o Y 2 9 y c m V j d G V k K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p d G h v d X Q g d 2 l u Z G 9 3 I i A v P j x F b n R y e S B U e X B l P S J S Z W N v d m V y e V R h c m d l d E N v b H V t b i I g V m F s d W U 9 I m w x M i I g L z 4 8 R W 5 0 c n k g V H l w Z T 0 i U m V j b 3 Z l c n l U Y X J n Z X R S b 3 c i I F Z h b H V l P S J s M j Q i I C 8 + P E V u d H J 5 I F R 5 c G U 9 I k Z p b G x U Y X J n Z X Q i I F Z h b H V l P S J z d m F j d X V t X 1 9 z d G V w X z R f X 1 9 j b 3 J y Z W N 0 Z W R f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E 6 M z A 6 M D g u N j k y M T Q 0 N V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j d X V t I C h z d G V w I D Q p I C h j b 3 J y Z W N 0 Z W Q p I C g z K S 9 B d X R v U m V t b 3 Z l Z E N v b H V t b n M x L n t D b 2 x 1 b W 4 x L D B 9 J n F 1 b 3 Q 7 L C Z x d W 9 0 O 1 N l Y 3 R p b 2 4 x L 3 Z h Y 3 V 1 b S A o c 3 R l c C A 0 K S A o Y 2 9 y c m V j d G V k K S A o M y k v Q X V 0 b 1 J l b W 9 2 Z W R D b 2 x 1 b W 5 z M S 5 7 Q 2 9 s d W 1 u M i w x f S Z x d W 9 0 O y w m c X V v d D t T Z W N 0 a W 9 u M S 9 2 Y W N 1 d W 0 g K H N 0 Z X A g N C k g K G N v c n J l Y 3 R l Z C k g K D M p L 0 F 1 d G 9 S Z W 1 v d m V k Q 2 9 s d W 1 u c z E u e 0 N v b H V t b j M s M n 0 m c X V v d D s s J n F 1 b 3 Q 7 U 2 V j d G l v b j E v d m F j d X V t I C h z d G V w I D Q p I C h j b 3 J y Z W N 0 Z W Q p I C g z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Y 3 V 1 b S A o c 3 R l c C A 0 K S A o Y 2 9 y c m V j d G V k K S A o M y k v Q X V 0 b 1 J l b W 9 2 Z W R D b 2 x 1 b W 5 z M S 5 7 Q 2 9 s d W 1 u M S w w f S Z x d W 9 0 O y w m c X V v d D t T Z W N 0 a W 9 u M S 9 2 Y W N 1 d W 0 g K H N 0 Z X A g N C k g K G N v c n J l Y 3 R l Z C k g K D M p L 0 F 1 d G 9 S Z W 1 v d m V k Q 2 9 s d W 1 u c z E u e 0 N v b H V t b j I s M X 0 m c X V v d D s s J n F 1 b 3 Q 7 U 2 V j d G l v b j E v d m F j d X V t I C h z d G V w I D Q p I C h j b 3 J y Z W N 0 Z W Q p I C g z K S 9 B d X R v U m V t b 3 Z l Z E N v b H V t b n M x L n t D b 2 x 1 b W 4 z L D J 9 J n F 1 b 3 Q 7 L C Z x d W 9 0 O 1 N l Y 3 R p b 2 4 x L 3 Z h Y 3 V 1 b S A o c 3 R l c C A 0 K S A o Y 2 9 y c m V j d G V k K S A o M y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j d X V t J T I w K H N 0 Z X A l M j A 0 K S U y M C h j b 3 J y Z W N 0 Z W Q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N C k l M j A o Y 2 9 y c m V j d G V k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N C U y M D E p J T I w K G N v c n J l Y 3 R l Z C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a X R o b 3 V 0 I H d p b m R v d y I g L z 4 8 R W 5 0 c n k g V H l w Z T 0 i U m V j b 3 Z l c n l U Y X J n Z X R D b 2 x 1 b W 4 i I F Z h b H V l P S J s M T I i I C 8 + P E V u d H J 5 I F R 5 c G U 9 I l J l Y 2 9 2 Z X J 5 V G F y Z 2 V 0 U m 9 3 I i B W Y W x 1 Z T 0 i b D M x I i A v P j x F b n R y e S B U e X B l P S J G a W x s V G F y Z 2 V 0 I i B W Y W x 1 Z T 0 i c 3 Z h Y 3 V 1 b V 9 f c 3 R l c F 8 0 X z F f X 1 9 j b 3 J y Z W N 0 Z W R f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E 6 M z A 6 M z U u M j g 5 M D g 1 N 1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j d X V t I C h z d G V w I D Q g M S k g K G N v c n J l Y 3 R l Z C k g K D M p L 0 F 1 d G 9 S Z W 1 v d m V k Q 2 9 s d W 1 u c z E u e 0 N v b H V t b j E s M H 0 m c X V v d D s s J n F 1 b 3 Q 7 U 2 V j d G l v b j E v d m F j d X V t I C h z d G V w I D Q g M S k g K G N v c n J l Y 3 R l Z C k g K D M p L 0 F 1 d G 9 S Z W 1 v d m V k Q 2 9 s d W 1 u c z E u e 0 N v b H V t b j I s M X 0 m c X V v d D s s J n F 1 b 3 Q 7 U 2 V j d G l v b j E v d m F j d X V t I C h z d G V w I D Q g M S k g K G N v c n J l Y 3 R l Z C k g K D M p L 0 F 1 d G 9 S Z W 1 v d m V k Q 2 9 s d W 1 u c z E u e 0 N v b H V t b j M s M n 0 m c X V v d D s s J n F 1 b 3 Q 7 U 2 V j d G l v b j E v d m F j d X V t I C h z d G V w I D Q g M S k g K G N v c n J l Y 3 R l Z C k g K D M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j d X V t I C h z d G V w I D Q g M S k g K G N v c n J l Y 3 R l Z C k g K D M p L 0 F 1 d G 9 S Z W 1 v d m V k Q 2 9 s d W 1 u c z E u e 0 N v b H V t b j E s M H 0 m c X V v d D s s J n F 1 b 3 Q 7 U 2 V j d G l v b j E v d m F j d X V t I C h z d G V w I D Q g M S k g K G N v c n J l Y 3 R l Z C k g K D M p L 0 F 1 d G 9 S Z W 1 v d m V k Q 2 9 s d W 1 u c z E u e 0 N v b H V t b j I s M X 0 m c X V v d D s s J n F 1 b 3 Q 7 U 2 V j d G l v b j E v d m F j d X V t I C h z d G V w I D Q g M S k g K G N v c n J l Y 3 R l Z C k g K D M p L 0 F 1 d G 9 S Z W 1 v d m V k Q 2 9 s d W 1 u c z E u e 0 N v b H V t b j M s M n 0 m c X V v d D s s J n F 1 b 3 Q 7 U 2 V j d G l v b j E v d m F j d X V t I C h z d G V w I D Q g M S k g K G N v c n J l Y 3 R l Z C k g K D M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Y 3 V 1 b S U y M C h z d G V w J T I w N C U y M D E p J T I w K G N v c n J l Y 3 R l Z C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0 J T I w M S k l M j A o Y 2 9 y c m V j d G V k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N S k l M j A o Y 2 9 y c m V j d G V k K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p d G h v d X Q g d 2 l u Z G 9 3 I i A v P j x F b n R y e S B U e X B l P S J S Z W N v d m V y e V R h c m d l d E N v b H V t b i I g V m F s d W U 9 I m w x M i I g L z 4 8 R W 5 0 c n k g V H l w Z T 0 i U m V j b 3 Z l c n l U Y X J n Z X R S b 3 c i I F Z h b H V l P S J s M z g i I C 8 + P E V u d H J 5 I F R 5 c G U 9 I k Z p b G x U Y X J n Z X Q i I F Z h b H V l P S J z d m F j d X V t X 1 9 z d G V w X z V f X 1 9 j b 3 J y Z W N 0 Z W R f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E 6 M z E 6 M D I u M z g y N z A 0 O V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j d X V t I C h z d G V w I D U p I C h j b 3 J y Z W N 0 Z W Q p I C g 0 K S 9 B d X R v U m V t b 3 Z l Z E N v b H V t b n M x L n t D b 2 x 1 b W 4 x L D B 9 J n F 1 b 3 Q 7 L C Z x d W 9 0 O 1 N l Y 3 R p b 2 4 x L 3 Z h Y 3 V 1 b S A o c 3 R l c C A 1 K S A o Y 2 9 y c m V j d G V k K S A o N C k v Q X V 0 b 1 J l b W 9 2 Z W R D b 2 x 1 b W 5 z M S 5 7 Q 2 9 s d W 1 u M i w x f S Z x d W 9 0 O y w m c X V v d D t T Z W N 0 a W 9 u M S 9 2 Y W N 1 d W 0 g K H N 0 Z X A g N S k g K G N v c n J l Y 3 R l Z C k g K D Q p L 0 F 1 d G 9 S Z W 1 v d m V k Q 2 9 s d W 1 u c z E u e 0 N v b H V t b j M s M n 0 m c X V v d D s s J n F 1 b 3 Q 7 U 2 V j d G l v b j E v d m F j d X V t I C h z d G V w I D U p I C h j b 3 J y Z W N 0 Z W Q p I C g 0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Y 3 V 1 b S A o c 3 R l c C A 1 K S A o Y 2 9 y c m V j d G V k K S A o N C k v Q X V 0 b 1 J l b W 9 2 Z W R D b 2 x 1 b W 5 z M S 5 7 Q 2 9 s d W 1 u M S w w f S Z x d W 9 0 O y w m c X V v d D t T Z W N 0 a W 9 u M S 9 2 Y W N 1 d W 0 g K H N 0 Z X A g N S k g K G N v c n J l Y 3 R l Z C k g K D Q p L 0 F 1 d G 9 S Z W 1 v d m V k Q 2 9 s d W 1 u c z E u e 0 N v b H V t b j I s M X 0 m c X V v d D s s J n F 1 b 3 Q 7 U 2 V j d G l v b j E v d m F j d X V t I C h z d G V w I D U p I C h j b 3 J y Z W N 0 Z W Q p I C g 0 K S 9 B d X R v U m V t b 3 Z l Z E N v b H V t b n M x L n t D b 2 x 1 b W 4 z L D J 9 J n F 1 b 3 Q 7 L C Z x d W 9 0 O 1 N l Y 3 R p b 2 4 x L 3 Z h Y 3 V 1 b S A o c 3 R l c C A 1 K S A o Y 2 9 y c m V j d G V k K S A o N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j d X V t J T I w K H N 0 Z X A l M j A 1 K S U y M C h j b 3 J y Z W N 0 Z W Q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N S k l M j A o Y 2 9 y c m V j d G V k K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N S U y M D E p J T I w K G N v c n J l Y 3 R l Z C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a X R o b 3 V 0 I H d p b m R v d y I g L z 4 8 R W 5 0 c n k g V H l w Z T 0 i U m V j b 3 Z l c n l U Y X J n Z X R D b 2 x 1 b W 4 i I F Z h b H V l P S J s M T I i I C 8 + P E V u d H J 5 I F R 5 c G U 9 I l J l Y 2 9 2 Z X J 5 V G F y Z 2 V 0 U m 9 3 I i B W Y W x 1 Z T 0 i b D Q 1 I i A v P j x F b n R y e S B U e X B l P S J G a W x s V G F y Z 2 V 0 I i B W Y W x 1 Z T 0 i c 3 Z h Y 3 V 1 b V 9 f c 3 R l c F 8 1 X z F f X 1 9 j b 3 J y Z W N 0 Z W R f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E 6 M z E 6 M z M u N D c z O T k 0 N l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j d X V t I C h z d G V w I D U g M S k g K G N v c n J l Y 3 R l Z C k g K D M p L 0 F 1 d G 9 S Z W 1 v d m V k Q 2 9 s d W 1 u c z E u e 0 N v b H V t b j E s M H 0 m c X V v d D s s J n F 1 b 3 Q 7 U 2 V j d G l v b j E v d m F j d X V t I C h z d G V w I D U g M S k g K G N v c n J l Y 3 R l Z C k g K D M p L 0 F 1 d G 9 S Z W 1 v d m V k Q 2 9 s d W 1 u c z E u e 0 N v b H V t b j I s M X 0 m c X V v d D s s J n F 1 b 3 Q 7 U 2 V j d G l v b j E v d m F j d X V t I C h z d G V w I D U g M S k g K G N v c n J l Y 3 R l Z C k g K D M p L 0 F 1 d G 9 S Z W 1 v d m V k Q 2 9 s d W 1 u c z E u e 0 N v b H V t b j M s M n 0 m c X V v d D s s J n F 1 b 3 Q 7 U 2 V j d G l v b j E v d m F j d X V t I C h z d G V w I D U g M S k g K G N v c n J l Y 3 R l Z C k g K D M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j d X V t I C h z d G V w I D U g M S k g K G N v c n J l Y 3 R l Z C k g K D M p L 0 F 1 d G 9 S Z W 1 v d m V k Q 2 9 s d W 1 u c z E u e 0 N v b H V t b j E s M H 0 m c X V v d D s s J n F 1 b 3 Q 7 U 2 V j d G l v b j E v d m F j d X V t I C h z d G V w I D U g M S k g K G N v c n J l Y 3 R l Z C k g K D M p L 0 F 1 d G 9 S Z W 1 v d m V k Q 2 9 s d W 1 u c z E u e 0 N v b H V t b j I s M X 0 m c X V v d D s s J n F 1 b 3 Q 7 U 2 V j d G l v b j E v d m F j d X V t I C h z d G V w I D U g M S k g K G N v c n J l Y 3 R l Z C k g K D M p L 0 F 1 d G 9 S Z W 1 v d m V k Q 2 9 s d W 1 u c z E u e 0 N v b H V t b j M s M n 0 m c X V v d D s s J n F 1 b 3 Q 7 U 2 V j d G l v b j E v d m F j d X V t I C h z d G V w I D U g M S k g K G N v c n J l Y 3 R l Z C k g K D M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Y 3 V 1 b S U y M C h z d G V w J T I w N S U y M D E p J T I w K G N v c n J l Y 3 R l Z C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1 J T I w M S k l M j A o Y 2 9 y c m V j d G V k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E p J T I w K D E l M j A 3 b S k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S Z W Z y Z W 5 j Z S B 3 a X R o b 3 V 0 I H d p b m R v d y I g L z 4 8 R W 5 0 c n k g V H l w Z T 0 i U m V j b 3 Z l c n l U Y X J n Z X R D b 2 x 1 b W 4 i I F Z h b H V l P S J s M i I g L z 4 8 R W 5 0 c n k g V H l w Z T 0 i U m V j b 3 Z l c n l U Y X J n Z X R S b 3 c i I F Z h b H V l P S J s M y I g L z 4 8 R W 5 0 c n k g V H l w Z T 0 i R m l s b F R h c m d l d C I g V m F s d W U 9 I n N 3 a X R o b 3 V 0 X 3 d p b m R v d 1 9 f c 3 R l c F 8 x X 1 9 f M V 8 3 b V 9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j o 0 O T o 1 N C 4 x M z E 0 O T k 3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b 3 V 0 I H d p b m R v d y A o c 3 R l c C A x K S A o M S A 3 b S k g K D Y p L 0 F 1 d G 9 S Z W 1 v d m V k Q 2 9 s d W 1 u c z E u e 0 N v b H V t b j E s M H 0 m c X V v d D s s J n F 1 b 3 Q 7 U 2 V j d G l v b j E v d 2 l 0 a G 9 1 d C B 3 a W 5 k b 3 c g K H N 0 Z X A g M S k g K D E g N 2 0 p I C g 2 K S 9 B d X R v U m V t b 3 Z l Z E N v b H V t b n M x L n t D b 2 x 1 b W 4 y L D F 9 J n F 1 b 3 Q 7 L C Z x d W 9 0 O 1 N l Y 3 R p b 2 4 x L 3 d p d G h v d X Q g d 2 l u Z G 9 3 I C h z d G V w I D E p I C g x I D d t K S A o N i k v Q X V 0 b 1 J l b W 9 2 Z W R D b 2 x 1 b W 5 z M S 5 7 Q 2 9 s d W 1 u M y w y f S Z x d W 9 0 O y w m c X V v d D t T Z W N 0 a W 9 u M S 9 3 a X R o b 3 V 0 I H d p b m R v d y A o c 3 R l c C A x K S A o M S A 3 b S k g K D Y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G 9 1 d C B 3 a W 5 k b 3 c g K H N 0 Z X A g M S k g K D E g N 2 0 p I C g 2 K S 9 B d X R v U m V t b 3 Z l Z E N v b H V t b n M x L n t D b 2 x 1 b W 4 x L D B 9 J n F 1 b 3 Q 7 L C Z x d W 9 0 O 1 N l Y 3 R p b 2 4 x L 3 d p d G h v d X Q g d 2 l u Z G 9 3 I C h z d G V w I D E p I C g x I D d t K S A o N i k v Q X V 0 b 1 J l b W 9 2 Z W R D b 2 x 1 b W 5 z M S 5 7 Q 2 9 s d W 1 u M i w x f S Z x d W 9 0 O y w m c X V v d D t T Z W N 0 a W 9 u M S 9 3 a X R o b 3 V 0 I H d p b m R v d y A o c 3 R l c C A x K S A o M S A 3 b S k g K D Y p L 0 F 1 d G 9 S Z W 1 v d m V k Q 2 9 s d W 1 u c z E u e 0 N v b H V t b j M s M n 0 m c X V v d D s s J n F 1 b 3 Q 7 U 2 V j d G l v b j E v d 2 l 0 a G 9 1 d C B 3 a W 5 k b 3 c g K H N 0 Z X A g M S k g K D E g N 2 0 p I C g 2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b 3 V 0 J T I w d 2 l u Z G 9 3 J T I w K H N 0 Z X A l M j A x K S U y M C g x J T I w N 2 0 p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E p J T I w K D E l M j A 3 b S k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J T I w d 2 l u Z G 9 3 J T I w K H N 0 Z X A l M j A y K S U y M C g x J T I w O T l t K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J l Z n J l b m N l I H d p d G h v d X Q g d 2 l u Z G 9 3 I i A v P j x F b n R y e S B U e X B l P S J S Z W N v d m V y e V R h c m d l d E N v b H V t b i I g V m F s d W U 9 I m w y I i A v P j x F b n R y e S B U e X B l P S J S Z W N v d m V y e V R h c m d l d F J v d y I g V m F s d W U 9 I m w 5 I i A v P j x F b n R y e S B U e X B l P S J G a W x s V G F y Z 2 V 0 I i B W Y W x 1 Z T 0 i c 3 d p d G h v d X R f d 2 l u Z G 9 3 X 1 9 z d G V w X z J f X 1 8 x X z k 5 b V 9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j o 1 M D o x O C 4 5 N j M 2 M T U 3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b 3 V 0 I H d p b m R v d y A o c 3 R l c C A y K S A o M S A 5 O W 0 p I C g 0 K S 9 B d X R v U m V t b 3 Z l Z E N v b H V t b n M x L n t D b 2 x 1 b W 4 x L D B 9 J n F 1 b 3 Q 7 L C Z x d W 9 0 O 1 N l Y 3 R p b 2 4 x L 3 d p d G h v d X Q g d 2 l u Z G 9 3 I C h z d G V w I D I p I C g x I D k 5 b S k g K D Q p L 0 F 1 d G 9 S Z W 1 v d m V k Q 2 9 s d W 1 u c z E u e 0 N v b H V t b j I s M X 0 m c X V v d D s s J n F 1 b 3 Q 7 U 2 V j d G l v b j E v d 2 l 0 a G 9 1 d C B 3 a W 5 k b 3 c g K H N 0 Z X A g M i k g K D E g O T l t K S A o N C k v Q X V 0 b 1 J l b W 9 2 Z W R D b 2 x 1 b W 5 z M S 5 7 Q 2 9 s d W 1 u M y w y f S Z x d W 9 0 O y w m c X V v d D t T Z W N 0 a W 9 u M S 9 3 a X R o b 3 V 0 I H d p b m R v d y A o c 3 R l c C A y K S A o M S A 5 O W 0 p I C g 0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h v d X Q g d 2 l u Z G 9 3 I C h z d G V w I D I p I C g x I D k 5 b S k g K D Q p L 0 F 1 d G 9 S Z W 1 v d m V k Q 2 9 s d W 1 u c z E u e 0 N v b H V t b j E s M H 0 m c X V v d D s s J n F 1 b 3 Q 7 U 2 V j d G l v b j E v d 2 l 0 a G 9 1 d C B 3 a W 5 k b 3 c g K H N 0 Z X A g M i k g K D E g O T l t K S A o N C k v Q X V 0 b 1 J l b W 9 2 Z W R D b 2 x 1 b W 5 z M S 5 7 Q 2 9 s d W 1 u M i w x f S Z x d W 9 0 O y w m c X V v d D t T Z W N 0 a W 9 u M S 9 3 a X R o b 3 V 0 I H d p b m R v d y A o c 3 R l c C A y K S A o M S A 5 O W 0 p I C g 0 K S 9 B d X R v U m V t b 3 Z l Z E N v b H V t b n M x L n t D b 2 x 1 b W 4 z L D J 9 J n F 1 b 3 Q 7 L C Z x d W 9 0 O 1 N l Y 3 R p b 2 4 x L 3 d p d G h v d X Q g d 2 l u Z G 9 3 I C h z d G V w I D I p I C g x I D k 5 b S k g K D Q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h v d X Q l M j B 3 a W 5 k b 3 c l M j A o c 3 R l c C U y M D I p J T I w K D E l M j A 5 O W 0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I p J T I w K D E l M j A 5 O W 0 p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M y k l M j A o M i U y M D I 4 b S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S Z W Z y Z W 5 j Z S B 3 a X R o b 3 V 0 I H d p b m R v d y I g L z 4 8 R W 5 0 c n k g V H l w Z T 0 i U m V j b 3 Z l c n l U Y X J n Z X R D b 2 x 1 b W 4 i I F Z h b H V l P S J s M i I g L z 4 8 R W 5 0 c n k g V H l w Z T 0 i U m V j b 3 Z l c n l U Y X J n Z X R S b 3 c i I F Z h b H V l P S J s M T U i I C 8 + P E V u d H J 5 I F R 5 c G U 9 I k Z p b G x U Y X J n Z X Q i I F Z h b H V l P S J z d 2 l 0 a G 9 1 d F 9 3 a W 5 k b 3 d f X 3 N 0 Z X B f M 1 9 f X z J f M j h t X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y O j U w O j Q 0 L j M 5 N z I 4 N z B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h v d X Q g d 2 l u Z G 9 3 I C h z d G V w I D M p I C g y I D I 4 b S k g K D Q p L 0 F 1 d G 9 S Z W 1 v d m V k Q 2 9 s d W 1 u c z E u e 0 N v b H V t b j E s M H 0 m c X V v d D s s J n F 1 b 3 Q 7 U 2 V j d G l v b j E v d 2 l 0 a G 9 1 d C B 3 a W 5 k b 3 c g K H N 0 Z X A g M y k g K D I g M j h t K S A o N C k v Q X V 0 b 1 J l b W 9 2 Z W R D b 2 x 1 b W 5 z M S 5 7 Q 2 9 s d W 1 u M i w x f S Z x d W 9 0 O y w m c X V v d D t T Z W N 0 a W 9 u M S 9 3 a X R o b 3 V 0 I H d p b m R v d y A o c 3 R l c C A z K S A o M i A y O G 0 p I C g 0 K S 9 B d X R v U m V t b 3 Z l Z E N v b H V t b n M x L n t D b 2 x 1 b W 4 z L D J 9 J n F 1 b 3 Q 7 L C Z x d W 9 0 O 1 N l Y 3 R p b 2 4 x L 3 d p d G h v d X Q g d 2 l u Z G 9 3 I C h z d G V w I D M p I C g y I D I 4 b S k g K D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G 9 1 d C B 3 a W 5 k b 3 c g K H N 0 Z X A g M y k g K D I g M j h t K S A o N C k v Q X V 0 b 1 J l b W 9 2 Z W R D b 2 x 1 b W 5 z M S 5 7 Q 2 9 s d W 1 u M S w w f S Z x d W 9 0 O y w m c X V v d D t T Z W N 0 a W 9 u M S 9 3 a X R o b 3 V 0 I H d p b m R v d y A o c 3 R l c C A z K S A o M i A y O G 0 p I C g 0 K S 9 B d X R v U m V t b 3 Z l Z E N v b H V t b n M x L n t D b 2 x 1 b W 4 y L D F 9 J n F 1 b 3 Q 7 L C Z x d W 9 0 O 1 N l Y 3 R p b 2 4 x L 3 d p d G h v d X Q g d 2 l u Z G 9 3 I C h z d G V w I D M p I C g y I D I 4 b S k g K D Q p L 0 F 1 d G 9 S Z W 1 v d m V k Q 2 9 s d W 1 u c z E u e 0 N v b H V t b j M s M n 0 m c X V v d D s s J n F 1 b 3 Q 7 U 2 V j d G l v b j E v d 2 l 0 a G 9 1 d C B 3 a W 5 k b 3 c g K H N 0 Z X A g M y k g K D I g M j h t K S A o N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G 9 1 d C U y M H d p b m R v d y U y M C h z d G V w J T I w M y k l M j A o M i U y M D I 4 b S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M y k l M j A o M i U y M D I 4 b S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J T I w d 2 l u Z G 9 3 J T I w K H N 0 Z X A l M j A 0 K S U y M C g y J T I w N T h t K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J l Z n J l b m N l I H d p d G h v d X Q g d 2 l u Z G 9 3 I i A v P j x F b n R y e S B U e X B l P S J S Z W N v d m V y e V R h c m d l d E N v b H V t b i I g V m F s d W U 9 I m w y I i A v P j x F b n R y e S B U e X B l P S J S Z W N v d m V y e V R h c m d l d F J v d y I g V m F s d W U 9 I m w y M S I g L z 4 8 R W 5 0 c n k g V H l w Z T 0 i R m l s b F R h c m d l d C I g V m F s d W U 9 I n N 3 a X R o b 3 V 0 X 3 d p b m R v d 1 9 f c 3 R l c F 8 0 X 1 9 f M l 8 1 O G 1 f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I 6 N T E 6 M z E u N z c 0 O D k 4 M V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0 a G 9 1 d C B 3 a W 5 k b 3 c g K H N 0 Z X A g N C k g K D I g N T h t K S A o N C k v Q X V 0 b 1 J l b W 9 2 Z W R D b 2 x 1 b W 5 z M S 5 7 Q 2 9 s d W 1 u M S w w f S Z x d W 9 0 O y w m c X V v d D t T Z W N 0 a W 9 u M S 9 3 a X R o b 3 V 0 I H d p b m R v d y A o c 3 R l c C A 0 K S A o M i A 1 O G 0 p I C g 0 K S 9 B d X R v U m V t b 3 Z l Z E N v b H V t b n M x L n t D b 2 x 1 b W 4 y L D F 9 J n F 1 b 3 Q 7 L C Z x d W 9 0 O 1 N l Y 3 R p b 2 4 x L 3 d p d G h v d X Q g d 2 l u Z G 9 3 I C h z d G V w I D Q p I C g y I D U 4 b S k g K D Q p L 0 F 1 d G 9 S Z W 1 v d m V k Q 2 9 s d W 1 u c z E u e 0 N v b H V t b j M s M n 0 m c X V v d D s s J n F 1 b 3 Q 7 U 2 V j d G l v b j E v d 2 l 0 a G 9 1 d C B 3 a W 5 k b 3 c g K H N 0 Z X A g N C k g K D I g N T h t K S A o N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X R o b 3 V 0 I H d p b m R v d y A o c 3 R l c C A 0 K S A o M i A 1 O G 0 p I C g 0 K S 9 B d X R v U m V t b 3 Z l Z E N v b H V t b n M x L n t D b 2 x 1 b W 4 x L D B 9 J n F 1 b 3 Q 7 L C Z x d W 9 0 O 1 N l Y 3 R p b 2 4 x L 3 d p d G h v d X Q g d 2 l u Z G 9 3 I C h z d G V w I D Q p I C g y I D U 4 b S k g K D Q p L 0 F 1 d G 9 S Z W 1 v d m V k Q 2 9 s d W 1 u c z E u e 0 N v b H V t b j I s M X 0 m c X V v d D s s J n F 1 b 3 Q 7 U 2 V j d G l v b j E v d 2 l 0 a G 9 1 d C B 3 a W 5 k b 3 c g K H N 0 Z X A g N C k g K D I g N T h t K S A o N C k v Q X V 0 b 1 J l b W 9 2 Z W R D b 2 x 1 b W 5 z M S 5 7 Q 2 9 s d W 1 u M y w y f S Z x d W 9 0 O y w m c X V v d D t T Z W N 0 a W 9 u M S 9 3 a X R o b 3 V 0 I H d p b m R v d y A o c 3 R l c C A 0 K S A o M i A 1 O G 0 p I C g 0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b 3 V 0 J T I w d 2 l u Z G 9 3 J T I w K H N 0 Z X A l M j A 0 K S U y M C g y J T I w N T h t K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J T I w d 2 l u Z G 9 3 J T I w K H N 0 Z X A l M j A 0 K S U y M C g y J T I w N T h t K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Q l M j A x K S U y M C g y J T I w N T h t K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J l Z n J l b m N l I H d p d G h v d X Q g d 2 l u Z G 9 3 I i A v P j x F b n R y e S B U e X B l P S J S Z W N v d m V y e V R h c m d l d E N v b H V t b i I g V m F s d W U 9 I m w y I i A v P j x F b n R y e S B U e X B l P S J S Z W N v d m V y e V R h c m d l d F J v d y I g V m F s d W U 9 I m w y N y I g L z 4 8 R W 5 0 c n k g V H l w Z T 0 i R m l s b F R h c m d l d C I g V m F s d W U 9 I n N 3 a X R o b 3 V 0 X 3 d p b m R v d 1 9 f c 3 R l c F 8 0 X z F f X 1 8 y X z U 4 b V 9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j o 1 M T o 1 O C 4 y N T E 4 O T k 3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b 3 V 0 I H d p b m R v d y A o c 3 R l c C A 0 I D E p I C g y I D U 4 b S k g K D Q p L 0 F 1 d G 9 S Z W 1 v d m V k Q 2 9 s d W 1 u c z E u e 0 N v b H V t b j E s M H 0 m c X V v d D s s J n F 1 b 3 Q 7 U 2 V j d G l v b j E v d 2 l 0 a G 9 1 d C B 3 a W 5 k b 3 c g K H N 0 Z X A g N C A x K S A o M i A 1 O G 0 p I C g 0 K S 9 B d X R v U m V t b 3 Z l Z E N v b H V t b n M x L n t D b 2 x 1 b W 4 y L D F 9 J n F 1 b 3 Q 7 L C Z x d W 9 0 O 1 N l Y 3 R p b 2 4 x L 3 d p d G h v d X Q g d 2 l u Z G 9 3 I C h z d G V w I D Q g M S k g K D I g N T h t K S A o N C k v Q X V 0 b 1 J l b W 9 2 Z W R D b 2 x 1 b W 5 z M S 5 7 Q 2 9 s d W 1 u M y w y f S Z x d W 9 0 O y w m c X V v d D t T Z W N 0 a W 9 u M S 9 3 a X R o b 3 V 0 I H d p b m R v d y A o c 3 R l c C A 0 I D E p I C g y I D U 4 b S k g K D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G 9 1 d C B 3 a W 5 k b 3 c g K H N 0 Z X A g N C A x K S A o M i A 1 O G 0 p I C g 0 K S 9 B d X R v U m V t b 3 Z l Z E N v b H V t b n M x L n t D b 2 x 1 b W 4 x L D B 9 J n F 1 b 3 Q 7 L C Z x d W 9 0 O 1 N l Y 3 R p b 2 4 x L 3 d p d G h v d X Q g d 2 l u Z G 9 3 I C h z d G V w I D Q g M S k g K D I g N T h t K S A o N C k v Q X V 0 b 1 J l b W 9 2 Z W R D b 2 x 1 b W 5 z M S 5 7 Q 2 9 s d W 1 u M i w x f S Z x d W 9 0 O y w m c X V v d D t T Z W N 0 a W 9 u M S 9 3 a X R o b 3 V 0 I H d p b m R v d y A o c 3 R l c C A 0 I D E p I C g y I D U 4 b S k g K D Q p L 0 F 1 d G 9 S Z W 1 v d m V k Q 2 9 s d W 1 u c z E u e 0 N v b H V t b j M s M n 0 m c X V v d D s s J n F 1 b 3 Q 7 U 2 V j d G l v b j E v d 2 l 0 a G 9 1 d C B 3 a W 5 k b 3 c g K H N 0 Z X A g N C A x K S A o M i A 1 O G 0 p I C g 0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b 3 V 0 J T I w d 2 l u Z G 9 3 J T I w K H N 0 Z X A l M j A 0 J T I w M S k l M j A o M i U y M D U 4 b S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N C U y M D E p J T I w K D I l M j A 1 O G 0 p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N S k l M j A o M i U y M D g 3 b S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S Z W Z y Z W 5 j Z S B 3 a X R o b 3 V 0 I H d p b m R v d y I g L z 4 8 R W 5 0 c n k g V H l w Z T 0 i U m V j b 3 Z l c n l U Y X J n Z X R D b 2 x 1 b W 4 i I F Z h b H V l P S J s M i I g L z 4 8 R W 5 0 c n k g V H l w Z T 0 i U m V j b 3 Z l c n l U Y X J n Z X R S b 3 c i I F Z h b H V l P S J s M z M i I C 8 + P E V u d H J 5 I F R 5 c G U 9 I k Z p b G x U Y X J n Z X Q i I F Z h b H V l P S J z d 2 l 0 a G 9 1 d F 9 3 a W 5 k b 3 d f X 3 N 0 Z X B f N V 9 f X z J f O D d t X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y O j U y O j I 1 L j M x O T U 0 N j N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h v d X Q g d 2 l u Z G 9 3 I C h z d G V w I D U p I C g y I D g 3 b S k g K D Q p L 0 F 1 d G 9 S Z W 1 v d m V k Q 2 9 s d W 1 u c z E u e 0 N v b H V t b j E s M H 0 m c X V v d D s s J n F 1 b 3 Q 7 U 2 V j d G l v b j E v d 2 l 0 a G 9 1 d C B 3 a W 5 k b 3 c g K H N 0 Z X A g N S k g K D I g O D d t K S A o N C k v Q X V 0 b 1 J l b W 9 2 Z W R D b 2 x 1 b W 5 z M S 5 7 Q 2 9 s d W 1 u M i w x f S Z x d W 9 0 O y w m c X V v d D t T Z W N 0 a W 9 u M S 9 3 a X R o b 3 V 0 I H d p b m R v d y A o c 3 R l c C A 1 K S A o M i A 4 N 2 0 p I C g 0 K S 9 B d X R v U m V t b 3 Z l Z E N v b H V t b n M x L n t D b 2 x 1 b W 4 z L D J 9 J n F 1 b 3 Q 7 L C Z x d W 9 0 O 1 N l Y 3 R p b 2 4 x L 3 d p d G h v d X Q g d 2 l u Z G 9 3 I C h z d G V w I D U p I C g y I D g 3 b S k g K D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G 9 1 d C B 3 a W 5 k b 3 c g K H N 0 Z X A g N S k g K D I g O D d t K S A o N C k v Q X V 0 b 1 J l b W 9 2 Z W R D b 2 x 1 b W 5 z M S 5 7 Q 2 9 s d W 1 u M S w w f S Z x d W 9 0 O y w m c X V v d D t T Z W N 0 a W 9 u M S 9 3 a X R o b 3 V 0 I H d p b m R v d y A o c 3 R l c C A 1 K S A o M i A 4 N 2 0 p I C g 0 K S 9 B d X R v U m V t b 3 Z l Z E N v b H V t b n M x L n t D b 2 x 1 b W 4 y L D F 9 J n F 1 b 3 Q 7 L C Z x d W 9 0 O 1 N l Y 3 R p b 2 4 x L 3 d p d G h v d X Q g d 2 l u Z G 9 3 I C h z d G V w I D U p I C g y I D g 3 b S k g K D Q p L 0 F 1 d G 9 S Z W 1 v d m V k Q 2 9 s d W 1 u c z E u e 0 N v b H V t b j M s M n 0 m c X V v d D s s J n F 1 b 3 Q 7 U 2 V j d G l v b j E v d 2 l 0 a G 9 1 d C B 3 a W 5 k b 3 c g K H N 0 Z X A g N S k g K D I g O D d t K S A o N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G 9 1 d C U y M H d p b m R v d y U y M C h z d G V w J T I w N S k l M j A o M i U y M D g 3 b S k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N S k l M j A o M i U y M D g 3 b S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J T I w d 2 l u Z G 9 3 J T I w K H N 0 Z X A l M j A 1 J T I w M S k l M j A o M i U y M D g 3 b S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S Z W Z y Z W 5 j Z S B 3 a X R o b 3 V 0 I H d p b m R v d y I g L z 4 8 R W 5 0 c n k g V H l w Z T 0 i U m V j b 3 Z l c n l U Y X J n Z X R D b 2 x 1 b W 4 i I F Z h b H V l P S J s M i I g L z 4 8 R W 5 0 c n k g V H l w Z T 0 i U m V j b 3 Z l c n l U Y X J n Z X R S b 3 c i I F Z h b H V l P S J s M z k i I C 8 + P E V u d H J 5 I F R 5 c G U 9 I k Z p b G x U Y X J n Z X Q i I F Z h b H V l P S J z d 2 l 0 a G 9 1 d F 9 3 a W 5 k b 3 d f X 3 N 0 Z X B f N V 8 x X 1 9 f M l 8 4 N 2 1 f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I 6 N T I 6 N D g u N T M 1 N j Y x N 1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0 a G 9 1 d C B 3 a W 5 k b 3 c g K H N 0 Z X A g N S A x K S A o M i A 4 N 2 0 p I C g 0 K S 9 B d X R v U m V t b 3 Z l Z E N v b H V t b n M x L n t D b 2 x 1 b W 4 x L D B 9 J n F 1 b 3 Q 7 L C Z x d W 9 0 O 1 N l Y 3 R p b 2 4 x L 3 d p d G h v d X Q g d 2 l u Z G 9 3 I C h z d G V w I D U g M S k g K D I g O D d t K S A o N C k v Q X V 0 b 1 J l b W 9 2 Z W R D b 2 x 1 b W 5 z M S 5 7 Q 2 9 s d W 1 u M i w x f S Z x d W 9 0 O y w m c X V v d D t T Z W N 0 a W 9 u M S 9 3 a X R o b 3 V 0 I H d p b m R v d y A o c 3 R l c C A 1 I D E p I C g y I D g 3 b S k g K D Q p L 0 F 1 d G 9 S Z W 1 v d m V k Q 2 9 s d W 1 u c z E u e 0 N v b H V t b j M s M n 0 m c X V v d D s s J n F 1 b 3 Q 7 U 2 V j d G l v b j E v d 2 l 0 a G 9 1 d C B 3 a W 5 k b 3 c g K H N 0 Z X A g N S A x K S A o M i A 4 N 2 0 p I C g 0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h v d X Q g d 2 l u Z G 9 3 I C h z d G V w I D U g M S k g K D I g O D d t K S A o N C k v Q X V 0 b 1 J l b W 9 2 Z W R D b 2 x 1 b W 5 z M S 5 7 Q 2 9 s d W 1 u M S w w f S Z x d W 9 0 O y w m c X V v d D t T Z W N 0 a W 9 u M S 9 3 a X R o b 3 V 0 I H d p b m R v d y A o c 3 R l c C A 1 I D E p I C g y I D g 3 b S k g K D Q p L 0 F 1 d G 9 S Z W 1 v d m V k Q 2 9 s d W 1 u c z E u e 0 N v b H V t b j I s M X 0 m c X V v d D s s J n F 1 b 3 Q 7 U 2 V j d G l v b j E v d 2 l 0 a G 9 1 d C B 3 a W 5 k b 3 c g K H N 0 Z X A g N S A x K S A o M i A 4 N 2 0 p I C g 0 K S 9 B d X R v U m V t b 3 Z l Z E N v b H V t b n M x L n t D b 2 x 1 b W 4 z L D J 9 J n F 1 b 3 Q 7 L C Z x d W 9 0 O 1 N l Y 3 R p b 2 4 x L 3 d p d G h v d X Q g d 2 l u Z G 9 3 I C h z d G V w I D U g M S k g K D I g O D d t K S A o N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G 9 1 d C U y M H d p b m R v d y U y M C h z d G V w J T I w N S U y M D E p J T I w K D I l M j A 4 N 2 0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U l M j A x K S U y M C g y J T I w O D d t K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d G g l M j B 3 a W 5 k b 3 c l M j A o c 3 R l c C U y M D E p J T I w K G N v c n J l Y 3 R l Z C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S Z W Z y Z W 5 j Z S B 3 a X R o b 3 V 0 I H d p b m R v d y I g L z 4 8 R W 5 0 c n k g V H l w Z T 0 i U m V j b 3 Z l c n l U Y X J n Z X R D b 2 x 1 b W 4 i I F Z h b H V l P S J s N y I g L z 4 8 R W 5 0 c n k g V H l w Z T 0 i U m V j b 3 Z l c n l U Y X J n Z X R S b 3 c i I F Z h b H V l P S J s M y I g L z 4 8 R W 5 0 c n k g V H l w Z T 0 i R m l s b F R h c m d l d C I g V m F s d W U 9 I n N X a X R o X 3 d p b m R v d 1 9 f c 3 R l c F 8 x X 1 9 f Y 2 9 y c m V j d G V k X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z O j A 0 O j E y L j A 5 O D E 1 M z Z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d G g g d 2 l u Z G 9 3 I C h z d G V w I D E p I C h j b 3 J y Z W N 0 Z W Q p I C g 1 K S 9 B d X R v U m V t b 3 Z l Z E N v b H V t b n M x L n t D b 2 x 1 b W 4 x L D B 9 J n F 1 b 3 Q 7 L C Z x d W 9 0 O 1 N l Y 3 R p b 2 4 x L 1 d p d G g g d 2 l u Z G 9 3 I C h z d G V w I D E p I C h j b 3 J y Z W N 0 Z W Q p I C g 1 K S 9 B d X R v U m V t b 3 Z l Z E N v b H V t b n M x L n t D b 2 x 1 b W 4 y L D F 9 J n F 1 b 3 Q 7 L C Z x d W 9 0 O 1 N l Y 3 R p b 2 4 x L 1 d p d G g g d 2 l u Z G 9 3 I C h z d G V w I D E p I C h j b 3 J y Z W N 0 Z W Q p I C g 1 K S 9 B d X R v U m V t b 3 Z l Z E N v b H V t b n M x L n t D b 2 x 1 b W 4 z L D J 9 J n F 1 b 3 Q 7 L C Z x d W 9 0 O 1 N l Y 3 R p b 2 4 x L 1 d p d G g g d 2 l u Z G 9 3 I C h z d G V w I D E p I C h j b 3 J y Z W N 0 Z W Q p I C g 1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d p d G g g d 2 l u Z G 9 3 I C h z d G V w I D E p I C h j b 3 J y Z W N 0 Z W Q p I C g 1 K S 9 B d X R v U m V t b 3 Z l Z E N v b H V t b n M x L n t D b 2 x 1 b W 4 x L D B 9 J n F 1 b 3 Q 7 L C Z x d W 9 0 O 1 N l Y 3 R p b 2 4 x L 1 d p d G g g d 2 l u Z G 9 3 I C h z d G V w I D E p I C h j b 3 J y Z W N 0 Z W Q p I C g 1 K S 9 B d X R v U m V t b 3 Z l Z E N v b H V t b n M x L n t D b 2 x 1 b W 4 y L D F 9 J n F 1 b 3 Q 7 L C Z x d W 9 0 O 1 N l Y 3 R p b 2 4 x L 1 d p d G g g d 2 l u Z G 9 3 I C h z d G V w I D E p I C h j b 3 J y Z W N 0 Z W Q p I C g 1 K S 9 B d X R v U m V t b 3 Z l Z E N v b H V t b n M x L n t D b 2 x 1 b W 4 z L D J 9 J n F 1 b 3 Q 7 L C Z x d W 9 0 O 1 N l Y 3 R p b 2 4 x L 1 d p d G g g d 2 l u Z G 9 3 I C h z d G V w I D E p I C h j b 3 J y Z W N 0 Z W Q p I C g 1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X R o J T I w d 2 l u Z G 9 3 J T I w K H N 0 Z X A l M j A x K S U y M C h j b 3 J y Z W N 0 Z W Q p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d G g l M j B 3 a W 5 k b 3 c l M j A o c 3 R l c C U y M D E p J T I w K G N v c n J l Y 3 R l Z C k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y K S U y M C h j b 3 J y Z W N 0 Z W Q p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m V m c m V u Y 2 U g d 2 l 0 a G 9 1 d C B 3 a W 5 k b 3 c i I C 8 + P E V u d H J 5 I F R 5 c G U 9 I l J l Y 2 9 2 Z X J 5 V G F y Z 2 V 0 Q 2 9 s d W 1 u I i B W Y W x 1 Z T 0 i b D c i I C 8 + P E V u d H J 5 I F R 5 c G U 9 I l J l Y 2 9 2 Z X J 5 V G F y Z 2 V 0 U m 9 3 I i B W Y W x 1 Z T 0 i b D k i I C 8 + P E V u d H J 5 I F R 5 c G U 9 I k Z p b G x U Y X J n Z X Q i I F Z h b H V l P S J z d 2 l 0 a F 9 3 a W 5 k b 3 d f X 3 N 0 Z X B f M l 9 f X 2 N v c n J l Y 3 R l Z F 9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z o w N D o z N y 4 w O D I x O D E 5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I H d p b m R v d y A o c 3 R l c C A y K S A o Y 2 9 y c m V j d G V k K S A o N S k v Q X V 0 b 1 J l b W 9 2 Z W R D b 2 x 1 b W 5 z M S 5 7 Q 2 9 s d W 1 u M S w w f S Z x d W 9 0 O y w m c X V v d D t T Z W N 0 a W 9 u M S 9 3 a X R o I H d p b m R v d y A o c 3 R l c C A y K S A o Y 2 9 y c m V j d G V k K S A o N S k v Q X V 0 b 1 J l b W 9 2 Z W R D b 2 x 1 b W 5 z M S 5 7 Q 2 9 s d W 1 u M i w x f S Z x d W 9 0 O y w m c X V v d D t T Z W N 0 a W 9 u M S 9 3 a X R o I H d p b m R v d y A o c 3 R l c C A y K S A o Y 2 9 y c m V j d G V k K S A o N S k v Q X V 0 b 1 J l b W 9 2 Z W R D b 2 x 1 b W 5 z M S 5 7 Q 2 9 s d W 1 u M y w y f S Z x d W 9 0 O y w m c X V v d D t T Z W N 0 a W 9 u M S 9 3 a X R o I H d p b m R v d y A o c 3 R l c C A y K S A o Y 2 9 y c m V j d G V k K S A o N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X R o I H d p b m R v d y A o c 3 R l c C A y K S A o Y 2 9 y c m V j d G V k K S A o N S k v Q X V 0 b 1 J l b W 9 2 Z W R D b 2 x 1 b W 5 z M S 5 7 Q 2 9 s d W 1 u M S w w f S Z x d W 9 0 O y w m c X V v d D t T Z W N 0 a W 9 u M S 9 3 a X R o I H d p b m R v d y A o c 3 R l c C A y K S A o Y 2 9 y c m V j d G V k K S A o N S k v Q X V 0 b 1 J l b W 9 2 Z W R D b 2 x 1 b W 5 z M S 5 7 Q 2 9 s d W 1 u M i w x f S Z x d W 9 0 O y w m c X V v d D t T Z W N 0 a W 9 u M S 9 3 a X R o I H d p b m R v d y A o c 3 R l c C A y K S A o Y 2 9 y c m V j d G V k K S A o N S k v Q X V 0 b 1 J l b W 9 2 Z W R D b 2 x 1 b W 5 z M S 5 7 Q 2 9 s d W 1 u M y w y f S Z x d W 9 0 O y w m c X V v d D t T Z W N 0 a W 9 u M S 9 3 a X R o I H d p b m R v d y A o c 3 R l c C A y K S A o Y 2 9 y c m V j d G V k K S A o N S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C U y M H d p b m R v d y U y M C h z d G V w J T I w M i k l M j A o Y 2 9 y c m V j d G V k K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y K S U y M C h j b 3 J y Z W N 0 Z W Q p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M y k l M j A o Y 2 9 y c m V j d G V k K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J l Z n J l b m N l I H d p d G h v d X Q g d 2 l u Z G 9 3 I i A v P j x F b n R y e S B U e X B l P S J S Z W N v d m V y e V R h c m d l d E N v b H V t b i I g V m F s d W U 9 I m w 3 I i A v P j x F b n R y e S B U e X B l P S J S Z W N v d m V y e V R h c m d l d F J v d y I g V m F s d W U 9 I m w x N S I g L z 4 8 R W 5 0 c n k g V H l w Z T 0 i R m l s b F R h c m d l d C I g V m F s d W U 9 I n N 3 a X R o X 3 d p b m R v d 1 9 f c 3 R l c F 8 z X 1 9 f Y 2 9 y c m V j d G V k X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z O j A 1 O j A y L j k z N j U 4 N z l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g g d 2 l u Z G 9 3 I C h z d G V w I D M p I C h j b 3 J y Z W N 0 Z W Q p I C g 1 K S 9 B d X R v U m V t b 3 Z l Z E N v b H V t b n M x L n t D b 2 x 1 b W 4 x L D B 9 J n F 1 b 3 Q 7 L C Z x d W 9 0 O 1 N l Y 3 R p b 2 4 x L 3 d p d G g g d 2 l u Z G 9 3 I C h z d G V w I D M p I C h j b 3 J y Z W N 0 Z W Q p I C g 1 K S 9 B d X R v U m V t b 3 Z l Z E N v b H V t b n M x L n t D b 2 x 1 b W 4 y L D F 9 J n F 1 b 3 Q 7 L C Z x d W 9 0 O 1 N l Y 3 R p b 2 4 x L 3 d p d G g g d 2 l u Z G 9 3 I C h z d G V w I D M p I C h j b 3 J y Z W N 0 Z W Q p I C g 1 K S 9 B d X R v U m V t b 3 Z l Z E N v b H V t b n M x L n t D b 2 x 1 b W 4 z L D J 9 J n F 1 b 3 Q 7 L C Z x d W 9 0 O 1 N l Y 3 R p b 2 4 x L 3 d p d G g g d 2 l u Z G 9 3 I C h z d G V w I D M p I C h j b 3 J y Z W N 0 Z W Q p I C g 1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g g d 2 l u Z G 9 3 I C h z d G V w I D M p I C h j b 3 J y Z W N 0 Z W Q p I C g 1 K S 9 B d X R v U m V t b 3 Z l Z E N v b H V t b n M x L n t D b 2 x 1 b W 4 x L D B 9 J n F 1 b 3 Q 7 L C Z x d W 9 0 O 1 N l Y 3 R p b 2 4 x L 3 d p d G g g d 2 l u Z G 9 3 I C h z d G V w I D M p I C h j b 3 J y Z W N 0 Z W Q p I C g 1 K S 9 B d X R v U m V t b 3 Z l Z E N v b H V t b n M x L n t D b 2 x 1 b W 4 y L D F 9 J n F 1 b 3 Q 7 L C Z x d W 9 0 O 1 N l Y 3 R p b 2 4 x L 3 d p d G g g d 2 l u Z G 9 3 I C h z d G V w I D M p I C h j b 3 J y Z W N 0 Z W Q p I C g 1 K S 9 B d X R v U m V t b 3 Z l Z E N v b H V t b n M x L n t D b 2 x 1 b W 4 z L D J 9 J n F 1 b 3 Q 7 L C Z x d W 9 0 O 1 N l Y 3 R p b 2 4 x L 3 d p d G g g d 2 l u Z G 9 3 I C h z d G V w I D M p I C h j b 3 J y Z W N 0 Z W Q p I C g 1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J T I w d 2 l u Z G 9 3 J T I w K H N 0 Z X A l M j A z K S U y M C h j b 3 J y Z W N 0 Z W Q p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M p J T I w K G N v c n J l Y 3 R l Z C k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0 K S U y M C h j b 3 J y Z W N 0 Z W Q p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m V m c m V u Y 2 U g d 2 l 0 a G 9 1 d C B 3 a W 5 k b 3 c i I C 8 + P E V u d H J 5 I F R 5 c G U 9 I l J l Y 2 9 2 Z X J 5 V G F y Z 2 V 0 Q 2 9 s d W 1 u I i B W Y W x 1 Z T 0 i b D c i I C 8 + P E V u d H J 5 I F R 5 c G U 9 I l J l Y 2 9 2 Z X J 5 V G F y Z 2 V 0 U m 9 3 I i B W Y W x 1 Z T 0 i b D I x I i A v P j x F b n R y e S B U e X B l P S J G a W x s V G F y Z 2 V 0 I i B W Y W x 1 Z T 0 i c 3 d p d G h f d 2 l u Z G 9 3 X 1 9 z d G V w X z R f X 1 9 j b 3 J y Z W N 0 Z W R f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M 6 M D U 6 M j Q u N j A y N j Q x O F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0 a C B 3 a W 5 k b 3 c g K H N 0 Z X A g N C k g K G N v c n J l Y 3 R l Z C k g K D U p L 0 F 1 d G 9 S Z W 1 v d m V k Q 2 9 s d W 1 u c z E u e 0 N v b H V t b j E s M H 0 m c X V v d D s s J n F 1 b 3 Q 7 U 2 V j d G l v b j E v d 2 l 0 a C B 3 a W 5 k b 3 c g K H N 0 Z X A g N C k g K G N v c n J l Y 3 R l Z C k g K D U p L 0 F 1 d G 9 S Z W 1 v d m V k Q 2 9 s d W 1 u c z E u e 0 N v b H V t b j I s M X 0 m c X V v d D s s J n F 1 b 3 Q 7 U 2 V j d G l v b j E v d 2 l 0 a C B 3 a W 5 k b 3 c g K H N 0 Z X A g N C k g K G N v c n J l Y 3 R l Z C k g K D U p L 0 F 1 d G 9 S Z W 1 v d m V k Q 2 9 s d W 1 u c z E u e 0 N v b H V t b j M s M n 0 m c X V v d D s s J n F 1 b 3 Q 7 U 2 V j d G l v b j E v d 2 l 0 a C B 3 a W 5 k b 3 c g K H N 0 Z X A g N C k g K G N v c n J l Y 3 R l Z C k g K D U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C B 3 a W 5 k b 3 c g K H N 0 Z X A g N C k g K G N v c n J l Y 3 R l Z C k g K D U p L 0 F 1 d G 9 S Z W 1 v d m V k Q 2 9 s d W 1 u c z E u e 0 N v b H V t b j E s M H 0 m c X V v d D s s J n F 1 b 3 Q 7 U 2 V j d G l v b j E v d 2 l 0 a C B 3 a W 5 k b 3 c g K H N 0 Z X A g N C k g K G N v c n J l Y 3 R l Z C k g K D U p L 0 F 1 d G 9 S Z W 1 v d m V k Q 2 9 s d W 1 u c z E u e 0 N v b H V t b j I s M X 0 m c X V v d D s s J n F 1 b 3 Q 7 U 2 V j d G l v b j E v d 2 l 0 a C B 3 a W 5 k b 3 c g K H N 0 Z X A g N C k g K G N v c n J l Y 3 R l Z C k g K D U p L 0 F 1 d G 9 S Z W 1 v d m V k Q 2 9 s d W 1 u c z E u e 0 N v b H V t b j M s M n 0 m c X V v d D s s J n F 1 b 3 Q 7 U 2 V j d G l v b j E v d 2 l 0 a C B 3 a W 5 k b 3 c g K H N 0 Z X A g N C k g K G N v c n J l Y 3 R l Z C k g K D U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g l M j B 3 a W 5 k b 3 c l M j A o c 3 R l c C U y M D Q p J T I w K G N v c n J l Y 3 R l Z C k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N C k l M j A o Y 2 9 y c m V j d G V k K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Q l M j A x K S U y M C h j b 3 J y Z W N 0 Z W Q p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m V m c m V u Y 2 U g d 2 l 0 a G 9 1 d C B 3 a W 5 k b 3 c i I C 8 + P E V u d H J 5 I F R 5 c G U 9 I l J l Y 2 9 2 Z X J 5 V G F y Z 2 V 0 Q 2 9 s d W 1 u I i B W Y W x 1 Z T 0 i b D c i I C 8 + P E V u d H J 5 I F R 5 c G U 9 I l J l Y 2 9 2 Z X J 5 V G F y Z 2 V 0 U m 9 3 I i B W Y W x 1 Z T 0 i b D I 3 I i A v P j x F b n R y e S B U e X B l P S J G a W x s V G F y Z 2 V 0 I i B W Y W x 1 Z T 0 i c 3 d p d G h f d 2 l u Z G 9 3 X 1 9 z d G V w X z R f M V 9 f X 2 N v c n J l Y 3 R l Z F 9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z o w N T o 1 M i 4 3 M D c 2 M z I 0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I H d p b m R v d y A o c 3 R l c C A 0 I D E p I C h j b 3 J y Z W N 0 Z W Q p I C g 1 K S 9 B d X R v U m V t b 3 Z l Z E N v b H V t b n M x L n t D b 2 x 1 b W 4 x L D B 9 J n F 1 b 3 Q 7 L C Z x d W 9 0 O 1 N l Y 3 R p b 2 4 x L 3 d p d G g g d 2 l u Z G 9 3 I C h z d G V w I D Q g M S k g K G N v c n J l Y 3 R l Z C k g K D U p L 0 F 1 d G 9 S Z W 1 v d m V k Q 2 9 s d W 1 u c z E u e 0 N v b H V t b j I s M X 0 m c X V v d D s s J n F 1 b 3 Q 7 U 2 V j d G l v b j E v d 2 l 0 a C B 3 a W 5 k b 3 c g K H N 0 Z X A g N C A x K S A o Y 2 9 y c m V j d G V k K S A o N S k v Q X V 0 b 1 J l b W 9 2 Z W R D b 2 x 1 b W 5 z M S 5 7 Q 2 9 s d W 1 u M y w y f S Z x d W 9 0 O y w m c X V v d D t T Z W N 0 a W 9 u M S 9 3 a X R o I H d p b m R v d y A o c 3 R l c C A 0 I D E p I C h j b 3 J y Z W N 0 Z W Q p I C g 1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g g d 2 l u Z G 9 3 I C h z d G V w I D Q g M S k g K G N v c n J l Y 3 R l Z C k g K D U p L 0 F 1 d G 9 S Z W 1 v d m V k Q 2 9 s d W 1 u c z E u e 0 N v b H V t b j E s M H 0 m c X V v d D s s J n F 1 b 3 Q 7 U 2 V j d G l v b j E v d 2 l 0 a C B 3 a W 5 k b 3 c g K H N 0 Z X A g N C A x K S A o Y 2 9 y c m V j d G V k K S A o N S k v Q X V 0 b 1 J l b W 9 2 Z W R D b 2 x 1 b W 5 z M S 5 7 Q 2 9 s d W 1 u M i w x f S Z x d W 9 0 O y w m c X V v d D t T Z W N 0 a W 9 u M S 9 3 a X R o I H d p b m R v d y A o c 3 R l c C A 0 I D E p I C h j b 3 J y Z W N 0 Z W Q p I C g 1 K S 9 B d X R v U m V t b 3 Z l Z E N v b H V t b n M x L n t D b 2 x 1 b W 4 z L D J 9 J n F 1 b 3 Q 7 L C Z x d W 9 0 O 1 N l Y 3 R p b 2 4 x L 3 d p d G g g d 2 l u Z G 9 3 I C h z d G V w I D Q g M S k g K G N v c n J l Y 3 R l Z C k g K D U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g l M j B 3 a W 5 k b 3 c l M j A o c 3 R l c C U y M D Q l M j A x K S U y M C h j b 3 J y Z W N 0 Z W Q p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Q l M j A x K S U y M C h j b 3 J y Z W N 0 Z W Q p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N S k l M j A o Y 2 9 y c m V j d G V k K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J l Z n J l b m N l I H d p d G h v d X Q g d 2 l u Z G 9 3 I i A v P j x F b n R y e S B U e X B l P S J S Z W N v d m V y e V R h c m d l d E N v b H V t b i I g V m F s d W U 9 I m w 3 I i A v P j x F b n R y e S B U e X B l P S J S Z W N v d m V y e V R h c m d l d F J v d y I g V m F s d W U 9 I m w z M y I g L z 4 8 R W 5 0 c n k g V H l w Z T 0 i R m l s b F R h c m d l d C I g V m F s d W U 9 I n N 3 a X R o X 3 d p b m R v d 1 9 f c 3 R l c F 8 1 X 1 9 f Y 2 9 y c m V j d G V k X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z O j A 2 O j E 1 L j k x N j c y M z B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g g d 2 l u Z G 9 3 I C h z d G V w I D U p I C h j b 3 J y Z W N 0 Z W Q p I C g 1 K S 9 B d X R v U m V t b 3 Z l Z E N v b H V t b n M x L n t D b 2 x 1 b W 4 x L D B 9 J n F 1 b 3 Q 7 L C Z x d W 9 0 O 1 N l Y 3 R p b 2 4 x L 3 d p d G g g d 2 l u Z G 9 3 I C h z d G V w I D U p I C h j b 3 J y Z W N 0 Z W Q p I C g 1 K S 9 B d X R v U m V t b 3 Z l Z E N v b H V t b n M x L n t D b 2 x 1 b W 4 y L D F 9 J n F 1 b 3 Q 7 L C Z x d W 9 0 O 1 N l Y 3 R p b 2 4 x L 3 d p d G g g d 2 l u Z G 9 3 I C h z d G V w I D U p I C h j b 3 J y Z W N 0 Z W Q p I C g 1 K S 9 B d X R v U m V t b 3 Z l Z E N v b H V t b n M x L n t D b 2 x 1 b W 4 z L D J 9 J n F 1 b 3 Q 7 L C Z x d W 9 0 O 1 N l Y 3 R p b 2 4 x L 3 d p d G g g d 2 l u Z G 9 3 I C h z d G V w I D U p I C h j b 3 J y Z W N 0 Z W Q p I C g 1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g g d 2 l u Z G 9 3 I C h z d G V w I D U p I C h j b 3 J y Z W N 0 Z W Q p I C g 1 K S 9 B d X R v U m V t b 3 Z l Z E N v b H V t b n M x L n t D b 2 x 1 b W 4 x L D B 9 J n F 1 b 3 Q 7 L C Z x d W 9 0 O 1 N l Y 3 R p b 2 4 x L 3 d p d G g g d 2 l u Z G 9 3 I C h z d G V w I D U p I C h j b 3 J y Z W N 0 Z W Q p I C g 1 K S 9 B d X R v U m V t b 3 Z l Z E N v b H V t b n M x L n t D b 2 x 1 b W 4 y L D F 9 J n F 1 b 3 Q 7 L C Z x d W 9 0 O 1 N l Y 3 R p b 2 4 x L 3 d p d G g g d 2 l u Z G 9 3 I C h z d G V w I D U p I C h j b 3 J y Z W N 0 Z W Q p I C g 1 K S 9 B d X R v U m V t b 3 Z l Z E N v b H V t b n M x L n t D b 2 x 1 b W 4 z L D J 9 J n F 1 b 3 Q 7 L C Z x d W 9 0 O 1 N l Y 3 R p b 2 4 x L 3 d p d G g g d 2 l u Z G 9 3 I C h z d G V w I D U p I C h j b 3 J y Z W N 0 Z W Q p I C g 1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J T I w d 2 l u Z G 9 3 J T I w K H N 0 Z X A l M j A 1 K S U y M C h j b 3 J y Z W N 0 Z W Q p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U p J T I w K G N v c n J l Y 3 R l Z C k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1 J T I w M S k l M j A o Y 2 9 y c m V j d G V k K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J l Z n J l b m N l I H d p d G h v d X Q g d 2 l u Z G 9 3 I i A v P j x F b n R y e S B U e X B l P S J S Z W N v d m V y e V R h c m d l d E N v b H V t b i I g V m F s d W U 9 I m w 3 I i A v P j x F b n R y e S B U e X B l P S J S Z W N v d m V y e V R h c m d l d F J v d y I g V m F s d W U 9 I m w z O S I g L z 4 8 R W 5 0 c n k g V H l w Z T 0 i R m l s b F R h c m d l d C I g V m F s d W U 9 I n N 3 a X R o X 3 d p b m R v d 1 9 f c 3 R l c F 8 1 X z F f X 1 9 j b 3 J y Z W N 0 Z W R f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M 6 M D Y 6 N D A u O T E y N z Q x O V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0 a C B 3 a W 5 k b 3 c g K H N 0 Z X A g N S A x K S A o Y 2 9 y c m V j d G V k K S A o N S k v Q X V 0 b 1 J l b W 9 2 Z W R D b 2 x 1 b W 5 z M S 5 7 Q 2 9 s d W 1 u M S w w f S Z x d W 9 0 O y w m c X V v d D t T Z W N 0 a W 9 u M S 9 3 a X R o I H d p b m R v d y A o c 3 R l c C A 1 I D E p I C h j b 3 J y Z W N 0 Z W Q p I C g 1 K S 9 B d X R v U m V t b 3 Z l Z E N v b H V t b n M x L n t D b 2 x 1 b W 4 y L D F 9 J n F 1 b 3 Q 7 L C Z x d W 9 0 O 1 N l Y 3 R p b 2 4 x L 3 d p d G g g d 2 l u Z G 9 3 I C h z d G V w I D U g M S k g K G N v c n J l Y 3 R l Z C k g K D U p L 0 F 1 d G 9 S Z W 1 v d m V k Q 2 9 s d W 1 u c z E u e 0 N v b H V t b j M s M n 0 m c X V v d D s s J n F 1 b 3 Q 7 U 2 V j d G l v b j E v d 2 l 0 a C B 3 a W 5 k b 3 c g K H N 0 Z X A g N S A x K S A o Y 2 9 y c m V j d G V k K S A o N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X R o I H d p b m R v d y A o c 3 R l c C A 1 I D E p I C h j b 3 J y Z W N 0 Z W Q p I C g 1 K S 9 B d X R v U m V t b 3 Z l Z E N v b H V t b n M x L n t D b 2 x 1 b W 4 x L D B 9 J n F 1 b 3 Q 7 L C Z x d W 9 0 O 1 N l Y 3 R p b 2 4 x L 3 d p d G g g d 2 l u Z G 9 3 I C h z d G V w I D U g M S k g K G N v c n J l Y 3 R l Z C k g K D U p L 0 F 1 d G 9 S Z W 1 v d m V k Q 2 9 s d W 1 u c z E u e 0 N v b H V t b j I s M X 0 m c X V v d D s s J n F 1 b 3 Q 7 U 2 V j d G l v b j E v d 2 l 0 a C B 3 a W 5 k b 3 c g K H N 0 Z X A g N S A x K S A o Y 2 9 y c m V j d G V k K S A o N S k v Q X V 0 b 1 J l b W 9 2 Z W R D b 2 x 1 b W 5 z M S 5 7 Q 2 9 s d W 1 u M y w y f S Z x d W 9 0 O y w m c X V v d D t T Z W N 0 a W 9 u M S 9 3 a X R o I H d p b m R v d y A o c 3 R l c C A 1 I D E p I C h j b 3 J y Z W N 0 Z W Q p I C g 1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J T I w d 2 l u Z G 9 3 J T I w K H N 0 Z X A l M j A 1 J T I w M S k l M j A o Y 2 9 y c m V j d G V k K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1 J T I w M S k l M j A o Y 2 9 y c m V j d G V k K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M S k l M j A o Y 2 9 y c m V j d G V k K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J l Z n J l b m N l I H d p d G h v d X Q g d 2 l u Z G 9 3 I i A v P j x F b n R y e S B U e X B l P S J S Z W N v d m V y e V R h c m d l d E N v b H V t b i I g V m F s d W U 9 I m w x M i I g L z 4 8 R W 5 0 c n k g V H l w Z T 0 i U m V j b 3 Z l c n l U Y X J n Z X R S b 3 c i I F Z h b H V l P S J s M y I g L z 4 8 R W 5 0 c n k g V H l w Z T 0 i R m l s b F R h c m d l d C I g V m F s d W U 9 I n N 2 Y W N 1 d W 1 f X 3 N 0 Z X B f M V 9 f X 2 N v c n J l Y 3 R l Z F 9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z o w N z o y M y 4 4 N T I w M D E 0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N 1 d W 0 g K H N 0 Z X A g M S k g K G N v c n J l Y 3 R l Z C k g K D U p L 0 F 1 d G 9 S Z W 1 v d m V k Q 2 9 s d W 1 u c z E u e 0 N v b H V t b j E s M H 0 m c X V v d D s s J n F 1 b 3 Q 7 U 2 V j d G l v b j E v d m F j d X V t I C h z d G V w I D E p I C h j b 3 J y Z W N 0 Z W Q p I C g 1 K S 9 B d X R v U m V t b 3 Z l Z E N v b H V t b n M x L n t D b 2 x 1 b W 4 y L D F 9 J n F 1 b 3 Q 7 L C Z x d W 9 0 O 1 N l Y 3 R p b 2 4 x L 3 Z h Y 3 V 1 b S A o c 3 R l c C A x K S A o Y 2 9 y c m V j d G V k K S A o N S k v Q X V 0 b 1 J l b W 9 2 Z W R D b 2 x 1 b W 5 z M S 5 7 Q 2 9 s d W 1 u M y w y f S Z x d W 9 0 O y w m c X V v d D t T Z W N 0 a W 9 u M S 9 2 Y W N 1 d W 0 g K H N 0 Z X A g M S k g K G N v c n J l Y 3 R l Z C k g K D U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j d X V t I C h z d G V w I D E p I C h j b 3 J y Z W N 0 Z W Q p I C g 1 K S 9 B d X R v U m V t b 3 Z l Z E N v b H V t b n M x L n t D b 2 x 1 b W 4 x L D B 9 J n F 1 b 3 Q 7 L C Z x d W 9 0 O 1 N l Y 3 R p b 2 4 x L 3 Z h Y 3 V 1 b S A o c 3 R l c C A x K S A o Y 2 9 y c m V j d G V k K S A o N S k v Q X V 0 b 1 J l b W 9 2 Z W R D b 2 x 1 b W 5 z M S 5 7 Q 2 9 s d W 1 u M i w x f S Z x d W 9 0 O y w m c X V v d D t T Z W N 0 a W 9 u M S 9 2 Y W N 1 d W 0 g K H N 0 Z X A g M S k g K G N v c n J l Y 3 R l Z C k g K D U p L 0 F 1 d G 9 S Z W 1 v d m V k Q 2 9 s d W 1 u c z E u e 0 N v b H V t b j M s M n 0 m c X V v d D s s J n F 1 b 3 Q 7 U 2 V j d G l v b j E v d m F j d X V t I C h z d G V w I D E p I C h j b 3 J y Z W N 0 Z W Q p I C g 1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N 1 d W 0 l M j A o c 3 R l c C U y M D E p J T I w K G N v c n J l Y 3 R l Z C k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x K S U y M C h j b 3 J y Z W N 0 Z W Q p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y K S U y M C h j b 3 J y Z W N 0 Z W Q p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m V m c m V u Y 2 U g d 2 l 0 a G 9 1 d C B 3 a W 5 k b 3 c i I C 8 + P E V u d H J 5 I F R 5 c G U 9 I l J l Y 2 9 2 Z X J 5 V G F y Z 2 V 0 Q 2 9 s d W 1 u I i B W Y W x 1 Z T 0 i b D E y I i A v P j x F b n R y e S B U e X B l P S J S Z W N v d m V y e V R h c m d l d F J v d y I g V m F s d W U 9 I m w 5 I i A v P j x F b n R y e S B U e X B l P S J G a W x s V G F y Z 2 V 0 I i B W Y W x 1 Z T 0 i c 3 Z h Y 3 V 1 b V 9 f c 3 R l c F 8 y X 1 9 f Y 2 9 y c m V j d G V k X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z O j A 3 O j Q 3 L j E 4 O T A 0 N D B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Y 3 V 1 b S A o c 3 R l c C A y K S A o Y 2 9 y c m V j d G V k K S A o N S k v Q X V 0 b 1 J l b W 9 2 Z W R D b 2 x 1 b W 5 z M S 5 7 Q 2 9 s d W 1 u M S w w f S Z x d W 9 0 O y w m c X V v d D t T Z W N 0 a W 9 u M S 9 2 Y W N 1 d W 0 g K H N 0 Z X A g M i k g K G N v c n J l Y 3 R l Z C k g K D U p L 0 F 1 d G 9 S Z W 1 v d m V k Q 2 9 s d W 1 u c z E u e 0 N v b H V t b j I s M X 0 m c X V v d D s s J n F 1 b 3 Q 7 U 2 V j d G l v b j E v d m F j d X V t I C h z d G V w I D I p I C h j b 3 J y Z W N 0 Z W Q p I C g 1 K S 9 B d X R v U m V t b 3 Z l Z E N v b H V t b n M x L n t D b 2 x 1 b W 4 z L D J 9 J n F 1 b 3 Q 7 L C Z x d W 9 0 O 1 N l Y 3 R p b 2 4 x L 3 Z h Y 3 V 1 b S A o c 3 R l c C A y K S A o Y 2 9 y c m V j d G V k K S A o N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N 1 d W 0 g K H N 0 Z X A g M i k g K G N v c n J l Y 3 R l Z C k g K D U p L 0 F 1 d G 9 S Z W 1 v d m V k Q 2 9 s d W 1 u c z E u e 0 N v b H V t b j E s M H 0 m c X V v d D s s J n F 1 b 3 Q 7 U 2 V j d G l v b j E v d m F j d X V t I C h z d G V w I D I p I C h j b 3 J y Z W N 0 Z W Q p I C g 1 K S 9 B d X R v U m V t b 3 Z l Z E N v b H V t b n M x L n t D b 2 x 1 b W 4 y L D F 9 J n F 1 b 3 Q 7 L C Z x d W 9 0 O 1 N l Y 3 R p b 2 4 x L 3 Z h Y 3 V 1 b S A o c 3 R l c C A y K S A o Y 2 9 y c m V j d G V k K S A o N S k v Q X V 0 b 1 J l b W 9 2 Z W R D b 2 x 1 b W 5 z M S 5 7 Q 2 9 s d W 1 u M y w y f S Z x d W 9 0 O y w m c X V v d D t T Z W N 0 a W 9 u M S 9 2 Y W N 1 d W 0 g K H N 0 Z X A g M i k g K G N v c n J l Y 3 R l Z C k g K D U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Y 3 V 1 b S U y M C h z d G V w J T I w M i k l M j A o Y 2 9 y c m V j d G V k K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I p J T I w K G N v c n J l Y 3 R l Z C k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M p J T I w K G N v c n J l Y 3 R l Z C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S Z W Z y Z W 5 j Z S B 3 a X R o b 3 V 0 I H d p b m R v d y I g L z 4 8 R W 5 0 c n k g V H l w Z T 0 i U m V j b 3 Z l c n l U Y X J n Z X R D b 2 x 1 b W 4 i I F Z h b H V l P S J s M T I i I C 8 + P E V u d H J 5 I F R 5 c G U 9 I l J l Y 2 9 2 Z X J 5 V G F y Z 2 V 0 U m 9 3 I i B W Y W x 1 Z T 0 i b D E 1 I i A v P j x F b n R y e S B U e X B l P S J G a W x s V G F y Z 2 V 0 I i B W Y W x 1 Z T 0 i c 3 Z h Y 3 V 1 b V 9 f c 3 R l c F 8 z X 1 9 f Y 2 9 y c m V j d G V k X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z O j A 4 O j A 3 L j I z O D I 3 O T B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Y 3 V 1 b S A o c 3 R l c C A z K S A o Y 2 9 y c m V j d G V k K S A o N C k v Q X V 0 b 1 J l b W 9 2 Z W R D b 2 x 1 b W 5 z M S 5 7 Q 2 9 s d W 1 u M S w w f S Z x d W 9 0 O y w m c X V v d D t T Z W N 0 a W 9 u M S 9 2 Y W N 1 d W 0 g K H N 0 Z X A g M y k g K G N v c n J l Y 3 R l Z C k g K D Q p L 0 F 1 d G 9 S Z W 1 v d m V k Q 2 9 s d W 1 u c z E u e 0 N v b H V t b j I s M X 0 m c X V v d D s s J n F 1 b 3 Q 7 U 2 V j d G l v b j E v d m F j d X V t I C h z d G V w I D M p I C h j b 3 J y Z W N 0 Z W Q p I C g 0 K S 9 B d X R v U m V t b 3 Z l Z E N v b H V t b n M x L n t D b 2 x 1 b W 4 z L D J 9 J n F 1 b 3 Q 7 L C Z x d W 9 0 O 1 N l Y 3 R p b 2 4 x L 3 Z h Y 3 V 1 b S A o c 3 R l c C A z K S A o Y 2 9 y c m V j d G V k K S A o N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N 1 d W 0 g K H N 0 Z X A g M y k g K G N v c n J l Y 3 R l Z C k g K D Q p L 0 F 1 d G 9 S Z W 1 v d m V k Q 2 9 s d W 1 u c z E u e 0 N v b H V t b j E s M H 0 m c X V v d D s s J n F 1 b 3 Q 7 U 2 V j d G l v b j E v d m F j d X V t I C h z d G V w I D M p I C h j b 3 J y Z W N 0 Z W Q p I C g 0 K S 9 B d X R v U m V t b 3 Z l Z E N v b H V t b n M x L n t D b 2 x 1 b W 4 y L D F 9 J n F 1 b 3 Q 7 L C Z x d W 9 0 O 1 N l Y 3 R p b 2 4 x L 3 Z h Y 3 V 1 b S A o c 3 R l c C A z K S A o Y 2 9 y c m V j d G V k K S A o N C k v Q X V 0 b 1 J l b W 9 2 Z W R D b 2 x 1 b W 5 z M S 5 7 Q 2 9 s d W 1 u M y w y f S Z x d W 9 0 O y w m c X V v d D t T Z W N 0 a W 9 u M S 9 2 Y W N 1 d W 0 g K H N 0 Z X A g M y k g K G N v c n J l Y 3 R l Z C k g K D Q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Y 3 V 1 b S U y M C h z d G V w J T I w M y k l M j A o Y 2 9 y c m V j d G V k K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M p J T I w K G N v c n J l Y 3 R l Z C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Q p J T I w K G N v c n J l Y 3 R l Z C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S Z W Z y Z W 5 j Z S B 3 a X R o b 3 V 0 I H d p b m R v d y I g L z 4 8 R W 5 0 c n k g V H l w Z T 0 i U m V j b 3 Z l c n l U Y X J n Z X R D b 2 x 1 b W 4 i I F Z h b H V l P S J s M T I i I C 8 + P E V u d H J 5 I F R 5 c G U 9 I l J l Y 2 9 2 Z X J 5 V G F y Z 2 V 0 U m 9 3 I i B W Y W x 1 Z T 0 i b D I x I i A v P j x F b n R y e S B U e X B l P S J G a W x s V G F y Z 2 V 0 I i B W Y W x 1 Z T 0 i c 3 Z h Y 3 V 1 b V 9 f c 3 R l c F 8 0 X 1 9 f Y 2 9 y c m V j d G V k X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z O j A 4 O j M 1 L j Q x M j I y M T J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Y 3 V 1 b S A o c 3 R l c C A 0 K S A o Y 2 9 y c m V j d G V k K S A o N C k v Q X V 0 b 1 J l b W 9 2 Z W R D b 2 x 1 b W 5 z M S 5 7 Q 2 9 s d W 1 u M S w w f S Z x d W 9 0 O y w m c X V v d D t T Z W N 0 a W 9 u M S 9 2 Y W N 1 d W 0 g K H N 0 Z X A g N C k g K G N v c n J l Y 3 R l Z C k g K D Q p L 0 F 1 d G 9 S Z W 1 v d m V k Q 2 9 s d W 1 u c z E u e 0 N v b H V t b j I s M X 0 m c X V v d D s s J n F 1 b 3 Q 7 U 2 V j d G l v b j E v d m F j d X V t I C h z d G V w I D Q p I C h j b 3 J y Z W N 0 Z W Q p I C g 0 K S 9 B d X R v U m V t b 3 Z l Z E N v b H V t b n M x L n t D b 2 x 1 b W 4 z L D J 9 J n F 1 b 3 Q 7 L C Z x d W 9 0 O 1 N l Y 3 R p b 2 4 x L 3 Z h Y 3 V 1 b S A o c 3 R l c C A 0 K S A o Y 2 9 y c m V j d G V k K S A o N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N 1 d W 0 g K H N 0 Z X A g N C k g K G N v c n J l Y 3 R l Z C k g K D Q p L 0 F 1 d G 9 S Z W 1 v d m V k Q 2 9 s d W 1 u c z E u e 0 N v b H V t b j E s M H 0 m c X V v d D s s J n F 1 b 3 Q 7 U 2 V j d G l v b j E v d m F j d X V t I C h z d G V w I D Q p I C h j b 3 J y Z W N 0 Z W Q p I C g 0 K S 9 B d X R v U m V t b 3 Z l Z E N v b H V t b n M x L n t D b 2 x 1 b W 4 y L D F 9 J n F 1 b 3 Q 7 L C Z x d W 9 0 O 1 N l Y 3 R p b 2 4 x L 3 Z h Y 3 V 1 b S A o c 3 R l c C A 0 K S A o Y 2 9 y c m V j d G V k K S A o N C k v Q X V 0 b 1 J l b W 9 2 Z W R D b 2 x 1 b W 5 z M S 5 7 Q 2 9 s d W 1 u M y w y f S Z x d W 9 0 O y w m c X V v d D t T Z W N 0 a W 9 u M S 9 2 Y W N 1 d W 0 g K H N 0 Z X A g N C k g K G N v c n J l Y 3 R l Z C k g K D Q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Y 3 V 1 b S U y M C h z d G V w J T I w N C k l M j A o Y 2 9 y c m V j d G V k K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Q p J T I w K G N v c n J l Y 3 R l Z C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Q l M j A x K S U y M C h j b 3 J y Z W N 0 Z W Q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m V m c m V u Y 2 U g d 2 l 0 a G 9 1 d C B 3 a W 5 k b 3 c i I C 8 + P E V u d H J 5 I F R 5 c G U 9 I l J l Y 2 9 2 Z X J 5 V G F y Z 2 V 0 Q 2 9 s d W 1 u I i B W Y W x 1 Z T 0 i b D E y I i A v P j x F b n R y e S B U e X B l P S J S Z W N v d m V y e V R h c m d l d F J v d y I g V m F s d W U 9 I m w y N y I g L z 4 8 R W 5 0 c n k g V H l w Z T 0 i R m l s b F R h c m d l d C I g V m F s d W U 9 I n N 2 Y W N 1 d W 1 f X 3 N 0 Z X B f N F 8 x X 1 9 f Y 2 9 y c m V j d G V k X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z O j A 5 O j A x L j Q w M T M w N T F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Y 3 V 1 b S A o c 3 R l c C A 0 I D E p I C h j b 3 J y Z W N 0 Z W Q p I C g 0 K S 9 B d X R v U m V t b 3 Z l Z E N v b H V t b n M x L n t D b 2 x 1 b W 4 x L D B 9 J n F 1 b 3 Q 7 L C Z x d W 9 0 O 1 N l Y 3 R p b 2 4 x L 3 Z h Y 3 V 1 b S A o c 3 R l c C A 0 I D E p I C h j b 3 J y Z W N 0 Z W Q p I C g 0 K S 9 B d X R v U m V t b 3 Z l Z E N v b H V t b n M x L n t D b 2 x 1 b W 4 y L D F 9 J n F 1 b 3 Q 7 L C Z x d W 9 0 O 1 N l Y 3 R p b 2 4 x L 3 Z h Y 3 V 1 b S A o c 3 R l c C A 0 I D E p I C h j b 3 J y Z W N 0 Z W Q p I C g 0 K S 9 B d X R v U m V t b 3 Z l Z E N v b H V t b n M x L n t D b 2 x 1 b W 4 z L D J 9 J n F 1 b 3 Q 7 L C Z x d W 9 0 O 1 N l Y 3 R p b 2 4 x L 3 Z h Y 3 V 1 b S A o c 3 R l c C A 0 I D E p I C h j b 3 J y Z W N 0 Z W Q p I C g 0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Y 3 V 1 b S A o c 3 R l c C A 0 I D E p I C h j b 3 J y Z W N 0 Z W Q p I C g 0 K S 9 B d X R v U m V t b 3 Z l Z E N v b H V t b n M x L n t D b 2 x 1 b W 4 x L D B 9 J n F 1 b 3 Q 7 L C Z x d W 9 0 O 1 N l Y 3 R p b 2 4 x L 3 Z h Y 3 V 1 b S A o c 3 R l c C A 0 I D E p I C h j b 3 J y Z W N 0 Z W Q p I C g 0 K S 9 B d X R v U m V t b 3 Z l Z E N v b H V t b n M x L n t D b 2 x 1 b W 4 y L D F 9 J n F 1 b 3 Q 7 L C Z x d W 9 0 O 1 N l Y 3 R p b 2 4 x L 3 Z h Y 3 V 1 b S A o c 3 R l c C A 0 I D E p I C h j b 3 J y Z W N 0 Z W Q p I C g 0 K S 9 B d X R v U m V t b 3 Z l Z E N v b H V t b n M x L n t D b 2 x 1 b W 4 z L D J 9 J n F 1 b 3 Q 7 L C Z x d W 9 0 O 1 N l Y 3 R p b 2 4 x L 3 Z h Y 3 V 1 b S A o c 3 R l c C A 0 I D E p I C h j b 3 J y Z W N 0 Z W Q p I C g 0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N 1 d W 0 l M j A o c 3 R l c C U y M D Q l M j A x K S U y M C h j b 3 J y Z W N 0 Z W Q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N C U y M D E p J T I w K G N v c n J l Y 3 R l Z C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U p J T I w K G N v c n J l Y 3 R l Z C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S Z W Z y Z W 5 j Z S B 3 a X R o b 3 V 0 I H d p b m R v d y I g L z 4 8 R W 5 0 c n k g V H l w Z T 0 i U m V j b 3 Z l c n l U Y X J n Z X R D b 2 x 1 b W 4 i I F Z h b H V l P S J s M T I i I C 8 + P E V u d H J 5 I F R 5 c G U 9 I l J l Y 2 9 2 Z X J 5 V G F y Z 2 V 0 U m 9 3 I i B W Y W x 1 Z T 0 i b D M z I i A v P j x F b n R y e S B U e X B l P S J G a W x s V G F y Z 2 V 0 I i B W Y W x 1 Z T 0 i c 3 Z h Y 3 V 1 b V 9 f c 3 R l c F 8 1 X 1 9 f Y 2 9 y c m V j d G V k X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z O j A 5 O j I 4 L j U 4 O T g w O T d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Y 3 V 1 b S A o c 3 R l c C A 1 K S A o Y 2 9 y c m V j d G V k K S A o N S k v Q X V 0 b 1 J l b W 9 2 Z W R D b 2 x 1 b W 5 z M S 5 7 Q 2 9 s d W 1 u M S w w f S Z x d W 9 0 O y w m c X V v d D t T Z W N 0 a W 9 u M S 9 2 Y W N 1 d W 0 g K H N 0 Z X A g N S k g K G N v c n J l Y 3 R l Z C k g K D U p L 0 F 1 d G 9 S Z W 1 v d m V k Q 2 9 s d W 1 u c z E u e 0 N v b H V t b j I s M X 0 m c X V v d D s s J n F 1 b 3 Q 7 U 2 V j d G l v b j E v d m F j d X V t I C h z d G V w I D U p I C h j b 3 J y Z W N 0 Z W Q p I C g 1 K S 9 B d X R v U m V t b 3 Z l Z E N v b H V t b n M x L n t D b 2 x 1 b W 4 z L D J 9 J n F 1 b 3 Q 7 L C Z x d W 9 0 O 1 N l Y 3 R p b 2 4 x L 3 Z h Y 3 V 1 b S A o c 3 R l c C A 1 K S A o Y 2 9 y c m V j d G V k K S A o N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N 1 d W 0 g K H N 0 Z X A g N S k g K G N v c n J l Y 3 R l Z C k g K D U p L 0 F 1 d G 9 S Z W 1 v d m V k Q 2 9 s d W 1 u c z E u e 0 N v b H V t b j E s M H 0 m c X V v d D s s J n F 1 b 3 Q 7 U 2 V j d G l v b j E v d m F j d X V t I C h z d G V w I D U p I C h j b 3 J y Z W N 0 Z W Q p I C g 1 K S 9 B d X R v U m V t b 3 Z l Z E N v b H V t b n M x L n t D b 2 x 1 b W 4 y L D F 9 J n F 1 b 3 Q 7 L C Z x d W 9 0 O 1 N l Y 3 R p b 2 4 x L 3 Z h Y 3 V 1 b S A o c 3 R l c C A 1 K S A o Y 2 9 y c m V j d G V k K S A o N S k v Q X V 0 b 1 J l b W 9 2 Z W R D b 2 x 1 b W 5 z M S 5 7 Q 2 9 s d W 1 u M y w y f S Z x d W 9 0 O y w m c X V v d D t T Z W N 0 a W 9 u M S 9 2 Y W N 1 d W 0 g K H N 0 Z X A g N S k g K G N v c n J l Y 3 R l Z C k g K D U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Y 3 V 1 b S U y M C h z d G V w J T I w N S k l M j A o Y 2 9 y c m V j d G V k K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U p J T I w K G N v c n J l Y 3 R l Z C k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U l M j A x K S U y M C h j b 3 J y Z W N 0 Z W Q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m V m c m V u Y 2 U g d 2 l 0 a G 9 1 d C B 3 a W 5 k b 3 c i I C 8 + P E V u d H J 5 I F R 5 c G U 9 I l J l Y 2 9 2 Z X J 5 V G F y Z 2 V 0 Q 2 9 s d W 1 u I i B W Y W x 1 Z T 0 i b D E y I i A v P j x F b n R y e S B U e X B l P S J S Z W N v d m V y e V R h c m d l d F J v d y I g V m F s d W U 9 I m w z O S I g L z 4 8 R W 5 0 c n k g V H l w Z T 0 i R m l s b F R h c m d l d C I g V m F s d W U 9 I n N 2 Y W N 1 d W 1 f X 3 N 0 Z X B f N V 8 x X 1 9 f Y 2 9 y c m V j d G V k X 1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z O j E w O j A w L j c w M j I y N j V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Y 3 V 1 b S A o c 3 R l c C A 1 I D E p I C h j b 3 J y Z W N 0 Z W Q p I C g 0 K S 9 B d X R v U m V t b 3 Z l Z E N v b H V t b n M x L n t D b 2 x 1 b W 4 x L D B 9 J n F 1 b 3 Q 7 L C Z x d W 9 0 O 1 N l Y 3 R p b 2 4 x L 3 Z h Y 3 V 1 b S A o c 3 R l c C A 1 I D E p I C h j b 3 J y Z W N 0 Z W Q p I C g 0 K S 9 B d X R v U m V t b 3 Z l Z E N v b H V t b n M x L n t D b 2 x 1 b W 4 y L D F 9 J n F 1 b 3 Q 7 L C Z x d W 9 0 O 1 N l Y 3 R p b 2 4 x L 3 Z h Y 3 V 1 b S A o c 3 R l c C A 1 I D E p I C h j b 3 J y Z W N 0 Z W Q p I C g 0 K S 9 B d X R v U m V t b 3 Z l Z E N v b H V t b n M x L n t D b 2 x 1 b W 4 z L D J 9 J n F 1 b 3 Q 7 L C Z x d W 9 0 O 1 N l Y 3 R p b 2 4 x L 3 Z h Y 3 V 1 b S A o c 3 R l c C A 1 I D E p I C h j b 3 J y Z W N 0 Z W Q p I C g 0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Y 3 V 1 b S A o c 3 R l c C A 1 I D E p I C h j b 3 J y Z W N 0 Z W Q p I C g 0 K S 9 B d X R v U m V t b 3 Z l Z E N v b H V t b n M x L n t D b 2 x 1 b W 4 x L D B 9 J n F 1 b 3 Q 7 L C Z x d W 9 0 O 1 N l Y 3 R p b 2 4 x L 3 Z h Y 3 V 1 b S A o c 3 R l c C A 1 I D E p I C h j b 3 J y Z W N 0 Z W Q p I C g 0 K S 9 B d X R v U m V t b 3 Z l Z E N v b H V t b n M x L n t D b 2 x 1 b W 4 y L D F 9 J n F 1 b 3 Q 7 L C Z x d W 9 0 O 1 N l Y 3 R p b 2 4 x L 3 Z h Y 3 V 1 b S A o c 3 R l c C A 1 I D E p I C h j b 3 J y Z W N 0 Z W Q p I C g 0 K S 9 B d X R v U m V t b 3 Z l Z E N v b H V t b n M x L n t D b 2 x 1 b W 4 z L D J 9 J n F 1 b 3 Q 7 L C Z x d W 9 0 O 1 N l Y 3 R p b 2 4 x L 3 Z h Y 3 V 1 b S A o c 3 R l c C A 1 I D E p I C h j b 3 J y Z W N 0 Z W Q p I C g 0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N 1 d W 0 l M j A o c 3 R l c C U y M D U l M j A x K S U y M C h j b 3 J y Z W N 0 Z W Q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N S U y M D E p J T I w K G N v c n J l Y 3 R l Z C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F N w a G V y a W N h b C I g L z 4 8 R W 5 0 c n k g V H l w Z T 0 i U m V j b 3 Z l c n l U Y X J n Z X R D b 2 x 1 b W 4 i I F Z h b H V l P S J s N y I g L z 4 8 R W 5 0 c n k g V H l w Z T 0 i U m V j b 3 Z l c n l U Y X J n Z X R S b 3 c i I F Z h b H V l P S J s M y I g L z 4 8 R W 5 0 c n k g V H l w Z T 0 i R m l s b F R h c m d l d C I g V m F s d W U 9 I n N 3 a X R o X 3 d p b m R v d 1 9 f c 3 R l c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F U M T A 6 N D U 6 M z I u N D Q w N j c 1 N l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0 a C B 3 a W 5 k b 3 c g K H N 0 Z X A g M S k v Q X V 0 b 1 J l b W 9 2 Z W R D b 2 x 1 b W 5 z M S 5 7 Q 2 9 s d W 1 u M S w w f S Z x d W 9 0 O y w m c X V v d D t T Z W N 0 a W 9 u M S 9 3 a X R o I H d p b m R v d y A o c 3 R l c C A x K S 9 B d X R v U m V t b 3 Z l Z E N v b H V t b n M x L n t D b 2 x 1 b W 4 y L D F 9 J n F 1 b 3 Q 7 L C Z x d W 9 0 O 1 N l Y 3 R p b 2 4 x L 3 d p d G g g d 2 l u Z G 9 3 I C h z d G V w I D E p L 0 F 1 d G 9 S Z W 1 v d m V k Q 2 9 s d W 1 u c z E u e 0 N v b H V t b j M s M n 0 m c X V v d D s s J n F 1 b 3 Q 7 U 2 V j d G l v b j E v d 2 l 0 a C B 3 a W 5 k b 3 c g K H N 0 Z X A g M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X R o I H d p b m R v d y A o c 3 R l c C A x K S 9 B d X R v U m V t b 3 Z l Z E N v b H V t b n M x L n t D b 2 x 1 b W 4 x L D B 9 J n F 1 b 3 Q 7 L C Z x d W 9 0 O 1 N l Y 3 R p b 2 4 x L 3 d p d G g g d 2 l u Z G 9 3 I C h z d G V w I D E p L 0 F 1 d G 9 S Z W 1 v d m V k Q 2 9 s d W 1 u c z E u e 0 N v b H V t b j I s M X 0 m c X V v d D s s J n F 1 b 3 Q 7 U 2 V j d G l v b j E v d 2 l 0 a C B 3 a W 5 k b 3 c g K H N 0 Z X A g M S k v Q X V 0 b 1 J l b W 9 2 Z W R D b 2 x 1 b W 5 z M S 5 7 Q 2 9 s d W 1 u M y w y f S Z x d W 9 0 O y w m c X V v d D t T Z W N 0 a W 9 u M S 9 3 a X R o I H d p b m R v d y A o c 3 R l c C A x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J T I w d 2 l u Z G 9 3 J T I w K H N 0 Z X A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U 3 B o Z X J p Y 2 F s I i A v P j x F b n R y e S B U e X B l P S J S Z W N v d m V y e V R h c m d l d E N v b H V t b i I g V m F s d W U 9 I m w 3 I i A v P j x F b n R y e S B U e X B l P S J S Z W N v d m V y e V R h c m d l d F J v d y I g V m F s d W U 9 I m w x M C I g L z 4 8 R W 5 0 c n k g V H l w Z T 0 i R m l s b F R h c m d l d C I g V m F s d W U 9 I n N 3 a X R o X 3 d p b m R v d 1 9 f c 3 R l c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F U M T A 6 N D Y 6 M z g u N z g 0 O D c 0 N l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0 a C B 3 a W 5 k b 3 c g K H N 0 Z X A g M i k v Q X V 0 b 1 J l b W 9 2 Z W R D b 2 x 1 b W 5 z M S 5 7 Q 2 9 s d W 1 u M S w w f S Z x d W 9 0 O y w m c X V v d D t T Z W N 0 a W 9 u M S 9 3 a X R o I H d p b m R v d y A o c 3 R l c C A y K S 9 B d X R v U m V t b 3 Z l Z E N v b H V t b n M x L n t D b 2 x 1 b W 4 y L D F 9 J n F 1 b 3 Q 7 L C Z x d W 9 0 O 1 N l Y 3 R p b 2 4 x L 3 d p d G g g d 2 l u Z G 9 3 I C h z d G V w I D I p L 0 F 1 d G 9 S Z W 1 v d m V k Q 2 9 s d W 1 u c z E u e 0 N v b H V t b j M s M n 0 m c X V v d D s s J n F 1 b 3 Q 7 U 2 V j d G l v b j E v d 2 l 0 a C B 3 a W 5 k b 3 c g K H N 0 Z X A g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X R o I H d p b m R v d y A o c 3 R l c C A y K S 9 B d X R v U m V t b 3 Z l Z E N v b H V t b n M x L n t D b 2 x 1 b W 4 x L D B 9 J n F 1 b 3 Q 7 L C Z x d W 9 0 O 1 N l Y 3 R p b 2 4 x L 3 d p d G g g d 2 l u Z G 9 3 I C h z d G V w I D I p L 0 F 1 d G 9 S Z W 1 v d m V k Q 2 9 s d W 1 u c z E u e 0 N v b H V t b j I s M X 0 m c X V v d D s s J n F 1 b 3 Q 7 U 2 V j d G l v b j E v d 2 l 0 a C B 3 a W 5 k b 3 c g K H N 0 Z X A g M i k v Q X V 0 b 1 J l b W 9 2 Z W R D b 2 x 1 b W 5 z M S 5 7 Q 2 9 s d W 1 u M y w y f S Z x d W 9 0 O y w m c X V v d D t T Z W N 0 a W 9 u M S 9 3 a X R o I H d p b m R v d y A o c 3 R l c C A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J T I w d 2 l u Z G 9 3 J T I w K H N 0 Z X A l M j A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J T I w d 2 l u Z G 9 3 J T I w K H N 0 Z X A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M V Q x M D o 0 N z o w M y 4 2 O D k 5 M T M 4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I H d p b m R v d y A o c 3 R l c C A z K S 9 B d X R v U m V t b 3 Z l Z E N v b H V t b n M x L n t D b 2 x 1 b W 4 x L D B 9 J n F 1 b 3 Q 7 L C Z x d W 9 0 O 1 N l Y 3 R p b 2 4 x L 3 d p d G g g d 2 l u Z G 9 3 I C h z d G V w I D M p L 0 F 1 d G 9 S Z W 1 v d m V k Q 2 9 s d W 1 u c z E u e 0 N v b H V t b j I s M X 0 m c X V v d D s s J n F 1 b 3 Q 7 U 2 V j d G l v b j E v d 2 l 0 a C B 3 a W 5 k b 3 c g K H N 0 Z X A g M y k v Q X V 0 b 1 J l b W 9 2 Z W R D b 2 x 1 b W 5 z M S 5 7 Q 2 9 s d W 1 u M y w y f S Z x d W 9 0 O y w m c X V v d D t T Z W N 0 a W 9 u M S 9 3 a X R o I H d p b m R v d y A o c 3 R l c C A z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g g d 2 l u Z G 9 3 I C h z d G V w I D M p L 0 F 1 d G 9 S Z W 1 v d m V k Q 2 9 s d W 1 u c z E u e 0 N v b H V t b j E s M H 0 m c X V v d D s s J n F 1 b 3 Q 7 U 2 V j d G l v b j E v d 2 l 0 a C B 3 a W 5 k b 3 c g K H N 0 Z X A g M y k v Q X V 0 b 1 J l b W 9 2 Z W R D b 2 x 1 b W 5 z M S 5 7 Q 2 9 s d W 1 u M i w x f S Z x d W 9 0 O y w m c X V v d D t T Z W N 0 a W 9 u M S 9 3 a X R o I H d p b m R v d y A o c 3 R l c C A z K S 9 B d X R v U m V t b 3 Z l Z E N v b H V t b n M x L n t D b 2 x 1 b W 4 z L D J 9 J n F 1 b 3 Q 7 L C Z x d W 9 0 O 1 N l Y 3 R p b 2 4 x L 3 d p d G g g d 2 l u Z G 9 3 I C h z d G V w I D M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g l M j B 3 a W 5 k b 3 c l M j A o c 3 R l c C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M y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T c G h l c m l j Y W w i I C 8 + P E V u d H J 5 I F R 5 c G U 9 I l J l Y 2 9 2 Z X J 5 V G F y Z 2 V 0 Q 2 9 s d W 1 u I i B W Y W x 1 Z T 0 i b D c i I C 8 + P E V u d H J 5 I F R 5 c G U 9 I l J l Y 2 9 2 Z X J 5 V G F y Z 2 V 0 U m 9 3 I i B W Y W x 1 Z T 0 i b D E 3 I i A v P j x F b n R y e S B U e X B l P S J G a W x s V G F y Z 2 V 0 I i B W Y W x 1 Z T 0 i c 3 d p d G h f d 2 l u Z G 9 3 X 1 9 z d G V w X z N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F U M T A 6 N D c 6 M z M u N T g 2 M z U w M F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0 a C B 3 a W 5 k b 3 c g K H N 0 Z X A g M y k g K D I p L 0 F 1 d G 9 S Z W 1 v d m V k Q 2 9 s d W 1 u c z E u e 0 N v b H V t b j E s M H 0 m c X V v d D s s J n F 1 b 3 Q 7 U 2 V j d G l v b j E v d 2 l 0 a C B 3 a W 5 k b 3 c g K H N 0 Z X A g M y k g K D I p L 0 F 1 d G 9 S Z W 1 v d m V k Q 2 9 s d W 1 u c z E u e 0 N v b H V t b j I s M X 0 m c X V v d D s s J n F 1 b 3 Q 7 U 2 V j d G l v b j E v d 2 l 0 a C B 3 a W 5 k b 3 c g K H N 0 Z X A g M y k g K D I p L 0 F 1 d G 9 S Z W 1 v d m V k Q 2 9 s d W 1 u c z E u e 0 N v b H V t b j M s M n 0 m c X V v d D s s J n F 1 b 3 Q 7 U 2 V j d G l v b j E v d 2 l 0 a C B 3 a W 5 k b 3 c g K H N 0 Z X A g M y k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C B 3 a W 5 k b 3 c g K H N 0 Z X A g M y k g K D I p L 0 F 1 d G 9 S Z W 1 v d m V k Q 2 9 s d W 1 u c z E u e 0 N v b H V t b j E s M H 0 m c X V v d D s s J n F 1 b 3 Q 7 U 2 V j d G l v b j E v d 2 l 0 a C B 3 a W 5 k b 3 c g K H N 0 Z X A g M y k g K D I p L 0 F 1 d G 9 S Z W 1 v d m V k Q 2 9 s d W 1 u c z E u e 0 N v b H V t b j I s M X 0 m c X V v d D s s J n F 1 b 3 Q 7 U 2 V j d G l v b j E v d 2 l 0 a C B 3 a W 5 k b 3 c g K H N 0 Z X A g M y k g K D I p L 0 F 1 d G 9 S Z W 1 v d m V k Q 2 9 s d W 1 u c z E u e 0 N v b H V t b j M s M n 0 m c X V v d D s s J n F 1 b 3 Q 7 U 2 V j d G l v b j E v d 2 l 0 a C B 3 a W 5 k b 3 c g K H N 0 Z X A g M y k g K D I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g l M j B 3 a W 5 k b 3 c l M j A o c 3 R l c C U y M D M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M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T c G h l c m l j Y W w i I C 8 + P E V u d H J 5 I F R 5 c G U 9 I l J l Y 2 9 2 Z X J 5 V G F y Z 2 V 0 Q 2 9 s d W 1 u I i B W Y W x 1 Z T 0 i b D c i I C 8 + P E V u d H J 5 I F R 5 c G U 9 I l J l Y 2 9 2 Z X J 5 V G F y Z 2 V 0 U m 9 3 I i B W Y W x 1 Z T 0 i b D I 0 I i A v P j x F b n R y e S B U e X B l P S J G a W x s V G F y Z 2 V 0 I i B W Y W x 1 Z T 0 i c 3 d p d G h f d 2 l u Z G 9 3 X 1 9 z d G V w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M V Q x M D o 0 O D o w M i 4 3 M z g 2 N D k y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I H d p b m R v d y A o c 3 R l c C A 0 K S 9 B d X R v U m V t b 3 Z l Z E N v b H V t b n M x L n t D b 2 x 1 b W 4 x L D B 9 J n F 1 b 3 Q 7 L C Z x d W 9 0 O 1 N l Y 3 R p b 2 4 x L 3 d p d G g g d 2 l u Z G 9 3 I C h z d G V w I D Q p L 0 F 1 d G 9 S Z W 1 v d m V k Q 2 9 s d W 1 u c z E u e 0 N v b H V t b j I s M X 0 m c X V v d D s s J n F 1 b 3 Q 7 U 2 V j d G l v b j E v d 2 l 0 a C B 3 a W 5 k b 3 c g K H N 0 Z X A g N C k v Q X V 0 b 1 J l b W 9 2 Z W R D b 2 x 1 b W 5 z M S 5 7 Q 2 9 s d W 1 u M y w y f S Z x d W 9 0 O y w m c X V v d D t T Z W N 0 a W 9 u M S 9 3 a X R o I H d p b m R v d y A o c 3 R l c C A 0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g g d 2 l u Z G 9 3 I C h z d G V w I D Q p L 0 F 1 d G 9 S Z W 1 v d m V k Q 2 9 s d W 1 u c z E u e 0 N v b H V t b j E s M H 0 m c X V v d D s s J n F 1 b 3 Q 7 U 2 V j d G l v b j E v d 2 l 0 a C B 3 a W 5 k b 3 c g K H N 0 Z X A g N C k v Q X V 0 b 1 J l b W 9 2 Z W R D b 2 x 1 b W 5 z M S 5 7 Q 2 9 s d W 1 u M i w x f S Z x d W 9 0 O y w m c X V v d D t T Z W N 0 a W 9 u M S 9 3 a X R o I H d p b m R v d y A o c 3 R l c C A 0 K S 9 B d X R v U m V t b 3 Z l Z E N v b H V t b n M x L n t D b 2 x 1 b W 4 z L D J 9 J n F 1 b 3 Q 7 L C Z x d W 9 0 O 1 N l Y 3 R p b 2 4 x L 3 d p d G g g d 2 l u Z G 9 3 I C h z d G V w I D Q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g l M j B 3 a W 5 k b 3 c l M j A o c 3 R l c C U y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N C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U 3 B o Z X J p Y 2 F s I i A v P j x F b n R y e S B U e X B l P S J S Z W N v d m V y e V R h c m d l d E N v b H V t b i I g V m F s d W U 9 I m w 3 I i A v P j x F b n R y e S B U e X B l P S J S Z W N v d m V y e V R h c m d l d F J v d y I g V m F s d W U 9 I m w z M S I g L z 4 8 R W 5 0 c n k g V H l w Z T 0 i R m l s b F R h c m d l d C I g V m F s d W U 9 I n N 3 a X R o X 3 d p b m R v d 1 9 f c 3 R l c F 8 0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M V Q x M D o 0 O D o y N i 4 0 M z g z N D c x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I H d p b m R v d y A o c 3 R l c C A 0 I D E p L 0 F 1 d G 9 S Z W 1 v d m V k Q 2 9 s d W 1 u c z E u e 0 N v b H V t b j E s M H 0 m c X V v d D s s J n F 1 b 3 Q 7 U 2 V j d G l v b j E v d 2 l 0 a C B 3 a W 5 k b 3 c g K H N 0 Z X A g N C A x K S 9 B d X R v U m V t b 3 Z l Z E N v b H V t b n M x L n t D b 2 x 1 b W 4 y L D F 9 J n F 1 b 3 Q 7 L C Z x d W 9 0 O 1 N l Y 3 R p b 2 4 x L 3 d p d G g g d 2 l u Z G 9 3 I C h z d G V w I D Q g M S k v Q X V 0 b 1 J l b W 9 2 Z W R D b 2 x 1 b W 5 z M S 5 7 Q 2 9 s d W 1 u M y w y f S Z x d W 9 0 O y w m c X V v d D t T Z W N 0 a W 9 u M S 9 3 a X R o I H d p b m R v d y A o c 3 R l c C A 0 I D E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C B 3 a W 5 k b 3 c g K H N 0 Z X A g N C A x K S 9 B d X R v U m V t b 3 Z l Z E N v b H V t b n M x L n t D b 2 x 1 b W 4 x L D B 9 J n F 1 b 3 Q 7 L C Z x d W 9 0 O 1 N l Y 3 R p b 2 4 x L 3 d p d G g g d 2 l u Z G 9 3 I C h z d G V w I D Q g M S k v Q X V 0 b 1 J l b W 9 2 Z W R D b 2 x 1 b W 5 z M S 5 7 Q 2 9 s d W 1 u M i w x f S Z x d W 9 0 O y w m c X V v d D t T Z W N 0 a W 9 u M S 9 3 a X R o I H d p b m R v d y A o c 3 R l c C A 0 I D E p L 0 F 1 d G 9 S Z W 1 v d m V k Q 2 9 s d W 1 u c z E u e 0 N v b H V t b j M s M n 0 m c X V v d D s s J n F 1 b 3 Q 7 U 2 V j d G l v b j E v d 2 l 0 a C B 3 a W 5 k b 3 c g K H N 0 Z X A g N C A x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J T I w d 2 l u Z G 9 3 J T I w K H N 0 Z X A l M j A 0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N C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T c G h l c m l j Y W w i I C 8 + P E V u d H J 5 I F R 5 c G U 9 I l J l Y 2 9 2 Z X J 5 V G F y Z 2 V 0 Q 2 9 s d W 1 u I i B W Y W x 1 Z T 0 i b D c i I C 8 + P E V u d H J 5 I F R 5 c G U 9 I l J l Y 2 9 2 Z X J 5 V G F y Z 2 V 0 U m 9 3 I i B W Y W x 1 Z T 0 i b D M 4 I i A v P j x F b n R y e S B U e X B l P S J G a W x s V G F y Z 2 V 0 I i B W Y W x 1 Z T 0 i c 3 d p d G h f d 2 l u Z G 9 3 X 1 9 z d G V w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M V Q x M D o 0 O D o 1 M S 4 2 O D Q x M j M 2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I H d p b m R v d y A o c 3 R l c C A 1 K S 9 B d X R v U m V t b 3 Z l Z E N v b H V t b n M x L n t D b 2 x 1 b W 4 x L D B 9 J n F 1 b 3 Q 7 L C Z x d W 9 0 O 1 N l Y 3 R p b 2 4 x L 3 d p d G g g d 2 l u Z G 9 3 I C h z d G V w I D U p L 0 F 1 d G 9 S Z W 1 v d m V k Q 2 9 s d W 1 u c z E u e 0 N v b H V t b j I s M X 0 m c X V v d D s s J n F 1 b 3 Q 7 U 2 V j d G l v b j E v d 2 l 0 a C B 3 a W 5 k b 3 c g K H N 0 Z X A g N S k v Q X V 0 b 1 J l b W 9 2 Z W R D b 2 x 1 b W 5 z M S 5 7 Q 2 9 s d W 1 u M y w y f S Z x d W 9 0 O y w m c X V v d D t T Z W N 0 a W 9 u M S 9 3 a X R o I H d p b m R v d y A o c 3 R l c C A 1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g g d 2 l u Z G 9 3 I C h z d G V w I D U p L 0 F 1 d G 9 S Z W 1 v d m V k Q 2 9 s d W 1 u c z E u e 0 N v b H V t b j E s M H 0 m c X V v d D s s J n F 1 b 3 Q 7 U 2 V j d G l v b j E v d 2 l 0 a C B 3 a W 5 k b 3 c g K H N 0 Z X A g N S k v Q X V 0 b 1 J l b W 9 2 Z W R D b 2 x 1 b W 5 z M S 5 7 Q 2 9 s d W 1 u M i w x f S Z x d W 9 0 O y w m c X V v d D t T Z W N 0 a W 9 u M S 9 3 a X R o I H d p b m R v d y A o c 3 R l c C A 1 K S 9 B d X R v U m V t b 3 Z l Z E N v b H V t b n M x L n t D b 2 x 1 b W 4 z L D J 9 J n F 1 b 3 Q 7 L C Z x d W 9 0 O 1 N l Y 3 R p b 2 4 x L 3 d p d G g g d 2 l u Z G 9 3 I C h z d G V w I D U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d G g l M j B 3 a W 5 k b 3 c l M j A o c 3 R l c C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g l M j B 3 a W 5 k b 3 c l M j A o c 3 R l c C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N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U 3 B o Z X J p Y 2 F s I i A v P j x F b n R y e S B U e X B l P S J S Z W N v d m V y e V R h c m d l d E N v b H V t b i I g V m F s d W U 9 I m w 3 I i A v P j x F b n R y e S B U e X B l P S J S Z W N v d m V y e V R h c m d l d F J v d y I g V m F s d W U 9 I m w 0 N S I g L z 4 8 R W 5 0 c n k g V H l w Z T 0 i R m l s b F R h c m d l d C I g V m F s d W U 9 I n N 3 a X R o X 3 d p b m R v d 1 9 f c 3 R l c F 8 1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M V Q x M D o 0 O T o x M S 4 2 O D Q z N D M x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I H d p b m R v d y A o c 3 R l c C A 1 I D E p L 0 F 1 d G 9 S Z W 1 v d m V k Q 2 9 s d W 1 u c z E u e 0 N v b H V t b j E s M H 0 m c X V v d D s s J n F 1 b 3 Q 7 U 2 V j d G l v b j E v d 2 l 0 a C B 3 a W 5 k b 3 c g K H N 0 Z X A g N S A x K S 9 B d X R v U m V t b 3 Z l Z E N v b H V t b n M x L n t D b 2 x 1 b W 4 y L D F 9 J n F 1 b 3 Q 7 L C Z x d W 9 0 O 1 N l Y 3 R p b 2 4 x L 3 d p d G g g d 2 l u Z G 9 3 I C h z d G V w I D U g M S k v Q X V 0 b 1 J l b W 9 2 Z W R D b 2 x 1 b W 5 z M S 5 7 Q 2 9 s d W 1 u M y w y f S Z x d W 9 0 O y w m c X V v d D t T Z W N 0 a W 9 u M S 9 3 a X R o I H d p b m R v d y A o c 3 R l c C A 1 I D E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C B 3 a W 5 k b 3 c g K H N 0 Z X A g N S A x K S 9 B d X R v U m V t b 3 Z l Z E N v b H V t b n M x L n t D b 2 x 1 b W 4 x L D B 9 J n F 1 b 3 Q 7 L C Z x d W 9 0 O 1 N l Y 3 R p b 2 4 x L 3 d p d G g g d 2 l u Z G 9 3 I C h z d G V w I D U g M S k v Q X V 0 b 1 J l b W 9 2 Z W R D b 2 x 1 b W 5 z M S 5 7 Q 2 9 s d W 1 u M i w x f S Z x d W 9 0 O y w m c X V v d D t T Z W N 0 a W 9 u M S 9 3 a X R o I H d p b m R v d y A o c 3 R l c C A 1 I D E p L 0 F 1 d G 9 S Z W 1 v d m V k Q 2 9 s d W 1 u c z E u e 0 N v b H V t b j M s M n 0 m c X V v d D s s J n F 1 b 3 Q 7 U 2 V j d G l v b j E v d 2 l 0 a C B 3 a W 5 k b 3 c g K H N 0 Z X A g N S A x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X R o J T I w d 2 l u Z G 9 3 J T I w K H N 0 Z X A l M j A 1 J T I w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C U y M H d p b m R v d y U y M C h z d G V w J T I w N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F N w a G V y a W N h b C I g L z 4 8 R W 5 0 c n k g V H l w Z T 0 i U m V j b 3 Z l c n l U Y X J n Z X R D b 2 x 1 b W 4 i I F Z h b H V l P S J s M T c i I C 8 + P E V u d H J 5 I F R 5 c G U 9 I l J l Y 2 9 2 Z X J 5 V G F y Z 2 V 0 U m 9 3 I i B W Y W x 1 Z T 0 i b D M i I C 8 + P E V u d H J 5 I F R 5 c G U 9 I k Z p b G x U Y X J n Z X Q i I F Z h b H V l P S J z d m F j d X V t X 1 9 z d G V w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M V Q x M D o 0 O T o 1 N i 4 x N z U 5 M z M 1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N 1 d W 0 g K H N 0 Z X A g M S k v Q X V 0 b 1 J l b W 9 2 Z W R D b 2 x 1 b W 5 z M S 5 7 Q 2 9 s d W 1 u M S w w f S Z x d W 9 0 O y w m c X V v d D t T Z W N 0 a W 9 u M S 9 2 Y W N 1 d W 0 g K H N 0 Z X A g M S k v Q X V 0 b 1 J l b W 9 2 Z W R D b 2 x 1 b W 5 z M S 5 7 Q 2 9 s d W 1 u M i w x f S Z x d W 9 0 O y w m c X V v d D t T Z W N 0 a W 9 u M S 9 2 Y W N 1 d W 0 g K H N 0 Z X A g M S k v Q X V 0 b 1 J l b W 9 2 Z W R D b 2 x 1 b W 5 z M S 5 7 Q 2 9 s d W 1 u M y w y f S Z x d W 9 0 O y w m c X V v d D t T Z W N 0 a W 9 u M S 9 2 Y W N 1 d W 0 g K H N 0 Z X A g M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N 1 d W 0 g K H N 0 Z X A g M S k v Q X V 0 b 1 J l b W 9 2 Z W R D b 2 x 1 b W 5 z M S 5 7 Q 2 9 s d W 1 u M S w w f S Z x d W 9 0 O y w m c X V v d D t T Z W N 0 a W 9 u M S 9 2 Y W N 1 d W 0 g K H N 0 Z X A g M S k v Q X V 0 b 1 J l b W 9 2 Z W R D b 2 x 1 b W 5 z M S 5 7 Q 2 9 s d W 1 u M i w x f S Z x d W 9 0 O y w m c X V v d D t T Z W N 0 a W 9 u M S 9 2 Y W N 1 d W 0 g K H N 0 Z X A g M S k v Q X V 0 b 1 J l b W 9 2 Z W R D b 2 x 1 b W 5 z M S 5 7 Q 2 9 s d W 1 u M y w y f S Z x d W 9 0 O y w m c X V v d D t T Z W N 0 a W 9 u M S 9 2 Y W N 1 d W 0 g K H N 0 Z X A g M S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j d X V t J T I w K H N 0 Z X A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F N w a G V y a W N h b C I g L z 4 8 R W 5 0 c n k g V H l w Z T 0 i U m V j b 3 Z l c n l U Y X J n Z X R D b 2 x 1 b W 4 i I F Z h b H V l P S J s M T c i I C 8 + P E V u d H J 5 I F R 5 c G U 9 I l J l Y 2 9 2 Z X J 5 V G F y Z 2 V 0 U m 9 3 I i B W Y W x 1 Z T 0 i b D E w I i A v P j x F b n R y e S B U e X B l P S J G a W x s V G F y Z 2 V 0 I i B W Y W x 1 Z T 0 i c 3 Z h Y 3 V 1 b V 9 f c 3 R l c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F U M T A 6 N T A 6 N D Q u M D Q 2 N z k z N V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j d X V t I C h z d G V w I D I p L 0 F 1 d G 9 S Z W 1 v d m V k Q 2 9 s d W 1 u c z E u e 0 N v b H V t b j E s M H 0 m c X V v d D s s J n F 1 b 3 Q 7 U 2 V j d G l v b j E v d m F j d X V t I C h z d G V w I D I p L 0 F 1 d G 9 S Z W 1 v d m V k Q 2 9 s d W 1 u c z E u e 0 N v b H V t b j I s M X 0 m c X V v d D s s J n F 1 b 3 Q 7 U 2 V j d G l v b j E v d m F j d X V t I C h z d G V w I D I p L 0 F 1 d G 9 S Z W 1 v d m V k Q 2 9 s d W 1 u c z E u e 0 N v b H V t b j M s M n 0 m c X V v d D s s J n F 1 b 3 Q 7 U 2 V j d G l v b j E v d m F j d X V t I C h z d G V w I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j d X V t I C h z d G V w I D I p L 0 F 1 d G 9 S Z W 1 v d m V k Q 2 9 s d W 1 u c z E u e 0 N v b H V t b j E s M H 0 m c X V v d D s s J n F 1 b 3 Q 7 U 2 V j d G l v b j E v d m F j d X V t I C h z d G V w I D I p L 0 F 1 d G 9 S Z W 1 v d m V k Q 2 9 s d W 1 u c z E u e 0 N v b H V t b j I s M X 0 m c X V v d D s s J n F 1 b 3 Q 7 U 2 V j d G l v b j E v d m F j d X V t I C h z d G V w I D I p L 0 F 1 d G 9 S Z W 1 v d m V k Q 2 9 s d W 1 u c z E u e 0 N v b H V t b j M s M n 0 m c X V v d D s s J n F 1 b 3 Q 7 U 2 V j d G l v b j E v d m F j d X V t I C h z d G V w I D I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Y 3 V 1 b S U y M C h z d G V w J T I w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T c G h l c m l j Y W w i I C 8 + P E V u d H J 5 I F R 5 c G U 9 I l J l Y 2 9 2 Z X J 5 V G F y Z 2 V 0 Q 2 9 s d W 1 u I i B W Y W x 1 Z T 0 i b D E 3 I i A v P j x F b n R y e S B U e X B l P S J S Z W N v d m V y e V R h c m d l d F J v d y I g V m F s d W U 9 I m w x N y I g L z 4 8 R W 5 0 c n k g V H l w Z T 0 i R m l s b F R h c m d l d C I g V m F s d W U 9 I n N 2 Y W N 1 d W 1 f X 3 N 0 Z X B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x V D E w O j U x O j E 2 L j Y w N j g 2 M j J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Y 3 V 1 b S A o c 3 R l c C A z K S 9 B d X R v U m V t b 3 Z l Z E N v b H V t b n M x L n t D b 2 x 1 b W 4 x L D B 9 J n F 1 b 3 Q 7 L C Z x d W 9 0 O 1 N l Y 3 R p b 2 4 x L 3 Z h Y 3 V 1 b S A o c 3 R l c C A z K S 9 B d X R v U m V t b 3 Z l Z E N v b H V t b n M x L n t D b 2 x 1 b W 4 y L D F 9 J n F 1 b 3 Q 7 L C Z x d W 9 0 O 1 N l Y 3 R p b 2 4 x L 3 Z h Y 3 V 1 b S A o c 3 R l c C A z K S 9 B d X R v U m V t b 3 Z l Z E N v b H V t b n M x L n t D b 2 x 1 b W 4 z L D J 9 J n F 1 b 3 Q 7 L C Z x d W 9 0 O 1 N l Y 3 R p b 2 4 x L 3 Z h Y 3 V 1 b S A o c 3 R l c C A z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Y 3 V 1 b S A o c 3 R l c C A z K S 9 B d X R v U m V t b 3 Z l Z E N v b H V t b n M x L n t D b 2 x 1 b W 4 x L D B 9 J n F 1 b 3 Q 7 L C Z x d W 9 0 O 1 N l Y 3 R p b 2 4 x L 3 Z h Y 3 V 1 b S A o c 3 R l c C A z K S 9 B d X R v U m V t b 3 Z l Z E N v b H V t b n M x L n t D b 2 x 1 b W 4 y L D F 9 J n F 1 b 3 Q 7 L C Z x d W 9 0 O 1 N l Y 3 R p b 2 4 x L 3 Z h Y 3 V 1 b S A o c 3 R l c C A z K S 9 B d X R v U m V t b 3 Z l Z E N v b H V t b n M x L n t D b 2 x 1 b W 4 z L D J 9 J n F 1 b 3 Q 7 L C Z x d W 9 0 O 1 N l Y 3 R p b 2 4 x L 3 Z h Y 3 V 1 b S A o c 3 R l c C A z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N 1 d W 0 l M j A o c 3 R l c C U y M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U 3 B o Z X J p Y 2 F s I i A v P j x F b n R y e S B U e X B l P S J S Z W N v d m V y e V R h c m d l d E N v b H V t b i I g V m F s d W U 9 I m w x N y I g L z 4 8 R W 5 0 c n k g V H l w Z T 0 i U m V j b 3 Z l c n l U Y X J n Z X R S b 3 c i I F Z h b H V l P S J s M j Q i I C 8 + P E V u d H J 5 I F R 5 c G U 9 I k Z p b G x U Y X J n Z X Q i I F Z h b H V l P S J z d m F j d X V t X 1 9 z d G V w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M V Q x M D o 1 M T o 0 N C 4 2 M D A 0 M j M x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N 1 d W 0 g K H N 0 Z X A g N C k v Q X V 0 b 1 J l b W 9 2 Z W R D b 2 x 1 b W 5 z M S 5 7 Q 2 9 s d W 1 u M S w w f S Z x d W 9 0 O y w m c X V v d D t T Z W N 0 a W 9 u M S 9 2 Y W N 1 d W 0 g K H N 0 Z X A g N C k v Q X V 0 b 1 J l b W 9 2 Z W R D b 2 x 1 b W 5 z M S 5 7 Q 2 9 s d W 1 u M i w x f S Z x d W 9 0 O y w m c X V v d D t T Z W N 0 a W 9 u M S 9 2 Y W N 1 d W 0 g K H N 0 Z X A g N C k v Q X V 0 b 1 J l b W 9 2 Z W R D b 2 x 1 b W 5 z M S 5 7 Q 2 9 s d W 1 u M y w y f S Z x d W 9 0 O y w m c X V v d D t T Z W N 0 a W 9 u M S 9 2 Y W N 1 d W 0 g K H N 0 Z X A g N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N 1 d W 0 g K H N 0 Z X A g N C k v Q X V 0 b 1 J l b W 9 2 Z W R D b 2 x 1 b W 5 z M S 5 7 Q 2 9 s d W 1 u M S w w f S Z x d W 9 0 O y w m c X V v d D t T Z W N 0 a W 9 u M S 9 2 Y W N 1 d W 0 g K H N 0 Z X A g N C k v Q X V 0 b 1 J l b W 9 2 Z W R D b 2 x 1 b W 5 z M S 5 7 Q 2 9 s d W 1 u M i w x f S Z x d W 9 0 O y w m c X V v d D t T Z W N 0 a W 9 u M S 9 2 Y W N 1 d W 0 g K H N 0 Z X A g N C k v Q X V 0 b 1 J l b W 9 2 Z W R D b 2 x 1 b W 5 z M S 5 7 Q 2 9 s d W 1 u M y w y f S Z x d W 9 0 O y w m c X V v d D t T Z W N 0 a W 9 u M S 9 2 Y W N 1 d W 0 g K H N 0 Z X A g N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j d X V t J T I w K H N 0 Z X A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j d X V t J T I w K H N 0 Z X A l M j A 0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T c G h l c m l j Y W w i I C 8 + P E V u d H J 5 I F R 5 c G U 9 I l J l Y 2 9 2 Z X J 5 V G F y Z 2 V 0 Q 2 9 s d W 1 u I i B W Y W x 1 Z T 0 i b D E 3 I i A v P j x F b n R y e S B U e X B l P S J S Z W N v d m V y e V R h c m d l d F J v d y I g V m F s d W U 9 I m w z M S I g L z 4 8 R W 5 0 c n k g V H l w Z T 0 i R m l s b F R h c m d l d C I g V m F s d W U 9 I n N 2 Y W N 1 d W 1 f X 3 N 0 Z X B f N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F U M T A 6 N T I 6 M D c u O T c z N D M w O F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j d X V t I C h z d G V w I D Q g M S k v Q X V 0 b 1 J l b W 9 2 Z W R D b 2 x 1 b W 5 z M S 5 7 Q 2 9 s d W 1 u M S w w f S Z x d W 9 0 O y w m c X V v d D t T Z W N 0 a W 9 u M S 9 2 Y W N 1 d W 0 g K H N 0 Z X A g N C A x K S 9 B d X R v U m V t b 3 Z l Z E N v b H V t b n M x L n t D b 2 x 1 b W 4 y L D F 9 J n F 1 b 3 Q 7 L C Z x d W 9 0 O 1 N l Y 3 R p b 2 4 x L 3 Z h Y 3 V 1 b S A o c 3 R l c C A 0 I D E p L 0 F 1 d G 9 S Z W 1 v d m V k Q 2 9 s d W 1 u c z E u e 0 N v b H V t b j M s M n 0 m c X V v d D s s J n F 1 b 3 Q 7 U 2 V j d G l v b j E v d m F j d X V t I C h z d G V w I D Q g M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N 1 d W 0 g K H N 0 Z X A g N C A x K S 9 B d X R v U m V t b 3 Z l Z E N v b H V t b n M x L n t D b 2 x 1 b W 4 x L D B 9 J n F 1 b 3 Q 7 L C Z x d W 9 0 O 1 N l Y 3 R p b 2 4 x L 3 Z h Y 3 V 1 b S A o c 3 R l c C A 0 I D E p L 0 F 1 d G 9 S Z W 1 v d m V k Q 2 9 s d W 1 u c z E u e 0 N v b H V t b j I s M X 0 m c X V v d D s s J n F 1 b 3 Q 7 U 2 V j d G l v b j E v d m F j d X V t I C h z d G V w I D Q g M S k v Q X V 0 b 1 J l b W 9 2 Z W R D b 2 x 1 b W 5 z M S 5 7 Q 2 9 s d W 1 u M y w y f S Z x d W 9 0 O y w m c X V v d D t T Z W N 0 a W 9 u M S 9 2 Y W N 1 d W 0 g K H N 0 Z X A g N C A x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N 1 d W 0 l M j A o c 3 R l c C U y M D Q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Q l M j A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T c G h l c m l j Y W w i I C 8 + P E V u d H J 5 I F R 5 c G U 9 I l J l Y 2 9 2 Z X J 5 V G F y Z 2 V 0 Q 2 9 s d W 1 u I i B W Y W x 1 Z T 0 i b D E 3 I i A v P j x F b n R y e S B U e X B l P S J S Z W N v d m V y e V R h c m d l d F J v d y I g V m F s d W U 9 I m w z O C I g L z 4 8 R W 5 0 c n k g V H l w Z T 0 i R m l s b F R h c m d l d C I g V m F s d W U 9 I n N 2 Y W N 1 d W 1 f X 3 N 0 Z X B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x V D E w O j U y O j M z L j U 5 N j A y N z R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Y 3 V 1 b S A o c 3 R l c C A 1 K S 9 B d X R v U m V t b 3 Z l Z E N v b H V t b n M x L n t D b 2 x 1 b W 4 x L D B 9 J n F 1 b 3 Q 7 L C Z x d W 9 0 O 1 N l Y 3 R p b 2 4 x L 3 Z h Y 3 V 1 b S A o c 3 R l c C A 1 K S 9 B d X R v U m V t b 3 Z l Z E N v b H V t b n M x L n t D b 2 x 1 b W 4 y L D F 9 J n F 1 b 3 Q 7 L C Z x d W 9 0 O 1 N l Y 3 R p b 2 4 x L 3 Z h Y 3 V 1 b S A o c 3 R l c C A 1 K S 9 B d X R v U m V t b 3 Z l Z E N v b H V t b n M x L n t D b 2 x 1 b W 4 z L D J 9 J n F 1 b 3 Q 7 L C Z x d W 9 0 O 1 N l Y 3 R p b 2 4 x L 3 Z h Y 3 V 1 b S A o c 3 R l c C A 1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Y 3 V 1 b S A o c 3 R l c C A 1 K S 9 B d X R v U m V t b 3 Z l Z E N v b H V t b n M x L n t D b 2 x 1 b W 4 x L D B 9 J n F 1 b 3 Q 7 L C Z x d W 9 0 O 1 N l Y 3 R p b 2 4 x L 3 Z h Y 3 V 1 b S A o c 3 R l c C A 1 K S 9 B d X R v U m V t b 3 Z l Z E N v b H V t b n M x L n t D b 2 x 1 b W 4 y L D F 9 J n F 1 b 3 Q 7 L C Z x d W 9 0 O 1 N l Y 3 R p b 2 4 x L 3 Z h Y 3 V 1 b S A o c 3 R l c C A 1 K S 9 B d X R v U m V t b 3 Z l Z E N v b H V t b n M x L n t D b 2 x 1 b W 4 z L D J 9 J n F 1 b 3 Q 7 L C Z x d W 9 0 O 1 N l Y 3 R p b 2 4 x L 3 Z h Y 3 V 1 b S A o c 3 R l c C A 1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N 1 d W 0 l M j A o c 3 R l c C U y M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N 1 d W 0 l M j A o c 3 R l c C U y M D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F N w a G V y a W N h b C I g L z 4 8 R W 5 0 c n k g V H l w Z T 0 i U m V j b 3 Z l c n l U Y X J n Z X R D b 2 x 1 b W 4 i I F Z h b H V l P S J s M T c i I C 8 + P E V u d H J 5 I F R 5 c G U 9 I l J l Y 2 9 2 Z X J 5 V G F y Z 2 V 0 U m 9 3 I i B W Y W x 1 Z T 0 i b D Q 1 I i A v P j x F b n R y e S B U e X B l P S J G a W x s V G F y Z 2 V 0 I i B W Y W x 1 Z T 0 i c 3 Z h Y 3 V 1 b V 9 f c 3 R l c F 8 1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M V Q x M D o 1 M j o 1 N i 4 x M T g x M z c x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N 1 d W 0 g K H N 0 Z X A g N S A x K S 9 B d X R v U m V t b 3 Z l Z E N v b H V t b n M x L n t D b 2 x 1 b W 4 x L D B 9 J n F 1 b 3 Q 7 L C Z x d W 9 0 O 1 N l Y 3 R p b 2 4 x L 3 Z h Y 3 V 1 b S A o c 3 R l c C A 1 I D E p L 0 F 1 d G 9 S Z W 1 v d m V k Q 2 9 s d W 1 u c z E u e 0 N v b H V t b j I s M X 0 m c X V v d D s s J n F 1 b 3 Q 7 U 2 V j d G l v b j E v d m F j d X V t I C h z d G V w I D U g M S k v Q X V 0 b 1 J l b W 9 2 Z W R D b 2 x 1 b W 5 z M S 5 7 Q 2 9 s d W 1 u M y w y f S Z x d W 9 0 O y w m c X V v d D t T Z W N 0 a W 9 u M S 9 2 Y W N 1 d W 0 g K H N 0 Z X A g N S A x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Y 3 V 1 b S A o c 3 R l c C A 1 I D E p L 0 F 1 d G 9 S Z W 1 v d m V k Q 2 9 s d W 1 u c z E u e 0 N v b H V t b j E s M H 0 m c X V v d D s s J n F 1 b 3 Q 7 U 2 V j d G l v b j E v d m F j d X V t I C h z d G V w I D U g M S k v Q X V 0 b 1 J l b W 9 2 Z W R D b 2 x 1 b W 5 z M S 5 7 Q 2 9 s d W 1 u M i w x f S Z x d W 9 0 O y w m c X V v d D t T Z W N 0 a W 9 u M S 9 2 Y W N 1 d W 0 g K H N 0 Z X A g N S A x K S 9 B d X R v U m V t b 3 Z l Z E N v b H V t b n M x L n t D b 2 x 1 b W 4 z L D J 9 J n F 1 b 3 Q 7 L C Z x d W 9 0 O 1 N l Y 3 R p b 2 4 x L 3 Z h Y 3 V 1 b S A o c 3 R l c C A 1 I D E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Y 3 V 1 b S U y M C h z d G V w J T I w N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Y 3 V 1 b S U y M C h z d G V w J T I w N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N S U y M D E p J T I w K D I l M j A 4 N 2 0 p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2 l 0 a G 9 1 d F 9 3 a W 5 k b 3 d f X 3 N 0 Z X B f N V 8 x X 1 9 f M l 8 4 N 2 1 f X 1 8 y M T A 2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A 6 M j Y 6 M T M u M z I z O D E 5 N V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h v d X Q g d 2 l u Z G 9 3 I C h z d G V w I D U g M S k g K D I g O D d t K S A o M i k v Q X V 0 b 1 J l b W 9 2 Z W R D b 2 x 1 b W 5 z M S 5 7 Q 2 9 s d W 1 u M S w w f S Z x d W 9 0 O y w m c X V v d D t T Z W N 0 a W 9 u M S 9 3 a X R o b 3 V 0 I H d p b m R v d y A o c 3 R l c C A 1 I D E p I C g y I D g 3 b S k g K D I p L 0 F 1 d G 9 S Z W 1 v d m V k Q 2 9 s d W 1 u c z E u e 0 N v b H V t b j I s M X 0 m c X V v d D s s J n F 1 b 3 Q 7 U 2 V j d G l v b j E v d 2 l 0 a G 9 1 d C B 3 a W 5 k b 3 c g K H N 0 Z X A g N S A x K S A o M i A 4 N 2 0 p I C g y K S 9 B d X R v U m V t b 3 Z l Z E N v b H V t b n M x L n t D b 2 x 1 b W 4 z L D J 9 J n F 1 b 3 Q 7 L C Z x d W 9 0 O 1 N l Y 3 R p b 2 4 x L 3 d p d G h v d X Q g d 2 l u Z G 9 3 I C h z d G V w I D U g M S k g K D I g O D d t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X R o b 3 V 0 I H d p b m R v d y A o c 3 R l c C A 1 I D E p I C g y I D g 3 b S k g K D I p L 0 F 1 d G 9 S Z W 1 v d m V k Q 2 9 s d W 1 u c z E u e 0 N v b H V t b j E s M H 0 m c X V v d D s s J n F 1 b 3 Q 7 U 2 V j d G l v b j E v d 2 l 0 a G 9 1 d C B 3 a W 5 k b 3 c g K H N 0 Z X A g N S A x K S A o M i A 4 N 2 0 p I C g y K S 9 B d X R v U m V t b 3 Z l Z E N v b H V t b n M x L n t D b 2 x 1 b W 4 y L D F 9 J n F 1 b 3 Q 7 L C Z x d W 9 0 O 1 N l Y 3 R p b 2 4 x L 3 d p d G h v d X Q g d 2 l u Z G 9 3 I C h z d G V w I D U g M S k g K D I g O D d t K S A o M i k v Q X V 0 b 1 J l b W 9 2 Z W R D b 2 x 1 b W 5 z M S 5 7 Q 2 9 s d W 1 u M y w y f S Z x d W 9 0 O y w m c X V v d D t T Z W N 0 a W 9 u M S 9 3 a X R o b 3 V 0 I H d p b m R v d y A o c 3 R l c C A 1 I D E p I C g y I D g 3 b S k g K D I p L 0 F 1 d G 9 S Z W 1 v d m V k Q 2 9 s d W 1 u c z E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p d G h v d X Q l M j B 3 a W 5 k b 3 c l M j A o c 3 R l c C U y M D U l M j A x K S U y M C g y J T I w O D d t K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J T I w d 2 l u Z G 9 3 J T I w K H N 0 Z X A l M j A 1 J T I w M S k l M j A o M i U y M D g 3 b S k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J T I w d 2 l u Z G 9 3 J T I w K H N 0 Z X A l M j A 1 K S U y M C g y J T I w O D d t K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p d G h v d X R f d 2 l u Z G 9 3 X 1 9 z d G V w X z V f X 1 8 y X z g 3 b V 9 f X z I x M D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D o y N T o 1 M i 4 4 O D Q 5 N T M 3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0 a G 9 1 d C B 3 a W 5 k b 3 c g K H N 0 Z X A g N S k g K D I g O D d t K S A o M i k v Q X V 0 b 1 J l b W 9 2 Z W R D b 2 x 1 b W 5 z M S 5 7 Q 2 9 s d W 1 u M S w w f S Z x d W 9 0 O y w m c X V v d D t T Z W N 0 a W 9 u M S 9 3 a X R o b 3 V 0 I H d p b m R v d y A o c 3 R l c C A 1 K S A o M i A 4 N 2 0 p I C g y K S 9 B d X R v U m V t b 3 Z l Z E N v b H V t b n M x L n t D b 2 x 1 b W 4 y L D F 9 J n F 1 b 3 Q 7 L C Z x d W 9 0 O 1 N l Y 3 R p b 2 4 x L 3 d p d G h v d X Q g d 2 l u Z G 9 3 I C h z d G V w I D U p I C g y I D g 3 b S k g K D I p L 0 F 1 d G 9 S Z W 1 v d m V k Q 2 9 s d W 1 u c z E u e 0 N v b H V t b j M s M n 0 m c X V v d D s s J n F 1 b 3 Q 7 U 2 V j d G l v b j E v d 2 l 0 a G 9 1 d C B 3 a W 5 k b 3 c g K H N 0 Z X A g N S k g K D I g O D d t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X R o b 3 V 0 I H d p b m R v d y A o c 3 R l c C A 1 K S A o M i A 4 N 2 0 p I C g y K S 9 B d X R v U m V t b 3 Z l Z E N v b H V t b n M x L n t D b 2 x 1 b W 4 x L D B 9 J n F 1 b 3 Q 7 L C Z x d W 9 0 O 1 N l Y 3 R p b 2 4 x L 3 d p d G h v d X Q g d 2 l u Z G 9 3 I C h z d G V w I D U p I C g y I D g 3 b S k g K D I p L 0 F 1 d G 9 S Z W 1 v d m V k Q 2 9 s d W 1 u c z E u e 0 N v b H V t b j I s M X 0 m c X V v d D s s J n F 1 b 3 Q 7 U 2 V j d G l v b j E v d 2 l 0 a G 9 1 d C B 3 a W 5 k b 3 c g K H N 0 Z X A g N S k g K D I g O D d t K S A o M i k v Q X V 0 b 1 J l b W 9 2 Z W R D b 2 x 1 b W 5 z M S 5 7 Q 2 9 s d W 1 u M y w y f S Z x d W 9 0 O y w m c X V v d D t T Z W N 0 a W 9 u M S 9 3 a X R o b 3 V 0 I H d p b m R v d y A o c 3 R l c C A 1 K S A o M i A 4 N 2 0 p I C g y K S 9 B d X R v U m V t b 3 Z l Z E N v b H V t b n M x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a X R o b 3 V 0 J T I w d 2 l u Z G 9 3 J T I w K H N 0 Z X A l M j A 1 K S U y M C g y J T I w O D d t K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J T I w d 2 l u Z G 9 3 J T I w K H N 0 Z X A l M j A 1 K S U y M C g y J T I w O D d t K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Q l M j A x K S U y M C g y J T I w N T h t K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p d G h v d X R f d 2 l u Z G 9 3 X 1 9 z d G V w X z R f M V 9 f X z J f N T h t X 1 9 f M j E w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w O j I 1 O j I 4 L j M 5 M T Y 3 N D V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b 3 V 0 I H d p b m R v d y A o c 3 R l c C A 0 I D E p I C g y I D U 4 b S k g K D I p L 0 F 1 d G 9 S Z W 1 v d m V k Q 2 9 s d W 1 u c z E u e 0 N v b H V t b j E s M H 0 m c X V v d D s s J n F 1 b 3 Q 7 U 2 V j d G l v b j E v d 2 l 0 a G 9 1 d C B 3 a W 5 k b 3 c g K H N 0 Z X A g N C A x K S A o M i A 1 O G 0 p I C g y K S 9 B d X R v U m V t b 3 Z l Z E N v b H V t b n M x L n t D b 2 x 1 b W 4 y L D F 9 J n F 1 b 3 Q 7 L C Z x d W 9 0 O 1 N l Y 3 R p b 2 4 x L 3 d p d G h v d X Q g d 2 l u Z G 9 3 I C h z d G V w I D Q g M S k g K D I g N T h t K S A o M i k v Q X V 0 b 1 J l b W 9 2 Z W R D b 2 x 1 b W 5 z M S 5 7 Q 2 9 s d W 1 u M y w y f S Z x d W 9 0 O y w m c X V v d D t T Z W N 0 a W 9 u M S 9 3 a X R o b 3 V 0 I H d p b m R v d y A o c 3 R l c C A 0 I D E p I C g y I D U 4 b S k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G 9 1 d C B 3 a W 5 k b 3 c g K H N 0 Z X A g N C A x K S A o M i A 1 O G 0 p I C g y K S 9 B d X R v U m V t b 3 Z l Z E N v b H V t b n M x L n t D b 2 x 1 b W 4 x L D B 9 J n F 1 b 3 Q 7 L C Z x d W 9 0 O 1 N l Y 3 R p b 2 4 x L 3 d p d G h v d X Q g d 2 l u Z G 9 3 I C h z d G V w I D Q g M S k g K D I g N T h t K S A o M i k v Q X V 0 b 1 J l b W 9 2 Z W R D b 2 x 1 b W 5 z M S 5 7 Q 2 9 s d W 1 u M i w x f S Z x d W 9 0 O y w m c X V v d D t T Z W N 0 a W 9 u M S 9 3 a X R o b 3 V 0 I H d p b m R v d y A o c 3 R l c C A 0 I D E p I C g y I D U 4 b S k g K D I p L 0 F 1 d G 9 S Z W 1 v d m V k Q 2 9 s d W 1 u c z E u e 0 N v b H V t b j M s M n 0 m c X V v d D s s J n F 1 b 3 Q 7 U 2 V j d G l v b j E v d 2 l 0 a G 9 1 d C B 3 a W 5 k b 3 c g K H N 0 Z X A g N C A x K S A o M i A 1 O G 0 p I C g y K S 9 B d X R v U m V t b 3 Z l Z E N v b H V t b n M x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a X R o b 3 V 0 J T I w d 2 l u Z G 9 3 J T I w K H N 0 Z X A l M j A 0 J T I w M S k l M j A o M i U y M D U 4 b S k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N C U y M D E p J T I w K D I l M j A 1 O G 0 p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N C k l M j A o M i U y M D U 4 b S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3 a X R o b 3 V 0 X 3 d p b m R v d 1 9 f c 3 R l c F 8 0 X 1 9 f M l 8 1 O G 1 f X 1 8 y M T A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A 6 M j U 6 M D c u N j M 0 O T k w N F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h v d X Q g d 2 l u Z G 9 3 I C h z d G V w I D Q p I C g y I D U 4 b S k g K D I p L 0 F 1 d G 9 S Z W 1 v d m V k Q 2 9 s d W 1 u c z E u e 0 N v b H V t b j E s M H 0 m c X V v d D s s J n F 1 b 3 Q 7 U 2 V j d G l v b j E v d 2 l 0 a G 9 1 d C B 3 a W 5 k b 3 c g K H N 0 Z X A g N C k g K D I g N T h t K S A o M i k v Q X V 0 b 1 J l b W 9 2 Z W R D b 2 x 1 b W 5 z M S 5 7 Q 2 9 s d W 1 u M i w x f S Z x d W 9 0 O y w m c X V v d D t T Z W N 0 a W 9 u M S 9 3 a X R o b 3 V 0 I H d p b m R v d y A o c 3 R l c C A 0 K S A o M i A 1 O G 0 p I C g y K S 9 B d X R v U m V t b 3 Z l Z E N v b H V t b n M x L n t D b 2 x 1 b W 4 z L D J 9 J n F 1 b 3 Q 7 L C Z x d W 9 0 O 1 N l Y 3 R p b 2 4 x L 3 d p d G h v d X Q g d 2 l u Z G 9 3 I C h z d G V w I D Q p I C g y I D U 4 b S k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l 0 a G 9 1 d C B 3 a W 5 k b 3 c g K H N 0 Z X A g N C k g K D I g N T h t K S A o M i k v Q X V 0 b 1 J l b W 9 2 Z W R D b 2 x 1 b W 5 z M S 5 7 Q 2 9 s d W 1 u M S w w f S Z x d W 9 0 O y w m c X V v d D t T Z W N 0 a W 9 u M S 9 3 a X R o b 3 V 0 I H d p b m R v d y A o c 3 R l c C A 0 K S A o M i A 1 O G 0 p I C g y K S 9 B d X R v U m V t b 3 Z l Z E N v b H V t b n M x L n t D b 2 x 1 b W 4 y L D F 9 J n F 1 b 3 Q 7 L C Z x d W 9 0 O 1 N l Y 3 R p b 2 4 x L 3 d p d G h v d X Q g d 2 l u Z G 9 3 I C h z d G V w I D Q p I C g y I D U 4 b S k g K D I p L 0 F 1 d G 9 S Z W 1 v d m V k Q 2 9 s d W 1 u c z E u e 0 N v b H V t b j M s M n 0 m c X V v d D s s J n F 1 b 3 Q 7 U 2 V j d G l v b j E v d 2 l 0 a G 9 1 d C B 3 a W 5 k b 3 c g K H N 0 Z X A g N C k g K D I g N T h t K S A o M i k v Q X V 0 b 1 J l b W 9 2 Z W R D b 2 x 1 b W 5 z M S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l 0 a G 9 1 d C U y M H d p b m R v d y U y M C h z d G V w J T I w N C k l M j A o M i U y M D U 4 b S k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N C k l M j A o M i U y M D U 4 b S k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J T I w d 2 l u Z G 9 3 J T I w K H N 0 Z X A l M j A z K S U y M C g y J T I w M j h t K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p d G h v d X R f d 2 l u Z G 9 3 X 1 9 z d G V w X z N f X 1 8 y X z I 4 b V 9 f X z I x M D I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x M D o y N D o 0 M y 4 z N j U 5 M T k x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0 a G 9 1 d C B 3 a W 5 k b 3 c g K H N 0 Z X A g M y k g K D I g M j h t K S A o M i k v Q X V 0 b 1 J l b W 9 2 Z W R D b 2 x 1 b W 5 z M S 5 7 Q 2 9 s d W 1 u M S w w f S Z x d W 9 0 O y w m c X V v d D t T Z W N 0 a W 9 u M S 9 3 a X R o b 3 V 0 I H d p b m R v d y A o c 3 R l c C A z K S A o M i A y O G 0 p I C g y K S 9 B d X R v U m V t b 3 Z l Z E N v b H V t b n M x L n t D b 2 x 1 b W 4 y L D F 9 J n F 1 b 3 Q 7 L C Z x d W 9 0 O 1 N l Y 3 R p b 2 4 x L 3 d p d G h v d X Q g d 2 l u Z G 9 3 I C h z d G V w I D M p I C g y I D I 4 b S k g K D I p L 0 F 1 d G 9 S Z W 1 v d m V k Q 2 9 s d W 1 u c z E u e 0 N v b H V t b j M s M n 0 m c X V v d D s s J n F 1 b 3 Q 7 U 2 V j d G l v b j E v d 2 l 0 a G 9 1 d C B 3 a W 5 k b 3 c g K H N 0 Z X A g M y k g K D I g M j h t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X R o b 3 V 0 I H d p b m R v d y A o c 3 R l c C A z K S A o M i A y O G 0 p I C g y K S 9 B d X R v U m V t b 3 Z l Z E N v b H V t b n M x L n t D b 2 x 1 b W 4 x L D B 9 J n F 1 b 3 Q 7 L C Z x d W 9 0 O 1 N l Y 3 R p b 2 4 x L 3 d p d G h v d X Q g d 2 l u Z G 9 3 I C h z d G V w I D M p I C g y I D I 4 b S k g K D I p L 0 F 1 d G 9 S Z W 1 v d m V k Q 2 9 s d W 1 u c z E u e 0 N v b H V t b j I s M X 0 m c X V v d D s s J n F 1 b 3 Q 7 U 2 V j d G l v b j E v d 2 l 0 a G 9 1 d C B 3 a W 5 k b 3 c g K H N 0 Z X A g M y k g K D I g M j h t K S A o M i k v Q X V 0 b 1 J l b W 9 2 Z W R D b 2 x 1 b W 5 z M S 5 7 Q 2 9 s d W 1 u M y w y f S Z x d W 9 0 O y w m c X V v d D t T Z W N 0 a W 9 u M S 9 3 a X R o b 3 V 0 I H d p b m R v d y A o c 3 R l c C A z K S A o M i A y O G 0 p I C g y K S 9 B d X R v U m V t b 3 Z l Z E N v b H V t b n M x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a X R o b 3 V 0 J T I w d 2 l u Z G 9 3 J T I w K H N 0 Z X A l M j A z K S U y M C g y J T I w M j h t K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J T I w d 2 l u Z G 9 3 J T I w K H N 0 Z X A l M j A z K S U y M C g y J T I w M j h t K S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I p J T I w K D E l M j A 5 O W 0 p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2 l 0 a G 9 1 d F 9 3 a W 5 k b 3 d f X 3 N 0 Z X B f M l 9 f X z F f O T l t X 1 9 f M j E w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E w O j I 0 O j I y L j U 5 M T g w M T h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X R o b 3 V 0 I H d p b m R v d y A o c 3 R l c C A y K S A o M S A 5 O W 0 p I C g y K S 9 B d X R v U m V t b 3 Z l Z E N v b H V t b n M x L n t D b 2 x 1 b W 4 x L D B 9 J n F 1 b 3 Q 7 L C Z x d W 9 0 O 1 N l Y 3 R p b 2 4 x L 3 d p d G h v d X Q g d 2 l u Z G 9 3 I C h z d G V w I D I p I C g x I D k 5 b S k g K D I p L 0 F 1 d G 9 S Z W 1 v d m V k Q 2 9 s d W 1 u c z E u e 0 N v b H V t b j I s M X 0 m c X V v d D s s J n F 1 b 3 Q 7 U 2 V j d G l v b j E v d 2 l 0 a G 9 1 d C B 3 a W 5 k b 3 c g K H N 0 Z X A g M i k g K D E g O T l t K S A o M i k v Q X V 0 b 1 J l b W 9 2 Z W R D b 2 x 1 b W 5 z M S 5 7 Q 2 9 s d W 1 u M y w y f S Z x d W 9 0 O y w m c X V v d D t T Z W N 0 a W 9 u M S 9 3 a X R o b 3 V 0 I H d p b m R v d y A o c 3 R l c C A y K S A o M S A 5 O W 0 p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p d G h v d X Q g d 2 l u Z G 9 3 I C h z d G V w I D I p I C g x I D k 5 b S k g K D I p L 0 F 1 d G 9 S Z W 1 v d m V k Q 2 9 s d W 1 u c z E u e 0 N v b H V t b j E s M H 0 m c X V v d D s s J n F 1 b 3 Q 7 U 2 V j d G l v b j E v d 2 l 0 a G 9 1 d C B 3 a W 5 k b 3 c g K H N 0 Z X A g M i k g K D E g O T l t K S A o M i k v Q X V 0 b 1 J l b W 9 2 Z W R D b 2 x 1 b W 5 z M S 5 7 Q 2 9 s d W 1 u M i w x f S Z x d W 9 0 O y w m c X V v d D t T Z W N 0 a W 9 u M S 9 3 a X R o b 3 V 0 I H d p b m R v d y A o c 3 R l c C A y K S A o M S A 5 O W 0 p I C g y K S 9 B d X R v U m V t b 3 Z l Z E N v b H V t b n M x L n t D b 2 x 1 b W 4 z L D J 9 J n F 1 b 3 Q 7 L C Z x d W 9 0 O 1 N l Y 3 R p b 2 4 x L 3 d p d G h v d X Q g d 2 l u Z G 9 3 I C h z d G V w I D I p I C g x I D k 5 b S k g K D I p L 0 F 1 d G 9 S Z W 1 v d m V k Q 2 9 s d W 1 u c z E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p d G h v d X Q l M j B 3 a W 5 k b 3 c l M j A o c 3 R l c C U y M D I p J T I w K D E l M j A 5 O W 0 p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Q l M j B 3 a W 5 k b 3 c l M j A o c 3 R l c C U y M D I p J T I w K D E l M j A 5 O W 0 p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M S k l M j A o M S U y M D d t K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d p d G h v d X R f d 2 l u Z G 9 3 X 1 9 z d G V w X z F f X 1 8 x X z d t X 1 9 f M z U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T A 6 M j M 6 N D k u M z k 4 N j g y M V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d G h v d X Q g d 2 l u Z G 9 3 I C h z d G V w I D E p I C g x I D d t K S A o M y k v Q X V 0 b 1 J l b W 9 2 Z W R D b 2 x 1 b W 5 z M S 5 7 Q 2 9 s d W 1 u M S w w f S Z x d W 9 0 O y w m c X V v d D t T Z W N 0 a W 9 u M S 9 3 a X R o b 3 V 0 I H d p b m R v d y A o c 3 R l c C A x K S A o M S A 3 b S k g K D M p L 0 F 1 d G 9 S Z W 1 v d m V k Q 2 9 s d W 1 u c z E u e 0 N v b H V t b j I s M X 0 m c X V v d D s s J n F 1 b 3 Q 7 U 2 V j d G l v b j E v d 2 l 0 a G 9 1 d C B 3 a W 5 k b 3 c g K H N 0 Z X A g M S k g K D E g N 2 0 p I C g z K S 9 B d X R v U m V t b 3 Z l Z E N v b H V t b n M x L n t D b 2 x 1 b W 4 z L D J 9 J n F 1 b 3 Q 7 L C Z x d W 9 0 O 1 N l Y 3 R p b 2 4 x L 3 d p d G h v d X Q g d 2 l u Z G 9 3 I C h z d G V w I D E p I C g x I D d t K S A o M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X R o b 3 V 0 I H d p b m R v d y A o c 3 R l c C A x K S A o M S A 3 b S k g K D M p L 0 F 1 d G 9 S Z W 1 v d m V k Q 2 9 s d W 1 u c z E u e 0 N v b H V t b j E s M H 0 m c X V v d D s s J n F 1 b 3 Q 7 U 2 V j d G l v b j E v d 2 l 0 a G 9 1 d C B 3 a W 5 k b 3 c g K H N 0 Z X A g M S k g K D E g N 2 0 p I C g z K S 9 B d X R v U m V t b 3 Z l Z E N v b H V t b n M x L n t D b 2 x 1 b W 4 y L D F 9 J n F 1 b 3 Q 7 L C Z x d W 9 0 O 1 N l Y 3 R p b 2 4 x L 3 d p d G h v d X Q g d 2 l u Z G 9 3 I C h z d G V w I D E p I C g x I D d t K S A o M y k v Q X V 0 b 1 J l b W 9 2 Z W R D b 2 x 1 b W 5 z M S 5 7 Q 2 9 s d W 1 u M y w y f S Z x d W 9 0 O y w m c X V v d D t T Z W N 0 a W 9 u M S 9 3 a X R o b 3 V 0 I H d p b m R v d y A o c 3 R l c C A x K S A o M S A 3 b S k g K D M p L 0 F 1 d G 9 S Z W 1 v d m V k Q 2 9 s d W 1 u c z E u e 0 N v b H V t b j Q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p d G h v d X Q l M j B 3 a W 5 k b 3 c l M j A o c 3 R l c C U y M D E p J T I w K D E l M j A 3 b S k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0 a G 9 1 d C U y M H d p b m R v d y U y M C h z d G V w J T I w M S k l M j A o M S U y M D d t K S U y M C g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d G g l M j B 3 a W 5 k b 3 c l M j A o c 3 R l c C U y M D E p J T I w K F N B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F N w a G V y a W N h b C A o U 0 E p I i A v P j x F b n R y e S B U e X B l P S J S Z W N v d m V y e V R h c m d l d E N v b H V t b i I g V m F s d W U 9 I m w 3 I i A v P j x F b n R y e S B U e X B l P S J S Z W N v d m V y e V R h c m d l d F J v d y I g V m F s d W U 9 I m w z I i A v P j x F b n R y e S B U e X B l P S J G a W x s V G F y Z 2 V 0 I i B W Y W x 1 Z T 0 i c 1 d p d G h f d 2 l u Z G 9 3 X 1 9 z d G V w X z F f X 1 9 T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w V D E z O j M x O j M 2 L j I y N D A 2 N T F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d G g g d 2 l u Z G 9 3 I C h z d G V w I D E p I C h T Q S k v Q X V 0 b 1 J l b W 9 2 Z W R D b 2 x 1 b W 5 z M S 5 7 Q 2 9 s d W 1 u M S w w f S Z x d W 9 0 O y w m c X V v d D t T Z W N 0 a W 9 u M S 9 X a X R o I H d p b m R v d y A o c 3 R l c C A x K S A o U 0 E p L 0 F 1 d G 9 S Z W 1 v d m V k Q 2 9 s d W 1 u c z E u e 0 N v b H V t b j I s M X 0 m c X V v d D s s J n F 1 b 3 Q 7 U 2 V j d G l v b j E v V 2 l 0 a C B 3 a W 5 k b 3 c g K H N 0 Z X A g M S k g K F N B K S 9 B d X R v U m V t b 3 Z l Z E N v b H V t b n M x L n t D b 2 x 1 b W 4 z L D J 9 J n F 1 b 3 Q 7 L C Z x d W 9 0 O 1 N l Y 3 R p b 2 4 x L 1 d p d G g g d 2 l u Z G 9 3 I C h z d G V w I D E p I C h T Q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a X R o I H d p b m R v d y A o c 3 R l c C A x K S A o U 0 E p L 0 F 1 d G 9 S Z W 1 v d m V k Q 2 9 s d W 1 u c z E u e 0 N v b H V t b j E s M H 0 m c X V v d D s s J n F 1 b 3 Q 7 U 2 V j d G l v b j E v V 2 l 0 a C B 3 a W 5 k b 3 c g K H N 0 Z X A g M S k g K F N B K S 9 B d X R v U m V t b 3 Z l Z E N v b H V t b n M x L n t D b 2 x 1 b W 4 y L D F 9 J n F 1 b 3 Q 7 L C Z x d W 9 0 O 1 N l Y 3 R p b 2 4 x L 1 d p d G g g d 2 l u Z G 9 3 I C h z d G V w I D E p I C h T Q S k v Q X V 0 b 1 J l b W 9 2 Z W R D b 2 x 1 b W 5 z M S 5 7 Q 2 9 s d W 1 u M y w y f S Z x d W 9 0 O y w m c X V v d D t T Z W N 0 a W 9 u M S 9 X a X R o I H d p b m R v d y A o c 3 R l c C A x K S A o U 0 E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d G g l M j B 3 a W 5 k b 3 c l M j A o c 3 R l c C U y M D E p J T I w K F N B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X R o J T I w d 2 l u Z G 9 3 J T I w K H N 0 Z X A l M j A x K S U y M C h T Q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X R o J T I w d 2 l u Z G 9 3 J T I w K H N 0 Z X A l M j A y K S U y M C h T Q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T c G h l c m l j Y W w g K F N B K S I g L z 4 8 R W 5 0 c n k g V H l w Z T 0 i U m V j b 3 Z l c n l U Y X J n Z X R D b 2 x 1 b W 4 i I F Z h b H V l P S J s N y I g L z 4 8 R W 5 0 c n k g V H l w Z T 0 i U m V j b 3 Z l c n l U Y X J n Z X R S b 3 c i I F Z h b H V l P S J s M T A i I C 8 + P E V u d H J 5 I F R 5 c G U 9 I k Z p b G x U Y X J n Z X Q i I F Z h b H V l P S J z V 2 l 0 a F 9 3 a W 5 k b 3 d f X 3 N 0 Z X B f M l 9 f X 1 N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B U M T M 6 M z I 6 M D E u N D g w O D Q y M V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0 a C B 3 a W 5 k b 3 c g K H N 0 Z X A g M i k g K F N B K S 9 B d X R v U m V t b 3 Z l Z E N v b H V t b n M x L n t D b 2 x 1 b W 4 x L D B 9 J n F 1 b 3 Q 7 L C Z x d W 9 0 O 1 N l Y 3 R p b 2 4 x L 1 d p d G g g d 2 l u Z G 9 3 I C h z d G V w I D I p I C h T Q S k v Q X V 0 b 1 J l b W 9 2 Z W R D b 2 x 1 b W 5 z M S 5 7 Q 2 9 s d W 1 u M i w x f S Z x d W 9 0 O y w m c X V v d D t T Z W N 0 a W 9 u M S 9 X a X R o I H d p b m R v d y A o c 3 R l c C A y K S A o U 0 E p L 0 F 1 d G 9 S Z W 1 v d m V k Q 2 9 s d W 1 u c z E u e 0 N v b H V t b j M s M n 0 m c X V v d D s s J n F 1 b 3 Q 7 U 2 V j d G l v b j E v V 2 l 0 a C B 3 a W 5 k b 3 c g K H N 0 Z X A g M i k g K F N B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d p d G g g d 2 l u Z G 9 3 I C h z d G V w I D I p I C h T Q S k v Q X V 0 b 1 J l b W 9 2 Z W R D b 2 x 1 b W 5 z M S 5 7 Q 2 9 s d W 1 u M S w w f S Z x d W 9 0 O y w m c X V v d D t T Z W N 0 a W 9 u M S 9 X a X R o I H d p b m R v d y A o c 3 R l c C A y K S A o U 0 E p L 0 F 1 d G 9 S Z W 1 v d m V k Q 2 9 s d W 1 u c z E u e 0 N v b H V t b j I s M X 0 m c X V v d D s s J n F 1 b 3 Q 7 U 2 V j d G l v b j E v V 2 l 0 a C B 3 a W 5 k b 3 c g K H N 0 Z X A g M i k g K F N B K S 9 B d X R v U m V t b 3 Z l Z E N v b H V t b n M x L n t D b 2 x 1 b W 4 z L D J 9 J n F 1 b 3 Q 7 L C Z x d W 9 0 O 1 N l Y 3 R p b 2 4 x L 1 d p d G g g d 2 l u Z G 9 3 I C h z d G V w I D I p I C h T Q S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l 0 a C U y M H d p b m R v d y U y M C h z d G V w J T I w M i k l M j A o U 0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d G g l M j B 3 a W 5 k b 3 c l M j A o c 3 R l c C U y M D I p J T I w K F N B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d G g l M j B 3 a W 5 k b 3 c l M j A o c 3 R l c C U y M D M p J T I w K F N B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F N w a G V y a W N h b C A o U 0 E p I i A v P j x F b n R y e S B U e X B l P S J S Z W N v d m V y e V R h c m d l d E N v b H V t b i I g V m F s d W U 9 I m w 3 I i A v P j x F b n R y e S B U e X B l P S J S Z W N v d m V y e V R h c m d l d F J v d y I g V m F s d W U 9 I m w x N y I g L z 4 8 R W 5 0 c n k g V H l w Z T 0 i R m l s b F R h c m d l d C I g V m F s d W U 9 I n N X a X R o X 3 d p b m R v d 1 9 f c 3 R l c F 8 z X 1 9 f U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M F Q x M z o z M j o y N y 4 2 M z M w N j E 5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X R o I H d p b m R v d y A o c 3 R l c C A z K S A o U 0 E p L 0 F 1 d G 9 S Z W 1 v d m V k Q 2 9 s d W 1 u c z E u e 0 N v b H V t b j E s M H 0 m c X V v d D s s J n F 1 b 3 Q 7 U 2 V j d G l v b j E v V 2 l 0 a C B 3 a W 5 k b 3 c g K H N 0 Z X A g M y k g K F N B K S 9 B d X R v U m V t b 3 Z l Z E N v b H V t b n M x L n t D b 2 x 1 b W 4 y L D F 9 J n F 1 b 3 Q 7 L C Z x d W 9 0 O 1 N l Y 3 R p b 2 4 x L 1 d p d G g g d 2 l u Z G 9 3 I C h z d G V w I D M p I C h T Q S k v Q X V 0 b 1 J l b W 9 2 Z W R D b 2 x 1 b W 5 z M S 5 7 Q 2 9 s d W 1 u M y w y f S Z x d W 9 0 O y w m c X V v d D t T Z W N 0 a W 9 u M S 9 X a X R o I H d p b m R v d y A o c 3 R l c C A z K S A o U 0 E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2 l 0 a C B 3 a W 5 k b 3 c g K H N 0 Z X A g M y k g K F N B K S 9 B d X R v U m V t b 3 Z l Z E N v b H V t b n M x L n t D b 2 x 1 b W 4 x L D B 9 J n F 1 b 3 Q 7 L C Z x d W 9 0 O 1 N l Y 3 R p b 2 4 x L 1 d p d G g g d 2 l u Z G 9 3 I C h z d G V w I D M p I C h T Q S k v Q X V 0 b 1 J l b W 9 2 Z W R D b 2 x 1 b W 5 z M S 5 7 Q 2 9 s d W 1 u M i w x f S Z x d W 9 0 O y w m c X V v d D t T Z W N 0 a W 9 u M S 9 X a X R o I H d p b m R v d y A o c 3 R l c C A z K S A o U 0 E p L 0 F 1 d G 9 S Z W 1 v d m V k Q 2 9 s d W 1 u c z E u e 0 N v b H V t b j M s M n 0 m c X V v d D s s J n F 1 b 3 Q 7 U 2 V j d G l v b j E v V 2 l 0 a C B 3 a W 5 k b 3 c g K H N 0 Z X A g M y k g K F N B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X R o J T I w d 2 l u Z G 9 3 J T I w K H N 0 Z X A l M j A z K S U y M C h T Q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0 a C U y M H d p b m R v d y U y M C h z d G V w J T I w M y k l M j A o U 0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0 a C U y M H d p b m R v d y U y M C h z d G V w J T I w N C k l M j A o U 0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U 3 B o Z X J p Y 2 F s I C h T Q S k i I C 8 + P E V u d H J 5 I F R 5 c G U 9 I l J l Y 2 9 2 Z X J 5 V G F y Z 2 V 0 Q 2 9 s d W 1 u I i B W Y W x 1 Z T 0 i b D c i I C 8 + P E V u d H J 5 I F R 5 c G U 9 I l J l Y 2 9 2 Z X J 5 V G F y Z 2 V 0 U m 9 3 I i B W Y W x 1 Z T 0 i b D I 0 I i A v P j x F b n R y e S B U e X B l P S J G a W x s V G F y Z 2 V 0 I i B W Y W x 1 Z T 0 i c 1 d p d G h f d 2 l u Z G 9 3 X 1 9 z d G V w X z R f X 1 9 T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w V D E z O j M y O j U 0 L j M x O D k y N j V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d G g g d 2 l u Z G 9 3 I C h z d G V w I D Q p I C h T Q S k v Q X V 0 b 1 J l b W 9 2 Z W R D b 2 x 1 b W 5 z M S 5 7 Q 2 9 s d W 1 u M S w w f S Z x d W 9 0 O y w m c X V v d D t T Z W N 0 a W 9 u M S 9 X a X R o I H d p b m R v d y A o c 3 R l c C A 0 K S A o U 0 E p L 0 F 1 d G 9 S Z W 1 v d m V k Q 2 9 s d W 1 u c z E u e 0 N v b H V t b j I s M X 0 m c X V v d D s s J n F 1 b 3 Q 7 U 2 V j d G l v b j E v V 2 l 0 a C B 3 a W 5 k b 3 c g K H N 0 Z X A g N C k g K F N B K S 9 B d X R v U m V t b 3 Z l Z E N v b H V t b n M x L n t D b 2 x 1 b W 4 z L D J 9 J n F 1 b 3 Q 7 L C Z x d W 9 0 O 1 N l Y 3 R p b 2 4 x L 1 d p d G g g d 2 l u Z G 9 3 I C h z d G V w I D Q p I C h T Q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a X R o I H d p b m R v d y A o c 3 R l c C A 0 K S A o U 0 E p L 0 F 1 d G 9 S Z W 1 v d m V k Q 2 9 s d W 1 u c z E u e 0 N v b H V t b j E s M H 0 m c X V v d D s s J n F 1 b 3 Q 7 U 2 V j d G l v b j E v V 2 l 0 a C B 3 a W 5 k b 3 c g K H N 0 Z X A g N C k g K F N B K S 9 B d X R v U m V t b 3 Z l Z E N v b H V t b n M x L n t D b 2 x 1 b W 4 y L D F 9 J n F 1 b 3 Q 7 L C Z x d W 9 0 O 1 N l Y 3 R p b 2 4 x L 1 d p d G g g d 2 l u Z G 9 3 I C h z d G V w I D Q p I C h T Q S k v Q X V 0 b 1 J l b W 9 2 Z W R D b 2 x 1 b W 5 z M S 5 7 Q 2 9 s d W 1 u M y w y f S Z x d W 9 0 O y w m c X V v d D t T Z W N 0 a W 9 u M S 9 X a X R o I H d p b m R v d y A o c 3 R l c C A 0 K S A o U 0 E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d G g l M j B 3 a W 5 k b 3 c l M j A o c 3 R l c C U y M D Q p J T I w K F N B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X R o J T I w d 2 l u Z G 9 3 J T I w K H N 0 Z X A l M j A 0 K S U y M C h T Q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X R o J T I w d 2 l u Z G 9 3 J T I w K H N 0 Z X A l M j A 0 J T I w M S k l M j A o U 0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U 3 B o Z X J p Y 2 F s I C h T Q S k i I C 8 + P E V u d H J 5 I F R 5 c G U 9 I l J l Y 2 9 2 Z X J 5 V G F y Z 2 V 0 Q 2 9 s d W 1 u I i B W Y W x 1 Z T 0 i b D c i I C 8 + P E V u d H J 5 I F R 5 c G U 9 I l J l Y 2 9 2 Z X J 5 V G F y Z 2 V 0 U m 9 3 I i B W Y W x 1 Z T 0 i b D M x I i A v P j x F b n R y e S B U e X B l P S J G a W x s V G F y Z 2 V 0 I i B W Y W x 1 Z T 0 i c 1 d p d G h f d 2 l u Z G 9 3 X 1 9 z d G V w X z R f M V 9 f X 1 N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B U M T M 6 M z M 6 M z I u N T M y M z A 4 N V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2 l 0 a C B 3 a W 5 k b 3 c g K H N 0 Z X A g N C A x K S A o U 0 E p L 0 F 1 d G 9 S Z W 1 v d m V k Q 2 9 s d W 1 u c z E u e 0 N v b H V t b j E s M H 0 m c X V v d D s s J n F 1 b 3 Q 7 U 2 V j d G l v b j E v V 2 l 0 a C B 3 a W 5 k b 3 c g K H N 0 Z X A g N C A x K S A o U 0 E p L 0 F 1 d G 9 S Z W 1 v d m V k Q 2 9 s d W 1 u c z E u e 0 N v b H V t b j I s M X 0 m c X V v d D s s J n F 1 b 3 Q 7 U 2 V j d G l v b j E v V 2 l 0 a C B 3 a W 5 k b 3 c g K H N 0 Z X A g N C A x K S A o U 0 E p L 0 F 1 d G 9 S Z W 1 v d m V k Q 2 9 s d W 1 u c z E u e 0 N v b H V t b j M s M n 0 m c X V v d D s s J n F 1 b 3 Q 7 U 2 V j d G l v b j E v V 2 l 0 a C B 3 a W 5 k b 3 c g K H N 0 Z X A g N C A x K S A o U 0 E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2 l 0 a C B 3 a W 5 k b 3 c g K H N 0 Z X A g N C A x K S A o U 0 E p L 0 F 1 d G 9 S Z W 1 v d m V k Q 2 9 s d W 1 u c z E u e 0 N v b H V t b j E s M H 0 m c X V v d D s s J n F 1 b 3 Q 7 U 2 V j d G l v b j E v V 2 l 0 a C B 3 a W 5 k b 3 c g K H N 0 Z X A g N C A x K S A o U 0 E p L 0 F 1 d G 9 S Z W 1 v d m V k Q 2 9 s d W 1 u c z E u e 0 N v b H V t b j I s M X 0 m c X V v d D s s J n F 1 b 3 Q 7 U 2 V j d G l v b j E v V 2 l 0 a C B 3 a W 5 k b 3 c g K H N 0 Z X A g N C A x K S A o U 0 E p L 0 F 1 d G 9 S Z W 1 v d m V k Q 2 9 s d W 1 u c z E u e 0 N v b H V t b j M s M n 0 m c X V v d D s s J n F 1 b 3 Q 7 U 2 V j d G l v b j E v V 2 l 0 a C B 3 a W 5 k b 3 c g K H N 0 Z X A g N C A x K S A o U 0 E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p d G g l M j B 3 a W 5 k b 3 c l M j A o c 3 R l c C U y M D Q l M j A x K S U y M C h T Q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0 a C U y M H d p b m R v d y U y M C h z d G V w J T I w N C U y M D E p J T I w K F N B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d G g l M j B 3 a W 5 k b 3 c l M j A o U 3 R l c C U y M D U p J T I w K F N B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F N w a G V y a W N h b C A o U 0 E p I i A v P j x F b n R y e S B U e X B l P S J S Z W N v d m V y e V R h c m d l d E N v b H V t b i I g V m F s d W U 9 I m w 3 I i A v P j x F b n R y e S B U e X B l P S J S Z W N v d m V y e V R h c m d l d F J v d y I g V m F s d W U 9 I m w z O C I g L z 4 8 R W 5 0 c n k g V H l w Z T 0 i R m l s b F R h c m d l d C I g V m F s d W U 9 I n N X a X R o X 3 d p b m R v d 1 9 f U 3 R l c F 8 1 X 1 9 f U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M F Q x M z o z N D o w M C 4 z M T c 1 M j g 2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X R o I H d p b m R v d y A o U 3 R l c C A 1 K S A o U 0 E p L 0 F 1 d G 9 S Z W 1 v d m V k Q 2 9 s d W 1 u c z E u e 0 N v b H V t b j E s M H 0 m c X V v d D s s J n F 1 b 3 Q 7 U 2 V j d G l v b j E v V 2 l 0 a C B 3 a W 5 k b 3 c g K F N 0 Z X A g N S k g K F N B K S 9 B d X R v U m V t b 3 Z l Z E N v b H V t b n M x L n t D b 2 x 1 b W 4 y L D F 9 J n F 1 b 3 Q 7 L C Z x d W 9 0 O 1 N l Y 3 R p b 2 4 x L 1 d p d G g g d 2 l u Z G 9 3 I C h T d G V w I D U p I C h T Q S k v Q X V 0 b 1 J l b W 9 2 Z W R D b 2 x 1 b W 5 z M S 5 7 Q 2 9 s d W 1 u M y w y f S Z x d W 9 0 O y w m c X V v d D t T Z W N 0 a W 9 u M S 9 X a X R o I H d p b m R v d y A o U 3 R l c C A 1 K S A o U 0 E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2 l 0 a C B 3 a W 5 k b 3 c g K F N 0 Z X A g N S k g K F N B K S 9 B d X R v U m V t b 3 Z l Z E N v b H V t b n M x L n t D b 2 x 1 b W 4 x L D B 9 J n F 1 b 3 Q 7 L C Z x d W 9 0 O 1 N l Y 3 R p b 2 4 x L 1 d p d G g g d 2 l u Z G 9 3 I C h T d G V w I D U p I C h T Q S k v Q X V 0 b 1 J l b W 9 2 Z W R D b 2 x 1 b W 5 z M S 5 7 Q 2 9 s d W 1 u M i w x f S Z x d W 9 0 O y w m c X V v d D t T Z W N 0 a W 9 u M S 9 X a X R o I H d p b m R v d y A o U 3 R l c C A 1 K S A o U 0 E p L 0 F 1 d G 9 S Z W 1 v d m V k Q 2 9 s d W 1 u c z E u e 0 N v b H V t b j M s M n 0 m c X V v d D s s J n F 1 b 3 Q 7 U 2 V j d G l v b j E v V 2 l 0 a C B 3 a W 5 k b 3 c g K F N 0 Z X A g N S k g K F N B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X R o J T I w d 2 l u Z G 9 3 J T I w K F N 0 Z X A l M j A 1 K S U y M C h T Q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0 a C U y M H d p b m R v d y U y M C h T d G V w J T I w N S k l M j A o U 0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l 0 a C U y M H d p b m R v d y U y M C h z d G V w J T I w N S U y M D E p J T I w K F N B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F N w a G V y a W N h b C A o U 0 E p I i A v P j x F b n R y e S B U e X B l P S J S Z W N v d m V y e V R h c m d l d E N v b H V t b i I g V m F s d W U 9 I m w 3 I i A v P j x F b n R y e S B U e X B l P S J S Z W N v d m V y e V R h c m d l d F J v d y I g V m F s d W U 9 I m w 0 N S I g L z 4 8 R W 5 0 c n k g V H l w Z T 0 i R m l s b F R h c m d l d C I g V m F s d W U 9 I n N X a X R o X 3 d p b m R v d 1 9 f c 3 R l c F 8 1 X z F f X 1 9 T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w V D E z O j M 0 O j I 3 L j E 1 M z M x N D d a I i A v P j x F b n R y e S B U e X B l P S J G a W x s Q 2 9 s d W 1 u V H l w Z X M i I F Z h b H V l P S J z Q m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p d G g g d 2 l u Z G 9 3 I C h z d G V w I D U g M S k g K F N B K S 9 B d X R v U m V t b 3 Z l Z E N v b H V t b n M x L n t D b 2 x 1 b W 4 x L D B 9 J n F 1 b 3 Q 7 L C Z x d W 9 0 O 1 N l Y 3 R p b 2 4 x L 1 d p d G g g d 2 l u Z G 9 3 I C h z d G V w I D U g M S k g K F N B K S 9 B d X R v U m V t b 3 Z l Z E N v b H V t b n M x L n t D b 2 x 1 b W 4 y L D F 9 J n F 1 b 3 Q 7 L C Z x d W 9 0 O 1 N l Y 3 R p b 2 4 x L 1 d p d G g g d 2 l u Z G 9 3 I C h z d G V w I D U g M S k g K F N B K S 9 B d X R v U m V t b 3 Z l Z E N v b H V t b n M x L n t D b 2 x 1 b W 4 z L D J 9 J n F 1 b 3 Q 7 L C Z x d W 9 0 O 1 N l Y 3 R p b 2 4 x L 1 d p d G g g d 2 l u Z G 9 3 I C h z d G V w I D U g M S k g K F N B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d p d G g g d 2 l u Z G 9 3 I C h z d G V w I D U g M S k g K F N B K S 9 B d X R v U m V t b 3 Z l Z E N v b H V t b n M x L n t D b 2 x 1 b W 4 x L D B 9 J n F 1 b 3 Q 7 L C Z x d W 9 0 O 1 N l Y 3 R p b 2 4 x L 1 d p d G g g d 2 l u Z G 9 3 I C h z d G V w I D U g M S k g K F N B K S 9 B d X R v U m V t b 3 Z l Z E N v b H V t b n M x L n t D b 2 x 1 b W 4 y L D F 9 J n F 1 b 3 Q 7 L C Z x d W 9 0 O 1 N l Y 3 R p b 2 4 x L 1 d p d G g g d 2 l u Z G 9 3 I C h z d G V w I D U g M S k g K F N B K S 9 B d X R v U m V t b 3 Z l Z E N v b H V t b n M x L n t D b 2 x 1 b W 4 z L D J 9 J n F 1 b 3 Q 7 L C Z x d W 9 0 O 1 N l Y 3 R p b 2 4 x L 1 d p d G g g d 2 l u Z G 9 3 I C h z d G V w I D U g M S k g K F N B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a X R o J T I w d 2 l u Z G 9 3 J T I w K H N 0 Z X A l M j A 1 J T I w M S k l M j A o U 0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p d G g l M j B 3 a W 5 k b 3 c l M j A o c 3 R l c C U y M D U l M j A x K S U y M C h T Q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1 d W 0 l M j A o c 3 R l c C U y M D E p J T I w K F N B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F N w a G V y a W N h b C A o U 0 E p I i A v P j x F b n R y e S B U e X B l P S J S Z W N v d m V y e V R h c m d l d E N v b H V t b i I g V m F s d W U 9 I m w x M i I g L z 4 8 R W 5 0 c n k g V H l w Z T 0 i U m V j b 3 Z l c n l U Y X J n Z X R S b 3 c i I F Z h b H V l P S J s M y I g L z 4 8 R W 5 0 c n k g V H l w Z T 0 i R m l s b F R h c m d l d C I g V m F s d W U 9 I n N W Y W N 1 d W 1 f X 3 N 0 Z X B f M V 9 f X 1 N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B U M T M 6 M z U 6 M T M u N j g 2 M j Y 5 M l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j d X V t I C h z d G V w I D E p I C h T Q S k v Q X V 0 b 1 J l b W 9 2 Z W R D b 2 x 1 b W 5 z M S 5 7 Q 2 9 s d W 1 u M S w w f S Z x d W 9 0 O y w m c X V v d D t T Z W N 0 a W 9 u M S 9 W Y W N 1 d W 0 g K H N 0 Z X A g M S k g K F N B K S 9 B d X R v U m V t b 3 Z l Z E N v b H V t b n M x L n t D b 2 x 1 b W 4 y L D F 9 J n F 1 b 3 Q 7 L C Z x d W 9 0 O 1 N l Y 3 R p b 2 4 x L 1 Z h Y 3 V 1 b S A o c 3 R l c C A x K S A o U 0 E p L 0 F 1 d G 9 S Z W 1 v d m V k Q 2 9 s d W 1 u c z E u e 0 N v b H V t b j M s M n 0 m c X V v d D s s J n F 1 b 3 Q 7 U 2 V j d G l v b j E v V m F j d X V t I C h z d G V w I D E p I C h T Q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Y W N 1 d W 0 g K H N 0 Z X A g M S k g K F N B K S 9 B d X R v U m V t b 3 Z l Z E N v b H V t b n M x L n t D b 2 x 1 b W 4 x L D B 9 J n F 1 b 3 Q 7 L C Z x d W 9 0 O 1 N l Y 3 R p b 2 4 x L 1 Z h Y 3 V 1 b S A o c 3 R l c C A x K S A o U 0 E p L 0 F 1 d G 9 S Z W 1 v d m V k Q 2 9 s d W 1 u c z E u e 0 N v b H V t b j I s M X 0 m c X V v d D s s J n F 1 b 3 Q 7 U 2 V j d G l v b j E v V m F j d X V t I C h z d G V w I D E p I C h T Q S k v Q X V 0 b 1 J l b W 9 2 Z W R D b 2 x 1 b W 5 z M S 5 7 Q 2 9 s d W 1 u M y w y f S Z x d W 9 0 O y w m c X V v d D t T Z W N 0 a W 9 u M S 9 W Y W N 1 d W 0 g K H N 0 Z X A g M S k g K F N B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N 1 d W 0 l M j A o c 3 R l c C U y M D E p J T I w K F N B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1 d W 0 l M j A o c 3 R l c C U y M D E p J T I w K F N B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Y 3 V 1 b S U y M C h z d G V w J T I w M i k l M j A o U 0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U 3 B o Z X J p Y 2 F s I C h T Q S k i I C 8 + P E V u d H J 5 I F R 5 c G U 9 I l J l Y 2 9 2 Z X J 5 V G F y Z 2 V 0 Q 2 9 s d W 1 u I i B W Y W x 1 Z T 0 i b D E y I i A v P j x F b n R y e S B U e X B l P S J S Z W N v d m V y e V R h c m d l d F J v d y I g V m F s d W U 9 I m w x M C I g L z 4 8 R W 5 0 c n k g V H l w Z T 0 i R m l s b F R h c m d l d C I g V m F s d W U 9 I n N W Y W N 1 d W 1 f X 3 N 0 Z X B f M l 9 f X 1 N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B U M T M 6 M z U 6 N T A u M T M z M T E 2 N 1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j d X V t I C h z d G V w I D I p I C h T Q S k v Q X V 0 b 1 J l b W 9 2 Z W R D b 2 x 1 b W 5 z M S 5 7 Q 2 9 s d W 1 u M S w w f S Z x d W 9 0 O y w m c X V v d D t T Z W N 0 a W 9 u M S 9 W Y W N 1 d W 0 g K H N 0 Z X A g M i k g K F N B K S 9 B d X R v U m V t b 3 Z l Z E N v b H V t b n M x L n t D b 2 x 1 b W 4 y L D F 9 J n F 1 b 3 Q 7 L C Z x d W 9 0 O 1 N l Y 3 R p b 2 4 x L 1 Z h Y 3 V 1 b S A o c 3 R l c C A y K S A o U 0 E p L 0 F 1 d G 9 S Z W 1 v d m V k Q 2 9 s d W 1 u c z E u e 0 N v b H V t b j M s M n 0 m c X V v d D s s J n F 1 b 3 Q 7 U 2 V j d G l v b j E v V m F j d X V t I C h z d G V w I D I p I C h T Q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Y W N 1 d W 0 g K H N 0 Z X A g M i k g K F N B K S 9 B d X R v U m V t b 3 Z l Z E N v b H V t b n M x L n t D b 2 x 1 b W 4 x L D B 9 J n F 1 b 3 Q 7 L C Z x d W 9 0 O 1 N l Y 3 R p b 2 4 x L 1 Z h Y 3 V 1 b S A o c 3 R l c C A y K S A o U 0 E p L 0 F 1 d G 9 S Z W 1 v d m V k Q 2 9 s d W 1 u c z E u e 0 N v b H V t b j I s M X 0 m c X V v d D s s J n F 1 b 3 Q 7 U 2 V j d G l v b j E v V m F j d X V t I C h z d G V w I D I p I C h T Q S k v Q X V 0 b 1 J l b W 9 2 Z W R D b 2 x 1 b W 5 z M S 5 7 Q 2 9 s d W 1 u M y w y f S Z x d W 9 0 O y w m c X V v d D t T Z W N 0 a W 9 u M S 9 W Y W N 1 d W 0 g K H N 0 Z X A g M i k g K F N B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N 1 d W 0 l M j A o c 3 R l c C U y M D I p J T I w K F N B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1 d W 0 l M j A o c 3 R l c C U y M D I p J T I w K F N B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Y 3 V 1 b S U y M C h z d G V w J T I w M y k l M j A o U 0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U 3 B o Z X J p Y 2 F s I C h T Q S k i I C 8 + P E V u d H J 5 I F R 5 c G U 9 I l J l Y 2 9 2 Z X J 5 V G F y Z 2 V 0 Q 2 9 s d W 1 u I i B W Y W x 1 Z T 0 i b D E y I i A v P j x F b n R y e S B U e X B l P S J S Z W N v d m V y e V R h c m d l d F J v d y I g V m F s d W U 9 I m w x N y I g L z 4 8 R W 5 0 c n k g V H l w Z T 0 i R m l s b F R h c m d l d C I g V m F s d W U 9 I n N W Y W N 1 d W 1 f X 3 N 0 Z X B f M 1 9 f X 1 N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B U M T M 6 M z Y 6 M T Q u M z U w N T c y O V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j d X V t I C h z d G V w I D M p I C h T Q S k v Q X V 0 b 1 J l b W 9 2 Z W R D b 2 x 1 b W 5 z M S 5 7 Q 2 9 s d W 1 u M S w w f S Z x d W 9 0 O y w m c X V v d D t T Z W N 0 a W 9 u M S 9 W Y W N 1 d W 0 g K H N 0 Z X A g M y k g K F N B K S 9 B d X R v U m V t b 3 Z l Z E N v b H V t b n M x L n t D b 2 x 1 b W 4 y L D F 9 J n F 1 b 3 Q 7 L C Z x d W 9 0 O 1 N l Y 3 R p b 2 4 x L 1 Z h Y 3 V 1 b S A o c 3 R l c C A z K S A o U 0 E p L 0 F 1 d G 9 S Z W 1 v d m V k Q 2 9 s d W 1 u c z E u e 0 N v b H V t b j M s M n 0 m c X V v d D s s J n F 1 b 3 Q 7 U 2 V j d G l v b j E v V m F j d X V t I C h z d G V w I D M p I C h T Q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Y W N 1 d W 0 g K H N 0 Z X A g M y k g K F N B K S 9 B d X R v U m V t b 3 Z l Z E N v b H V t b n M x L n t D b 2 x 1 b W 4 x L D B 9 J n F 1 b 3 Q 7 L C Z x d W 9 0 O 1 N l Y 3 R p b 2 4 x L 1 Z h Y 3 V 1 b S A o c 3 R l c C A z K S A o U 0 E p L 0 F 1 d G 9 S Z W 1 v d m V k Q 2 9 s d W 1 u c z E u e 0 N v b H V t b j I s M X 0 m c X V v d D s s J n F 1 b 3 Q 7 U 2 V j d G l v b j E v V m F j d X V t I C h z d G V w I D M p I C h T Q S k v Q X V 0 b 1 J l b W 9 2 Z W R D b 2 x 1 b W 5 z M S 5 7 Q 2 9 s d W 1 u M y w y f S Z x d W 9 0 O y w m c X V v d D t T Z W N 0 a W 9 u M S 9 W Y W N 1 d W 0 g K H N 0 Z X A g M y k g K F N B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N 1 d W 0 l M j A o c 3 R l c C U y M D M p J T I w K F N B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1 d W 0 l M j A o c 3 R l c C U y M D M p J T I w K F N B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Y 3 V 1 b S U y M C h z d G V w J T I w N C k l M j A o U 0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U 3 B o Z X J p Y 2 F s I C h T Q S k i I C 8 + P E V u d H J 5 I F R 5 c G U 9 I l J l Y 2 9 2 Z X J 5 V G F y Z 2 V 0 Q 2 9 s d W 1 u I i B W Y W x 1 Z T 0 i b D E y I i A v P j x F b n R y e S B U e X B l P S J S Z W N v d m V y e V R h c m d l d F J v d y I g V m F s d W U 9 I m w y N C I g L z 4 8 R W 5 0 c n k g V H l w Z T 0 i R m l s b F R h c m d l d C I g V m F s d W U 9 I n N W Y W N 1 d W 1 f X 3 N 0 Z X B f N F 9 f X 1 N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B U M T M 6 M z Y 6 N D A u O T A w N D k 3 M V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j d X V t I C h z d G V w I D Q p I C h T Q S k v Q X V 0 b 1 J l b W 9 2 Z W R D b 2 x 1 b W 5 z M S 5 7 Q 2 9 s d W 1 u M S w w f S Z x d W 9 0 O y w m c X V v d D t T Z W N 0 a W 9 u M S 9 W Y W N 1 d W 0 g K H N 0 Z X A g N C k g K F N B K S 9 B d X R v U m V t b 3 Z l Z E N v b H V t b n M x L n t D b 2 x 1 b W 4 y L D F 9 J n F 1 b 3 Q 7 L C Z x d W 9 0 O 1 N l Y 3 R p b 2 4 x L 1 Z h Y 3 V 1 b S A o c 3 R l c C A 0 K S A o U 0 E p L 0 F 1 d G 9 S Z W 1 v d m V k Q 2 9 s d W 1 u c z E u e 0 N v b H V t b j M s M n 0 m c X V v d D s s J n F 1 b 3 Q 7 U 2 V j d G l v b j E v V m F j d X V t I C h z d G V w I D Q p I C h T Q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Y W N 1 d W 0 g K H N 0 Z X A g N C k g K F N B K S 9 B d X R v U m V t b 3 Z l Z E N v b H V t b n M x L n t D b 2 x 1 b W 4 x L D B 9 J n F 1 b 3 Q 7 L C Z x d W 9 0 O 1 N l Y 3 R p b 2 4 x L 1 Z h Y 3 V 1 b S A o c 3 R l c C A 0 K S A o U 0 E p L 0 F 1 d G 9 S Z W 1 v d m V k Q 2 9 s d W 1 u c z E u e 0 N v b H V t b j I s M X 0 m c X V v d D s s J n F 1 b 3 Q 7 U 2 V j d G l v b j E v V m F j d X V t I C h z d G V w I D Q p I C h T Q S k v Q X V 0 b 1 J l b W 9 2 Z W R D b 2 x 1 b W 5 z M S 5 7 Q 2 9 s d W 1 u M y w y f S Z x d W 9 0 O y w m c X V v d D t T Z W N 0 a W 9 u M S 9 W Y W N 1 d W 0 g K H N 0 Z X A g N C k g K F N B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N 1 d W 0 l M j A o c 3 R l c C U y M D Q p J T I w K F N B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1 d W 0 l M j A o c 3 R l c C U y M D Q p J T I w K F N B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Y 3 V 1 b S U y M C h z d G V w J T I w N C U y M D E p J T I w K F N B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F N w a G V y a W N h b C A o U 0 E p I i A v P j x F b n R y e S B U e X B l P S J S Z W N v d m V y e V R h c m d l d E N v b H V t b i I g V m F s d W U 9 I m w x M i I g L z 4 8 R W 5 0 c n k g V H l w Z T 0 i U m V j b 3 Z l c n l U Y X J n Z X R S b 3 c i I F Z h b H V l P S J s M z E i I C 8 + P E V u d H J 5 I F R 5 c G U 9 I k Z p b G x U Y X J n Z X Q i I F Z h b H V l P S J z V m F j d X V t X 1 9 z d G V w X z R f M V 9 f X 1 N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B U M T M 6 M z c 6 M D k u M j Q 3 M z c x O V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j d X V t I C h z d G V w I D Q g M S k g K F N B K S 9 B d X R v U m V t b 3 Z l Z E N v b H V t b n M x L n t D b 2 x 1 b W 4 x L D B 9 J n F 1 b 3 Q 7 L C Z x d W 9 0 O 1 N l Y 3 R p b 2 4 x L 1 Z h Y 3 V 1 b S A o c 3 R l c C A 0 I D E p I C h T Q S k v Q X V 0 b 1 J l b W 9 2 Z W R D b 2 x 1 b W 5 z M S 5 7 Q 2 9 s d W 1 u M i w x f S Z x d W 9 0 O y w m c X V v d D t T Z W N 0 a W 9 u M S 9 W Y W N 1 d W 0 g K H N 0 Z X A g N C A x K S A o U 0 E p L 0 F 1 d G 9 S Z W 1 v d m V k Q 2 9 s d W 1 u c z E u e 0 N v b H V t b j M s M n 0 m c X V v d D s s J n F 1 b 3 Q 7 U 2 V j d G l v b j E v V m F j d X V t I C h z d G V w I D Q g M S k g K F N B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Z h Y 3 V 1 b S A o c 3 R l c C A 0 I D E p I C h T Q S k v Q X V 0 b 1 J l b W 9 2 Z W R D b 2 x 1 b W 5 z M S 5 7 Q 2 9 s d W 1 u M S w w f S Z x d W 9 0 O y w m c X V v d D t T Z W N 0 a W 9 u M S 9 W Y W N 1 d W 0 g K H N 0 Z X A g N C A x K S A o U 0 E p L 0 F 1 d G 9 S Z W 1 v d m V k Q 2 9 s d W 1 u c z E u e 0 N v b H V t b j I s M X 0 m c X V v d D s s J n F 1 b 3 Q 7 U 2 V j d G l v b j E v V m F j d X V t I C h z d G V w I D Q g M S k g K F N B K S 9 B d X R v U m V t b 3 Z l Z E N v b H V t b n M x L n t D b 2 x 1 b W 4 z L D J 9 J n F 1 b 3 Q 7 L C Z x d W 9 0 O 1 N l Y 3 R p b 2 4 x L 1 Z h Y 3 V 1 b S A o c 3 R l c C A 0 I D E p I C h T Q S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F j d X V t J T I w K H N 0 Z X A l M j A 0 J T I w M S k l M j A o U 0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Y 3 V 1 b S U y M C h z d G V w J T I w N C U y M D E p J T I w K F N B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Y 3 V 1 b S U y M C h z d G V w J T I w N S k l M j A o U 0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V 2 9 y b G Q g U 3 B o Z X J p Y 2 F s I C h T Q S k i I C 8 + P E V u d H J 5 I F R 5 c G U 9 I l J l Y 2 9 2 Z X J 5 V G F y Z 2 V 0 Q 2 9 s d W 1 u I i B W Y W x 1 Z T 0 i b D E y I i A v P j x F b n R y e S B U e X B l P S J S Z W N v d m V y e V R h c m d l d F J v d y I g V m F s d W U 9 I m w z O C I g L z 4 8 R W 5 0 c n k g V H l w Z T 0 i R m l s b F R h c m d l d C I g V m F s d W U 9 I n N W Y W N 1 d W 1 f X 3 N 0 Z X B f N V 9 f X 1 N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B U M T M 6 M z c 6 M z Q u N z k z N T k w N F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j d X V t I C h z d G V w I D U p I C h T Q S k v Q X V 0 b 1 J l b W 9 2 Z W R D b 2 x 1 b W 5 z M S 5 7 Q 2 9 s d W 1 u M S w w f S Z x d W 9 0 O y w m c X V v d D t T Z W N 0 a W 9 u M S 9 W Y W N 1 d W 0 g K H N 0 Z X A g N S k g K F N B K S 9 B d X R v U m V t b 3 Z l Z E N v b H V t b n M x L n t D b 2 x 1 b W 4 y L D F 9 J n F 1 b 3 Q 7 L C Z x d W 9 0 O 1 N l Y 3 R p b 2 4 x L 1 Z h Y 3 V 1 b S A o c 3 R l c C A 1 K S A o U 0 E p L 0 F 1 d G 9 S Z W 1 v d m V k Q 2 9 s d W 1 u c z E u e 0 N v b H V t b j M s M n 0 m c X V v d D s s J n F 1 b 3 Q 7 U 2 V j d G l v b j E v V m F j d X V t I C h z d G V w I D U p I C h T Q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Y W N 1 d W 0 g K H N 0 Z X A g N S k g K F N B K S 9 B d X R v U m V t b 3 Z l Z E N v b H V t b n M x L n t D b 2 x 1 b W 4 x L D B 9 J n F 1 b 3 Q 7 L C Z x d W 9 0 O 1 N l Y 3 R p b 2 4 x L 1 Z h Y 3 V 1 b S A o c 3 R l c C A 1 K S A o U 0 E p L 0 F 1 d G 9 S Z W 1 v d m V k Q 2 9 s d W 1 u c z E u e 0 N v b H V t b j I s M X 0 m c X V v d D s s J n F 1 b 3 Q 7 U 2 V j d G l v b j E v V m F j d X V t I C h z d G V w I D U p I C h T Q S k v Q X V 0 b 1 J l b W 9 2 Z W R D b 2 x 1 b W 5 z M S 5 7 Q 2 9 s d W 1 u M y w y f S Z x d W 9 0 O y w m c X V v d D t T Z W N 0 a W 9 u M S 9 W Y W N 1 d W 0 g K H N 0 Z X A g N S k g K F N B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N 1 d W 0 l M j A o c 3 R l c C U y M D U p J T I w K F N B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1 d W 0 l M j A o c 3 R l c C U y M D U p J T I w K F N B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Y 3 V 1 b S U y M C h z d G V w J T I w N S U y M D E p J T I w K F N B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F N w a G V y a W N h b C A o U 0 E p I i A v P j x F b n R y e S B U e X B l P S J S Z W N v d m V y e V R h c m d l d E N v b H V t b i I g V m F s d W U 9 I m w x M i I g L z 4 8 R W 5 0 c n k g V H l w Z T 0 i U m V j b 3 Z l c n l U Y X J n Z X R S b 3 c i I F Z h b H V l P S J s N D U i I C 8 + P E V u d H J 5 I F R 5 c G U 9 I k Z p b G x U Y X J n Z X Q i I F Z h b H V l P S J z V m F j d X V t X 1 9 z d G V w X z V f M V 9 f X 1 N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B U M T M 6 M z g 6 M D Y u M j Y z N z M 3 N V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j d X V t I C h z d G V w I D U g M S k g K F N B K S 9 B d X R v U m V t b 3 Z l Z E N v b H V t b n M x L n t D b 2 x 1 b W 4 x L D B 9 J n F 1 b 3 Q 7 L C Z x d W 9 0 O 1 N l Y 3 R p b 2 4 x L 1 Z h Y 3 V 1 b S A o c 3 R l c C A 1 I D E p I C h T Q S k v Q X V 0 b 1 J l b W 9 2 Z W R D b 2 x 1 b W 5 z M S 5 7 Q 2 9 s d W 1 u M i w x f S Z x d W 9 0 O y w m c X V v d D t T Z W N 0 a W 9 u M S 9 W Y W N 1 d W 0 g K H N 0 Z X A g N S A x K S A o U 0 E p L 0 F 1 d G 9 S Z W 1 v d m V k Q 2 9 s d W 1 u c z E u e 0 N v b H V t b j M s M n 0 m c X V v d D s s J n F 1 b 3 Q 7 U 2 V j d G l v b j E v V m F j d X V t I C h z d G V w I D U g M S k g K F N B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Z h Y 3 V 1 b S A o c 3 R l c C A 1 I D E p I C h T Q S k v Q X V 0 b 1 J l b W 9 2 Z W R D b 2 x 1 b W 5 z M S 5 7 Q 2 9 s d W 1 u M S w w f S Z x d W 9 0 O y w m c X V v d D t T Z W N 0 a W 9 u M S 9 W Y W N 1 d W 0 g K H N 0 Z X A g N S A x K S A o U 0 E p L 0 F 1 d G 9 S Z W 1 v d m V k Q 2 9 s d W 1 u c z E u e 0 N v b H V t b j I s M X 0 m c X V v d D s s J n F 1 b 3 Q 7 U 2 V j d G l v b j E v V m F j d X V t I C h z d G V w I D U g M S k g K F N B K S 9 B d X R v U m V t b 3 Z l Z E N v b H V t b n M x L n t D b 2 x 1 b W 4 z L D J 9 J n F 1 b 3 Q 7 L C Z x d W 9 0 O 1 N l Y 3 R p b 2 4 x L 1 Z h Y 3 V 1 b S A o c 3 R l c C A 1 I D E p I C h T Q S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F j d X V t J T I w K H N 0 Z X A l M j A 1 J T I w M S k l M j A o U 0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Y 3 V 1 b S U y M C h z d G V w J T I w N S U y M D E p J T I w K F N B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Y 3 V 1 b S U y M C h z d G V w J T I w M S k l M j A o d G V z d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T c G h l c m l j Y W w g K F N B K S I g L z 4 8 R W 5 0 c n k g V H l w Z T 0 i U m V j b 3 Z l c n l U Y X J n Z X R D b 2 x 1 b W 4 i I F Z h b H V l P S J s M T c i I C 8 + P E V u d H J 5 I F R 5 c G U 9 I l J l Y 2 9 2 Z X J 5 V G F y Z 2 V 0 U m 9 3 I i B W Y W x 1 Z T 0 i b D M i I C 8 + P E V u d H J 5 I F R 5 c G U 9 I k Z p b G x U Y X J n Z X Q i I F Z h b H V l P S J z V m F j d X V t X 1 9 z d G V w X z F f X 1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F U M T I 6 M z U 6 N D k u M z E 2 O T g x M 1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j d X V t I C h z d G V w I D E p I C h 0 Z X N 0 K S 9 B d X R v U m V t b 3 Z l Z E N v b H V t b n M x L n t D b 2 x 1 b W 4 x L D B 9 J n F 1 b 3 Q 7 L C Z x d W 9 0 O 1 N l Y 3 R p b 2 4 x L 1 Z h Y 3 V 1 b S A o c 3 R l c C A x K S A o d G V z d C k v Q X V 0 b 1 J l b W 9 2 Z W R D b 2 x 1 b W 5 z M S 5 7 Q 2 9 s d W 1 u M i w x f S Z x d W 9 0 O y w m c X V v d D t T Z W N 0 a W 9 u M S 9 W Y W N 1 d W 0 g K H N 0 Z X A g M S k g K H R l c 3 Q p L 0 F 1 d G 9 S Z W 1 v d m V k Q 2 9 s d W 1 u c z E u e 0 N v b H V t b j M s M n 0 m c X V v d D s s J n F 1 b 3 Q 7 U 2 V j d G l v b j E v V m F j d X V t I C h z d G V w I D E p I C h 0 Z X N 0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Z h Y 3 V 1 b S A o c 3 R l c C A x K S A o d G V z d C k v Q X V 0 b 1 J l b W 9 2 Z W R D b 2 x 1 b W 5 z M S 5 7 Q 2 9 s d W 1 u M S w w f S Z x d W 9 0 O y w m c X V v d D t T Z W N 0 a W 9 u M S 9 W Y W N 1 d W 0 g K H N 0 Z X A g M S k g K H R l c 3 Q p L 0 F 1 d G 9 S Z W 1 v d m V k Q 2 9 s d W 1 u c z E u e 0 N v b H V t b j I s M X 0 m c X V v d D s s J n F 1 b 3 Q 7 U 2 V j d G l v b j E v V m F j d X V t I C h z d G V w I D E p I C h 0 Z X N 0 K S 9 B d X R v U m V t b 3 Z l Z E N v b H V t b n M x L n t D b 2 x 1 b W 4 z L D J 9 J n F 1 b 3 Q 7 L C Z x d W 9 0 O 1 N l Y 3 R p b 2 4 x L 1 Z h Y 3 V 1 b S A o c 3 R l c C A x K S A o d G V z d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F j d X V t J T I w K H N 0 Z X A l M j A x K S U y M C h 0 Z X N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1 d W 0 l M j A o c 3 R l c C U y M D E p J T I w K H R l c 3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j d X V t J T I w K H N 0 Z X A l M j A y K S U y M C h 0 Z X N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F N w a G V y a W N h b C A o U 0 E p I i A v P j x F b n R y e S B U e X B l P S J S Z W N v d m V y e V R h c m d l d E N v b H V t b i I g V m F s d W U 9 I m w x N y I g L z 4 8 R W 5 0 c n k g V H l w Z T 0 i U m V j b 3 Z l c n l U Y X J n Z X R S b 3 c i I F Z h b H V l P S J s M T A i I C 8 + P E V u d H J 5 I F R 5 c G U 9 I k Z p b G x U Y X J n Z X Q i I F Z h b H V l P S J z V m F j d X V t X 1 9 z d G V w X z J f X 1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F U M T I 6 M z Y 6 N T U u O T U 5 M j Q 3 M V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j d X V t I C h z d G V w I D I p I C h 0 Z X N 0 K S 9 B d X R v U m V t b 3 Z l Z E N v b H V t b n M x L n t D b 2 x 1 b W 4 x L D B 9 J n F 1 b 3 Q 7 L C Z x d W 9 0 O 1 N l Y 3 R p b 2 4 x L 1 Z h Y 3 V 1 b S A o c 3 R l c C A y K S A o d G V z d C k v Q X V 0 b 1 J l b W 9 2 Z W R D b 2 x 1 b W 5 z M S 5 7 Q 2 9 s d W 1 u M i w x f S Z x d W 9 0 O y w m c X V v d D t T Z W N 0 a W 9 u M S 9 W Y W N 1 d W 0 g K H N 0 Z X A g M i k g K H R l c 3 Q p L 0 F 1 d G 9 S Z W 1 v d m V k Q 2 9 s d W 1 u c z E u e 0 N v b H V t b j M s M n 0 m c X V v d D s s J n F 1 b 3 Q 7 U 2 V j d G l v b j E v V m F j d X V t I C h z d G V w I D I p I C h 0 Z X N 0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Z h Y 3 V 1 b S A o c 3 R l c C A y K S A o d G V z d C k v Q X V 0 b 1 J l b W 9 2 Z W R D b 2 x 1 b W 5 z M S 5 7 Q 2 9 s d W 1 u M S w w f S Z x d W 9 0 O y w m c X V v d D t T Z W N 0 a W 9 u M S 9 W Y W N 1 d W 0 g K H N 0 Z X A g M i k g K H R l c 3 Q p L 0 F 1 d G 9 S Z W 1 v d m V k Q 2 9 s d W 1 u c z E u e 0 N v b H V t b j I s M X 0 m c X V v d D s s J n F 1 b 3 Q 7 U 2 V j d G l v b j E v V m F j d X V t I C h z d G V w I D I p I C h 0 Z X N 0 K S 9 B d X R v U m V t b 3 Z l Z E N v b H V t b n M x L n t D b 2 x 1 b W 4 z L D J 9 J n F 1 b 3 Q 7 L C Z x d W 9 0 O 1 N l Y 3 R p b 2 4 x L 1 Z h Y 3 V 1 b S A o c 3 R l c C A y K S A o d G V z d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F j d X V t J T I w K H N 0 Z X A l M j A y K S U y M C h 0 Z X N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1 d W 0 l M j A o c 3 R l c C U y M D I p J T I w K H R l c 3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j d X V t J T I w K H N 0 Z X A l M j A z K S U y M C h 0 Z X N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F N w a G V y a W N h b C A o U 0 E p I i A v P j x F b n R y e S B U e X B l P S J S Z W N v d m V y e V R h c m d l d E N v b H V t b i I g V m F s d W U 9 I m w x N y I g L z 4 8 R W 5 0 c n k g V H l w Z T 0 i U m V j b 3 Z l c n l U Y X J n Z X R S b 3 c i I F Z h b H V l P S J s M T c i I C 8 + P E V u d H J 5 I F R 5 c G U 9 I k Z p b G x U Y X J n Z X Q i I F Z h b H V l P S J z V m F j d X V t X 1 9 z d G V w X z N f X 1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F U M T I 6 M z c 6 M T Y u N j U x O T I 0 M F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j d X V t I C h z d G V w I D M p I C h 0 Z X N 0 K S 9 B d X R v U m V t b 3 Z l Z E N v b H V t b n M x L n t D b 2 x 1 b W 4 x L D B 9 J n F 1 b 3 Q 7 L C Z x d W 9 0 O 1 N l Y 3 R p b 2 4 x L 1 Z h Y 3 V 1 b S A o c 3 R l c C A z K S A o d G V z d C k v Q X V 0 b 1 J l b W 9 2 Z W R D b 2 x 1 b W 5 z M S 5 7 Q 2 9 s d W 1 u M i w x f S Z x d W 9 0 O y w m c X V v d D t T Z W N 0 a W 9 u M S 9 W Y W N 1 d W 0 g K H N 0 Z X A g M y k g K H R l c 3 Q p L 0 F 1 d G 9 S Z W 1 v d m V k Q 2 9 s d W 1 u c z E u e 0 N v b H V t b j M s M n 0 m c X V v d D s s J n F 1 b 3 Q 7 U 2 V j d G l v b j E v V m F j d X V t I C h z d G V w I D M p I C h 0 Z X N 0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Z h Y 3 V 1 b S A o c 3 R l c C A z K S A o d G V z d C k v Q X V 0 b 1 J l b W 9 2 Z W R D b 2 x 1 b W 5 z M S 5 7 Q 2 9 s d W 1 u M S w w f S Z x d W 9 0 O y w m c X V v d D t T Z W N 0 a W 9 u M S 9 W Y W N 1 d W 0 g K H N 0 Z X A g M y k g K H R l c 3 Q p L 0 F 1 d G 9 S Z W 1 v d m V k Q 2 9 s d W 1 u c z E u e 0 N v b H V t b j I s M X 0 m c X V v d D s s J n F 1 b 3 Q 7 U 2 V j d G l v b j E v V m F j d X V t I C h z d G V w I D M p I C h 0 Z X N 0 K S 9 B d X R v U m V t b 3 Z l Z E N v b H V t b n M x L n t D b 2 x 1 b W 4 z L D J 9 J n F 1 b 3 Q 7 L C Z x d W 9 0 O 1 N l Y 3 R p b 2 4 x L 1 Z h Y 3 V 1 b S A o c 3 R l c C A z K S A o d G V z d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F j d X V t J T I w K H N 0 Z X A l M j A z K S U y M C h 0 Z X N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1 d W 0 l M j A o c 3 R l c C U y M D M p J T I w K H R l c 3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j d X V t J T I w K H N 0 Z X A l M j A 0 K S U y M C h 0 Z X N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F N w a G V y a W N h b C A o U 0 E p I i A v P j x F b n R y e S B U e X B l P S J S Z W N v d m V y e V R h c m d l d E N v b H V t b i I g V m F s d W U 9 I m w x N y I g L z 4 8 R W 5 0 c n k g V H l w Z T 0 i U m V j b 3 Z l c n l U Y X J n Z X R S b 3 c i I F Z h b H V l P S J s M j Q i I C 8 + P E V u d H J 5 I F R 5 c G U 9 I k Z p b G x U Y X J n Z X Q i I F Z h b H V l P S J z V m F j d X V t X 1 9 z d G V w X z R f X 1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F U M T I 6 M z c 6 N D A u O T I x M z g z N 1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j d X V t I C h z d G V w I D Q p I C h 0 Z X N 0 K S 9 B d X R v U m V t b 3 Z l Z E N v b H V t b n M x L n t D b 2 x 1 b W 4 x L D B 9 J n F 1 b 3 Q 7 L C Z x d W 9 0 O 1 N l Y 3 R p b 2 4 x L 1 Z h Y 3 V 1 b S A o c 3 R l c C A 0 K S A o d G V z d C k v Q X V 0 b 1 J l b W 9 2 Z W R D b 2 x 1 b W 5 z M S 5 7 Q 2 9 s d W 1 u M i w x f S Z x d W 9 0 O y w m c X V v d D t T Z W N 0 a W 9 u M S 9 W Y W N 1 d W 0 g K H N 0 Z X A g N C k g K H R l c 3 Q p L 0 F 1 d G 9 S Z W 1 v d m V k Q 2 9 s d W 1 u c z E u e 0 N v b H V t b j M s M n 0 m c X V v d D s s J n F 1 b 3 Q 7 U 2 V j d G l v b j E v V m F j d X V t I C h z d G V w I D Q p I C h 0 Z X N 0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Z h Y 3 V 1 b S A o c 3 R l c C A 0 K S A o d G V z d C k v Q X V 0 b 1 J l b W 9 2 Z W R D b 2 x 1 b W 5 z M S 5 7 Q 2 9 s d W 1 u M S w w f S Z x d W 9 0 O y w m c X V v d D t T Z W N 0 a W 9 u M S 9 W Y W N 1 d W 0 g K H N 0 Z X A g N C k g K H R l c 3 Q p L 0 F 1 d G 9 S Z W 1 v d m V k Q 2 9 s d W 1 u c z E u e 0 N v b H V t b j I s M X 0 m c X V v d D s s J n F 1 b 3 Q 7 U 2 V j d G l v b j E v V m F j d X V t I C h z d G V w I D Q p I C h 0 Z X N 0 K S 9 B d X R v U m V t b 3 Z l Z E N v b H V t b n M x L n t D b 2 x 1 b W 4 z L D J 9 J n F 1 b 3 Q 7 L C Z x d W 9 0 O 1 N l Y 3 R p b 2 4 x L 1 Z h Y 3 V 1 b S A o c 3 R l c C A 0 K S A o d G V z d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F j d X V t J T I w K H N 0 Z X A l M j A 0 K S U y M C h 0 Z X N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1 d W 0 l M j A o c 3 R l c C U y M D Q p J T I w K H R l c 3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j d X V t J T I w K H N 0 Z X A l M j A 0 J T I w M S k l M j A o d G V z d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T c G h l c m l j Y W w g K F N B K S I g L z 4 8 R W 5 0 c n k g V H l w Z T 0 i U m V j b 3 Z l c n l U Y X J n Z X R D b 2 x 1 b W 4 i I F Z h b H V l P S J s M T c i I C 8 + P E V u d H J 5 I F R 5 c G U 9 I l J l Y 2 9 2 Z X J 5 V G F y Z 2 V 0 U m 9 3 I i B W Y W x 1 Z T 0 i b D M x I i A v P j x F b n R y e S B U e X B l P S J G a W x s V G F y Z 2 V 0 I i B W Y W x 1 Z T 0 i c 1 Z h Y 3 V 1 b V 9 f c 3 R l c F 8 0 X z F f X 1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F U M T I 6 M z g 6 M j Q u M z k w N D Y 5 N F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j d X V t I C h z d G V w I D Q g M S k g K H R l c 3 Q p L 0 F 1 d G 9 S Z W 1 v d m V k Q 2 9 s d W 1 u c z E u e 0 N v b H V t b j E s M H 0 m c X V v d D s s J n F 1 b 3 Q 7 U 2 V j d G l v b j E v V m F j d X V t I C h z d G V w I D Q g M S k g K H R l c 3 Q p L 0 F 1 d G 9 S Z W 1 v d m V k Q 2 9 s d W 1 u c z E u e 0 N v b H V t b j I s M X 0 m c X V v d D s s J n F 1 b 3 Q 7 U 2 V j d G l v b j E v V m F j d X V t I C h z d G V w I D Q g M S k g K H R l c 3 Q p L 0 F 1 d G 9 S Z W 1 v d m V k Q 2 9 s d W 1 u c z E u e 0 N v b H V t b j M s M n 0 m c X V v d D s s J n F 1 b 3 Q 7 U 2 V j d G l v b j E v V m F j d X V t I C h z d G V w I D Q g M S k g K H R l c 3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m F j d X V t I C h z d G V w I D Q g M S k g K H R l c 3 Q p L 0 F 1 d G 9 S Z W 1 v d m V k Q 2 9 s d W 1 u c z E u e 0 N v b H V t b j E s M H 0 m c X V v d D s s J n F 1 b 3 Q 7 U 2 V j d G l v b j E v V m F j d X V t I C h z d G V w I D Q g M S k g K H R l c 3 Q p L 0 F 1 d G 9 S Z W 1 v d m V k Q 2 9 s d W 1 u c z E u e 0 N v b H V t b j I s M X 0 m c X V v d D s s J n F 1 b 3 Q 7 U 2 V j d G l v b j E v V m F j d X V t I C h z d G V w I D Q g M S k g K H R l c 3 Q p L 0 F 1 d G 9 S Z W 1 v d m V k Q 2 9 s d W 1 u c z E u e 0 N v b H V t b j M s M n 0 m c X V v d D s s J n F 1 b 3 Q 7 U 2 V j d G l v b j E v V m F j d X V t I C h z d G V w I D Q g M S k g K H R l c 3 Q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h Y 3 V 1 b S U y M C h z d G V w J T I w N C U y M D E p J T I w K H R l c 3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Y 3 V 1 b S U y M C h z d G V w J T I w N C U y M D E p J T I w K H R l c 3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j d X V t J T I w K H N 0 Z X A l M j A 1 K S U y M C h 0 Z X N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d v c m x k I F N w a G V y a W N h b C A o U 0 E p I i A v P j x F b n R y e S B U e X B l P S J S Z W N v d m V y e V R h c m d l d E N v b H V t b i I g V m F s d W U 9 I m w x N y I g L z 4 8 R W 5 0 c n k g V H l w Z T 0 i U m V j b 3 Z l c n l U Y X J n Z X R S b 3 c i I F Z h b H V l P S J s M z g i I C 8 + P E V u d H J 5 I F R 5 c G U 9 I k Z p b G x U Y X J n Z X Q i I F Z h b H V l P S J z V m F j d X V t X 1 9 z d G V w X z V f X 1 9 0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F U M T I 6 M z g 6 N D U u O T E 2 N z A 5 N l o i I C 8 + P E V u d H J 5 I F R 5 c G U 9 I k Z p b G x D b 2 x 1 b W 5 U e X B l c y I g V m F s d W U 9 I n N C Z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F j d X V t I C h z d G V w I D U p I C h 0 Z X N 0 K S 9 B d X R v U m V t b 3 Z l Z E N v b H V t b n M x L n t D b 2 x 1 b W 4 x L D B 9 J n F 1 b 3 Q 7 L C Z x d W 9 0 O 1 N l Y 3 R p b 2 4 x L 1 Z h Y 3 V 1 b S A o c 3 R l c C A 1 K S A o d G V z d C k v Q X V 0 b 1 J l b W 9 2 Z W R D b 2 x 1 b W 5 z M S 5 7 Q 2 9 s d W 1 u M i w x f S Z x d W 9 0 O y w m c X V v d D t T Z W N 0 a W 9 u M S 9 W Y W N 1 d W 0 g K H N 0 Z X A g N S k g K H R l c 3 Q p L 0 F 1 d G 9 S Z W 1 v d m V k Q 2 9 s d W 1 u c z E u e 0 N v b H V t b j M s M n 0 m c X V v d D s s J n F 1 b 3 Q 7 U 2 V j d G l v b j E v V m F j d X V t I C h z d G V w I D U p I C h 0 Z X N 0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Z h Y 3 V 1 b S A o c 3 R l c C A 1 K S A o d G V z d C k v Q X V 0 b 1 J l b W 9 2 Z W R D b 2 x 1 b W 5 z M S 5 7 Q 2 9 s d W 1 u M S w w f S Z x d W 9 0 O y w m c X V v d D t T Z W N 0 a W 9 u M S 9 W Y W N 1 d W 0 g K H N 0 Z X A g N S k g K H R l c 3 Q p L 0 F 1 d G 9 S Z W 1 v d m V k Q 2 9 s d W 1 u c z E u e 0 N v b H V t b j I s M X 0 m c X V v d D s s J n F 1 b 3 Q 7 U 2 V j d G l v b j E v V m F j d X V t I C h z d G V w I D U p I C h 0 Z X N 0 K S 9 B d X R v U m V t b 3 Z l Z E N v b H V t b n M x L n t D b 2 x 1 b W 4 z L D J 9 J n F 1 b 3 Q 7 L C Z x d W 9 0 O 1 N l Y 3 R p b 2 4 x L 1 Z h Y 3 V 1 b S A o c 3 R l c C A 1 K S A o d G V z d C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m F j d X V t J T I w K H N 0 Z X A l M j A 1 K S U y M C h 0 Z X N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1 d W 0 l M j A o c 3 R l c C U y M D U p J T I w K H R l c 3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F j d X V t J T I w K H N 0 Z X A 1 J T I w M S k l M j A o d G V z d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X b 3 J s Z C B T c G h l c m l j Y W w g K F N B K S I g L z 4 8 R W 5 0 c n k g V H l w Z T 0 i U m V j b 3 Z l c n l U Y X J n Z X R D b 2 x 1 b W 4 i I F Z h b H V l P S J s M T c i I C 8 + P E V u d H J 5 I F R 5 c G U 9 I l J l Y 2 9 2 Z X J 5 V G F y Z 2 V 0 U m 9 3 I i B W Y W x 1 Z T 0 i b D Q 1 I i A v P j x F b n R y e S B U e X B l P S J G a W x s V G F y Z 2 V 0 I i B W Y W x 1 Z T 0 i c 1 Z h Y 3 V 1 b V 9 f c 3 R l c D V f M V 9 f X 3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M V Q x M j o z O T o w O S 4 w N T c 4 N D U 3 W i I g L z 4 8 R W 5 0 c n k g V H l w Z T 0 i R m l s b E N v b H V t b l R 5 c G V z I i B W Y W x 1 Z T 0 i c 0 J n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N 1 d W 0 g K H N 0 Z X A 1 I D E p I C h 0 Z X N 0 K S 9 B d X R v U m V t b 3 Z l Z E N v b H V t b n M x L n t D b 2 x 1 b W 4 x L D B 9 J n F 1 b 3 Q 7 L C Z x d W 9 0 O 1 N l Y 3 R p b 2 4 x L 1 Z h Y 3 V 1 b S A o c 3 R l c D U g M S k g K H R l c 3 Q p L 0 F 1 d G 9 S Z W 1 v d m V k Q 2 9 s d W 1 u c z E u e 0 N v b H V t b j I s M X 0 m c X V v d D s s J n F 1 b 3 Q 7 U 2 V j d G l v b j E v V m F j d X V t I C h z d G V w N S A x K S A o d G V z d C k v Q X V 0 b 1 J l b W 9 2 Z W R D b 2 x 1 b W 5 z M S 5 7 Q 2 9 s d W 1 u M y w y f S Z x d W 9 0 O y w m c X V v d D t T Z W N 0 a W 9 u M S 9 W Y W N 1 d W 0 g K H N 0 Z X A 1 I D E p I C h 0 Z X N 0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Z h Y 3 V 1 b S A o c 3 R l c D U g M S k g K H R l c 3 Q p L 0 F 1 d G 9 S Z W 1 v d m V k Q 2 9 s d W 1 u c z E u e 0 N v b H V t b j E s M H 0 m c X V v d D s s J n F 1 b 3 Q 7 U 2 V j d G l v b j E v V m F j d X V t I C h z d G V w N S A x K S A o d G V z d C k v Q X V 0 b 1 J l b W 9 2 Z W R D b 2 x 1 b W 5 z M S 5 7 Q 2 9 s d W 1 u M i w x f S Z x d W 9 0 O y w m c X V v d D t T Z W N 0 a W 9 u M S 9 W Y W N 1 d W 0 g K H N 0 Z X A 1 I D E p I C h 0 Z X N 0 K S 9 B d X R v U m V t b 3 Z l Z E N v b H V t b n M x L n t D b 2 x 1 b W 4 z L D J 9 J n F 1 b 3 Q 7 L C Z x d W 9 0 O 1 N l Y 3 R p b 2 4 x L 1 Z h Y 3 V 1 b S A o c 3 R l c D U g M S k g K H R l c 3 Q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h Y 3 V 1 b S U y M C h z d G V w N S U y M D E p J T I w K H R l c 3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h Y 3 V 1 b S U y M C h z d G V w N S U y M D E p J T I w K H R l c 3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O B s h S o k g V L o I U m + y q Y / e c A A A A A A g A A A A A A E G Y A A A A B A A A g A A A A N u 5 I w E p L Z + o T 9 9 l F 6 8 y m d I N b x G T 5 S X H R i L T K S g 7 2 e H g A A A A A D o A A A A A C A A A g A A A A a B w w U 2 R q y V 8 k 6 Y D d Z V d A i M j x X l a m p b z 2 l N V r K 6 V z M u h Q A A A A k U 8 M 0 s 3 y b I c 2 4 e j F r 7 8 8 E i T d q A c P h L Q 3 5 U a y A f j 3 b a 8 E w e c d n s i B 7 8 j A X A W X U v t a q + Q i L U Y l 0 C L y 8 E P V a + L E a t V Z h M c X M X M N J V k K V w A 0 u p 9 A A A A A 8 L B K Z b T H + N E X 4 W 6 u c v 8 D 8 8 u R A 0 E c e c 2 Y U J q Q Z N G 0 y c f c H 0 a D e O q B D s w T C c 2 O 2 p p O D F Q 5 Y N t Y 7 Z B 2 F o s O T a D Z Q w = = < / D a t a M a s h u p > 
</file>

<file path=customXml/itemProps1.xml><?xml version="1.0" encoding="utf-8"?>
<ds:datastoreItem xmlns:ds="http://schemas.openxmlformats.org/officeDocument/2006/customXml" ds:itemID="{6977714F-C64F-451A-9EB0-F7842ABC36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e5f41c-2c07-483d-a801-c0c806150947"/>
    <ds:schemaRef ds:uri="ae693d3e-5c55-41b7-9d87-3e7e4c5a91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E3EF66-9D4B-49A2-8A39-6CBEADBF96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C5964D1-D927-4CDB-B22B-259E67FF834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76BE521-060A-4AEA-B9BF-0AB0787F3B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World Cartesian</vt:lpstr>
      <vt:lpstr>World Spherical (theory)</vt:lpstr>
      <vt:lpstr>World Spherical (SA)</vt:lpstr>
      <vt:lpstr>Without window</vt:lpstr>
      <vt:lpstr>Refrence without window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Shaunak Desai</dc:creator>
  <cp:keywords/>
  <dc:description/>
  <cp:lastModifiedBy>Shaunak Desai</cp:lastModifiedBy>
  <cp:revision/>
  <dcterms:created xsi:type="dcterms:W3CDTF">2021-01-21T13:21:02Z</dcterms:created>
  <dcterms:modified xsi:type="dcterms:W3CDTF">2021-02-17T12:55:26Z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0x01010004AF4BFE96BAB148AA4508F5076D66E3</vt:lpwstr>
  </property>
</Properties>
</file>