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Users/tommorris/Downloads/"/>
    </mc:Choice>
  </mc:AlternateContent>
  <xr:revisionPtr revIDLastSave="0" documentId="8_{31AFD1FB-2CA4-4FB6-95F8-65522F27A718}" xr6:coauthVersionLast="47" xr6:coauthVersionMax="47" xr10:uidLastSave="{00000000-0000-0000-0000-000000000000}"/>
  <bookViews>
    <workbookView xWindow="380" yWindow="500" windowWidth="28040" windowHeight="16940" firstSheet="3" activeTab="4" xr2:uid="{0AB522D7-E586-CE45-AAD7-7C3BEDD12E28}"/>
  </bookViews>
  <sheets>
    <sheet name="Sheet1" sheetId="1" r:id="rId1"/>
    <sheet name="Sheet2" sheetId="2" r:id="rId2"/>
    <sheet name="Sheet3" sheetId="3" r:id="rId3"/>
    <sheet name="Multiples Valuation Sensitivity" sheetId="4" r:id="rId4"/>
    <sheet name="APV Valuation Sensitivity"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 i="3" l="1"/>
  <c r="J41" i="3"/>
  <c r="K41" i="3"/>
  <c r="L41" i="3"/>
  <c r="M41" i="3"/>
  <c r="N41" i="3"/>
  <c r="O41" i="3"/>
  <c r="P41" i="3"/>
  <c r="Q41" i="3"/>
  <c r="H42" i="3"/>
  <c r="I42" i="3"/>
  <c r="J42" i="3"/>
  <c r="K42" i="3"/>
  <c r="L42" i="3"/>
  <c r="M42" i="3"/>
  <c r="N42" i="3"/>
  <c r="O42" i="3"/>
  <c r="P42" i="3"/>
  <c r="Q42" i="3"/>
  <c r="H43" i="3"/>
  <c r="I43" i="3"/>
  <c r="J43" i="3"/>
  <c r="K43" i="3"/>
  <c r="L43" i="3"/>
  <c r="M43" i="3"/>
  <c r="N43" i="3"/>
  <c r="O43" i="3"/>
  <c r="P43" i="3"/>
  <c r="Q43" i="3"/>
  <c r="H44" i="3"/>
  <c r="I44" i="3"/>
  <c r="J44" i="3"/>
  <c r="K44" i="3"/>
  <c r="L44" i="3"/>
  <c r="M44" i="3"/>
  <c r="N44" i="3"/>
  <c r="O44" i="3"/>
  <c r="P44" i="3"/>
  <c r="Q44" i="3"/>
  <c r="H45" i="3"/>
  <c r="I45" i="3"/>
  <c r="J45" i="3"/>
  <c r="K45" i="3"/>
  <c r="L45" i="3"/>
  <c r="M45" i="3"/>
  <c r="N45" i="3"/>
  <c r="O45" i="3"/>
  <c r="P45" i="3"/>
  <c r="Q45" i="3"/>
  <c r="H46" i="3"/>
  <c r="I46" i="3"/>
  <c r="J46" i="3"/>
  <c r="K46" i="3"/>
  <c r="L46" i="3"/>
  <c r="M46" i="3"/>
  <c r="N46" i="3"/>
  <c r="O46" i="3"/>
  <c r="P46" i="3"/>
  <c r="Q46" i="3"/>
  <c r="H47" i="3"/>
  <c r="I47" i="3"/>
  <c r="J47" i="3"/>
  <c r="K47" i="3"/>
  <c r="L47" i="3"/>
  <c r="M47" i="3"/>
  <c r="N47" i="3"/>
  <c r="O47" i="3"/>
  <c r="P47" i="3"/>
  <c r="Q47" i="3"/>
  <c r="H48" i="3"/>
  <c r="I48" i="3"/>
  <c r="J48" i="3"/>
  <c r="K48" i="3"/>
  <c r="L48" i="3"/>
  <c r="M48" i="3"/>
  <c r="N48" i="3"/>
  <c r="O48" i="3"/>
  <c r="P48" i="3"/>
  <c r="Q48" i="3"/>
  <c r="H49" i="3"/>
  <c r="I49" i="3"/>
  <c r="J49" i="3"/>
  <c r="K49" i="3"/>
  <c r="L49" i="3"/>
  <c r="M49" i="3"/>
  <c r="N49" i="3"/>
  <c r="O49" i="3"/>
  <c r="P49" i="3"/>
  <c r="Q49" i="3"/>
  <c r="H50" i="3"/>
  <c r="I50" i="3"/>
  <c r="J50" i="3"/>
  <c r="K50" i="3"/>
  <c r="L50" i="3"/>
  <c r="M50" i="3"/>
  <c r="N50" i="3"/>
  <c r="O50" i="3"/>
  <c r="P50" i="3"/>
  <c r="Q50" i="3"/>
  <c r="C9" i="4"/>
  <c r="C8" i="4" s="1"/>
  <c r="C7" i="4" s="1"/>
  <c r="C6" i="4" s="1"/>
  <c r="C5" i="4" s="1"/>
  <c r="C13" i="4"/>
  <c r="C14" i="4" s="1"/>
  <c r="C15" i="4" s="1"/>
  <c r="H12" i="4"/>
  <c r="H11" i="4"/>
  <c r="H10" i="4"/>
  <c r="I4" i="4"/>
  <c r="G4" i="4"/>
  <c r="E43" i="3"/>
  <c r="E37" i="3"/>
  <c r="F14" i="3" s="1"/>
  <c r="G14" i="3" s="1"/>
  <c r="H14" i="3" s="1"/>
  <c r="I14" i="3" s="1"/>
  <c r="G27" i="3"/>
  <c r="G26" i="3"/>
  <c r="G28" i="3" s="1"/>
  <c r="E13" i="3"/>
  <c r="Q23" i="1"/>
  <c r="R23" i="1"/>
  <c r="S23" i="1"/>
  <c r="T23" i="1"/>
  <c r="U23" i="1"/>
  <c r="V23" i="1"/>
  <c r="V20" i="1"/>
  <c r="H15" i="1"/>
  <c r="G15" i="1" s="1"/>
  <c r="F15" i="1" s="1"/>
  <c r="E15" i="1" s="1"/>
  <c r="D15" i="1" s="1"/>
  <c r="H16" i="1"/>
  <c r="G16" i="1" s="1"/>
  <c r="F16" i="1" s="1"/>
  <c r="E16" i="1" s="1"/>
  <c r="D16" i="1" s="1"/>
  <c r="H14" i="1"/>
  <c r="G14" i="1" s="1"/>
  <c r="F14" i="1" s="1"/>
  <c r="E14" i="1" s="1"/>
  <c r="D14" i="1" s="1"/>
  <c r="P23" i="1"/>
  <c r="D15" i="2"/>
  <c r="E15" i="2"/>
  <c r="F15" i="2"/>
  <c r="G15" i="2"/>
  <c r="H15" i="2"/>
  <c r="I15" i="2"/>
  <c r="I8" i="1"/>
  <c r="H12" i="1"/>
  <c r="F13" i="3" s="1"/>
  <c r="G12" i="4" l="1"/>
  <c r="G11" i="4"/>
  <c r="G10" i="4"/>
  <c r="F4" i="4"/>
  <c r="I12" i="4"/>
  <c r="I11" i="4"/>
  <c r="I10" i="4"/>
  <c r="J4" i="4"/>
  <c r="I13" i="4"/>
  <c r="J13" i="4"/>
  <c r="F13" i="4"/>
  <c r="G13" i="4"/>
  <c r="H13" i="4"/>
  <c r="I9" i="4"/>
  <c r="J9" i="4"/>
  <c r="F9" i="4"/>
  <c r="G9" i="4"/>
  <c r="H9" i="4"/>
  <c r="E15" i="3"/>
  <c r="F15" i="3" s="1"/>
  <c r="G15" i="3" s="1"/>
  <c r="H15" i="3" s="1"/>
  <c r="I15" i="3" s="1"/>
  <c r="H25" i="2"/>
  <c r="H24" i="2"/>
  <c r="G24" i="2" s="1"/>
  <c r="F24" i="2" s="1"/>
  <c r="E24" i="2" s="1"/>
  <c r="D24" i="2" s="1"/>
  <c r="H23" i="2"/>
  <c r="G23" i="2" s="1"/>
  <c r="F23" i="2" s="1"/>
  <c r="E23" i="2" s="1"/>
  <c r="D23" i="2" s="1"/>
  <c r="H20" i="2"/>
  <c r="H19" i="2"/>
  <c r="G19" i="2" s="1"/>
  <c r="F19" i="2" s="1"/>
  <c r="E19" i="2" s="1"/>
  <c r="D19" i="2" s="1"/>
  <c r="H18" i="2"/>
  <c r="G18" i="2" s="1"/>
  <c r="F18" i="2" s="1"/>
  <c r="E18" i="2" s="1"/>
  <c r="D18" i="2" s="1"/>
  <c r="H12" i="2"/>
  <c r="G12" i="2" s="1"/>
  <c r="F12" i="2" s="1"/>
  <c r="E12" i="2" s="1"/>
  <c r="D12" i="2" s="1"/>
  <c r="H13" i="2"/>
  <c r="H11" i="2"/>
  <c r="G11" i="2" s="1"/>
  <c r="H6" i="1"/>
  <c r="G6" i="1"/>
  <c r="H17" i="2"/>
  <c r="G17" i="2" s="1"/>
  <c r="F17" i="2" s="1"/>
  <c r="E17" i="2" s="1"/>
  <c r="D17" i="2" s="1"/>
  <c r="H7" i="2"/>
  <c r="G7" i="2" s="1"/>
  <c r="F7" i="2" s="1"/>
  <c r="E7" i="2" s="1"/>
  <c r="D7" i="2" s="1"/>
  <c r="H8" i="2"/>
  <c r="G8" i="2" s="1"/>
  <c r="F8" i="2" s="1"/>
  <c r="E8" i="2" s="1"/>
  <c r="D8" i="2" s="1"/>
  <c r="H9" i="2"/>
  <c r="G9" i="2" s="1"/>
  <c r="F9" i="2" s="1"/>
  <c r="E9" i="2" s="1"/>
  <c r="D9" i="2" s="1"/>
  <c r="H10" i="2"/>
  <c r="G10" i="2" s="1"/>
  <c r="I26" i="2"/>
  <c r="I22" i="2"/>
  <c r="H22" i="2" s="1"/>
  <c r="G22" i="2" s="1"/>
  <c r="F22" i="2" s="1"/>
  <c r="E22" i="2" s="1"/>
  <c r="D22" i="2" s="1"/>
  <c r="I6" i="2"/>
  <c r="H6" i="2" s="1"/>
  <c r="G6" i="2" s="1"/>
  <c r="F6" i="2" s="1"/>
  <c r="E6" i="2" s="1"/>
  <c r="D6" i="2" s="1"/>
  <c r="I11" i="1"/>
  <c r="I13" i="1"/>
  <c r="E5" i="3" s="1"/>
  <c r="H10" i="1"/>
  <c r="G10" i="1" s="1"/>
  <c r="F10" i="1" s="1"/>
  <c r="E10" i="1" s="1"/>
  <c r="D10" i="1" s="1"/>
  <c r="H9" i="1"/>
  <c r="H7" i="1"/>
  <c r="G7" i="1" s="1"/>
  <c r="J12" i="4" l="1"/>
  <c r="J11" i="4"/>
  <c r="J10" i="4"/>
  <c r="K4" i="4"/>
  <c r="E4" i="4"/>
  <c r="F12" i="4"/>
  <c r="F11" i="4"/>
  <c r="F10" i="4"/>
  <c r="I14" i="4"/>
  <c r="J14" i="4"/>
  <c r="K14" i="4"/>
  <c r="E14" i="4"/>
  <c r="F14" i="4"/>
  <c r="G14" i="4"/>
  <c r="H14" i="4"/>
  <c r="I8" i="4"/>
  <c r="J8" i="4"/>
  <c r="K8" i="4"/>
  <c r="E8" i="4"/>
  <c r="F8" i="4"/>
  <c r="G8" i="4"/>
  <c r="H8" i="4"/>
  <c r="E10" i="3"/>
  <c r="E7" i="3"/>
  <c r="F7" i="3" s="1"/>
  <c r="G7" i="3" s="1"/>
  <c r="H7" i="3" s="1"/>
  <c r="I7" i="3" s="1"/>
  <c r="E6" i="3"/>
  <c r="F6" i="3"/>
  <c r="E8" i="3"/>
  <c r="F8" i="3" s="1"/>
  <c r="G8" i="3" s="1"/>
  <c r="H8" i="3" s="1"/>
  <c r="I8" i="3" s="1"/>
  <c r="G8" i="1"/>
  <c r="H8" i="1"/>
  <c r="I17" i="1"/>
  <c r="I20" i="1" s="1"/>
  <c r="F10" i="2"/>
  <c r="E10" i="2" s="1"/>
  <c r="D10" i="2" s="1"/>
  <c r="F11" i="2"/>
  <c r="G13" i="2"/>
  <c r="H14" i="2"/>
  <c r="G20" i="2"/>
  <c r="H21" i="2"/>
  <c r="G25" i="2"/>
  <c r="H26" i="2"/>
  <c r="H11" i="1"/>
  <c r="H13" i="1" s="1"/>
  <c r="H17" i="1" s="1"/>
  <c r="F6" i="1"/>
  <c r="F7" i="1"/>
  <c r="G9" i="1"/>
  <c r="G11" i="1" s="1"/>
  <c r="G12" i="1"/>
  <c r="D4" i="4" l="1"/>
  <c r="E12" i="4"/>
  <c r="E11" i="4"/>
  <c r="E10" i="4"/>
  <c r="E13" i="4"/>
  <c r="E9" i="4"/>
  <c r="K12" i="4"/>
  <c r="K11" i="4"/>
  <c r="K10" i="4"/>
  <c r="K13" i="4"/>
  <c r="K9" i="4"/>
  <c r="I15" i="4"/>
  <c r="J15" i="4"/>
  <c r="K15" i="4"/>
  <c r="D15" i="4"/>
  <c r="E15" i="4"/>
  <c r="F15" i="4"/>
  <c r="G15" i="4"/>
  <c r="H15" i="4"/>
  <c r="I7" i="4"/>
  <c r="J7" i="4"/>
  <c r="K7" i="4"/>
  <c r="D7" i="4"/>
  <c r="E7" i="4"/>
  <c r="F7" i="4"/>
  <c r="G7" i="4"/>
  <c r="H7" i="4"/>
  <c r="F12" i="1"/>
  <c r="G13" i="3"/>
  <c r="E11" i="3"/>
  <c r="E12" i="3"/>
  <c r="E16" i="3" s="1"/>
  <c r="F5" i="3"/>
  <c r="F10" i="3" s="1"/>
  <c r="G6" i="3"/>
  <c r="F8" i="1"/>
  <c r="G13" i="1"/>
  <c r="G17" i="1" s="1"/>
  <c r="F25" i="2"/>
  <c r="F20" i="2"/>
  <c r="G21" i="2"/>
  <c r="G26" i="2" s="1"/>
  <c r="H30" i="2"/>
  <c r="F13" i="2"/>
  <c r="E13" i="2" s="1"/>
  <c r="D13" i="2" s="1"/>
  <c r="G30" i="2"/>
  <c r="G14" i="2"/>
  <c r="F14" i="2"/>
  <c r="E11" i="2"/>
  <c r="D11" i="2" s="1"/>
  <c r="F9" i="1"/>
  <c r="E9" i="1" s="1"/>
  <c r="E6" i="1"/>
  <c r="E7" i="1"/>
  <c r="D12" i="4" l="1"/>
  <c r="D11" i="4"/>
  <c r="D10" i="4"/>
  <c r="D13" i="4"/>
  <c r="D9" i="4"/>
  <c r="D14" i="4"/>
  <c r="D8" i="4"/>
  <c r="I6" i="4"/>
  <c r="J6" i="4"/>
  <c r="K6" i="4"/>
  <c r="D6" i="4"/>
  <c r="E6" i="4"/>
  <c r="F6" i="4"/>
  <c r="G6" i="4"/>
  <c r="H6" i="4"/>
  <c r="E12" i="1"/>
  <c r="H13" i="3"/>
  <c r="G5" i="3"/>
  <c r="G10" i="3" s="1"/>
  <c r="H6" i="3"/>
  <c r="F11" i="3"/>
  <c r="F12" i="3" s="1"/>
  <c r="F16" i="3" s="1"/>
  <c r="E8" i="1"/>
  <c r="E14" i="2"/>
  <c r="G29" i="2"/>
  <c r="G28" i="2" s="1"/>
  <c r="H29" i="2"/>
  <c r="H28" i="2" s="1"/>
  <c r="F21" i="2"/>
  <c r="E20" i="2"/>
  <c r="F26" i="2"/>
  <c r="E25" i="2"/>
  <c r="H18" i="1"/>
  <c r="H20" i="1"/>
  <c r="F11" i="1"/>
  <c r="D6" i="1"/>
  <c r="E11" i="1"/>
  <c r="E13" i="1" s="1"/>
  <c r="E17" i="1" s="1"/>
  <c r="D7" i="1"/>
  <c r="D9" i="1"/>
  <c r="F13" i="1"/>
  <c r="F17" i="1" s="1"/>
  <c r="I5" i="4" l="1"/>
  <c r="J5" i="4"/>
  <c r="K5" i="4"/>
  <c r="D5" i="4"/>
  <c r="E5" i="4"/>
  <c r="F5" i="4"/>
  <c r="G5" i="4"/>
  <c r="H5" i="4"/>
  <c r="D12" i="1"/>
  <c r="I13" i="3"/>
  <c r="H5" i="3"/>
  <c r="H10" i="3" s="1"/>
  <c r="I6" i="3"/>
  <c r="I5" i="3" s="1"/>
  <c r="I10" i="3" s="1"/>
  <c r="G11" i="3"/>
  <c r="G12" i="3" s="1"/>
  <c r="G16" i="3" s="1"/>
  <c r="D8" i="1"/>
  <c r="G18" i="1"/>
  <c r="G20" i="1" s="1"/>
  <c r="D25" i="2"/>
  <c r="E21" i="2"/>
  <c r="E26" i="2" s="1"/>
  <c r="D20" i="2"/>
  <c r="D21" i="2" s="1"/>
  <c r="D14" i="2"/>
  <c r="F30" i="2"/>
  <c r="D11" i="1"/>
  <c r="D13" i="1" s="1"/>
  <c r="D17" i="1" s="1"/>
  <c r="I11" i="3" l="1"/>
  <c r="I12" i="3" s="1"/>
  <c r="I16" i="3" s="1"/>
  <c r="H11" i="3"/>
  <c r="H12" i="3" s="1"/>
  <c r="H16" i="3" s="1"/>
  <c r="E40" i="3" s="1" a="1"/>
  <c r="E40" i="3" s="1"/>
  <c r="D18" i="1"/>
  <c r="D20" i="1" s="1"/>
  <c r="F29" i="2"/>
  <c r="F28" i="2" s="1"/>
  <c r="E30" i="2"/>
  <c r="D26" i="2"/>
  <c r="F18" i="1"/>
  <c r="F20" i="1" s="1"/>
  <c r="E39" i="3" l="1"/>
  <c r="H41" i="3"/>
  <c r="E41" i="3"/>
  <c r="E42" i="3" s="1"/>
  <c r="E44" i="3" s="1"/>
  <c r="E46" i="3" s="1"/>
  <c r="E18" i="1"/>
  <c r="E20" i="1" s="1"/>
  <c r="E29" i="2"/>
  <c r="E28" i="2" s="1"/>
  <c r="D30" i="2"/>
  <c r="D29" i="2" l="1"/>
  <c r="D2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<sst xmlns="http://schemas.openxmlformats.org/spreadsheetml/2006/main" count="205" uniqueCount="195">
  <si>
    <t>Pro-forma Income Statement (NZD$000) for years ending 2021-2026</t>
  </si>
  <si>
    <t>Assumptions</t>
  </si>
  <si>
    <t>Sales Growth rate = 4.7%</t>
  </si>
  <si>
    <t>Since the most recent information for Scales Corporation is only half-year results, the forecasted periods are for every full year, beginning 31 December 2021 onwards</t>
  </si>
  <si>
    <t>Period ending</t>
  </si>
  <si>
    <t>Assume interest expense and revenue remain constant as no new debt is issued or repayed over the forecasted periods.</t>
  </si>
  <si>
    <t>Assume Depreciation and Amortisation Increase proportionally to Non-Current Assets, therefore increase at 4.7%</t>
  </si>
  <si>
    <t>Assume a tax rate of 28%</t>
  </si>
  <si>
    <t>Sales</t>
  </si>
  <si>
    <t>Note: Income tax expense in 2021 is $13,588, however due to other tax-related transactions that cannot be forecasted under the income tax section, the deductable amount in 2021 is $11,577</t>
  </si>
  <si>
    <t>(Cost of goods sold)</t>
  </si>
  <si>
    <t>Therefore: Assume only the corporate tax rate of 28% is deducted from EBT</t>
  </si>
  <si>
    <t>Gross Profit</t>
  </si>
  <si>
    <t>Admin and Operating expenses</t>
  </si>
  <si>
    <t>Sensitivity of answer:</t>
  </si>
  <si>
    <t>Other Net Operating Income/Expenses</t>
  </si>
  <si>
    <t>EBITDA</t>
  </si>
  <si>
    <t xml:space="preserve">The figures calculated are only relative to the assumptions given. In the real world, </t>
  </si>
  <si>
    <t>(Depreciation and Amortisation)</t>
  </si>
  <si>
    <t>EBIT</t>
  </si>
  <si>
    <t>Interest Expense</t>
  </si>
  <si>
    <t>Interest Expense from Lease liability</t>
  </si>
  <si>
    <t>Interest Revenue</t>
  </si>
  <si>
    <t>Growth rate calculation:</t>
  </si>
  <si>
    <t>EBT</t>
  </si>
  <si>
    <t>(Income Tax expense)</t>
  </si>
  <si>
    <t>G = ROE*Plowback ratio</t>
  </si>
  <si>
    <t>Year ending</t>
  </si>
  <si>
    <t>Total</t>
  </si>
  <si>
    <t xml:space="preserve"> </t>
  </si>
  <si>
    <t>ROE = NPAT/E = 36,950,000/390,314,000 = 9.5%</t>
  </si>
  <si>
    <t xml:space="preserve">CapEX </t>
  </si>
  <si>
    <t>Net Profit after Tax</t>
  </si>
  <si>
    <t>Plowback = Div/EPS = 0.095/0.191 = 49.7%</t>
  </si>
  <si>
    <t>PV UCF</t>
  </si>
  <si>
    <t>G = 0.095*0.497 = 4.7%</t>
  </si>
  <si>
    <t>PV Dep</t>
  </si>
  <si>
    <t>PV Interest</t>
  </si>
  <si>
    <t>APV Calculation</t>
  </si>
  <si>
    <t>APV = CapEx + PV of Unlevered Cashflows + PV of Depreciation tax shield + PV Interest tax shield</t>
  </si>
  <si>
    <t>Unlevered ROE (r0) = 0.095</t>
  </si>
  <si>
    <t>APV of Scales Corporation = $259,767,215.</t>
  </si>
  <si>
    <t>NZ Corporate Tax = 0.28</t>
  </si>
  <si>
    <t xml:space="preserve">Current shares outstanding = 142,394,837	</t>
  </si>
  <si>
    <t>Cost of debt (rd) = Interest payments/total debt</t>
  </si>
  <si>
    <t>= 1,786/38,429,000 = 0.046</t>
  </si>
  <si>
    <t>Fair value = 259,767,215/142,394,837</t>
  </si>
  <si>
    <t>NZ Risk-Free rate = 0.0041</t>
  </si>
  <si>
    <t>Therefore Scales Corporation fair value of share = $1.82</t>
  </si>
  <si>
    <t>Current share price (FY2021) = $4.98</t>
  </si>
  <si>
    <t>PV UCF(1-5) = EBITDA*(1-tc)/(1+r0)^t</t>
  </si>
  <si>
    <t>PV Depreciation tax shield = Dep*tc/(1+rf)^t</t>
  </si>
  <si>
    <t>PV Interest tax shield = Int*tc/(1+rd)^t</t>
  </si>
  <si>
    <t>Capital Expediture in 2021 = -16,324,000</t>
  </si>
  <si>
    <t>Pro-forma Balance sheet (NZD$000) for the years ending 2021-2026</t>
  </si>
  <si>
    <t>Growth rate = 4.7%</t>
  </si>
  <si>
    <t>Assume Non-tangible assets do not change over the forecasted period</t>
  </si>
  <si>
    <t>Assume Assets are running at full capacity therefore increase proportionally to sales,  G = 4.7%</t>
  </si>
  <si>
    <t>Assume no new debt is issued or repayed over the forecasted period therefore Non-current Liabilities remain constant</t>
  </si>
  <si>
    <t>Assets</t>
  </si>
  <si>
    <t>Assume portion of Minority interest stays constant at 1.5% (Minority interest/Total Equity)</t>
  </si>
  <si>
    <t>Cash and Bank balances</t>
  </si>
  <si>
    <t xml:space="preserve">Trade Receivables </t>
  </si>
  <si>
    <t>Inventory</t>
  </si>
  <si>
    <t>Other Current Assets</t>
  </si>
  <si>
    <t>Total Current Assets</t>
  </si>
  <si>
    <t xml:space="preserve">Non-Current Tangible Assets </t>
  </si>
  <si>
    <t xml:space="preserve">Non-Current Intangible Assets </t>
  </si>
  <si>
    <t>Other Non-Current Assets</t>
  </si>
  <si>
    <t>Total Non-Current Assets</t>
  </si>
  <si>
    <t>Total Assets</t>
  </si>
  <si>
    <t>Liabilities</t>
  </si>
  <si>
    <t>Bank Overdraft</t>
  </si>
  <si>
    <t>Trade Payables</t>
  </si>
  <si>
    <t>Borrowings</t>
  </si>
  <si>
    <t>Other Current liabilities</t>
  </si>
  <si>
    <t>Total Current Liabilities</t>
  </si>
  <si>
    <t>Long-term Debt</t>
  </si>
  <si>
    <t>Deferred tax liability</t>
  </si>
  <si>
    <t>Other non-current liabilities</t>
  </si>
  <si>
    <t>Total Non-Current Liabilities</t>
  </si>
  <si>
    <t>Total Liabilities</t>
  </si>
  <si>
    <t>Equity</t>
  </si>
  <si>
    <t>Shareholders Equity</t>
  </si>
  <si>
    <t>Equity from to Minority Interest</t>
  </si>
  <si>
    <t>Total Equity</t>
  </si>
  <si>
    <t>Statement of cash flows, growth projection.</t>
  </si>
  <si>
    <t>Unlevered Free Cash Flow Calculation</t>
  </si>
  <si>
    <t>Year ended 31 December 2021 000's</t>
  </si>
  <si>
    <t>CASH FLOWS FROM OPERATING ACTIVITIES</t>
  </si>
  <si>
    <t>Cash was provided from:</t>
  </si>
  <si>
    <t>Receipts from customers</t>
  </si>
  <si>
    <t>Receipts from agriculture</t>
  </si>
  <si>
    <t>EBIT(from agriculture)</t>
  </si>
  <si>
    <t>Receipts from pet food ingredients</t>
  </si>
  <si>
    <t>EBIT(from pet food ingredients</t>
  </si>
  <si>
    <t>Other receipts from customers</t>
  </si>
  <si>
    <t>EBIT(from other receipts)</t>
  </si>
  <si>
    <t>Dividends received</t>
  </si>
  <si>
    <t>Plus: Non-deductible Goodwill Amort.</t>
  </si>
  <si>
    <t>Interest received</t>
  </si>
  <si>
    <t>EBITA</t>
  </si>
  <si>
    <t xml:space="preserve">Less: Provision for Taxes </t>
  </si>
  <si>
    <t>Cash was disbursed to:</t>
  </si>
  <si>
    <t>Unlevered Net Income</t>
  </si>
  <si>
    <t>Payments to suppliers and employees</t>
  </si>
  <si>
    <t xml:space="preserve">Plus: D&amp;A (excl. non-deductible GW amort.) </t>
  </si>
  <si>
    <t>Interest paid</t>
  </si>
  <si>
    <t>Less: Capital Expenditures</t>
  </si>
  <si>
    <t>Income tax paid</t>
  </si>
  <si>
    <t>Less: Increase in Net Working Capital</t>
  </si>
  <si>
    <t>Unlevered Free Cash Flow</t>
  </si>
  <si>
    <t>NET CASH (USED IN) PROVIDED BY OPERATING ACTIVITIES</t>
  </si>
  <si>
    <t>CASH FLOWS FROM INVESTING ACTIVITIES</t>
  </si>
  <si>
    <t>Tax rate</t>
  </si>
  <si>
    <t>Proceeds from matured term deposits</t>
  </si>
  <si>
    <t xml:space="preserve">Capital Expediture in 2021 = </t>
  </si>
  <si>
    <t>Advances repaid</t>
  </si>
  <si>
    <t>Sale of property, plant and equipment</t>
  </si>
  <si>
    <t>Calculating changes to net working capital:</t>
  </si>
  <si>
    <t>Calculated as change(curr assets) - change(curr liabilities)</t>
  </si>
  <si>
    <t>change</t>
  </si>
  <si>
    <t>Cash was applied to:</t>
  </si>
  <si>
    <t>current assets</t>
  </si>
  <si>
    <t>Purchase of computer software</t>
  </si>
  <si>
    <t>current liabilites</t>
  </si>
  <si>
    <t>Purchase of property, plant and equipment</t>
  </si>
  <si>
    <t>Change to net working capital:</t>
  </si>
  <si>
    <t>Purchase of financial instruments</t>
  </si>
  <si>
    <t>Puchase of non-controlling shareholding</t>
  </si>
  <si>
    <t>Growth values:</t>
  </si>
  <si>
    <t xml:space="preserve">NET CASH PROVIDED BY INVESTING ACTIVITIES </t>
  </si>
  <si>
    <t>CASH FLOWS FROM FINANCING ACTIVITIES</t>
  </si>
  <si>
    <t>Other receipts</t>
  </si>
  <si>
    <t>Treasury stock sold</t>
  </si>
  <si>
    <t>n=</t>
  </si>
  <si>
    <t>Median inflation, used to grow capex</t>
  </si>
  <si>
    <t>WACC</t>
  </si>
  <si>
    <t xml:space="preserve">Terminal value </t>
  </si>
  <si>
    <t>Terminal Growth Rate</t>
  </si>
  <si>
    <t>Repayments of term facility borrowings</t>
  </si>
  <si>
    <t>PV of UCF's:</t>
  </si>
  <si>
    <t>Repayments of lease liabilities</t>
  </si>
  <si>
    <t>PV of terminal value</t>
  </si>
  <si>
    <t>Dividends paid</t>
  </si>
  <si>
    <t xml:space="preserve">Enterprise value </t>
  </si>
  <si>
    <t>Dividends paid to non-controlling interests</t>
  </si>
  <si>
    <t>Net debt 2021</t>
  </si>
  <si>
    <t>W</t>
  </si>
  <si>
    <t xml:space="preserve">Equity value </t>
  </si>
  <si>
    <t>A</t>
  </si>
  <si>
    <t>NET CASH USED IN FINANCING ACTIVITIES</t>
  </si>
  <si>
    <t>Shares outstanding</t>
  </si>
  <si>
    <t>C</t>
  </si>
  <si>
    <t>Present value per share from FCF</t>
  </si>
  <si>
    <t>NET INCREASE (DECREASE) IN NET CASH</t>
  </si>
  <si>
    <t>Net foreign exchange difference</t>
  </si>
  <si>
    <t>Cash and cash equivalents at the beginning of the period</t>
  </si>
  <si>
    <t xml:space="preserve">CASH AND CASH EQUIVALENTS AT THE END OF THE PERIOD </t>
  </si>
  <si>
    <t>Represented by:</t>
  </si>
  <si>
    <t>Cash and bank balances</t>
  </si>
  <si>
    <t>Bank overdrafts</t>
  </si>
  <si>
    <t>CASH AND CASH EQUIVALENTS AT THE END OF THE PERIOD</t>
  </si>
  <si>
    <t>NET CASH GENERATED BY OPERATING ACTIVITIES</t>
  </si>
  <si>
    <t>Reconciliation of profit for the year to net cash generated by operating activities:</t>
  </si>
  <si>
    <t>Profit for the year</t>
  </si>
  <si>
    <t>Non-cash items:</t>
  </si>
  <si>
    <t>Gain on disposal of property, plant and equipment</t>
  </si>
  <si>
    <t>Loss (gain) on hedge instruments recycled to profit or loss</t>
  </si>
  <si>
    <t>Government grant</t>
  </si>
  <si>
    <t>Amortisation</t>
  </si>
  <si>
    <t>Depreciation</t>
  </si>
  <si>
    <t>Reversal of impairment (impairment) on revaluation</t>
  </si>
  <si>
    <t>Share of equity accounted results</t>
  </si>
  <si>
    <t>FX option premiums</t>
  </si>
  <si>
    <t>Deferred tax</t>
  </si>
  <si>
    <t>Share-based payments</t>
  </si>
  <si>
    <t>Change in gross liability on put options</t>
  </si>
  <si>
    <t>Operating cash receipts not included in profit for the period:</t>
  </si>
  <si>
    <t>Dividends received from equity accounted company</t>
  </si>
  <si>
    <t>Changes in net assets and liabilities:</t>
  </si>
  <si>
    <t>Trade and other receivables</t>
  </si>
  <si>
    <t>Agricultural produce</t>
  </si>
  <si>
    <t>Inventories</t>
  </si>
  <si>
    <t>Prepayments</t>
  </si>
  <si>
    <t>Trade and other payables</t>
  </si>
  <si>
    <t>Current tax</t>
  </si>
  <si>
    <t>Sensitivity Analysis Multiples Valuation</t>
  </si>
  <si>
    <t>Growth Rate of EPS</t>
  </si>
  <si>
    <t>Comp Firm P/E</t>
  </si>
  <si>
    <t>Return on Equity</t>
  </si>
  <si>
    <t>Cost</t>
  </si>
  <si>
    <t>of</t>
  </si>
  <si>
    <t>Debt</t>
  </si>
  <si>
    <t>From conducting a sensitivity analysis by altering both the cost of debt and Return on Equity, it is aparent the fair value of Scales Corporation's share price is a lot more sensitive to changes in the ROE than it is to changes in the Cost of debt. This makes sense as the cashflows discounted using the ROE are significantly higher than the ones the Cost of debt uses to discount. The Cost of Debt discounts the Interest tax shield cashflows, which is a fraction of the size of the Unlevered cash flows discounted using the ROE. From the table we can see that the share price has a range between $1.58 and $2.04, with an average price of $1.82.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</si>
</sst>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_([$$-409]* #,##0.00_);_([$$-409]* \(#,##0.00\);_([$$-409]* &quot;-&quot;??_);_(@_)"/>
    <numFmt numFmtId="165" formatCode="&quot;$&quot;#,##0.00"/>
    <numFmt numFmtId="166" formatCode="0.0%"/>
    <numFmt numFmtId="167" formatCode="0.0000"/>
  </numFmts>
  <fonts count="21">
    <font>
      <sz val="12"/>
      <color theme="1"/>
      <name val="Calibri"/>
      <family val="2"/>
      <scheme val="minor"/>
    </font>
    <font>
      <b/>
      <sz val="12"/>
      <color theme="1"/>
      <name val="Calibri"/>
      <family val="2"/>
      <scheme val="minor"/>
    </font>
    <font>
      <sz val="12"/>
      <color theme="1"/>
      <name val="Angsana New"/>
    </font>
    <font>
      <b/>
      <sz val="12"/>
      <color theme="1"/>
      <name val="Times New Roman"/>
    </font>
    <font>
      <sz val="12"/>
      <color theme="1"/>
      <name val="Times New Roman"/>
    </font>
    <font>
      <b/>
      <sz val="12"/>
      <color rgb="FFFF0000"/>
      <name val="Times New Roman"/>
    </font>
    <font>
      <b/>
      <i/>
      <sz val="12"/>
      <color theme="1"/>
      <name val="Times New Roman"/>
    </font>
    <font>
      <sz val="12"/>
      <color rgb="FFFF0000"/>
      <name val="Times New Roman"/>
    </font>
    <font>
      <u/>
      <sz val="12"/>
      <color theme="1"/>
      <name val="Times New Roman"/>
    </font>
    <font>
      <b/>
      <u/>
      <sz val="12"/>
      <color theme="1"/>
      <name val="Times New Roman"/>
    </font>
    <font>
      <sz val="12"/>
      <color rgb="FF000000"/>
      <name val="Times New Roman"/>
    </font>
    <font>
      <sz val="12"/>
      <color rgb="FFFF0000"/>
      <name val="Calibri"/>
      <family val="2"/>
      <scheme val="minor"/>
    </font>
    <font>
      <sz val="18"/>
      <color rgb="FF000000"/>
      <name val="Calibri"/>
      <family val="2"/>
    </font>
    <font>
      <sz val="11"/>
      <color rgb="FF000000"/>
      <name val="Calibri"/>
      <family val="2"/>
    </font>
    <font>
      <b/>
      <sz val="11"/>
      <color rgb="FF000000"/>
      <name val="Calibri"/>
      <family val="2"/>
    </font>
    <font>
      <i/>
      <sz val="11"/>
      <color rgb="FF000000"/>
      <name val="Calibri"/>
      <family val="2"/>
    </font>
    <font>
      <sz val="11"/>
      <color rgb="FF444444"/>
      <name val="Calibri"/>
      <family val="2"/>
      <charset val="1"/>
    </font>
    <font>
      <sz val="11"/>
      <color theme="1"/>
      <name val="Calibri"/>
      <family val="2"/>
      <scheme val="minor"/>
    </font>
    <font>
      <b/>
      <sz val="11"/>
      <color theme="1"/>
      <name val="Calibri"/>
      <family val="2"/>
      <scheme val="minor"/>
    </font>
    <font>
      <b/>
      <sz val="12"/>
      <color theme="1"/>
      <name val="Angsana New"/>
    </font>
    <font>
      <b/>
      <u/>
      <sz val="12"/>
      <color theme="1"/>
      <name val="Calibri"/>
      <family val="2"/>
      <scheme val="minor"/>
    </font>
  </fonts>
  <fills count="2">
    <fill>
      <patternFill patternType="none"/>
    </fill>
    <fill>
      <patternFill patternType="gray125"/>
    </fill>
  </fills>
  <borders count="2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style="thin">
        <color indexed="64"/>
      </bottom>
      <diagonal/>
    </border>
    <border>
      <left/>
      <right/>
      <top/>
      <bottom style="double">
        <color indexed="64"/>
      </bottom>
      <diagonal/>
    </border>
    <border>
      <left/>
      <right/>
      <top style="thin">
        <color indexed="64"/>
      </top>
      <bottom style="double">
        <color indexed="64"/>
      </bottom>
      <diagonal/>
    </border>
    <border>
      <left/>
      <right/>
      <top style="thin">
        <color rgb="FF000000"/>
      </top>
      <bottom style="double">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89">
    <xf numFmtId="0" fontId="0" fillId="0" borderId="0" xfId="0"/>
    <xf numFmtId="3" fontId="1" fillId="0" borderId="0" xfId="0" applyNumberFormat="1" applyFont="1"/>
    <xf numFmtId="44" fontId="0" fillId="0" borderId="0" xfId="0" applyNumberFormat="1"/>
    <xf numFmtId="0" fontId="2" fillId="0" borderId="0" xfId="0" applyFont="1"/>
    <xf numFmtId="0" fontId="3" fillId="0" borderId="0" xfId="0" applyFont="1"/>
    <xf numFmtId="0" fontId="4" fillId="0" borderId="0" xfId="0" applyFont="1"/>
    <xf numFmtId="15" fontId="5" fillId="0" borderId="0" xfId="0" applyNumberFormat="1" applyFont="1"/>
    <xf numFmtId="0" fontId="6" fillId="0" borderId="0" xfId="0" applyFont="1"/>
    <xf numFmtId="44" fontId="4" fillId="0" borderId="0" xfId="0" applyNumberFormat="1" applyFont="1"/>
    <xf numFmtId="44" fontId="3" fillId="0" borderId="0" xfId="0" applyNumberFormat="1" applyFont="1"/>
    <xf numFmtId="3" fontId="4" fillId="0" borderId="0" xfId="0" applyNumberFormat="1" applyFont="1"/>
    <xf numFmtId="3" fontId="3" fillId="0" borderId="0" xfId="0" applyNumberFormat="1" applyFont="1"/>
    <xf numFmtId="0" fontId="5" fillId="0" borderId="0" xfId="0" applyFont="1"/>
    <xf numFmtId="0" fontId="8" fillId="0" borderId="0" xfId="0" applyFont="1"/>
    <xf numFmtId="3" fontId="9" fillId="0" borderId="0" xfId="0" applyNumberFormat="1" applyFont="1"/>
    <xf numFmtId="0" fontId="10" fillId="0" borderId="0" xfId="0" applyFont="1"/>
    <xf numFmtId="0" fontId="7" fillId="0" borderId="0" xfId="0" applyFont="1"/>
    <xf numFmtId="44" fontId="4" fillId="0" borderId="1" xfId="0" applyNumberFormat="1" applyFont="1" applyBorder="1"/>
    <xf numFmtId="0" fontId="7" fillId="0" borderId="2" xfId="0" applyFont="1" applyBorder="1"/>
    <xf numFmtId="0" fontId="4" fillId="0" borderId="3" xfId="0" applyFont="1" applyBorder="1"/>
    <xf numFmtId="44" fontId="4" fillId="0" borderId="4" xfId="0" applyNumberFormat="1" applyFont="1" applyBorder="1"/>
    <xf numFmtId="0" fontId="0" fillId="0" borderId="5" xfId="0" applyBorder="1"/>
    <xf numFmtId="44" fontId="0" fillId="0" borderId="5" xfId="0" applyNumberFormat="1" applyBorder="1"/>
    <xf numFmtId="0" fontId="4" fillId="0" borderId="6" xfId="0" applyFont="1" applyBorder="1"/>
    <xf numFmtId="44" fontId="4" fillId="0" borderId="7" xfId="0" applyNumberFormat="1" applyFont="1" applyBorder="1"/>
    <xf numFmtId="44" fontId="0" fillId="0" borderId="7" xfId="0" applyNumberFormat="1" applyBorder="1"/>
    <xf numFmtId="44" fontId="11" fillId="0" borderId="8" xfId="0" applyNumberFormat="1" applyFont="1" applyBorder="1"/>
    <xf numFmtId="0" fontId="3" fillId="0" borderId="1" xfId="0" applyFont="1" applyBorder="1"/>
    <xf numFmtId="0" fontId="4" fillId="0" borderId="2" xfId="0" applyFont="1" applyBorder="1"/>
    <xf numFmtId="0" fontId="4" fillId="0" borderId="4" xfId="0" applyFont="1" applyBorder="1"/>
    <xf numFmtId="0" fontId="4" fillId="0" borderId="5" xfId="0" applyFont="1" applyBorder="1"/>
    <xf numFmtId="15" fontId="5" fillId="0" borderId="5" xfId="0" applyNumberFormat="1" applyFont="1" applyBorder="1"/>
    <xf numFmtId="6" fontId="4" fillId="0" borderId="0" xfId="0" applyNumberFormat="1" applyFont="1"/>
    <xf numFmtId="0" fontId="3" fillId="0" borderId="4" xfId="0" applyFont="1" applyBorder="1"/>
    <xf numFmtId="44" fontId="4" fillId="0" borderId="5" xfId="0" applyNumberFormat="1" applyFont="1" applyBorder="1"/>
    <xf numFmtId="0" fontId="5" fillId="0" borderId="4" xfId="0" applyFont="1" applyBorder="1"/>
    <xf numFmtId="44" fontId="5" fillId="0" borderId="0" xfId="0" applyNumberFormat="1" applyFont="1"/>
    <xf numFmtId="44" fontId="5" fillId="0" borderId="5" xfId="0" applyNumberFormat="1" applyFont="1" applyBorder="1"/>
    <xf numFmtId="0" fontId="5" fillId="0" borderId="9" xfId="0" applyFont="1" applyBorder="1"/>
    <xf numFmtId="0" fontId="7" fillId="0" borderId="10" xfId="0" applyFont="1" applyBorder="1"/>
    <xf numFmtId="44" fontId="5" fillId="0" borderId="10" xfId="0" applyNumberFormat="1" applyFont="1" applyBorder="1"/>
    <xf numFmtId="44" fontId="5" fillId="0" borderId="11" xfId="0" applyNumberFormat="1" applyFont="1" applyBorder="1"/>
    <xf numFmtId="0" fontId="12" fillId="0" borderId="0" xfId="0" applyFont="1"/>
    <xf numFmtId="0" fontId="13" fillId="0" borderId="0" xfId="0" applyFont="1"/>
    <xf numFmtId="0" fontId="14" fillId="0" borderId="0" xfId="0" applyFont="1"/>
    <xf numFmtId="0" fontId="15" fillId="0" borderId="0" xfId="0" applyFont="1"/>
    <xf numFmtId="3" fontId="13" fillId="0" borderId="0" xfId="0" applyNumberFormat="1" applyFont="1"/>
    <xf numFmtId="3" fontId="14" fillId="0" borderId="12" xfId="0" applyNumberFormat="1" applyFont="1" applyBorder="1"/>
    <xf numFmtId="3" fontId="14" fillId="0" borderId="13" xfId="0" applyNumberFormat="1" applyFont="1" applyBorder="1"/>
    <xf numFmtId="3" fontId="13" fillId="0" borderId="12" xfId="0" applyNumberFormat="1" applyFont="1" applyBorder="1"/>
    <xf numFmtId="3" fontId="13" fillId="0" borderId="13" xfId="0" applyNumberFormat="1" applyFont="1" applyBorder="1"/>
    <xf numFmtId="3" fontId="13" fillId="0" borderId="14" xfId="0" applyNumberFormat="1" applyFont="1" applyBorder="1"/>
    <xf numFmtId="44" fontId="13" fillId="0" borderId="0" xfId="0" applyNumberFormat="1" applyFont="1"/>
    <xf numFmtId="3" fontId="16" fillId="0" borderId="0" xfId="0" applyNumberFormat="1" applyFont="1"/>
    <xf numFmtId="164" fontId="0" fillId="0" borderId="0" xfId="0" applyNumberFormat="1"/>
    <xf numFmtId="8" fontId="13" fillId="0" borderId="0" xfId="0" applyNumberFormat="1" applyFont="1"/>
    <xf numFmtId="0" fontId="17" fillId="0" borderId="0" xfId="0" applyFont="1"/>
    <xf numFmtId="165" fontId="17" fillId="0" borderId="0" xfId="0" applyNumberFormat="1" applyFont="1"/>
    <xf numFmtId="10" fontId="17" fillId="0" borderId="0" xfId="0" applyNumberFormat="1" applyFont="1"/>
    <xf numFmtId="0" fontId="18" fillId="0" borderId="0" xfId="0" applyFont="1"/>
    <xf numFmtId="165" fontId="17" fillId="0" borderId="15" xfId="0" applyNumberFormat="1" applyFont="1" applyBorder="1"/>
    <xf numFmtId="0" fontId="1" fillId="0" borderId="0" xfId="0" applyFont="1"/>
    <xf numFmtId="0" fontId="19" fillId="0" borderId="0" xfId="0" applyFont="1"/>
    <xf numFmtId="166" fontId="0" fillId="0" borderId="0" xfId="0" applyNumberFormat="1"/>
    <xf numFmtId="167" fontId="0" fillId="0" borderId="0" xfId="0" applyNumberFormat="1"/>
    <xf numFmtId="167" fontId="0" fillId="0" borderId="16" xfId="0" applyNumberFormat="1" applyBorder="1"/>
    <xf numFmtId="167" fontId="0" fillId="0" borderId="17" xfId="0" applyNumberFormat="1" applyBorder="1"/>
    <xf numFmtId="167" fontId="0" fillId="0" borderId="18" xfId="0" applyNumberFormat="1" applyBorder="1"/>
    <xf numFmtId="167" fontId="0" fillId="0" borderId="19" xfId="0" applyNumberFormat="1" applyBorder="1"/>
    <xf numFmtId="167" fontId="0" fillId="0" borderId="20" xfId="0" applyNumberFormat="1" applyBorder="1"/>
    <xf numFmtId="167" fontId="0" fillId="0" borderId="21" xfId="0" applyNumberFormat="1" applyBorder="1"/>
    <xf numFmtId="167" fontId="0" fillId="0" borderId="22" xfId="0" applyNumberFormat="1" applyBorder="1"/>
    <xf numFmtId="167" fontId="20" fillId="0" borderId="16" xfId="0" applyNumberFormat="1" applyFont="1" applyBorder="1"/>
    <xf numFmtId="0" fontId="17" fillId="0" borderId="0" xfId="0" applyFont="1" applyAlignment="1">
      <alignment horizontal="right"/>
    </xf>
    <xf numFmtId="2" fontId="17" fillId="0" borderId="0" xfId="0" applyNumberFormat="1" applyFont="1"/>
    <xf numFmtId="165" fontId="17" fillId="0" borderId="5" xfId="0" applyNumberFormat="1" applyFont="1" applyBorder="1"/>
    <xf numFmtId="165" fontId="17" fillId="0" borderId="7" xfId="0" applyNumberFormat="1" applyFont="1" applyBorder="1"/>
    <xf numFmtId="165" fontId="17" fillId="0" borderId="8" xfId="0" applyNumberFormat="1" applyFont="1" applyBorder="1"/>
    <xf numFmtId="9" fontId="17" fillId="0" borderId="9" xfId="0" applyNumberFormat="1" applyFont="1" applyBorder="1"/>
    <xf numFmtId="10" fontId="17" fillId="0" borderId="10" xfId="0" applyNumberFormat="1" applyFont="1" applyBorder="1"/>
    <xf numFmtId="9" fontId="17" fillId="0" borderId="10" xfId="0" applyNumberFormat="1" applyFont="1" applyBorder="1"/>
    <xf numFmtId="10" fontId="17" fillId="0" borderId="11" xfId="0" applyNumberFormat="1" applyFont="1" applyBorder="1"/>
    <xf numFmtId="9" fontId="17" fillId="0" borderId="23" xfId="0" applyNumberFormat="1" applyFont="1" applyBorder="1"/>
    <xf numFmtId="9" fontId="17" fillId="0" borderId="24" xfId="0" applyNumberFormat="1" applyFont="1" applyBorder="1"/>
    <xf numFmtId="9" fontId="17" fillId="0" borderId="25" xfId="0" applyNumberFormat="1" applyFont="1" applyBorder="1"/>
    <xf numFmtId="2" fontId="0" fillId="0" borderId="0" xfId="0" applyNumberFormat="1"/>
    <xf numFmtId="10" fontId="0" fillId="0" borderId="0" xfId="0" applyNumberFormat="1"/>
    <xf numFmtId="8" fontId="0" fillId="0" borderId="0" xfId="0" applyNumberFormat="1"/>
    <xf numFmtId="44" fontId="1" fillId="0" borderId="16"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B84B2-EAC2-7C4D-9267-9A080A5D1D91}">
  <dimension ref="A1:Y37"/>
  <sheetViews>
    <sheetView topLeftCell="F13" zoomScaleNormal="158" workbookViewId="0">
      <selection activeCell="P35" sqref="P35"/>
    </sheetView>
  </sheetViews>
  <sheetFormatPr defaultColWidth="11" defaultRowHeight="15.95"/>
  <cols>
    <col min="4" max="7" width="12.5" bestFit="1" customWidth="1"/>
    <col min="8" max="9" width="13" bestFit="1" customWidth="1"/>
    <col min="11" max="11" width="11.125" bestFit="1" customWidth="1"/>
    <col min="16" max="16" width="15.5" bestFit="1" customWidth="1"/>
    <col min="17" max="21" width="14.75" bestFit="1" customWidth="1"/>
    <col min="22" max="22" width="15.75" bestFit="1" customWidth="1"/>
  </cols>
  <sheetData>
    <row r="1" spans="1:25" ht="15.75">
      <c r="A1" s="27" t="s">
        <v>0</v>
      </c>
      <c r="B1" s="28"/>
      <c r="C1" s="28"/>
      <c r="D1" s="28"/>
      <c r="E1" s="28"/>
      <c r="F1" s="28"/>
      <c r="G1" s="28"/>
      <c r="H1" s="28"/>
      <c r="I1" s="19"/>
      <c r="J1" s="5"/>
      <c r="K1" s="4" t="s">
        <v>1</v>
      </c>
      <c r="L1" s="5"/>
      <c r="M1" s="5"/>
      <c r="N1" s="5"/>
      <c r="O1" s="5"/>
      <c r="P1" s="5"/>
      <c r="Q1" s="5"/>
      <c r="R1" s="5"/>
      <c r="S1" s="5"/>
      <c r="T1" s="5"/>
      <c r="U1" s="5"/>
      <c r="V1" s="5"/>
      <c r="W1" s="5"/>
      <c r="X1" s="5"/>
      <c r="Y1" s="5"/>
    </row>
    <row r="2" spans="1:25" ht="15.75">
      <c r="A2" s="29" t="s">
        <v>2</v>
      </c>
      <c r="B2" s="5"/>
      <c r="C2" s="5"/>
      <c r="D2" s="5"/>
      <c r="E2" s="5"/>
      <c r="F2" s="5"/>
      <c r="G2" s="5"/>
      <c r="H2" s="5"/>
      <c r="I2" s="30"/>
      <c r="J2" s="5"/>
      <c r="K2" s="61" t="s">
        <v>3</v>
      </c>
      <c r="L2" s="4"/>
      <c r="M2" s="4"/>
      <c r="N2" s="4"/>
      <c r="O2" s="4"/>
      <c r="P2" s="4"/>
      <c r="Q2" s="4"/>
      <c r="R2" s="4"/>
      <c r="S2" s="4"/>
      <c r="T2" s="4"/>
      <c r="U2" s="4"/>
      <c r="V2" s="4"/>
      <c r="W2" s="5"/>
      <c r="X2" s="5"/>
      <c r="Y2" s="5"/>
    </row>
    <row r="3" spans="1:25" ht="15.75">
      <c r="A3" s="29" t="s">
        <v>4</v>
      </c>
      <c r="B3" s="5"/>
      <c r="C3" s="5"/>
      <c r="D3" s="6">
        <v>46387</v>
      </c>
      <c r="E3" s="6">
        <v>46022</v>
      </c>
      <c r="F3" s="6">
        <v>45657</v>
      </c>
      <c r="G3" s="6">
        <v>45291</v>
      </c>
      <c r="H3" s="6">
        <v>44926</v>
      </c>
      <c r="I3" s="31">
        <v>44561</v>
      </c>
      <c r="J3" s="5"/>
      <c r="K3" s="4" t="s">
        <v>5</v>
      </c>
      <c r="L3" s="4"/>
      <c r="M3" s="4"/>
      <c r="N3" s="4"/>
      <c r="O3" s="4"/>
      <c r="P3" s="4"/>
      <c r="Q3" s="4"/>
      <c r="R3" s="4"/>
      <c r="S3" s="4"/>
      <c r="T3" s="4"/>
      <c r="U3" s="4"/>
      <c r="V3" s="4"/>
      <c r="W3" s="5"/>
      <c r="X3" s="5"/>
      <c r="Y3" s="5"/>
    </row>
    <row r="4" spans="1:25" ht="15.75">
      <c r="A4" s="29"/>
      <c r="B4" s="5"/>
      <c r="C4" s="32"/>
      <c r="D4" s="5"/>
      <c r="E4" s="5"/>
      <c r="F4" s="5"/>
      <c r="G4" s="5"/>
      <c r="H4" s="5"/>
      <c r="I4" s="30"/>
      <c r="J4" s="5"/>
      <c r="K4" s="4" t="s">
        <v>6</v>
      </c>
      <c r="L4" s="4"/>
      <c r="M4" s="4"/>
      <c r="N4" s="4"/>
      <c r="O4" s="4"/>
      <c r="P4" s="4"/>
      <c r="Q4" s="4"/>
      <c r="R4" s="4"/>
      <c r="S4" s="4"/>
      <c r="T4" s="4"/>
      <c r="U4" s="4"/>
      <c r="V4" s="4"/>
      <c r="W4" s="5"/>
      <c r="X4" s="5"/>
      <c r="Y4" s="5"/>
    </row>
    <row r="5" spans="1:25" ht="15.75">
      <c r="A5" s="29"/>
      <c r="B5" s="5"/>
      <c r="C5" s="5"/>
      <c r="D5" s="5"/>
      <c r="E5" s="5"/>
      <c r="F5" s="5"/>
      <c r="G5" s="5"/>
      <c r="H5" s="5"/>
      <c r="I5" s="30"/>
      <c r="J5" s="5"/>
      <c r="K5" s="4" t="s">
        <v>7</v>
      </c>
      <c r="L5" s="4"/>
      <c r="M5" s="4"/>
      <c r="N5" s="4"/>
      <c r="O5" s="4"/>
      <c r="P5" s="4"/>
      <c r="Q5" s="4"/>
      <c r="R5" s="4"/>
      <c r="S5" s="4"/>
      <c r="T5" s="4"/>
      <c r="U5" s="4"/>
      <c r="V5" s="4"/>
      <c r="W5" s="5"/>
      <c r="X5" s="5"/>
      <c r="Y5" s="5"/>
    </row>
    <row r="6" spans="1:25" ht="15.75">
      <c r="A6" s="33" t="s">
        <v>8</v>
      </c>
      <c r="B6" s="5"/>
      <c r="C6" s="5"/>
      <c r="D6" s="8">
        <f>E6*1.047</f>
        <v>647383.81110812363</v>
      </c>
      <c r="E6" s="8">
        <f>F6*1.047</f>
        <v>618322.64671263006</v>
      </c>
      <c r="F6" s="8">
        <f>G6*1.047</f>
        <v>590566.04270547291</v>
      </c>
      <c r="G6" s="8">
        <f>H6*1.047</f>
        <v>564055.43715899996</v>
      </c>
      <c r="H6" s="8">
        <f>I6*1.047</f>
        <v>538734.897</v>
      </c>
      <c r="I6" s="34">
        <v>514551</v>
      </c>
      <c r="J6" s="5"/>
      <c r="K6" s="4" t="s">
        <v>9</v>
      </c>
      <c r="L6" s="4"/>
      <c r="M6" s="4"/>
      <c r="N6" s="4"/>
      <c r="O6" s="4"/>
      <c r="P6" s="4"/>
      <c r="Q6" s="4"/>
      <c r="R6" s="4"/>
      <c r="S6" s="4"/>
      <c r="T6" s="4"/>
      <c r="U6" s="4"/>
      <c r="V6" s="4"/>
      <c r="W6" s="5"/>
      <c r="X6" s="5"/>
      <c r="Y6" s="5"/>
    </row>
    <row r="7" spans="1:25" ht="15.75">
      <c r="A7" s="29" t="s">
        <v>10</v>
      </c>
      <c r="B7" s="5"/>
      <c r="C7" s="5"/>
      <c r="D7" s="8">
        <f>E7*1.047</f>
        <v>504095.29844469094</v>
      </c>
      <c r="E7" s="8">
        <f>F7*1.047</f>
        <v>481466.3786482244</v>
      </c>
      <c r="F7" s="8">
        <f>G7*1.047</f>
        <v>459853.27473564894</v>
      </c>
      <c r="G7" s="8">
        <f>H7*1.047</f>
        <v>439210.38656699995</v>
      </c>
      <c r="H7" s="8">
        <f>I7*1.047</f>
        <v>419494.16099999996</v>
      </c>
      <c r="I7" s="34">
        <v>400663</v>
      </c>
      <c r="J7" s="5"/>
      <c r="K7" s="4"/>
      <c r="L7" s="4" t="s">
        <v>11</v>
      </c>
      <c r="M7" s="4"/>
      <c r="N7" s="4"/>
      <c r="O7" s="4"/>
      <c r="P7" s="4"/>
      <c r="Q7" s="4"/>
      <c r="R7" s="4"/>
      <c r="S7" s="4"/>
      <c r="T7" s="4"/>
      <c r="U7" s="4"/>
      <c r="V7" s="4"/>
      <c r="W7" s="5"/>
      <c r="X7" s="5"/>
      <c r="Y7" s="5"/>
    </row>
    <row r="8" spans="1:25" ht="15.75">
      <c r="A8" s="35" t="s">
        <v>12</v>
      </c>
      <c r="B8" s="16"/>
      <c r="C8" s="16"/>
      <c r="D8" s="36">
        <f t="shared" ref="D8:H8" si="0">D6-D7</f>
        <v>143288.51266343269</v>
      </c>
      <c r="E8" s="36">
        <f t="shared" si="0"/>
        <v>136856.26806440565</v>
      </c>
      <c r="F8" s="36">
        <f t="shared" si="0"/>
        <v>130712.76796982397</v>
      </c>
      <c r="G8" s="36">
        <f t="shared" si="0"/>
        <v>124845.05059200001</v>
      </c>
      <c r="H8" s="36">
        <f t="shared" si="0"/>
        <v>119240.73600000003</v>
      </c>
      <c r="I8" s="37">
        <f>I6-I7</f>
        <v>113888</v>
      </c>
      <c r="J8" s="5"/>
      <c r="K8" s="5"/>
      <c r="L8" s="5"/>
      <c r="M8" s="5"/>
      <c r="N8" s="5"/>
      <c r="O8" s="5"/>
      <c r="P8" s="5"/>
      <c r="Q8" s="5"/>
      <c r="R8" s="5"/>
      <c r="S8" s="5"/>
      <c r="T8" s="5"/>
      <c r="U8" s="5"/>
      <c r="V8" s="5"/>
      <c r="W8" s="5"/>
      <c r="X8" s="5"/>
      <c r="Y8" s="5"/>
    </row>
    <row r="9" spans="1:25" ht="15.75">
      <c r="A9" s="29" t="s">
        <v>13</v>
      </c>
      <c r="B9" s="5"/>
      <c r="C9" s="5"/>
      <c r="D9" s="8">
        <f>E9*1.047</f>
        <v>-59436.399152968057</v>
      </c>
      <c r="E9" s="8">
        <f>F9*1.047</f>
        <v>-56768.289544382103</v>
      </c>
      <c r="F9" s="8">
        <f>G9*1.047</f>
        <v>-54219.951809342987</v>
      </c>
      <c r="G9" s="8">
        <f>H9*1.047</f>
        <v>-51786.009368999992</v>
      </c>
      <c r="H9" s="8">
        <f>I9*1.047</f>
        <v>-49461.326999999997</v>
      </c>
      <c r="I9" s="34">
        <v>-47241</v>
      </c>
      <c r="J9" s="5"/>
      <c r="K9" s="5" t="s">
        <v>14</v>
      </c>
      <c r="L9" s="5"/>
      <c r="M9" s="5"/>
      <c r="N9" s="5"/>
      <c r="W9" s="5"/>
      <c r="X9" s="5"/>
      <c r="Y9" s="5"/>
    </row>
    <row r="10" spans="1:25" ht="15.75">
      <c r="A10" s="29" t="s">
        <v>15</v>
      </c>
      <c r="B10" s="5"/>
      <c r="C10" s="5"/>
      <c r="D10" s="8">
        <f>E10*1.047</f>
        <v>6255.5360087330328</v>
      </c>
      <c r="E10" s="8">
        <f>F10*1.047</f>
        <v>5974.7239815979301</v>
      </c>
      <c r="F10" s="8">
        <f>G10*1.047</f>
        <v>5706.5176519559982</v>
      </c>
      <c r="G10" s="8">
        <f>H10*1.047</f>
        <v>5450.3511479999988</v>
      </c>
      <c r="H10" s="8">
        <f>I10*1.047</f>
        <v>5205.6839999999993</v>
      </c>
      <c r="I10" s="34">
        <v>4972</v>
      </c>
      <c r="J10" s="5"/>
      <c r="W10" s="5"/>
      <c r="X10" s="5"/>
      <c r="Y10" s="5"/>
    </row>
    <row r="11" spans="1:25" ht="15.75">
      <c r="A11" s="35" t="s">
        <v>16</v>
      </c>
      <c r="B11" s="16"/>
      <c r="C11" s="16"/>
      <c r="D11" s="36">
        <f>D8+D9+D10</f>
        <v>90107.649519197672</v>
      </c>
      <c r="E11" s="36">
        <f>E8+E9+E10</f>
        <v>86062.702501621476</v>
      </c>
      <c r="F11" s="36">
        <f>F8+F9+F10</f>
        <v>82199.333812436991</v>
      </c>
      <c r="G11" s="36">
        <f>G8+G9+G10</f>
        <v>78509.392371000024</v>
      </c>
      <c r="H11" s="36">
        <f>H8+H9+H10</f>
        <v>74985.093000000037</v>
      </c>
      <c r="I11" s="37">
        <f>I8+I9+I10</f>
        <v>71619</v>
      </c>
      <c r="J11" s="10"/>
      <c r="K11" t="s">
        <v>17</v>
      </c>
      <c r="W11" s="5"/>
      <c r="X11" s="5"/>
      <c r="Y11" s="5"/>
    </row>
    <row r="12" spans="1:25" ht="15.75">
      <c r="A12" s="29" t="s">
        <v>18</v>
      </c>
      <c r="B12" s="5"/>
      <c r="C12" s="5"/>
      <c r="D12" s="8">
        <f>E12*1.047</f>
        <v>-25231.785106738171</v>
      </c>
      <c r="E12" s="8">
        <f>F12*1.047</f>
        <v>-24099.126176445247</v>
      </c>
      <c r="F12" s="8">
        <f>G12*1.047</f>
        <v>-23017.312489441498</v>
      </c>
      <c r="G12" s="8">
        <f>H12*1.0743</f>
        <v>-21984.061594499999</v>
      </c>
      <c r="H12" s="8">
        <f>I12*1.047</f>
        <v>-20463.614999999998</v>
      </c>
      <c r="I12" s="34">
        <v>-19545</v>
      </c>
      <c r="J12" s="11"/>
      <c r="W12" s="5"/>
      <c r="X12" s="5"/>
      <c r="Y12" s="5"/>
    </row>
    <row r="13" spans="1:25" ht="15.75">
      <c r="A13" s="35" t="s">
        <v>19</v>
      </c>
      <c r="B13" s="16"/>
      <c r="C13" s="16"/>
      <c r="D13" s="36">
        <f>D11+D12</f>
        <v>64875.864412459501</v>
      </c>
      <c r="E13" s="36">
        <f>E11+E12</f>
        <v>61963.576325176226</v>
      </c>
      <c r="F13" s="36">
        <f>F11+F12</f>
        <v>59182.021322995497</v>
      </c>
      <c r="G13" s="36">
        <f>H13*1.047</f>
        <v>57083.987466000035</v>
      </c>
      <c r="H13" s="36">
        <f>H11+H12</f>
        <v>54521.478000000039</v>
      </c>
      <c r="I13" s="37">
        <f>I11+I12</f>
        <v>52074</v>
      </c>
      <c r="J13" s="10"/>
      <c r="W13" s="5"/>
      <c r="X13" s="5"/>
      <c r="Y13" s="5"/>
    </row>
    <row r="14" spans="1:25" ht="15.75">
      <c r="A14" s="29" t="s">
        <v>20</v>
      </c>
      <c r="B14" s="5"/>
      <c r="C14" s="5"/>
      <c r="D14" s="8">
        <f>E14</f>
        <v>-1786</v>
      </c>
      <c r="E14" s="8">
        <f>F14</f>
        <v>-1786</v>
      </c>
      <c r="F14" s="8">
        <f>G14</f>
        <v>-1786</v>
      </c>
      <c r="G14" s="8">
        <f>H14</f>
        <v>-1786</v>
      </c>
      <c r="H14" s="8">
        <f>I14</f>
        <v>-1786</v>
      </c>
      <c r="I14" s="34">
        <v>-1786</v>
      </c>
      <c r="J14" s="9"/>
      <c r="W14" s="5"/>
      <c r="X14" s="5"/>
      <c r="Y14" s="5"/>
    </row>
    <row r="15" spans="1:25" ht="15.75">
      <c r="A15" s="20" t="s">
        <v>21</v>
      </c>
      <c r="B15" s="8"/>
      <c r="C15" s="8"/>
      <c r="D15" s="8">
        <f>E15</f>
        <v>-2964</v>
      </c>
      <c r="E15" s="8">
        <f>F15</f>
        <v>-2964</v>
      </c>
      <c r="F15" s="8">
        <f>G15</f>
        <v>-2964</v>
      </c>
      <c r="G15" s="8">
        <f>H15</f>
        <v>-2964</v>
      </c>
      <c r="H15" s="8">
        <f>I15</f>
        <v>-2964</v>
      </c>
      <c r="I15" s="34">
        <v>-2964</v>
      </c>
      <c r="J15" s="5"/>
      <c r="W15" s="5"/>
      <c r="X15" s="5"/>
      <c r="Y15" s="5"/>
    </row>
    <row r="16" spans="1:25" ht="15.75">
      <c r="A16" s="29" t="s">
        <v>22</v>
      </c>
      <c r="B16" s="5"/>
      <c r="C16" s="5"/>
      <c r="D16" s="8">
        <f>E16</f>
        <v>1203</v>
      </c>
      <c r="E16" s="8">
        <f>F16</f>
        <v>1203</v>
      </c>
      <c r="F16" s="8">
        <f>G16</f>
        <v>1203</v>
      </c>
      <c r="G16" s="8">
        <f>H16</f>
        <v>1203</v>
      </c>
      <c r="H16" s="8">
        <f>I16</f>
        <v>1203</v>
      </c>
      <c r="I16" s="34">
        <v>1203</v>
      </c>
      <c r="J16" s="5"/>
      <c r="K16" s="4" t="s">
        <v>23</v>
      </c>
      <c r="L16" s="5"/>
      <c r="M16" s="5"/>
      <c r="N16" s="5"/>
      <c r="W16" s="5"/>
      <c r="X16" s="5"/>
      <c r="Y16" s="5"/>
    </row>
    <row r="17" spans="1:25" ht="15.75">
      <c r="A17" s="35" t="s">
        <v>24</v>
      </c>
      <c r="B17" s="16"/>
      <c r="C17" s="16"/>
      <c r="D17" s="36">
        <f>SUM(D13:D16)</f>
        <v>61328.864412459501</v>
      </c>
      <c r="E17" s="36">
        <f>SUM(E13:E16)</f>
        <v>58416.576325176226</v>
      </c>
      <c r="F17" s="36">
        <f>SUM(F13:F16)</f>
        <v>55635.021322995497</v>
      </c>
      <c r="G17" s="36">
        <f>SUM(G13:G16)</f>
        <v>53536.987466000035</v>
      </c>
      <c r="H17" s="36">
        <f>SUM(H13:H16)</f>
        <v>50974.478000000039</v>
      </c>
      <c r="I17" s="37">
        <f>SUM(I13:I16)</f>
        <v>48527</v>
      </c>
      <c r="J17" s="5"/>
      <c r="K17" s="5"/>
      <c r="L17" s="5"/>
      <c r="M17" s="5"/>
      <c r="N17" s="5"/>
      <c r="W17" s="5"/>
      <c r="X17" s="5"/>
      <c r="Y17" s="5"/>
    </row>
    <row r="18" spans="1:25" ht="15.75">
      <c r="A18" s="29" t="s">
        <v>25</v>
      </c>
      <c r="B18" s="5"/>
      <c r="C18" s="5"/>
      <c r="D18" s="8">
        <f>D17*-0.28</f>
        <v>-17172.082035488664</v>
      </c>
      <c r="E18" s="8">
        <f>E17*-0.28</f>
        <v>-16356.641371049345</v>
      </c>
      <c r="F18" s="8">
        <f>F17*-0.28</f>
        <v>-15577.805970438741</v>
      </c>
      <c r="G18" s="8">
        <f>G17*-0.28</f>
        <v>-14990.356490480011</v>
      </c>
      <c r="H18" s="8">
        <f>H17*-0.28</f>
        <v>-14272.853840000012</v>
      </c>
      <c r="I18" s="34">
        <v>-11557</v>
      </c>
      <c r="J18" s="5"/>
      <c r="K18" s="5" t="s">
        <v>26</v>
      </c>
      <c r="L18" s="5"/>
      <c r="M18" s="5"/>
      <c r="N18" s="5"/>
      <c r="O18" s="17" t="s">
        <v>27</v>
      </c>
      <c r="P18" s="18">
        <v>2021</v>
      </c>
      <c r="Q18" s="18">
        <v>2022</v>
      </c>
      <c r="R18" s="18">
        <v>2023</v>
      </c>
      <c r="S18" s="18">
        <v>2024</v>
      </c>
      <c r="T18" s="18">
        <v>2025</v>
      </c>
      <c r="U18" s="18">
        <v>2026</v>
      </c>
      <c r="V18" s="19" t="s">
        <v>28</v>
      </c>
      <c r="W18" s="5"/>
      <c r="X18" s="5"/>
      <c r="Y18" s="5"/>
    </row>
    <row r="19" spans="1:25" ht="15.75">
      <c r="A19" s="29"/>
      <c r="B19" s="5"/>
      <c r="C19" s="5"/>
      <c r="D19" s="8"/>
      <c r="E19" s="8"/>
      <c r="F19" s="8"/>
      <c r="G19" s="8"/>
      <c r="H19" s="8" t="s">
        <v>29</v>
      </c>
      <c r="I19" s="34"/>
      <c r="J19" s="5"/>
      <c r="K19" s="5" t="s">
        <v>30</v>
      </c>
      <c r="L19" s="5"/>
      <c r="M19" s="5"/>
      <c r="N19" s="5"/>
      <c r="O19" s="20" t="s">
        <v>31</v>
      </c>
      <c r="P19" s="8">
        <v>-16324000</v>
      </c>
      <c r="Q19" s="8"/>
      <c r="R19" s="8"/>
      <c r="S19" s="8"/>
      <c r="T19" s="8"/>
      <c r="U19" s="8"/>
      <c r="V19" s="21"/>
      <c r="W19" s="5"/>
      <c r="X19" s="5"/>
      <c r="Y19" s="5"/>
    </row>
    <row r="20" spans="1:25" ht="15.75">
      <c r="A20" s="38" t="s">
        <v>32</v>
      </c>
      <c r="B20" s="39"/>
      <c r="C20" s="39"/>
      <c r="D20" s="40">
        <f>D17+D18</f>
        <v>44156.782376970834</v>
      </c>
      <c r="E20" s="40">
        <f>E17+E18</f>
        <v>42059.934954126882</v>
      </c>
      <c r="F20" s="40">
        <f>F17+F18</f>
        <v>40057.215352556756</v>
      </c>
      <c r="G20" s="40">
        <f>G17+G18</f>
        <v>38546.63097552002</v>
      </c>
      <c r="H20" s="40">
        <f>H17+H18</f>
        <v>36701.624160000028</v>
      </c>
      <c r="I20" s="41">
        <f>I17+I18</f>
        <v>36970</v>
      </c>
      <c r="J20" s="5"/>
      <c r="K20" s="5" t="s">
        <v>33</v>
      </c>
      <c r="L20" s="5"/>
      <c r="M20" s="5"/>
      <c r="N20" s="5"/>
      <c r="O20" s="20" t="s">
        <v>34</v>
      </c>
      <c r="P20" s="8"/>
      <c r="Q20" s="8">
        <v>49305264</v>
      </c>
      <c r="R20" s="8">
        <v>47143938</v>
      </c>
      <c r="S20" s="8">
        <v>45077334</v>
      </c>
      <c r="T20" s="8">
        <v>43101361</v>
      </c>
      <c r="U20" s="8">
        <v>41211987</v>
      </c>
      <c r="V20" s="22">
        <f>225839904</f>
        <v>225839904</v>
      </c>
      <c r="W20" s="5"/>
      <c r="X20" s="5"/>
      <c r="Y20" s="5"/>
    </row>
    <row r="21" spans="1:25" ht="15.75">
      <c r="K21" s="5" t="s">
        <v>35</v>
      </c>
      <c r="L21" s="5"/>
      <c r="M21" s="5"/>
      <c r="N21" s="5"/>
      <c r="O21" s="20" t="s">
        <v>36</v>
      </c>
      <c r="P21" s="8"/>
      <c r="Q21" s="8">
        <v>5706417</v>
      </c>
      <c r="R21" s="8">
        <v>6105370</v>
      </c>
      <c r="S21" s="8">
        <v>6366220</v>
      </c>
      <c r="T21" s="8">
        <v>6638218</v>
      </c>
      <c r="U21" s="8">
        <v>6921835</v>
      </c>
      <c r="V21" s="22">
        <v>31738060</v>
      </c>
    </row>
    <row r="22" spans="1:25" ht="15.75">
      <c r="G22" s="2"/>
      <c r="K22" s="5"/>
      <c r="L22" s="5"/>
      <c r="M22" s="5"/>
      <c r="N22" s="5"/>
      <c r="O22" s="20" t="s">
        <v>37</v>
      </c>
      <c r="P22" s="8"/>
      <c r="Q22" s="8">
        <v>478087</v>
      </c>
      <c r="R22" s="8">
        <v>457063</v>
      </c>
      <c r="S22" s="8">
        <v>436962</v>
      </c>
      <c r="T22" s="8">
        <v>417764</v>
      </c>
      <c r="U22" s="8">
        <v>399375</v>
      </c>
      <c r="V22" s="22">
        <v>2189251</v>
      </c>
    </row>
    <row r="23" spans="1:25" ht="15.75">
      <c r="I23" s="2"/>
      <c r="K23" s="4" t="s">
        <v>38</v>
      </c>
      <c r="L23" s="5"/>
      <c r="M23" s="5"/>
      <c r="N23" s="5"/>
      <c r="O23" s="23" t="s">
        <v>28</v>
      </c>
      <c r="P23" s="24">
        <f>P19</f>
        <v>-16324000</v>
      </c>
      <c r="Q23" s="24">
        <f>Q20+Q21+Q22</f>
        <v>55489768</v>
      </c>
      <c r="R23" s="24">
        <f>R20+R21+R22</f>
        <v>53706371</v>
      </c>
      <c r="S23" s="24">
        <f>S20+S21+S22</f>
        <v>51880516</v>
      </c>
      <c r="T23" s="25">
        <f>T20+T21+T22</f>
        <v>50157343</v>
      </c>
      <c r="U23" s="25">
        <f>U20+U21+U22</f>
        <v>48533197</v>
      </c>
      <c r="V23" s="26">
        <f>259767215</f>
        <v>259767215</v>
      </c>
    </row>
    <row r="24" spans="1:25" ht="15.75">
      <c r="K24" s="8"/>
      <c r="L24" s="5"/>
      <c r="M24" s="5"/>
      <c r="N24" s="5"/>
      <c r="O24" s="5"/>
      <c r="P24" s="5"/>
      <c r="Q24" s="10"/>
      <c r="R24" s="10"/>
      <c r="S24" s="10"/>
      <c r="T24" s="10"/>
      <c r="U24" s="10"/>
      <c r="V24" s="5"/>
    </row>
    <row r="25" spans="1:25" ht="15.75">
      <c r="K25" s="13" t="s">
        <v>39</v>
      </c>
      <c r="L25" s="13"/>
      <c r="M25" s="13"/>
      <c r="N25" s="13"/>
      <c r="O25" s="13"/>
      <c r="P25" s="13"/>
      <c r="Q25" s="14"/>
      <c r="R25" s="11"/>
      <c r="S25" s="11"/>
      <c r="T25" s="11"/>
      <c r="U25" s="11"/>
      <c r="V25" s="5"/>
    </row>
    <row r="26" spans="1:25" ht="15.75">
      <c r="K26" s="5"/>
      <c r="L26" s="5"/>
      <c r="M26" s="5"/>
      <c r="N26" s="5"/>
      <c r="O26" s="5"/>
      <c r="P26" s="5"/>
      <c r="Q26" s="10"/>
      <c r="R26" s="10"/>
      <c r="S26" s="10"/>
      <c r="T26" s="10"/>
      <c r="U26" s="10"/>
      <c r="V26" s="5"/>
    </row>
    <row r="27" spans="1:25" ht="15.75">
      <c r="K27" s="15" t="s">
        <v>40</v>
      </c>
      <c r="O27" s="5" t="s">
        <v>41</v>
      </c>
      <c r="P27" s="5"/>
      <c r="Q27" s="5"/>
      <c r="R27" s="5"/>
      <c r="S27" s="5"/>
    </row>
    <row r="28" spans="1:25" ht="15.75">
      <c r="K28" s="15" t="s">
        <v>42</v>
      </c>
      <c r="O28" s="5" t="s">
        <v>43</v>
      </c>
      <c r="P28" s="5"/>
      <c r="Q28" s="10"/>
      <c r="R28" s="11"/>
      <c r="S28" s="11"/>
      <c r="T28" s="1"/>
      <c r="U28" s="1"/>
    </row>
    <row r="29" spans="1:25" ht="15.75">
      <c r="K29" s="5" t="s">
        <v>44</v>
      </c>
      <c r="L29" s="5"/>
      <c r="M29" s="5"/>
      <c r="N29" s="5"/>
      <c r="O29" s="5"/>
      <c r="P29" s="5"/>
      <c r="Q29" s="5"/>
      <c r="R29" s="5"/>
      <c r="S29" s="5"/>
    </row>
    <row r="30" spans="1:25" ht="15.75">
      <c r="K30" s="5"/>
      <c r="L30" s="5" t="s">
        <v>45</v>
      </c>
      <c r="M30" s="5"/>
      <c r="N30" s="5"/>
      <c r="O30" s="5" t="s">
        <v>46</v>
      </c>
      <c r="P30" s="5"/>
      <c r="Q30" s="5"/>
    </row>
    <row r="31" spans="1:25" ht="15.75">
      <c r="K31" s="5" t="s">
        <v>47</v>
      </c>
      <c r="L31" s="5"/>
      <c r="M31" s="5"/>
      <c r="N31" s="5"/>
      <c r="O31" s="4" t="s">
        <v>48</v>
      </c>
      <c r="P31" s="5"/>
      <c r="Q31" s="5"/>
      <c r="T31" s="5" t="s">
        <v>49</v>
      </c>
    </row>
    <row r="32" spans="1:25" ht="15.75">
      <c r="K32" s="5"/>
      <c r="L32" s="5"/>
      <c r="M32" s="5"/>
      <c r="N32" s="5"/>
      <c r="O32" s="4"/>
      <c r="P32" s="5"/>
      <c r="Q32" s="5"/>
      <c r="R32" s="5"/>
      <c r="S32" s="5"/>
    </row>
    <row r="33" spans="11:16" ht="15.75">
      <c r="K33" s="5" t="s">
        <v>50</v>
      </c>
      <c r="L33" s="5"/>
      <c r="M33" s="5"/>
      <c r="N33" s="5"/>
      <c r="O33" s="4"/>
      <c r="P33" s="5"/>
    </row>
    <row r="34" spans="11:16" ht="15.75">
      <c r="K34" s="5" t="s">
        <v>51</v>
      </c>
      <c r="L34" s="5"/>
      <c r="M34" s="5"/>
      <c r="N34" s="5"/>
    </row>
    <row r="35" spans="11:16" ht="15.75">
      <c r="K35" s="5" t="s">
        <v>52</v>
      </c>
      <c r="L35" s="5"/>
      <c r="M35" s="5"/>
      <c r="N35" s="5"/>
    </row>
    <row r="36" spans="11:16" ht="15.75">
      <c r="K36" s="5" t="s">
        <v>53</v>
      </c>
      <c r="L36" s="5"/>
      <c r="M36" s="5"/>
      <c r="N36" s="5"/>
    </row>
    <row r="37" spans="11:16"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B78F-BDFA-FE4D-BB26-7BE731A5CB57}">
  <dimension ref="A1:S37"/>
  <sheetViews>
    <sheetView workbookViewId="0">
      <selection activeCell="D6" sqref="D6"/>
    </sheetView>
  </sheetViews>
  <sheetFormatPr defaultColWidth="11" defaultRowHeight="15.95"/>
  <cols>
    <col min="4" max="8" width="12.5" bestFit="1" customWidth="1"/>
    <col min="9" max="9" width="12.625" bestFit="1" customWidth="1"/>
  </cols>
  <sheetData>
    <row r="1" spans="1:19" ht="18">
      <c r="A1" s="4" t="s">
        <v>54</v>
      </c>
      <c r="B1" s="5"/>
      <c r="C1" s="5"/>
      <c r="D1" s="5"/>
      <c r="E1" s="5"/>
      <c r="F1" s="5"/>
      <c r="G1" s="5"/>
      <c r="H1" s="5"/>
      <c r="I1" s="5"/>
      <c r="J1" s="5"/>
      <c r="K1" s="5"/>
      <c r="L1" s="5"/>
      <c r="M1" s="5"/>
      <c r="N1" s="5"/>
      <c r="O1" s="5"/>
      <c r="P1" s="5"/>
      <c r="Q1" s="3"/>
      <c r="R1" s="3"/>
      <c r="S1" s="3"/>
    </row>
    <row r="2" spans="1:19" ht="18">
      <c r="A2" s="5" t="s">
        <v>55</v>
      </c>
      <c r="B2" s="5"/>
      <c r="C2" s="5"/>
      <c r="D2" s="5"/>
      <c r="E2" s="5"/>
      <c r="F2" s="5"/>
      <c r="G2" s="5"/>
      <c r="H2" s="5"/>
      <c r="I2" s="5"/>
      <c r="J2" s="5"/>
      <c r="K2" s="4" t="s">
        <v>56</v>
      </c>
      <c r="L2" s="4"/>
      <c r="M2" s="4"/>
      <c r="N2" s="4"/>
      <c r="O2" s="4"/>
      <c r="P2" s="4"/>
      <c r="Q2" s="62"/>
      <c r="R2" s="62"/>
      <c r="S2" s="62"/>
    </row>
    <row r="3" spans="1:19" ht="18">
      <c r="A3" s="5" t="s">
        <v>4</v>
      </c>
      <c r="B3" s="5"/>
      <c r="C3" s="5"/>
      <c r="D3" s="6">
        <v>46387</v>
      </c>
      <c r="E3" s="6">
        <v>46022</v>
      </c>
      <c r="F3" s="6">
        <v>45657</v>
      </c>
      <c r="G3" s="6">
        <v>45291</v>
      </c>
      <c r="H3" s="6">
        <v>44926</v>
      </c>
      <c r="I3" s="6">
        <v>44561</v>
      </c>
      <c r="J3" s="5"/>
      <c r="K3" s="4" t="s">
        <v>57</v>
      </c>
      <c r="L3" s="4"/>
      <c r="M3" s="4"/>
      <c r="N3" s="4"/>
      <c r="O3" s="4"/>
      <c r="P3" s="4"/>
      <c r="Q3" s="62"/>
      <c r="R3" s="62"/>
      <c r="S3" s="62"/>
    </row>
    <row r="4" spans="1:19" ht="18">
      <c r="A4" s="5"/>
      <c r="B4" s="5"/>
      <c r="C4" s="5"/>
      <c r="D4" s="5"/>
      <c r="E4" s="5"/>
      <c r="F4" s="5"/>
      <c r="G4" s="5"/>
      <c r="H4" s="5"/>
      <c r="I4" s="5"/>
      <c r="J4" s="5"/>
      <c r="K4" s="4" t="s">
        <v>58</v>
      </c>
      <c r="L4" s="4"/>
      <c r="M4" s="4"/>
      <c r="N4" s="4"/>
      <c r="O4" s="4"/>
      <c r="P4" s="4"/>
      <c r="Q4" s="62"/>
      <c r="R4" s="62"/>
      <c r="S4" s="62"/>
    </row>
    <row r="5" spans="1:19" ht="18">
      <c r="A5" s="7" t="s">
        <v>59</v>
      </c>
      <c r="B5" s="5"/>
      <c r="C5" s="5"/>
      <c r="D5" s="5"/>
      <c r="E5" s="5"/>
      <c r="F5" s="5"/>
      <c r="G5" s="5"/>
      <c r="H5" s="5"/>
      <c r="I5" s="5"/>
      <c r="J5" s="5"/>
      <c r="K5" s="4" t="s">
        <v>60</v>
      </c>
      <c r="L5" s="4"/>
      <c r="M5" s="4"/>
      <c r="N5" s="4"/>
      <c r="O5" s="4"/>
      <c r="P5" s="4"/>
      <c r="Q5" s="62"/>
      <c r="R5" s="62"/>
      <c r="S5" s="62"/>
    </row>
    <row r="6" spans="1:19" ht="18">
      <c r="A6" s="5" t="s">
        <v>61</v>
      </c>
      <c r="B6" s="5"/>
      <c r="C6" s="5"/>
      <c r="D6" s="8">
        <f>E6*1.047</f>
        <v>151479.08776738527</v>
      </c>
      <c r="E6" s="8">
        <f>F6*1.047</f>
        <v>144679.16692204899</v>
      </c>
      <c r="F6" s="8">
        <f>G6*1.047</f>
        <v>138184.49562755396</v>
      </c>
      <c r="G6" s="8">
        <f>H6*1.047</f>
        <v>131981.37118199997</v>
      </c>
      <c r="H6" s="8">
        <f>I6*1.047</f>
        <v>126056.70599999999</v>
      </c>
      <c r="I6" s="8">
        <f>35398+85000</f>
        <v>120398</v>
      </c>
      <c r="J6" s="5"/>
      <c r="K6" s="5"/>
      <c r="L6" s="5"/>
      <c r="M6" s="5"/>
      <c r="N6" s="5"/>
      <c r="O6" s="5"/>
      <c r="P6" s="5"/>
      <c r="Q6" s="3"/>
      <c r="R6" s="3"/>
      <c r="S6" s="3"/>
    </row>
    <row r="7" spans="1:19" ht="18">
      <c r="A7" s="5" t="s">
        <v>62</v>
      </c>
      <c r="B7" s="5"/>
      <c r="C7" s="5"/>
      <c r="D7" s="8">
        <f>E7*1.047</f>
        <v>36056.144597399696</v>
      </c>
      <c r="E7" s="8">
        <f>F7*1.047</f>
        <v>34437.578412034098</v>
      </c>
      <c r="F7" s="8">
        <f>G7*1.047</f>
        <v>32891.669925533999</v>
      </c>
      <c r="G7" s="8">
        <f>H7*1.047</f>
        <v>31415.157521999998</v>
      </c>
      <c r="H7" s="8">
        <f>I7*1.047</f>
        <v>30004.925999999999</v>
      </c>
      <c r="I7" s="8">
        <v>28658</v>
      </c>
      <c r="J7" s="5"/>
      <c r="K7" s="5"/>
      <c r="L7" s="5"/>
      <c r="M7" s="5"/>
      <c r="N7" s="5"/>
      <c r="O7" s="5"/>
      <c r="P7" s="5"/>
      <c r="Q7" s="3"/>
      <c r="R7" s="3"/>
      <c r="S7" s="3"/>
    </row>
    <row r="8" spans="1:19" ht="18">
      <c r="A8" s="5" t="s">
        <v>63</v>
      </c>
      <c r="B8" s="5"/>
      <c r="C8" s="5"/>
      <c r="D8" s="8">
        <f>E8*1.047</f>
        <v>37292.908856567949</v>
      </c>
      <c r="E8" s="8">
        <f>F8*1.047</f>
        <v>35618.824122796512</v>
      </c>
      <c r="F8" s="8">
        <f>G8*1.047</f>
        <v>34019.889324542994</v>
      </c>
      <c r="G8" s="8">
        <f>H8*1.047</f>
        <v>32492.730968999993</v>
      </c>
      <c r="H8" s="8">
        <f>I8*1.047</f>
        <v>31034.126999999997</v>
      </c>
      <c r="I8" s="8">
        <v>29641</v>
      </c>
      <c r="J8" s="5"/>
      <c r="K8" s="5"/>
      <c r="L8" s="5"/>
      <c r="M8" s="5"/>
      <c r="N8" s="5"/>
      <c r="O8" s="5"/>
      <c r="P8" s="5"/>
      <c r="Q8" s="3"/>
      <c r="R8" s="3"/>
      <c r="S8" s="3"/>
    </row>
    <row r="9" spans="1:19" ht="18">
      <c r="A9" s="5" t="s">
        <v>64</v>
      </c>
      <c r="B9" s="5"/>
      <c r="C9" s="5"/>
      <c r="D9" s="8">
        <f>E9*1.047</f>
        <v>43456.599706685229</v>
      </c>
      <c r="E9" s="8">
        <f>F9*1.047</f>
        <v>41505.825889861728</v>
      </c>
      <c r="F9" s="8">
        <f>G9*1.047</f>
        <v>39642.622626419994</v>
      </c>
      <c r="G9" s="8">
        <f>H9*1.047</f>
        <v>37863.058859999997</v>
      </c>
      <c r="H9" s="8">
        <f>I9*1.047</f>
        <v>36163.379999999997</v>
      </c>
      <c r="I9" s="8">
        <v>34540</v>
      </c>
      <c r="J9" s="5"/>
      <c r="K9" s="5"/>
      <c r="L9" s="5"/>
      <c r="M9" s="5"/>
      <c r="N9" s="5"/>
      <c r="O9" s="5"/>
      <c r="P9" s="5"/>
      <c r="Q9" s="3"/>
      <c r="R9" s="3"/>
      <c r="S9" s="3"/>
    </row>
    <row r="10" spans="1:19" ht="18">
      <c r="A10" s="4" t="s">
        <v>65</v>
      </c>
      <c r="B10" s="5"/>
      <c r="C10" s="5"/>
      <c r="D10" s="9">
        <f>E10*1.047</f>
        <v>268284.74092803814</v>
      </c>
      <c r="E10" s="9">
        <f>F10*1.047</f>
        <v>256241.39534674134</v>
      </c>
      <c r="F10" s="9">
        <f>G10*1.047</f>
        <v>244738.67750405095</v>
      </c>
      <c r="G10" s="9">
        <f>H10*1.047</f>
        <v>233752.31853299998</v>
      </c>
      <c r="H10" s="9">
        <f>I10*1.047</f>
        <v>223259.139</v>
      </c>
      <c r="I10" s="9">
        <v>213237</v>
      </c>
      <c r="J10" s="5"/>
      <c r="K10" s="5"/>
      <c r="L10" s="5"/>
      <c r="M10" s="5"/>
      <c r="N10" s="5"/>
      <c r="O10" s="5"/>
      <c r="P10" s="5"/>
      <c r="Q10" s="3"/>
      <c r="R10" s="3"/>
      <c r="S10" s="3"/>
    </row>
    <row r="11" spans="1:19" ht="18">
      <c r="A11" s="5" t="s">
        <v>66</v>
      </c>
      <c r="B11" s="5"/>
      <c r="C11" s="5"/>
      <c r="D11" s="8">
        <f>E11*1.047</f>
        <v>365241.77460482687</v>
      </c>
      <c r="E11" s="8">
        <f>F11*1.047</f>
        <v>348846.01203899417</v>
      </c>
      <c r="F11" s="8">
        <f>G11*1.047</f>
        <v>333186.25791689992</v>
      </c>
      <c r="G11" s="8">
        <f>H11*1.047</f>
        <v>318229.47269999993</v>
      </c>
      <c r="H11" s="8">
        <f>I11*1.047</f>
        <v>303944.09999999998</v>
      </c>
      <c r="I11" s="8">
        <v>290300</v>
      </c>
      <c r="J11" s="5"/>
      <c r="K11" s="5"/>
      <c r="L11" s="5"/>
      <c r="M11" s="5"/>
      <c r="N11" s="5"/>
      <c r="O11" s="5"/>
      <c r="P11" s="5"/>
      <c r="Q11" s="3"/>
      <c r="R11" s="3"/>
      <c r="S11" s="3"/>
    </row>
    <row r="12" spans="1:19" ht="18">
      <c r="A12" s="5" t="s">
        <v>67</v>
      </c>
      <c r="B12" s="5"/>
      <c r="C12" s="5"/>
      <c r="D12" s="8">
        <f>E12</f>
        <v>44109</v>
      </c>
      <c r="E12" s="8">
        <f>F12</f>
        <v>44109</v>
      </c>
      <c r="F12" s="8">
        <f>G12</f>
        <v>44109</v>
      </c>
      <c r="G12" s="8">
        <f>H12</f>
        <v>44109</v>
      </c>
      <c r="H12" s="8">
        <f>I12</f>
        <v>44109</v>
      </c>
      <c r="I12" s="8">
        <v>44109</v>
      </c>
      <c r="J12" s="5"/>
      <c r="K12" s="5"/>
      <c r="L12" s="5"/>
      <c r="M12" s="5"/>
      <c r="N12" s="5"/>
      <c r="O12" s="5"/>
      <c r="P12" s="5"/>
      <c r="Q12" s="3"/>
      <c r="R12" s="3"/>
      <c r="S12" s="3"/>
    </row>
    <row r="13" spans="1:19" ht="18">
      <c r="A13" s="5" t="s">
        <v>68</v>
      </c>
      <c r="B13" s="5"/>
      <c r="C13" s="5"/>
      <c r="D13" s="8">
        <f>E13*1.047</f>
        <v>46708.924843968998</v>
      </c>
      <c r="E13" s="8">
        <f>F13*1.047</f>
        <v>44612.153623657119</v>
      </c>
      <c r="F13" s="8">
        <f>G13*1.047</f>
        <v>42609.506803874996</v>
      </c>
      <c r="G13" s="8">
        <f>H13*1.047</f>
        <v>40696.759124999997</v>
      </c>
      <c r="H13" s="8">
        <f>I13*1.047</f>
        <v>38869.875</v>
      </c>
      <c r="I13" s="8">
        <v>37125</v>
      </c>
      <c r="J13" s="5"/>
      <c r="K13" s="5"/>
      <c r="L13" s="5"/>
      <c r="M13" s="5"/>
      <c r="N13" s="5"/>
      <c r="O13" s="5"/>
      <c r="P13" s="5"/>
      <c r="Q13" s="3"/>
      <c r="R13" s="3"/>
      <c r="S13" s="3"/>
    </row>
    <row r="14" spans="1:19" ht="18">
      <c r="A14" s="4" t="s">
        <v>69</v>
      </c>
      <c r="B14" s="5"/>
      <c r="C14" s="5"/>
      <c r="D14" s="9">
        <f>E14*1.047</f>
        <v>460303.38222979585</v>
      </c>
      <c r="E14" s="9">
        <f>F14*1.047</f>
        <v>439640.28866265126</v>
      </c>
      <c r="F14" s="9">
        <f>F11+F12+F13</f>
        <v>419904.7647207749</v>
      </c>
      <c r="G14" s="9">
        <f>G11+G12+G13</f>
        <v>403035.23182499991</v>
      </c>
      <c r="H14" s="9">
        <f>H13+H12+H11</f>
        <v>386922.97499999998</v>
      </c>
      <c r="I14" s="9">
        <v>371534</v>
      </c>
      <c r="J14" s="5"/>
      <c r="K14" s="5"/>
      <c r="L14" s="5"/>
      <c r="M14" s="5"/>
      <c r="N14" s="5"/>
      <c r="O14" s="5"/>
      <c r="P14" s="5"/>
      <c r="Q14" s="3"/>
      <c r="R14" s="3"/>
      <c r="S14" s="3"/>
    </row>
    <row r="15" spans="1:19" ht="18">
      <c r="A15" s="12" t="s">
        <v>70</v>
      </c>
      <c r="B15" s="5"/>
      <c r="C15" s="5"/>
      <c r="D15" s="36">
        <f t="shared" ref="D15:H15" si="0">D10+D14</f>
        <v>728588.12315783394</v>
      </c>
      <c r="E15" s="36">
        <f t="shared" si="0"/>
        <v>695881.68400939263</v>
      </c>
      <c r="F15" s="36">
        <f t="shared" si="0"/>
        <v>664643.44222482585</v>
      </c>
      <c r="G15" s="36">
        <f t="shared" si="0"/>
        <v>636787.55035799986</v>
      </c>
      <c r="H15" s="36">
        <f t="shared" si="0"/>
        <v>610182.11399999994</v>
      </c>
      <c r="I15" s="36">
        <f>I10+I14</f>
        <v>584771</v>
      </c>
      <c r="J15" s="5"/>
      <c r="K15" s="5"/>
      <c r="L15" s="5"/>
      <c r="M15" s="5"/>
      <c r="N15" s="5"/>
      <c r="O15" s="5"/>
      <c r="P15" s="5"/>
      <c r="Q15" s="3"/>
      <c r="R15" s="3"/>
      <c r="S15" s="3"/>
    </row>
    <row r="16" spans="1:19" ht="18">
      <c r="A16" s="7" t="s">
        <v>71</v>
      </c>
      <c r="B16" s="5"/>
      <c r="C16" s="5"/>
      <c r="D16" s="8"/>
      <c r="E16" s="8"/>
      <c r="F16" s="8"/>
      <c r="G16" s="8"/>
      <c r="H16" s="8"/>
      <c r="I16" s="8"/>
      <c r="J16" s="5"/>
      <c r="K16" s="5"/>
      <c r="L16" s="5"/>
      <c r="M16" s="5"/>
      <c r="N16" s="5"/>
      <c r="O16" s="5"/>
      <c r="P16" s="5"/>
      <c r="Q16" s="3"/>
      <c r="R16" s="3"/>
      <c r="S16" s="3"/>
    </row>
    <row r="17" spans="1:19" ht="18">
      <c r="A17" s="5" t="s">
        <v>72</v>
      </c>
      <c r="B17" s="5"/>
      <c r="C17" s="5"/>
      <c r="D17" s="8">
        <f>E17*1.047</f>
        <v>2762.9036756190144</v>
      </c>
      <c r="E17" s="8">
        <f>F17*1.047</f>
        <v>2638.8764810114753</v>
      </c>
      <c r="F17" s="8">
        <f>G17*1.047</f>
        <v>2520.4168873079993</v>
      </c>
      <c r="G17" s="8">
        <f>H17*1.047</f>
        <v>2407.2749639999997</v>
      </c>
      <c r="H17" s="8">
        <f>I17*1.047</f>
        <v>2299.212</v>
      </c>
      <c r="I17" s="8">
        <v>2196</v>
      </c>
      <c r="J17" s="5"/>
      <c r="K17" s="5"/>
      <c r="L17" s="5"/>
      <c r="M17" s="5"/>
      <c r="N17" s="5"/>
      <c r="O17" s="5"/>
      <c r="P17" s="5"/>
      <c r="Q17" s="3"/>
      <c r="R17" s="3"/>
      <c r="S17" s="3"/>
    </row>
    <row r="18" spans="1:19" ht="18">
      <c r="A18" s="5" t="s">
        <v>73</v>
      </c>
      <c r="B18" s="5"/>
      <c r="C18" s="5"/>
      <c r="D18" s="8">
        <f>E18*1.047</f>
        <v>29523.814959961659</v>
      </c>
      <c r="E18" s="8">
        <f>F18*1.047</f>
        <v>28198.486112666342</v>
      </c>
      <c r="F18" s="8">
        <f>G18*1.047</f>
        <v>26932.651492517998</v>
      </c>
      <c r="G18" s="8">
        <f>H18*1.047</f>
        <v>25723.640393999998</v>
      </c>
      <c r="H18" s="8">
        <f>I18*1.047</f>
        <v>24568.901999999998</v>
      </c>
      <c r="I18" s="8">
        <v>23466</v>
      </c>
      <c r="J18" s="5"/>
      <c r="K18" s="5"/>
      <c r="L18" s="5"/>
      <c r="M18" s="5"/>
      <c r="N18" s="5"/>
      <c r="O18" s="5"/>
      <c r="P18" s="5"/>
      <c r="Q18" s="3"/>
      <c r="R18" s="3"/>
      <c r="S18" s="3"/>
    </row>
    <row r="19" spans="1:19" ht="18">
      <c r="A19" s="5" t="s">
        <v>74</v>
      </c>
      <c r="B19" s="5"/>
      <c r="C19" s="5"/>
      <c r="D19" s="8">
        <f>E19</f>
        <v>0</v>
      </c>
      <c r="E19" s="8">
        <f>F19</f>
        <v>0</v>
      </c>
      <c r="F19" s="8">
        <f>G19</f>
        <v>0</v>
      </c>
      <c r="G19" s="8">
        <f>H19</f>
        <v>0</v>
      </c>
      <c r="H19" s="8">
        <f>I19</f>
        <v>0</v>
      </c>
      <c r="I19" s="8">
        <v>0</v>
      </c>
      <c r="J19" s="5"/>
      <c r="K19" s="5"/>
      <c r="L19" s="5"/>
      <c r="M19" s="5"/>
      <c r="N19" s="5"/>
      <c r="O19" s="5"/>
      <c r="P19" s="5"/>
      <c r="Q19" s="3"/>
      <c r="R19" s="3"/>
      <c r="S19" s="3"/>
    </row>
    <row r="20" spans="1:19" ht="18">
      <c r="A20" s="5" t="s">
        <v>75</v>
      </c>
      <c r="B20" s="5"/>
      <c r="C20" s="5"/>
      <c r="D20" s="8">
        <f>E20*1.047</f>
        <v>39688.43189772396</v>
      </c>
      <c r="E20" s="8">
        <f>F20*1.047</f>
        <v>37906.811745677136</v>
      </c>
      <c r="F20" s="8">
        <f>G20*1.047</f>
        <v>36205.168811534997</v>
      </c>
      <c r="G20" s="8">
        <f>H20*1.047</f>
        <v>34579.912904999997</v>
      </c>
      <c r="H20" s="8">
        <f>I20*1.047</f>
        <v>33027.614999999998</v>
      </c>
      <c r="I20" s="8">
        <v>31545</v>
      </c>
      <c r="J20" s="5"/>
      <c r="K20" s="5"/>
      <c r="L20" s="5"/>
      <c r="M20" s="5"/>
      <c r="N20" s="5"/>
      <c r="O20" s="5"/>
      <c r="P20" s="5"/>
      <c r="Q20" s="3"/>
      <c r="R20" s="3"/>
      <c r="S20" s="3"/>
    </row>
    <row r="21" spans="1:19" ht="18">
      <c r="A21" s="4" t="s">
        <v>76</v>
      </c>
      <c r="B21" s="5"/>
      <c r="C21" s="5"/>
      <c r="D21" s="9">
        <f>D20+D18+D17</f>
        <v>71975.150533304637</v>
      </c>
      <c r="E21" s="9">
        <f>E20+E18+E17</f>
        <v>68744.174339354955</v>
      </c>
      <c r="F21" s="9">
        <f>F20+F18+F17</f>
        <v>65658.237191360997</v>
      </c>
      <c r="G21" s="9">
        <f>G20+G18+G17</f>
        <v>62710.828262999989</v>
      </c>
      <c r="H21" s="9">
        <f>H20+H18+H17</f>
        <v>59895.728999999992</v>
      </c>
      <c r="I21" s="9">
        <v>57207</v>
      </c>
      <c r="J21" s="5"/>
      <c r="K21" s="5"/>
      <c r="L21" s="5"/>
      <c r="M21" s="5"/>
      <c r="N21" s="5"/>
      <c r="O21" s="5"/>
      <c r="P21" s="5"/>
      <c r="Q21" s="3"/>
      <c r="R21" s="3"/>
      <c r="S21" s="3"/>
    </row>
    <row r="22" spans="1:19" ht="18">
      <c r="A22" s="5" t="s">
        <v>77</v>
      </c>
      <c r="B22" s="5"/>
      <c r="C22" s="5"/>
      <c r="D22" s="8">
        <f>E22</f>
        <v>36487</v>
      </c>
      <c r="E22" s="8">
        <f>F22</f>
        <v>36487</v>
      </c>
      <c r="F22" s="8">
        <f>G22</f>
        <v>36487</v>
      </c>
      <c r="G22" s="8">
        <f>H22</f>
        <v>36487</v>
      </c>
      <c r="H22" s="8">
        <f>I22</f>
        <v>36487</v>
      </c>
      <c r="I22" s="8">
        <f>36060+427</f>
        <v>36487</v>
      </c>
      <c r="J22" s="5"/>
      <c r="K22" s="5"/>
      <c r="L22" s="5"/>
      <c r="M22" s="5"/>
      <c r="N22" s="5"/>
      <c r="O22" s="5"/>
      <c r="P22" s="5"/>
      <c r="Q22" s="3"/>
      <c r="R22" s="3"/>
      <c r="S22" s="3"/>
    </row>
    <row r="23" spans="1:19" ht="18">
      <c r="A23" s="5" t="s">
        <v>78</v>
      </c>
      <c r="B23" s="5"/>
      <c r="C23" s="5"/>
      <c r="D23" s="8">
        <f>E23</f>
        <v>22944</v>
      </c>
      <c r="E23" s="8">
        <f>F23</f>
        <v>22944</v>
      </c>
      <c r="F23" s="8">
        <f>G23</f>
        <v>22944</v>
      </c>
      <c r="G23" s="8">
        <f>H23</f>
        <v>22944</v>
      </c>
      <c r="H23" s="8">
        <f>I23</f>
        <v>22944</v>
      </c>
      <c r="I23" s="8">
        <v>22944</v>
      </c>
      <c r="J23" s="5"/>
      <c r="K23" s="5"/>
      <c r="L23" s="5"/>
      <c r="M23" s="5"/>
      <c r="N23" s="5"/>
      <c r="O23" s="5"/>
      <c r="P23" s="5"/>
      <c r="Q23" s="3"/>
      <c r="R23" s="3"/>
      <c r="S23" s="3"/>
    </row>
    <row r="24" spans="1:19" ht="18">
      <c r="A24" s="5" t="s">
        <v>79</v>
      </c>
      <c r="B24" s="5"/>
      <c r="C24" s="5"/>
      <c r="D24" s="8">
        <f>E24</f>
        <v>77819</v>
      </c>
      <c r="E24" s="8">
        <f>F24</f>
        <v>77819</v>
      </c>
      <c r="F24" s="8">
        <f>G24</f>
        <v>77819</v>
      </c>
      <c r="G24" s="8">
        <f>H24</f>
        <v>77819</v>
      </c>
      <c r="H24" s="8">
        <f>I24</f>
        <v>77819</v>
      </c>
      <c r="I24" s="8">
        <v>77819</v>
      </c>
      <c r="J24" s="5"/>
      <c r="K24" s="5"/>
      <c r="L24" s="5"/>
      <c r="M24" s="5"/>
      <c r="N24" s="5"/>
      <c r="O24" s="5"/>
      <c r="P24" s="5"/>
      <c r="Q24" s="3"/>
      <c r="R24" s="3"/>
      <c r="S24" s="3"/>
    </row>
    <row r="25" spans="1:19" ht="18">
      <c r="A25" s="4" t="s">
        <v>80</v>
      </c>
      <c r="B25" s="5"/>
      <c r="C25" s="5"/>
      <c r="D25" s="9">
        <f>E25</f>
        <v>137250</v>
      </c>
      <c r="E25" s="9">
        <f>F25</f>
        <v>137250</v>
      </c>
      <c r="F25" s="9">
        <f>G25</f>
        <v>137250</v>
      </c>
      <c r="G25" s="9">
        <f>H25</f>
        <v>137250</v>
      </c>
      <c r="H25" s="9">
        <f>I25</f>
        <v>137250</v>
      </c>
      <c r="I25" s="9">
        <v>137250</v>
      </c>
      <c r="J25" s="5"/>
      <c r="K25" s="5"/>
      <c r="L25" s="5"/>
      <c r="M25" s="5"/>
      <c r="N25" s="5"/>
      <c r="O25" s="5"/>
      <c r="P25" s="5"/>
      <c r="Q25" s="3"/>
      <c r="R25" s="3"/>
      <c r="S25" s="3"/>
    </row>
    <row r="26" spans="1:19" ht="18">
      <c r="A26" s="12" t="s">
        <v>81</v>
      </c>
      <c r="B26" s="5"/>
      <c r="C26" s="5"/>
      <c r="D26" s="36">
        <f>D25+D21</f>
        <v>209225.15053330464</v>
      </c>
      <c r="E26" s="36">
        <f>E25+E21</f>
        <v>205994.17433935497</v>
      </c>
      <c r="F26" s="36">
        <f>F25+F21</f>
        <v>202908.237191361</v>
      </c>
      <c r="G26" s="36">
        <f>G25+G21</f>
        <v>199960.828263</v>
      </c>
      <c r="H26" s="36">
        <f>H25+H21</f>
        <v>197145.72899999999</v>
      </c>
      <c r="I26" s="36">
        <f>137250+57207</f>
        <v>194457</v>
      </c>
      <c r="J26" s="5"/>
      <c r="K26" s="5"/>
      <c r="L26" s="5"/>
      <c r="M26" s="5"/>
      <c r="N26" s="5"/>
      <c r="O26" s="5"/>
      <c r="P26" s="5"/>
      <c r="Q26" s="3"/>
      <c r="R26" s="3"/>
      <c r="S26" s="3"/>
    </row>
    <row r="27" spans="1:19" ht="18">
      <c r="A27" s="7" t="s">
        <v>82</v>
      </c>
      <c r="B27" s="5"/>
      <c r="C27" s="5"/>
      <c r="D27" s="8"/>
      <c r="E27" s="8"/>
      <c r="F27" s="8"/>
      <c r="G27" s="8"/>
      <c r="H27" s="8"/>
      <c r="I27" s="8"/>
      <c r="J27" s="5"/>
      <c r="K27" s="5"/>
      <c r="L27" s="5"/>
      <c r="M27" s="5"/>
      <c r="N27" s="5"/>
      <c r="O27" s="5"/>
      <c r="P27" s="5"/>
      <c r="Q27" s="3"/>
      <c r="R27" s="3"/>
      <c r="S27" s="3"/>
    </row>
    <row r="28" spans="1:19" ht="18">
      <c r="A28" s="5" t="s">
        <v>83</v>
      </c>
      <c r="B28" s="5"/>
      <c r="C28" s="5"/>
      <c r="D28" s="8">
        <f>D30-D29</f>
        <v>511572.52803516132</v>
      </c>
      <c r="E28" s="8">
        <f>E30-E29</f>
        <v>482539.19702498708</v>
      </c>
      <c r="F28" s="8">
        <f>F30-F29</f>
        <v>454809.17695796286</v>
      </c>
      <c r="G28" s="8">
        <f>G30-G29</f>
        <v>430274.32126357488</v>
      </c>
      <c r="H28" s="8">
        <f>H30-H29</f>
        <v>406840.83922499995</v>
      </c>
      <c r="I28" s="8">
        <v>384392</v>
      </c>
      <c r="J28" s="5"/>
      <c r="K28" s="5"/>
      <c r="L28" s="5"/>
      <c r="M28" s="5"/>
      <c r="N28" s="5"/>
      <c r="O28" s="5"/>
      <c r="P28" s="5"/>
      <c r="Q28" s="3"/>
      <c r="R28" s="3"/>
      <c r="S28" s="3"/>
    </row>
    <row r="29" spans="1:19" ht="18">
      <c r="A29" s="5" t="s">
        <v>84</v>
      </c>
      <c r="B29" s="5"/>
      <c r="C29" s="5"/>
      <c r="D29" s="8">
        <f>D30*0.015</f>
        <v>7790.4445893679385</v>
      </c>
      <c r="E29" s="8">
        <f>E30*0.015</f>
        <v>7348.3126450505642</v>
      </c>
      <c r="F29" s="8">
        <f>F30*0.015</f>
        <v>6926.0280755019721</v>
      </c>
      <c r="G29" s="8">
        <f>G30*0.015</f>
        <v>6552.4008314249977</v>
      </c>
      <c r="H29" s="8">
        <f>H30*0.015</f>
        <v>6195.5457749999987</v>
      </c>
      <c r="I29" s="8">
        <v>5922</v>
      </c>
      <c r="J29" s="5"/>
      <c r="K29" s="5"/>
      <c r="L29" s="5"/>
      <c r="M29" s="5"/>
      <c r="N29" s="5"/>
      <c r="O29" s="5"/>
      <c r="P29" s="5"/>
      <c r="Q29" s="3"/>
      <c r="R29" s="3"/>
      <c r="S29" s="3"/>
    </row>
    <row r="30" spans="1:19" ht="18">
      <c r="A30" s="12" t="s">
        <v>85</v>
      </c>
      <c r="B30" s="5"/>
      <c r="C30" s="5"/>
      <c r="D30" s="36">
        <f>D15-D26</f>
        <v>519362.97262452927</v>
      </c>
      <c r="E30" s="36">
        <f>E15-E26</f>
        <v>489887.50967003766</v>
      </c>
      <c r="F30" s="36">
        <f>F15-F26</f>
        <v>461735.20503346482</v>
      </c>
      <c r="G30" s="36">
        <f>G15-G26</f>
        <v>436826.72209499986</v>
      </c>
      <c r="H30" s="36">
        <f>H15-H26</f>
        <v>413036.38499999995</v>
      </c>
      <c r="I30" s="36">
        <v>390314</v>
      </c>
      <c r="J30" s="5"/>
      <c r="K30" s="5"/>
      <c r="L30" s="5"/>
      <c r="M30" s="5"/>
      <c r="N30" s="5"/>
      <c r="O30" s="5"/>
      <c r="P30" s="5"/>
      <c r="Q30" s="3"/>
      <c r="R30" s="3"/>
      <c r="S30" s="3"/>
    </row>
    <row r="31" spans="1:19">
      <c r="H31" s="2"/>
    </row>
    <row r="32" spans="1:19">
      <c r="H32" s="2"/>
    </row>
    <row r="37" spans="4:4">
      <c r="D3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72559-CABC-435C-9997-9115CB30137B}">
  <dimension ref="A1:Q84"/>
  <sheetViews>
    <sheetView topLeftCell="D25" workbookViewId="0">
      <selection activeCell="K37" sqref="K37"/>
    </sheetView>
  </sheetViews>
  <sheetFormatPr defaultRowHeight="15.75"/>
  <cols>
    <col min="1" max="1" width="64.125" bestFit="1" customWidth="1"/>
    <col min="2" max="2" width="30" bestFit="1" customWidth="1"/>
    <col min="4" max="4" width="47.75" bestFit="1" customWidth="1"/>
    <col min="5" max="5" width="14.5" bestFit="1" customWidth="1"/>
    <col min="6" max="6" width="12.375" bestFit="1" customWidth="1"/>
    <col min="7" max="7" width="10.5" bestFit="1" customWidth="1"/>
    <col min="8" max="9" width="11.75" bestFit="1" customWidth="1"/>
    <col min="11" max="11" width="10.25" customWidth="1"/>
    <col min="12" max="12" width="12" bestFit="1" customWidth="1"/>
  </cols>
  <sheetData>
    <row r="1" spans="1:9" ht="23.25">
      <c r="A1" s="42" t="s">
        <v>86</v>
      </c>
      <c r="B1" s="43"/>
      <c r="C1" s="43"/>
      <c r="D1" s="42" t="s">
        <v>87</v>
      </c>
      <c r="E1" s="43"/>
    </row>
    <row r="2" spans="1:9">
      <c r="A2" s="43"/>
      <c r="B2" s="44" t="s">
        <v>88</v>
      </c>
      <c r="C2" s="43"/>
      <c r="D2" s="43"/>
      <c r="E2" s="43"/>
    </row>
    <row r="3" spans="1:9">
      <c r="A3" s="44" t="s">
        <v>89</v>
      </c>
      <c r="B3" s="43"/>
      <c r="C3" s="43"/>
      <c r="D3" s="43"/>
      <c r="E3" s="43"/>
    </row>
    <row r="4" spans="1:9">
      <c r="A4" s="45" t="s">
        <v>90</v>
      </c>
      <c r="B4" s="43"/>
      <c r="C4" s="43"/>
      <c r="D4" s="56"/>
      <c r="E4" s="59">
        <v>2021</v>
      </c>
      <c r="F4" s="59">
        <v>2022</v>
      </c>
      <c r="G4" s="59">
        <v>2023</v>
      </c>
      <c r="H4" s="59">
        <v>2024</v>
      </c>
      <c r="I4" s="59">
        <v>2025</v>
      </c>
    </row>
    <row r="5" spans="1:9">
      <c r="A5" s="43" t="s">
        <v>91</v>
      </c>
      <c r="B5" s="46">
        <v>505854</v>
      </c>
      <c r="C5" s="43"/>
      <c r="D5" s="56" t="s">
        <v>19</v>
      </c>
      <c r="E5" s="57">
        <f>Sheet1!I13</f>
        <v>52074</v>
      </c>
      <c r="F5" s="57">
        <f>SUM(F6:F8)</f>
        <v>55286.965799999998</v>
      </c>
      <c r="G5" s="57">
        <f t="shared" ref="G5:I5" si="0">SUM(G6:G8)</f>
        <v>58506.64654229999</v>
      </c>
      <c r="H5" s="57">
        <f t="shared" si="0"/>
        <v>61700.922771498444</v>
      </c>
      <c r="I5" s="57">
        <f t="shared" si="0"/>
        <v>64837.432021509201</v>
      </c>
    </row>
    <row r="6" spans="1:9">
      <c r="A6" s="43" t="s">
        <v>92</v>
      </c>
      <c r="B6" s="43">
        <v>237751.38</v>
      </c>
      <c r="C6" s="43"/>
      <c r="D6" s="56" t="s">
        <v>93</v>
      </c>
      <c r="E6" s="57">
        <f>E5*0.47</f>
        <v>24474.78</v>
      </c>
      <c r="F6" s="57">
        <f>E6*(1+E33)</f>
        <v>25625.094659999999</v>
      </c>
      <c r="G6" s="57">
        <f>F6*(1+F33)</f>
        <v>26829.474109019997</v>
      </c>
      <c r="H6" s="57">
        <f>G6*(1+G33)</f>
        <v>28090.459392143934</v>
      </c>
      <c r="I6" s="57">
        <f>H6*(1+H33)</f>
        <v>29410.710983574696</v>
      </c>
    </row>
    <row r="7" spans="1:9">
      <c r="A7" s="43" t="s">
        <v>94</v>
      </c>
      <c r="B7" s="43">
        <v>212458.68</v>
      </c>
      <c r="C7" s="43"/>
      <c r="D7" s="56" t="s">
        <v>95</v>
      </c>
      <c r="E7" s="57">
        <f>E5*0.42</f>
        <v>21871.079999999998</v>
      </c>
      <c r="F7" s="57">
        <f>E7*(1+E34)</f>
        <v>23664.508559999998</v>
      </c>
      <c r="G7" s="57">
        <f>F7*(1+F34)</f>
        <v>25397.933812020001</v>
      </c>
      <c r="H7" s="57">
        <f>G7*(1+G34)</f>
        <v>27036.100542895292</v>
      </c>
      <c r="I7" s="57">
        <f>H7*(1+H34)</f>
        <v>28543.363148161705</v>
      </c>
    </row>
    <row r="8" spans="1:9">
      <c r="A8" s="43" t="s">
        <v>96</v>
      </c>
      <c r="B8" s="46">
        <v>55644</v>
      </c>
      <c r="C8" s="43"/>
      <c r="D8" s="56" t="s">
        <v>97</v>
      </c>
      <c r="E8" s="57">
        <f>E5-SUM(E6:E7)</f>
        <v>5728.1399999999994</v>
      </c>
      <c r="F8" s="57">
        <f>E8*(1+E35)</f>
        <v>5997.3625799999991</v>
      </c>
      <c r="G8" s="57">
        <f>F8*(1+F35)</f>
        <v>6279.2386212599986</v>
      </c>
      <c r="H8" s="57">
        <f>G8*(1+G35)</f>
        <v>6574.3628364592178</v>
      </c>
      <c r="I8" s="57">
        <f>H8*(1+H35)</f>
        <v>6883.3578897728003</v>
      </c>
    </row>
    <row r="9" spans="1:9">
      <c r="A9" s="43" t="s">
        <v>98</v>
      </c>
      <c r="B9" s="46">
        <v>2251</v>
      </c>
      <c r="C9" s="43"/>
      <c r="D9" s="56" t="s">
        <v>99</v>
      </c>
      <c r="E9" s="57">
        <v>0</v>
      </c>
      <c r="F9" s="57">
        <v>0</v>
      </c>
      <c r="G9" s="57">
        <v>0</v>
      </c>
      <c r="H9" s="57">
        <v>0</v>
      </c>
      <c r="I9" s="57">
        <v>0</v>
      </c>
    </row>
    <row r="10" spans="1:9">
      <c r="A10" s="43" t="s">
        <v>100</v>
      </c>
      <c r="B10" s="46">
        <v>1416</v>
      </c>
      <c r="C10" s="43"/>
      <c r="D10" s="56" t="s">
        <v>101</v>
      </c>
      <c r="E10" s="57">
        <f>SUM(E5, E9)</f>
        <v>52074</v>
      </c>
      <c r="F10" s="57">
        <f t="shared" ref="F10:I10" si="1">SUM(F5, F9)</f>
        <v>55286.965799999998</v>
      </c>
      <c r="G10" s="57">
        <f t="shared" si="1"/>
        <v>58506.64654229999</v>
      </c>
      <c r="H10" s="57">
        <f t="shared" si="1"/>
        <v>61700.922771498444</v>
      </c>
      <c r="I10" s="57">
        <f t="shared" si="1"/>
        <v>64837.432021509201</v>
      </c>
    </row>
    <row r="11" spans="1:9">
      <c r="A11" s="43"/>
      <c r="B11" s="43"/>
      <c r="C11" s="43"/>
      <c r="D11" s="56" t="s">
        <v>102</v>
      </c>
      <c r="E11" s="57">
        <f>-E10*$E$20</f>
        <v>-14580.720000000001</v>
      </c>
      <c r="F11" s="57">
        <f>-F10*$E$20</f>
        <v>-15480.350424</v>
      </c>
      <c r="G11" s="57">
        <f>-G10*$E$20</f>
        <v>-16381.861031843999</v>
      </c>
      <c r="H11" s="57">
        <f>-H10*$E$20</f>
        <v>-17276.258376019567</v>
      </c>
      <c r="I11" s="57">
        <f>-I10*$E$20</f>
        <v>-18154.480966022576</v>
      </c>
    </row>
    <row r="12" spans="1:9">
      <c r="A12" s="45" t="s">
        <v>103</v>
      </c>
      <c r="B12" s="43"/>
      <c r="C12" s="43"/>
      <c r="D12" s="56" t="s">
        <v>104</v>
      </c>
      <c r="E12" s="57">
        <f>SUM(E10:E11)</f>
        <v>37493.279999999999</v>
      </c>
      <c r="F12" s="57">
        <f t="shared" ref="F12:I12" si="2">SUM(F10:F11)</f>
        <v>39806.615376000002</v>
      </c>
      <c r="G12" s="57">
        <f t="shared" si="2"/>
        <v>42124.785510455993</v>
      </c>
      <c r="H12" s="57">
        <f t="shared" si="2"/>
        <v>44424.664395478874</v>
      </c>
      <c r="I12" s="57">
        <f t="shared" si="2"/>
        <v>46682.951055486628</v>
      </c>
    </row>
    <row r="13" spans="1:9">
      <c r="A13" s="43" t="s">
        <v>105</v>
      </c>
      <c r="B13" s="46">
        <v>-453109</v>
      </c>
      <c r="C13" s="43"/>
      <c r="D13" s="56" t="s">
        <v>106</v>
      </c>
      <c r="E13" s="57">
        <f>-Sheet1!I12</f>
        <v>19545</v>
      </c>
      <c r="F13" s="57">
        <f>-Sheet1!H12</f>
        <v>20463.614999999998</v>
      </c>
      <c r="G13" s="57">
        <f>-Sheet1!G12</f>
        <v>21984.061594499999</v>
      </c>
      <c r="H13" s="57">
        <f>-Sheet1!F12</f>
        <v>23017.312489441498</v>
      </c>
      <c r="I13" s="57">
        <f>-Sheet1!E12</f>
        <v>24099.126176445247</v>
      </c>
    </row>
    <row r="14" spans="1:9">
      <c r="A14" s="43" t="s">
        <v>107</v>
      </c>
      <c r="B14" s="46">
        <v>-4750</v>
      </c>
      <c r="C14" s="43"/>
      <c r="D14" s="56" t="s">
        <v>108</v>
      </c>
      <c r="E14" s="57">
        <v>16324</v>
      </c>
      <c r="F14" s="57">
        <f>E14*(1+$E$37)</f>
        <v>16732.099999999999</v>
      </c>
      <c r="G14" s="57">
        <f>F14*(1+$E$37)</f>
        <v>17150.402499999997</v>
      </c>
      <c r="H14" s="57">
        <f>G14*(1+$E$37)</f>
        <v>17579.162562499994</v>
      </c>
      <c r="I14" s="57">
        <f>H14*(1+$E$37)</f>
        <v>18018.641626562494</v>
      </c>
    </row>
    <row r="15" spans="1:9">
      <c r="A15" s="43" t="s">
        <v>109</v>
      </c>
      <c r="B15" s="46">
        <v>-11823</v>
      </c>
      <c r="C15" s="43"/>
      <c r="D15" s="56" t="s">
        <v>110</v>
      </c>
      <c r="E15" s="57">
        <f>-G28</f>
        <v>27770</v>
      </c>
      <c r="F15" s="57">
        <f>E15*(1+$E$37)</f>
        <v>28464.249999999996</v>
      </c>
      <c r="G15" s="57">
        <f>F15*(1+$E$37)</f>
        <v>29175.856249999993</v>
      </c>
      <c r="H15" s="57">
        <f>G15*(1+$E$37)</f>
        <v>29905.252656249992</v>
      </c>
      <c r="I15" s="57">
        <f>H15*(1+$E$37)</f>
        <v>30652.88397265624</v>
      </c>
    </row>
    <row r="16" spans="1:9">
      <c r="A16" s="43"/>
      <c r="B16" s="47">
        <v>-469682</v>
      </c>
      <c r="C16" s="43"/>
      <c r="D16" s="56" t="s">
        <v>111</v>
      </c>
      <c r="E16" s="57">
        <f>SUM(E12:E15)</f>
        <v>101132.28</v>
      </c>
      <c r="F16" s="57">
        <f t="shared" ref="F16:I16" si="3">SUM(F12:F15)</f>
        <v>105466.580376</v>
      </c>
      <c r="G16" s="57">
        <f t="shared" si="3"/>
        <v>110435.10585495598</v>
      </c>
      <c r="H16" s="57">
        <f t="shared" si="3"/>
        <v>114926.39210367037</v>
      </c>
      <c r="I16" s="57">
        <f t="shared" si="3"/>
        <v>119453.60283115061</v>
      </c>
    </row>
    <row r="17" spans="1:12">
      <c r="A17" s="44" t="s">
        <v>112</v>
      </c>
      <c r="B17" s="48">
        <v>39839</v>
      </c>
      <c r="C17" s="43"/>
      <c r="D17" s="56"/>
      <c r="E17" s="56"/>
      <c r="F17" s="56"/>
      <c r="G17" s="56"/>
      <c r="H17" s="56"/>
      <c r="I17" s="56"/>
      <c r="L17" s="54"/>
    </row>
    <row r="18" spans="1:12">
      <c r="A18" s="44"/>
      <c r="B18" s="43"/>
      <c r="C18" s="43"/>
      <c r="D18" s="56"/>
      <c r="E18" s="56"/>
      <c r="F18" s="56"/>
      <c r="G18" s="56"/>
      <c r="H18" s="56"/>
      <c r="I18" s="56"/>
      <c r="K18" s="43"/>
      <c r="L18" s="55"/>
    </row>
    <row r="19" spans="1:12">
      <c r="A19" s="44" t="s">
        <v>113</v>
      </c>
      <c r="B19" s="43"/>
      <c r="C19" s="43"/>
      <c r="D19" s="56"/>
      <c r="E19" s="56"/>
      <c r="F19" s="56"/>
      <c r="G19" s="56"/>
      <c r="H19" s="56"/>
      <c r="I19" s="56"/>
      <c r="K19" s="43"/>
      <c r="L19" s="52"/>
    </row>
    <row r="20" spans="1:12">
      <c r="A20" s="45" t="s">
        <v>90</v>
      </c>
      <c r="B20" s="43"/>
      <c r="C20" s="43"/>
      <c r="D20" s="56" t="s">
        <v>114</v>
      </c>
      <c r="E20" s="58">
        <v>0.28000000000000003</v>
      </c>
      <c r="F20" s="56"/>
      <c r="G20" s="56"/>
      <c r="H20" s="56"/>
      <c r="I20" s="56"/>
      <c r="L20" s="2"/>
    </row>
    <row r="21" spans="1:12">
      <c r="A21" s="43" t="s">
        <v>115</v>
      </c>
      <c r="B21" s="46">
        <v>19632</v>
      </c>
      <c r="C21" s="43"/>
      <c r="D21" s="56" t="s">
        <v>116</v>
      </c>
      <c r="E21" s="57">
        <v>-16324000</v>
      </c>
      <c r="F21" s="56"/>
      <c r="G21" s="56"/>
      <c r="H21" s="56"/>
      <c r="I21" s="56"/>
      <c r="L21" s="2"/>
    </row>
    <row r="22" spans="1:12">
      <c r="A22" s="43" t="s">
        <v>117</v>
      </c>
      <c r="B22" s="46">
        <v>1231</v>
      </c>
      <c r="C22" s="43"/>
      <c r="D22" s="56"/>
      <c r="E22" s="56"/>
      <c r="F22" s="56"/>
      <c r="G22" s="56"/>
      <c r="H22" s="56"/>
      <c r="I22" s="56"/>
      <c r="K22" s="43"/>
      <c r="L22" s="53"/>
    </row>
    <row r="23" spans="1:12">
      <c r="A23" s="43" t="s">
        <v>118</v>
      </c>
      <c r="B23" s="46">
        <v>3773</v>
      </c>
      <c r="C23" s="43"/>
      <c r="D23" s="56" t="s">
        <v>119</v>
      </c>
      <c r="E23" s="56"/>
      <c r="F23" s="56"/>
      <c r="G23" s="56"/>
      <c r="H23" s="56"/>
      <c r="I23" s="56"/>
      <c r="K23" s="43"/>
      <c r="L23" s="55"/>
    </row>
    <row r="24" spans="1:12">
      <c r="A24" s="43"/>
      <c r="B24" s="49">
        <v>24636</v>
      </c>
      <c r="C24" s="43"/>
      <c r="D24" s="56" t="s">
        <v>120</v>
      </c>
      <c r="E24" s="56"/>
      <c r="F24" s="56"/>
      <c r="G24" s="56"/>
      <c r="H24" s="56"/>
      <c r="I24" s="56"/>
    </row>
    <row r="25" spans="1:12">
      <c r="A25" s="43"/>
      <c r="B25" s="43"/>
      <c r="C25" s="43"/>
      <c r="D25" s="56"/>
      <c r="E25" s="59">
        <v>2020</v>
      </c>
      <c r="F25" s="59">
        <v>2021</v>
      </c>
      <c r="G25" s="59" t="s">
        <v>121</v>
      </c>
      <c r="H25" s="56"/>
      <c r="I25" s="56"/>
    </row>
    <row r="26" spans="1:12">
      <c r="A26" s="45" t="s">
        <v>122</v>
      </c>
      <c r="B26" s="43"/>
      <c r="C26" s="43"/>
      <c r="D26" s="56" t="s">
        <v>123</v>
      </c>
      <c r="E26" s="57">
        <v>240466</v>
      </c>
      <c r="F26" s="57">
        <v>213237</v>
      </c>
      <c r="G26" s="57">
        <f>F26-E26</f>
        <v>-27229</v>
      </c>
      <c r="H26" s="56"/>
      <c r="I26" s="56"/>
    </row>
    <row r="27" spans="1:12">
      <c r="A27" s="43" t="s">
        <v>124</v>
      </c>
      <c r="B27" s="43">
        <v>-705</v>
      </c>
      <c r="C27" s="43"/>
      <c r="D27" s="56" t="s">
        <v>125</v>
      </c>
      <c r="E27" s="57">
        <v>56666</v>
      </c>
      <c r="F27" s="57">
        <v>57207</v>
      </c>
      <c r="G27" s="57">
        <f>F27-E27</f>
        <v>541</v>
      </c>
      <c r="H27" s="56"/>
      <c r="I27" s="56"/>
    </row>
    <row r="28" spans="1:12">
      <c r="A28" s="43" t="s">
        <v>126</v>
      </c>
      <c r="B28" s="46">
        <v>-15822</v>
      </c>
      <c r="C28" s="43"/>
      <c r="D28" s="56" t="s">
        <v>127</v>
      </c>
      <c r="E28" s="57"/>
      <c r="F28" s="57"/>
      <c r="G28" s="57">
        <f>G26-G27</f>
        <v>-27770</v>
      </c>
      <c r="H28" s="56"/>
      <c r="I28" s="56"/>
    </row>
    <row r="29" spans="1:12">
      <c r="A29" s="43" t="s">
        <v>128</v>
      </c>
      <c r="B29" s="43">
        <v>-325</v>
      </c>
      <c r="C29" s="43"/>
      <c r="D29" s="56"/>
      <c r="E29" s="56"/>
      <c r="F29" s="56"/>
      <c r="G29" s="56"/>
      <c r="H29" s="56"/>
      <c r="I29" s="56"/>
    </row>
    <row r="30" spans="1:12">
      <c r="A30" s="43" t="s">
        <v>129</v>
      </c>
      <c r="B30" s="43"/>
      <c r="C30" s="43"/>
      <c r="D30" s="56"/>
      <c r="E30" s="56"/>
      <c r="F30" s="56"/>
      <c r="G30" s="56"/>
      <c r="H30" s="56"/>
      <c r="I30" s="56"/>
    </row>
    <row r="31" spans="1:12">
      <c r="A31" s="43"/>
      <c r="B31" s="46">
        <v>-16852</v>
      </c>
      <c r="C31" s="43"/>
      <c r="D31" s="56" t="s">
        <v>130</v>
      </c>
      <c r="E31" s="56"/>
      <c r="F31" s="56"/>
      <c r="G31" s="56"/>
      <c r="H31" s="56"/>
      <c r="I31" s="56"/>
    </row>
    <row r="32" spans="1:12">
      <c r="A32" s="44" t="s">
        <v>131</v>
      </c>
      <c r="B32" s="46">
        <v>7784</v>
      </c>
      <c r="C32" s="43"/>
      <c r="D32" s="56"/>
      <c r="E32" s="59">
        <v>2021</v>
      </c>
      <c r="F32" s="59">
        <v>2022</v>
      </c>
      <c r="G32" s="59">
        <v>2023</v>
      </c>
      <c r="H32" s="59">
        <v>2024</v>
      </c>
      <c r="I32" s="59">
        <v>2025</v>
      </c>
    </row>
    <row r="33" spans="1:17">
      <c r="A33" s="43"/>
      <c r="B33" s="43"/>
      <c r="C33" s="43"/>
      <c r="D33" s="56" t="s">
        <v>92</v>
      </c>
      <c r="E33" s="58">
        <v>4.7E-2</v>
      </c>
      <c r="F33" s="58">
        <v>4.7E-2</v>
      </c>
      <c r="G33" s="58">
        <v>4.7E-2</v>
      </c>
      <c r="H33" s="58">
        <v>4.7E-2</v>
      </c>
      <c r="I33" s="58">
        <v>4.7E-2</v>
      </c>
    </row>
    <row r="34" spans="1:17">
      <c r="A34" s="44" t="s">
        <v>132</v>
      </c>
      <c r="B34" s="43"/>
      <c r="C34" s="43"/>
      <c r="D34" s="56" t="s">
        <v>94</v>
      </c>
      <c r="E34" s="58">
        <v>8.2000000000000003E-2</v>
      </c>
      <c r="F34" s="58">
        <v>7.3249999999999996E-2</v>
      </c>
      <c r="G34" s="58">
        <v>6.4500000000000002E-2</v>
      </c>
      <c r="H34" s="58">
        <v>5.5750000000000001E-2</v>
      </c>
      <c r="I34" s="58">
        <v>4.7E-2</v>
      </c>
    </row>
    <row r="35" spans="1:17">
      <c r="A35" s="45" t="s">
        <v>90</v>
      </c>
      <c r="B35" s="43"/>
      <c r="C35" s="43"/>
      <c r="D35" s="56" t="s">
        <v>133</v>
      </c>
      <c r="E35" s="58">
        <v>4.7E-2</v>
      </c>
      <c r="F35" s="58">
        <v>4.7E-2</v>
      </c>
      <c r="G35" s="58">
        <v>4.7E-2</v>
      </c>
      <c r="H35" s="58">
        <v>4.7E-2</v>
      </c>
      <c r="I35" s="58">
        <v>4.7E-2</v>
      </c>
    </row>
    <row r="36" spans="1:17">
      <c r="A36" s="43" t="s">
        <v>134</v>
      </c>
      <c r="B36" s="43">
        <v>347</v>
      </c>
      <c r="C36" s="43"/>
      <c r="D36" s="56"/>
      <c r="E36" s="56"/>
      <c r="F36" s="56"/>
      <c r="G36" s="56"/>
      <c r="H36" s="56"/>
      <c r="I36" s="56"/>
      <c r="L36" t="s">
        <v>135</v>
      </c>
      <c r="M36">
        <v>5</v>
      </c>
    </row>
    <row r="37" spans="1:17">
      <c r="A37" s="43"/>
      <c r="B37" s="43"/>
      <c r="C37" s="43"/>
      <c r="D37" s="56" t="s">
        <v>136</v>
      </c>
      <c r="E37" s="58">
        <f>2.5%</f>
        <v>2.5000000000000001E-2</v>
      </c>
      <c r="F37" s="56"/>
      <c r="G37" s="56" t="s">
        <v>137</v>
      </c>
      <c r="H37" s="58">
        <v>4.7E-2</v>
      </c>
      <c r="I37" s="56"/>
    </row>
    <row r="38" spans="1:17">
      <c r="A38" s="43"/>
      <c r="B38" s="43"/>
      <c r="C38" s="43"/>
      <c r="D38" s="56"/>
      <c r="E38" s="56"/>
      <c r="F38" s="56"/>
      <c r="G38" s="56"/>
      <c r="H38" s="56"/>
      <c r="I38" s="56"/>
    </row>
    <row r="39" spans="1:17">
      <c r="A39" s="45" t="s">
        <v>122</v>
      </c>
      <c r="B39" s="43"/>
      <c r="C39" s="43"/>
      <c r="D39" s="56" t="s">
        <v>138</v>
      </c>
      <c r="E39" s="57">
        <f>I16*(1+E37)</f>
        <v>122439.94290192936</v>
      </c>
      <c r="F39" s="56"/>
      <c r="G39" s="56"/>
      <c r="H39" s="56"/>
      <c r="I39" s="56"/>
      <c r="L39" t="s">
        <v>139</v>
      </c>
    </row>
    <row r="40" spans="1:17">
      <c r="A40" s="43" t="s">
        <v>140</v>
      </c>
      <c r="B40" s="46">
        <v>-18000</v>
      </c>
      <c r="C40" s="43"/>
      <c r="D40" s="56" t="s">
        <v>141</v>
      </c>
      <c r="E40" s="57" cm="1">
        <f t="array" ref="E40">-SUM(PV($H$37, 5, 0, E16:I16))</f>
        <v>438272.62940998084</v>
      </c>
      <c r="F40" s="56"/>
      <c r="G40" s="56"/>
      <c r="H40" s="78">
        <v>0.01</v>
      </c>
      <c r="I40" s="79">
        <v>1.4999999999999999E-2</v>
      </c>
      <c r="J40" s="80">
        <v>0.02</v>
      </c>
      <c r="K40" s="79">
        <v>2.5000000000000001E-2</v>
      </c>
      <c r="L40" s="80">
        <v>0.03</v>
      </c>
      <c r="M40" s="79">
        <v>3.5000000000000003E-2</v>
      </c>
      <c r="N40" s="80">
        <v>0.04</v>
      </c>
      <c r="O40" s="79">
        <v>4.4999999999999998E-2</v>
      </c>
      <c r="P40" s="80">
        <v>0.05</v>
      </c>
      <c r="Q40" s="81">
        <v>5.5E-2</v>
      </c>
    </row>
    <row r="41" spans="1:17">
      <c r="A41" s="43" t="s">
        <v>142</v>
      </c>
      <c r="B41" s="46">
        <v>-7839</v>
      </c>
      <c r="C41" s="43"/>
      <c r="D41" s="56" t="s">
        <v>143</v>
      </c>
      <c r="E41" s="57">
        <f>-PV(H37, 5, 0, E39)</f>
        <v>97317.223537442405</v>
      </c>
      <c r="F41" s="56"/>
      <c r="G41" s="82">
        <v>0.04</v>
      </c>
      <c r="H41" s="57">
        <f>((-PV($G41, $M$36, 0, ($I$16*(1+H$40)))+$E$40-$E$43)*1000)/$E$45</f>
        <v>2.4086519732357927</v>
      </c>
      <c r="I41" s="57">
        <f t="shared" ref="I41:Q50" si="4">((-PV($G41, $M$36, 0, ($I$16*(1+I$40)))+$E$40-$E$43)*1000)/$E$45</f>
        <v>2.412099505331601</v>
      </c>
      <c r="J41" s="57">
        <f t="shared" si="4"/>
        <v>2.4155470374274102</v>
      </c>
      <c r="K41" s="57">
        <f t="shared" si="4"/>
        <v>2.4189945695232185</v>
      </c>
      <c r="L41" s="57">
        <f t="shared" si="4"/>
        <v>2.4224421016190276</v>
      </c>
      <c r="M41" s="57">
        <f t="shared" si="4"/>
        <v>2.4258896337148355</v>
      </c>
      <c r="N41" s="57">
        <f t="shared" si="4"/>
        <v>2.4293371658106442</v>
      </c>
      <c r="O41" s="57">
        <f t="shared" si="4"/>
        <v>2.4327846979064529</v>
      </c>
      <c r="P41" s="57">
        <f>((-PV($G41, $M$36, 0, ($I$16*(1+P$40)))+$E$40-$E$43)*1000)/$E$45</f>
        <v>2.4362322300022616</v>
      </c>
      <c r="Q41" s="75">
        <f t="shared" si="4"/>
        <v>2.4396797620980704</v>
      </c>
    </row>
    <row r="42" spans="1:17">
      <c r="A42" s="43" t="s">
        <v>144</v>
      </c>
      <c r="B42" s="46">
        <v>-26772</v>
      </c>
      <c r="C42" s="43"/>
      <c r="D42" s="56" t="s">
        <v>145</v>
      </c>
      <c r="E42" s="57">
        <f>E40+E41</f>
        <v>535589.85294742323</v>
      </c>
      <c r="F42" s="56"/>
      <c r="G42" s="83">
        <v>0.05</v>
      </c>
      <c r="H42" s="57">
        <f t="shared" ref="H42:H50" si="5">((-PV($G42, $M$36, 0, ($I$16*(1+H$40)))+$E$40-$E$43)*1000)/$E$45</f>
        <v>2.3761156673264034</v>
      </c>
      <c r="I42" s="57">
        <f t="shared" si="4"/>
        <v>2.3794021286008791</v>
      </c>
      <c r="J42" s="57">
        <f t="shared" si="4"/>
        <v>2.3826885898753543</v>
      </c>
      <c r="K42" s="57">
        <f t="shared" si="4"/>
        <v>2.385975051149829</v>
      </c>
      <c r="L42" s="57">
        <f t="shared" si="4"/>
        <v>2.3892615124243042</v>
      </c>
      <c r="M42" s="57">
        <f t="shared" si="4"/>
        <v>2.3925479736987785</v>
      </c>
      <c r="N42" s="57">
        <f t="shared" si="4"/>
        <v>2.3958344349732541</v>
      </c>
      <c r="O42" s="57">
        <f t="shared" si="4"/>
        <v>2.3991208962477288</v>
      </c>
      <c r="P42" s="57">
        <f t="shared" si="4"/>
        <v>2.402407357522204</v>
      </c>
      <c r="Q42" s="75">
        <f t="shared" si="4"/>
        <v>2.4056938187966797</v>
      </c>
    </row>
    <row r="43" spans="1:17">
      <c r="A43" s="43" t="s">
        <v>146</v>
      </c>
      <c r="B43" s="46">
        <v>-8868</v>
      </c>
      <c r="C43" s="43"/>
      <c r="D43" s="56" t="s">
        <v>147</v>
      </c>
      <c r="E43" s="57">
        <f>Sheet2!I26</f>
        <v>194457</v>
      </c>
      <c r="F43" s="73" t="s">
        <v>148</v>
      </c>
      <c r="G43" s="83">
        <v>0.06</v>
      </c>
      <c r="H43" s="57">
        <f t="shared" si="5"/>
        <v>2.3453865621110461</v>
      </c>
      <c r="I43" s="57">
        <f t="shared" si="4"/>
        <v>2.3485208991022772</v>
      </c>
      <c r="J43" s="57">
        <f t="shared" si="4"/>
        <v>2.3516552360935075</v>
      </c>
      <c r="K43" s="57">
        <f t="shared" si="4"/>
        <v>2.3547895730847386</v>
      </c>
      <c r="L43" s="57">
        <f t="shared" si="4"/>
        <v>2.3579239100759692</v>
      </c>
      <c r="M43" s="57">
        <f t="shared" si="4"/>
        <v>2.3610582470671995</v>
      </c>
      <c r="N43" s="57">
        <f t="shared" si="4"/>
        <v>2.3641925840584301</v>
      </c>
      <c r="O43" s="57">
        <f t="shared" si="4"/>
        <v>2.3673269210496617</v>
      </c>
      <c r="P43" s="57">
        <f t="shared" si="4"/>
        <v>2.3704612580408919</v>
      </c>
      <c r="Q43" s="75">
        <f t="shared" si="4"/>
        <v>2.3735955950321226</v>
      </c>
    </row>
    <row r="44" spans="1:17">
      <c r="A44" s="43"/>
      <c r="B44" s="49">
        <v>-61479</v>
      </c>
      <c r="C44" s="43"/>
      <c r="D44" s="56" t="s">
        <v>149</v>
      </c>
      <c r="E44" s="57">
        <f>E42-E43</f>
        <v>341132.85294742323</v>
      </c>
      <c r="F44" s="73" t="s">
        <v>150</v>
      </c>
      <c r="G44" s="83">
        <v>7.0000000000000007E-2</v>
      </c>
      <c r="H44" s="57">
        <f t="shared" si="5"/>
        <v>2.3163486257384731</v>
      </c>
      <c r="I44" s="57">
        <f t="shared" si="4"/>
        <v>2.319339210569443</v>
      </c>
      <c r="J44" s="57">
        <f t="shared" si="4"/>
        <v>2.3223297954004138</v>
      </c>
      <c r="K44" s="57">
        <f t="shared" si="4"/>
        <v>2.3253203802313842</v>
      </c>
      <c r="L44" s="57">
        <f t="shared" si="4"/>
        <v>2.328310965062355</v>
      </c>
      <c r="M44" s="57">
        <f t="shared" si="4"/>
        <v>2.3313015498933254</v>
      </c>
      <c r="N44" s="57">
        <f t="shared" si="4"/>
        <v>2.3342921347242949</v>
      </c>
      <c r="O44" s="57">
        <f t="shared" si="4"/>
        <v>2.3372827195552657</v>
      </c>
      <c r="P44" s="57">
        <f t="shared" si="4"/>
        <v>2.340273304386236</v>
      </c>
      <c r="Q44" s="75">
        <f t="shared" si="4"/>
        <v>2.3432638892172069</v>
      </c>
    </row>
    <row r="45" spans="1:17">
      <c r="A45" s="44" t="s">
        <v>151</v>
      </c>
      <c r="B45" s="50">
        <v>-61132</v>
      </c>
      <c r="C45" s="43"/>
      <c r="D45" s="56" t="s">
        <v>152</v>
      </c>
      <c r="E45" s="74">
        <v>142394837</v>
      </c>
      <c r="F45" s="73" t="s">
        <v>153</v>
      </c>
      <c r="G45" s="83">
        <v>0.08</v>
      </c>
      <c r="H45" s="57">
        <f t="shared" si="5"/>
        <v>2.2888942628666076</v>
      </c>
      <c r="I45" s="57">
        <f t="shared" si="4"/>
        <v>2.2917489350100939</v>
      </c>
      <c r="J45" s="57">
        <f t="shared" si="4"/>
        <v>2.2946036071535794</v>
      </c>
      <c r="K45" s="57">
        <f t="shared" si="4"/>
        <v>2.2974582792970648</v>
      </c>
      <c r="L45" s="57">
        <f t="shared" si="4"/>
        <v>2.3003129514405516</v>
      </c>
      <c r="M45" s="57">
        <f t="shared" si="4"/>
        <v>2.303167623584037</v>
      </c>
      <c r="N45" s="57">
        <f t="shared" si="4"/>
        <v>2.3060222957275234</v>
      </c>
      <c r="O45" s="57">
        <f t="shared" si="4"/>
        <v>2.3088769678710093</v>
      </c>
      <c r="P45" s="57">
        <f t="shared" si="4"/>
        <v>2.3117316400144952</v>
      </c>
      <c r="Q45" s="75">
        <f t="shared" si="4"/>
        <v>2.3145863121579811</v>
      </c>
    </row>
    <row r="46" spans="1:17">
      <c r="A46" s="44"/>
      <c r="B46" s="43"/>
      <c r="C46" s="43"/>
      <c r="D46" s="56" t="s">
        <v>154</v>
      </c>
      <c r="E46" s="60">
        <f>(E44*1000)/E45</f>
        <v>2.3956827377626286</v>
      </c>
      <c r="F46" s="73" t="s">
        <v>153</v>
      </c>
      <c r="G46" s="83">
        <v>0.09</v>
      </c>
      <c r="H46" s="57">
        <f t="shared" si="5"/>
        <v>2.2629236308141309</v>
      </c>
      <c r="I46" s="57">
        <f t="shared" si="4"/>
        <v>2.2656497354722083</v>
      </c>
      <c r="J46" s="57">
        <f t="shared" si="4"/>
        <v>2.2683758401302865</v>
      </c>
      <c r="K46" s="57">
        <f t="shared" si="4"/>
        <v>2.2711019447883638</v>
      </c>
      <c r="L46" s="57">
        <f t="shared" si="4"/>
        <v>2.2738280494464411</v>
      </c>
      <c r="M46" s="57">
        <f t="shared" si="4"/>
        <v>2.2765541541045189</v>
      </c>
      <c r="N46" s="57">
        <f t="shared" si="4"/>
        <v>2.2792802587625971</v>
      </c>
      <c r="O46" s="57">
        <f t="shared" si="4"/>
        <v>2.2820063634206744</v>
      </c>
      <c r="P46" s="57">
        <f t="shared" si="4"/>
        <v>2.2847324680787517</v>
      </c>
      <c r="Q46" s="75">
        <f t="shared" si="4"/>
        <v>2.28745857273683</v>
      </c>
    </row>
    <row r="47" spans="1:17">
      <c r="A47" s="44" t="s">
        <v>155</v>
      </c>
      <c r="B47" s="46">
        <v>-13509</v>
      </c>
      <c r="C47" s="43"/>
      <c r="D47" s="43"/>
      <c r="E47" s="43"/>
      <c r="G47" s="83">
        <v>0.1</v>
      </c>
      <c r="H47" s="57">
        <f t="shared" si="5"/>
        <v>2.2383440167512725</v>
      </c>
      <c r="I47" s="57">
        <f t="shared" si="4"/>
        <v>2.2409484401516129</v>
      </c>
      <c r="J47" s="57">
        <f t="shared" si="4"/>
        <v>2.2435528635519537</v>
      </c>
      <c r="K47" s="57">
        <f t="shared" si="4"/>
        <v>2.2461572869522941</v>
      </c>
      <c r="L47" s="57">
        <f t="shared" si="4"/>
        <v>2.2487617103526354</v>
      </c>
      <c r="M47" s="57">
        <f t="shared" si="4"/>
        <v>2.2513661337529762</v>
      </c>
      <c r="N47" s="57">
        <f t="shared" si="4"/>
        <v>2.2539705571533171</v>
      </c>
      <c r="O47" s="57">
        <f t="shared" si="4"/>
        <v>2.2565749805536575</v>
      </c>
      <c r="P47" s="57">
        <f t="shared" si="4"/>
        <v>2.2591794039539983</v>
      </c>
      <c r="Q47" s="75">
        <f t="shared" si="4"/>
        <v>2.2617838273543387</v>
      </c>
    </row>
    <row r="48" spans="1:17">
      <c r="A48" s="43" t="s">
        <v>156</v>
      </c>
      <c r="B48" s="43">
        <v>677</v>
      </c>
      <c r="C48" s="43"/>
      <c r="D48" s="43"/>
      <c r="E48" s="43"/>
      <c r="G48" s="83">
        <v>0.11</v>
      </c>
      <c r="H48" s="57">
        <f t="shared" si="5"/>
        <v>2.2150692699899088</v>
      </c>
      <c r="I48" s="57">
        <f t="shared" si="4"/>
        <v>2.2175584718716288</v>
      </c>
      <c r="J48" s="57">
        <f t="shared" si="4"/>
        <v>2.2200476737533492</v>
      </c>
      <c r="K48" s="57">
        <f t="shared" si="4"/>
        <v>2.2225368756350692</v>
      </c>
      <c r="L48" s="57">
        <f t="shared" si="4"/>
        <v>2.2250260775167892</v>
      </c>
      <c r="M48" s="57">
        <f t="shared" si="4"/>
        <v>2.2275152793985091</v>
      </c>
      <c r="N48" s="57">
        <f t="shared" si="4"/>
        <v>2.2300044812802291</v>
      </c>
      <c r="O48" s="57">
        <f t="shared" si="4"/>
        <v>2.2324936831619495</v>
      </c>
      <c r="P48" s="57">
        <f t="shared" si="4"/>
        <v>2.2349828850436699</v>
      </c>
      <c r="Q48" s="75">
        <f t="shared" si="4"/>
        <v>2.2374720869253895</v>
      </c>
    </row>
    <row r="49" spans="1:17">
      <c r="A49" s="43" t="s">
        <v>157</v>
      </c>
      <c r="B49" s="46">
        <v>46034</v>
      </c>
      <c r="C49" s="43"/>
      <c r="D49" s="43"/>
      <c r="E49" s="43"/>
      <c r="G49" s="83">
        <v>0.12</v>
      </c>
      <c r="H49" s="57">
        <f t="shared" si="5"/>
        <v>2.1930192840580753</v>
      </c>
      <c r="I49" s="57">
        <f t="shared" si="4"/>
        <v>2.1953993275935986</v>
      </c>
      <c r="J49" s="57">
        <f t="shared" si="4"/>
        <v>2.1977793711291218</v>
      </c>
      <c r="K49" s="57">
        <f t="shared" si="4"/>
        <v>2.2001594146646442</v>
      </c>
      <c r="L49" s="57">
        <f t="shared" si="4"/>
        <v>2.2025394582001669</v>
      </c>
      <c r="M49" s="57">
        <f t="shared" si="4"/>
        <v>2.2049195017356902</v>
      </c>
      <c r="N49" s="57">
        <f t="shared" si="4"/>
        <v>2.207299545271213</v>
      </c>
      <c r="O49" s="57">
        <f t="shared" si="4"/>
        <v>2.2096795888067362</v>
      </c>
      <c r="P49" s="57">
        <f t="shared" si="4"/>
        <v>2.212059632342259</v>
      </c>
      <c r="Q49" s="75">
        <f t="shared" si="4"/>
        <v>2.2144396758777818</v>
      </c>
    </row>
    <row r="50" spans="1:17">
      <c r="A50" s="44" t="s">
        <v>158</v>
      </c>
      <c r="B50" s="46">
        <v>33202</v>
      </c>
      <c r="C50" s="43"/>
      <c r="D50" s="43"/>
      <c r="E50" s="43"/>
      <c r="G50" s="84">
        <v>0.13</v>
      </c>
      <c r="H50" s="76">
        <f t="shared" si="5"/>
        <v>2.1721195237984303</v>
      </c>
      <c r="I50" s="76">
        <f t="shared" si="4"/>
        <v>2.174396103174252</v>
      </c>
      <c r="J50" s="76">
        <f t="shared" si="4"/>
        <v>2.1766726825500737</v>
      </c>
      <c r="K50" s="76">
        <f t="shared" si="4"/>
        <v>2.178949261925895</v>
      </c>
      <c r="L50" s="76">
        <f t="shared" si="4"/>
        <v>2.1812258413017176</v>
      </c>
      <c r="M50" s="76">
        <f t="shared" si="4"/>
        <v>2.1835024206775384</v>
      </c>
      <c r="N50" s="76">
        <f t="shared" si="4"/>
        <v>2.1857790000533606</v>
      </c>
      <c r="O50" s="76">
        <f t="shared" si="4"/>
        <v>2.1880555794291823</v>
      </c>
      <c r="P50" s="76">
        <f t="shared" si="4"/>
        <v>2.1903321588050035</v>
      </c>
      <c r="Q50" s="77">
        <f t="shared" si="4"/>
        <v>2.1926087381808257</v>
      </c>
    </row>
    <row r="51" spans="1:17">
      <c r="A51" s="43"/>
      <c r="B51" s="43"/>
      <c r="C51" s="43"/>
      <c r="D51" s="43"/>
      <c r="E51" s="43"/>
    </row>
    <row r="52" spans="1:17">
      <c r="A52" s="45" t="s">
        <v>159</v>
      </c>
      <c r="B52" s="43"/>
      <c r="C52" s="43"/>
      <c r="D52" s="43"/>
      <c r="E52" s="43"/>
    </row>
    <row r="53" spans="1:17">
      <c r="A53" s="43" t="s">
        <v>160</v>
      </c>
      <c r="B53" s="46">
        <v>35398</v>
      </c>
      <c r="C53" s="43"/>
      <c r="D53" s="43"/>
      <c r="E53" s="43"/>
    </row>
    <row r="54" spans="1:17">
      <c r="A54" s="43" t="s">
        <v>161</v>
      </c>
      <c r="B54" s="46">
        <v>-2196</v>
      </c>
      <c r="C54" s="43"/>
      <c r="D54" s="43"/>
      <c r="E54" s="43"/>
    </row>
    <row r="55" spans="1:17">
      <c r="A55" s="44" t="s">
        <v>162</v>
      </c>
      <c r="B55" s="46">
        <v>33202</v>
      </c>
      <c r="C55" s="43"/>
      <c r="D55" s="43"/>
      <c r="E55" s="43"/>
    </row>
    <row r="56" spans="1:17">
      <c r="A56" s="43"/>
      <c r="B56" s="43"/>
      <c r="C56" s="43"/>
      <c r="D56" s="43"/>
      <c r="E56" s="43"/>
    </row>
    <row r="57" spans="1:17">
      <c r="A57" s="44" t="s">
        <v>163</v>
      </c>
      <c r="B57" s="43"/>
      <c r="C57" s="43"/>
      <c r="D57" s="43"/>
      <c r="E57" s="43"/>
    </row>
    <row r="58" spans="1:17">
      <c r="A58" s="45" t="s">
        <v>164</v>
      </c>
      <c r="B58" s="43"/>
      <c r="C58" s="43"/>
      <c r="D58" s="43"/>
      <c r="E58" s="43"/>
    </row>
    <row r="59" spans="1:17">
      <c r="A59" s="43" t="s">
        <v>165</v>
      </c>
      <c r="B59" s="46">
        <v>36950</v>
      </c>
      <c r="C59" s="43"/>
      <c r="D59" s="43"/>
      <c r="E59" s="43"/>
    </row>
    <row r="60" spans="1:17">
      <c r="A60" s="43"/>
      <c r="B60" s="43"/>
      <c r="C60" s="43"/>
      <c r="D60" s="43"/>
      <c r="E60" s="43"/>
    </row>
    <row r="61" spans="1:17">
      <c r="A61" s="45" t="s">
        <v>166</v>
      </c>
      <c r="B61" s="43"/>
      <c r="C61" s="43"/>
      <c r="D61" s="43"/>
      <c r="E61" s="43"/>
    </row>
    <row r="62" spans="1:17">
      <c r="A62" s="43" t="s">
        <v>167</v>
      </c>
      <c r="B62" s="46">
        <v>-1132</v>
      </c>
      <c r="C62" s="43"/>
      <c r="D62" s="43"/>
      <c r="E62" s="43"/>
    </row>
    <row r="63" spans="1:17">
      <c r="A63" s="43" t="s">
        <v>168</v>
      </c>
      <c r="B63" s="43"/>
      <c r="C63" s="43"/>
      <c r="D63" s="43"/>
      <c r="E63" s="43"/>
    </row>
    <row r="64" spans="1:17">
      <c r="A64" s="43" t="s">
        <v>169</v>
      </c>
      <c r="B64" s="43">
        <v>-879</v>
      </c>
      <c r="C64" s="43"/>
      <c r="D64" s="43"/>
      <c r="E64" s="43"/>
    </row>
    <row r="65" spans="1:5">
      <c r="A65" s="43" t="s">
        <v>170</v>
      </c>
      <c r="B65" s="43">
        <v>342</v>
      </c>
      <c r="C65" s="43"/>
      <c r="D65" s="43"/>
      <c r="E65" s="43"/>
    </row>
    <row r="66" spans="1:5">
      <c r="A66" s="43" t="s">
        <v>171</v>
      </c>
      <c r="B66" s="46">
        <v>19203</v>
      </c>
      <c r="C66" s="43"/>
      <c r="D66" s="43"/>
      <c r="E66" s="43"/>
    </row>
    <row r="67" spans="1:5">
      <c r="A67" s="43" t="s">
        <v>172</v>
      </c>
      <c r="B67" s="46">
        <v>-1650</v>
      </c>
      <c r="C67" s="43"/>
      <c r="D67" s="43"/>
      <c r="E67" s="43"/>
    </row>
    <row r="68" spans="1:5">
      <c r="A68" s="43" t="s">
        <v>173</v>
      </c>
      <c r="B68" s="46">
        <v>-3162</v>
      </c>
      <c r="C68" s="43"/>
      <c r="D68" s="43"/>
      <c r="E68" s="43"/>
    </row>
    <row r="69" spans="1:5">
      <c r="A69" s="43" t="s">
        <v>174</v>
      </c>
      <c r="B69" s="43">
        <v>358</v>
      </c>
      <c r="C69" s="43"/>
      <c r="D69" s="43"/>
      <c r="E69" s="43"/>
    </row>
    <row r="70" spans="1:5">
      <c r="A70" s="43" t="s">
        <v>175</v>
      </c>
      <c r="B70" s="43">
        <v>871</v>
      </c>
      <c r="C70" s="43"/>
      <c r="D70" s="43"/>
      <c r="E70" s="43"/>
    </row>
    <row r="71" spans="1:5">
      <c r="A71" s="43" t="s">
        <v>176</v>
      </c>
      <c r="B71" s="43">
        <v>726</v>
      </c>
      <c r="C71" s="43"/>
      <c r="D71" s="43"/>
      <c r="E71" s="43"/>
    </row>
    <row r="72" spans="1:5">
      <c r="A72" s="43" t="s">
        <v>177</v>
      </c>
      <c r="B72" s="46">
        <v>1852</v>
      </c>
      <c r="C72" s="43"/>
      <c r="D72" s="43"/>
      <c r="E72" s="43"/>
    </row>
    <row r="73" spans="1:5">
      <c r="A73" s="43"/>
      <c r="B73" s="43"/>
      <c r="C73" s="43"/>
      <c r="D73" s="43"/>
      <c r="E73" s="43"/>
    </row>
    <row r="74" spans="1:5">
      <c r="A74" s="45" t="s">
        <v>178</v>
      </c>
      <c r="B74" s="43"/>
      <c r="C74" s="43"/>
      <c r="D74" s="43"/>
      <c r="E74" s="43"/>
    </row>
    <row r="75" spans="1:5">
      <c r="A75" s="43" t="s">
        <v>179</v>
      </c>
      <c r="B75" s="46">
        <v>2250</v>
      </c>
      <c r="C75" s="43"/>
      <c r="D75" s="43"/>
      <c r="E75" s="43"/>
    </row>
    <row r="76" spans="1:5">
      <c r="A76" s="43"/>
      <c r="B76" s="43"/>
      <c r="C76" s="43"/>
      <c r="D76" s="43"/>
      <c r="E76" s="43"/>
    </row>
    <row r="77" spans="1:5">
      <c r="A77" s="45" t="s">
        <v>180</v>
      </c>
      <c r="B77" s="43"/>
      <c r="C77" s="43"/>
      <c r="D77" s="43"/>
      <c r="E77" s="43"/>
    </row>
    <row r="78" spans="1:5">
      <c r="A78" s="43" t="s">
        <v>181</v>
      </c>
      <c r="B78" s="46">
        <v>-8828</v>
      </c>
      <c r="C78" s="43"/>
      <c r="D78" s="43"/>
      <c r="E78" s="43"/>
    </row>
    <row r="79" spans="1:5">
      <c r="A79" s="43" t="s">
        <v>182</v>
      </c>
      <c r="B79" s="43">
        <v>-539</v>
      </c>
      <c r="C79" s="43"/>
      <c r="D79" s="43"/>
      <c r="E79" s="43"/>
    </row>
    <row r="80" spans="1:5">
      <c r="A80" s="43" t="s">
        <v>183</v>
      </c>
      <c r="B80" s="46">
        <v>-3498</v>
      </c>
      <c r="C80" s="43"/>
      <c r="D80" s="43"/>
      <c r="E80" s="43"/>
    </row>
    <row r="81" spans="1:5">
      <c r="A81" s="43" t="s">
        <v>184</v>
      </c>
      <c r="B81" s="43">
        <v>-148</v>
      </c>
      <c r="C81" s="43"/>
      <c r="D81" s="43"/>
      <c r="E81" s="43"/>
    </row>
    <row r="82" spans="1:5">
      <c r="A82" s="43" t="s">
        <v>185</v>
      </c>
      <c r="B82" s="46">
        <v>-1760</v>
      </c>
      <c r="C82" s="43"/>
      <c r="D82" s="43"/>
      <c r="E82" s="43"/>
    </row>
    <row r="83" spans="1:5">
      <c r="A83" s="43" t="s">
        <v>186</v>
      </c>
      <c r="B83" s="46">
        <v>-1117</v>
      </c>
      <c r="C83" s="43"/>
      <c r="D83" s="43"/>
      <c r="E83" s="43"/>
    </row>
    <row r="84" spans="1:5">
      <c r="A84" s="44" t="s">
        <v>112</v>
      </c>
      <c r="B84" s="51">
        <v>39839</v>
      </c>
      <c r="C84" s="43"/>
      <c r="D84" s="43"/>
      <c r="E84"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C6E4-BC6C-413C-8E30-204F36F814E6}">
  <dimension ref="A2:L15"/>
  <sheetViews>
    <sheetView workbookViewId="0">
      <selection activeCell="D19" sqref="D19"/>
    </sheetView>
  </sheetViews>
  <sheetFormatPr defaultRowHeight="15.75"/>
  <sheetData>
    <row r="2" spans="1:12">
      <c r="A2" t="s">
        <v>187</v>
      </c>
      <c r="G2" t="s">
        <v>188</v>
      </c>
    </row>
    <row r="4" spans="1:12">
      <c r="D4" s="63">
        <f t="shared" ref="D4:F4" si="0">E4-0.1%</f>
        <v>4.2999999999999997E-2</v>
      </c>
      <c r="E4" s="63">
        <f t="shared" si="0"/>
        <v>4.3999999999999997E-2</v>
      </c>
      <c r="F4" s="63">
        <f t="shared" si="0"/>
        <v>4.4999999999999998E-2</v>
      </c>
      <c r="G4" s="63">
        <f>H4-0.1%</f>
        <v>4.5999999999999999E-2</v>
      </c>
      <c r="H4" s="63">
        <v>4.7E-2</v>
      </c>
      <c r="I4" s="63">
        <f>H4+0.1%</f>
        <v>4.8000000000000001E-2</v>
      </c>
      <c r="J4" s="63">
        <f t="shared" ref="J4:K4" si="1">I4+0.1%</f>
        <v>4.9000000000000002E-2</v>
      </c>
      <c r="K4" s="63">
        <f t="shared" si="1"/>
        <v>0.05</v>
      </c>
    </row>
    <row r="5" spans="1:12">
      <c r="C5" s="85">
        <f t="shared" ref="C5:C8" si="2">C6-0.4</f>
        <v>9.7999999999999989</v>
      </c>
      <c r="D5" s="66">
        <f t="shared" ref="D5:G5" si="3">(0.191*(1+D4))*$C5</f>
        <v>1.9522873999999999</v>
      </c>
      <c r="E5" s="67">
        <f t="shared" si="3"/>
        <v>1.9541591999999999</v>
      </c>
      <c r="F5" s="67">
        <f t="shared" si="3"/>
        <v>1.9560309999999996</v>
      </c>
      <c r="G5" s="67">
        <f t="shared" si="3"/>
        <v>1.9579028000000001</v>
      </c>
      <c r="H5" s="67">
        <f>(0.191*(1+H4))*$C5</f>
        <v>1.9597745999999996</v>
      </c>
      <c r="I5" s="67">
        <f t="shared" ref="I5:K5" si="4">(0.191*(1+I4))*$C5</f>
        <v>1.9616464</v>
      </c>
      <c r="J5" s="67">
        <f t="shared" si="4"/>
        <v>1.9635181999999995</v>
      </c>
      <c r="K5" s="68">
        <f t="shared" si="4"/>
        <v>1.9653899999999997</v>
      </c>
    </row>
    <row r="6" spans="1:12">
      <c r="C6" s="85">
        <f t="shared" si="2"/>
        <v>10.199999999999999</v>
      </c>
      <c r="D6" s="69">
        <f t="shared" ref="D6:G6" si="5">(0.191*(1+D4))*$C6</f>
        <v>2.0319726</v>
      </c>
      <c r="E6" s="65">
        <f t="shared" si="5"/>
        <v>2.0339207999999998</v>
      </c>
      <c r="F6" s="65">
        <f t="shared" si="5"/>
        <v>2.0358689999999999</v>
      </c>
      <c r="G6" s="65">
        <f t="shared" si="5"/>
        <v>2.0378172000000001</v>
      </c>
      <c r="H6" s="65">
        <f>(0.191*(1+H4))*$C6</f>
        <v>2.0397653999999998</v>
      </c>
      <c r="I6" s="65">
        <f t="shared" ref="I6:K6" si="6">(0.191*(1+I4))*$C6</f>
        <v>2.0417136</v>
      </c>
      <c r="J6" s="65">
        <f t="shared" si="6"/>
        <v>2.0436617999999998</v>
      </c>
      <c r="K6" s="70">
        <f t="shared" si="6"/>
        <v>2.0456099999999999</v>
      </c>
    </row>
    <row r="7" spans="1:12">
      <c r="C7" s="85">
        <f t="shared" si="2"/>
        <v>10.6</v>
      </c>
      <c r="D7" s="69">
        <f t="shared" ref="D7:G7" si="7">(0.191*(1+D4))*$C7</f>
        <v>2.1116578000000001</v>
      </c>
      <c r="E7" s="65">
        <f t="shared" si="7"/>
        <v>2.1136824000000001</v>
      </c>
      <c r="F7" s="65">
        <f t="shared" si="7"/>
        <v>2.115707</v>
      </c>
      <c r="G7" s="65">
        <f t="shared" si="7"/>
        <v>2.1177315999999999</v>
      </c>
      <c r="H7" s="65">
        <f>(0.191*(1+H4))*$C7</f>
        <v>2.1197561999999999</v>
      </c>
      <c r="I7" s="65">
        <f t="shared" ref="I7:L7" si="8">(0.191*(1+I4))*$C7</f>
        <v>2.1217808000000002</v>
      </c>
      <c r="J7" s="65">
        <f t="shared" si="8"/>
        <v>2.1238053999999997</v>
      </c>
      <c r="K7" s="70">
        <f t="shared" si="8"/>
        <v>2.1258300000000001</v>
      </c>
      <c r="L7" s="64"/>
    </row>
    <row r="8" spans="1:12">
      <c r="C8" s="85">
        <f t="shared" si="2"/>
        <v>11</v>
      </c>
      <c r="D8" s="69">
        <f t="shared" ref="D8:K8" si="9">(0.191*(1+D4))*$C8</f>
        <v>2.1913429999999998</v>
      </c>
      <c r="E8" s="65">
        <f t="shared" si="9"/>
        <v>2.1934439999999999</v>
      </c>
      <c r="F8" s="65">
        <f t="shared" si="9"/>
        <v>2.1955450000000001</v>
      </c>
      <c r="G8" s="65">
        <f t="shared" si="9"/>
        <v>2.1976460000000002</v>
      </c>
      <c r="H8" s="65">
        <f>(0.191*(1+H4))*$C8</f>
        <v>2.1997469999999999</v>
      </c>
      <c r="I8" s="65">
        <f t="shared" si="9"/>
        <v>2.201848</v>
      </c>
      <c r="J8" s="65">
        <f t="shared" si="9"/>
        <v>2.2039489999999997</v>
      </c>
      <c r="K8" s="70">
        <f t="shared" si="9"/>
        <v>2.2060500000000003</v>
      </c>
    </row>
    <row r="9" spans="1:12">
      <c r="A9" t="s">
        <v>189</v>
      </c>
      <c r="C9" s="85">
        <f>C10-0.4</f>
        <v>11.4</v>
      </c>
      <c r="D9" s="69">
        <f t="shared" ref="D9:G9" si="10">(0.191*(1+D4))*$C9</f>
        <v>2.2710281999999999</v>
      </c>
      <c r="E9" s="65">
        <f t="shared" si="10"/>
        <v>2.2732055999999998</v>
      </c>
      <c r="F9" s="65">
        <f t="shared" si="10"/>
        <v>2.2753830000000002</v>
      </c>
      <c r="G9" s="65">
        <f t="shared" si="10"/>
        <v>2.2775604000000005</v>
      </c>
      <c r="H9" s="65">
        <f>(0.191*(1+H4))*$C9</f>
        <v>2.2797377999999999</v>
      </c>
      <c r="I9" s="65">
        <f t="shared" ref="I9:K9" si="11">(0.191*(1+I4))*$C9</f>
        <v>2.2819152000000003</v>
      </c>
      <c r="J9" s="65">
        <f t="shared" si="11"/>
        <v>2.2840925999999997</v>
      </c>
      <c r="K9" s="70">
        <f t="shared" si="11"/>
        <v>2.28627</v>
      </c>
    </row>
    <row r="10" spans="1:12">
      <c r="C10" s="85">
        <v>11.8</v>
      </c>
      <c r="D10" s="69">
        <f t="shared" ref="D10:G10" si="12">(0.191*(1+D4))*$C10</f>
        <v>2.3507134000000001</v>
      </c>
      <c r="E10" s="65">
        <f t="shared" si="12"/>
        <v>2.3529672000000001</v>
      </c>
      <c r="F10" s="65">
        <f t="shared" si="12"/>
        <v>2.3552210000000002</v>
      </c>
      <c r="G10" s="65">
        <f t="shared" si="12"/>
        <v>2.3574748000000003</v>
      </c>
      <c r="H10" s="65">
        <f>(0.191*(1+H4))*$C10</f>
        <v>2.3597286</v>
      </c>
      <c r="I10" s="65">
        <f t="shared" ref="I10:K10" si="13">(0.191*(1+I4))*$C10</f>
        <v>2.3619824000000005</v>
      </c>
      <c r="J10" s="65">
        <f t="shared" si="13"/>
        <v>2.3642362000000001</v>
      </c>
      <c r="K10" s="70">
        <f t="shared" si="13"/>
        <v>2.3664900000000002</v>
      </c>
    </row>
    <row r="11" spans="1:12">
      <c r="C11" s="64">
        <v>12.209300000000001</v>
      </c>
      <c r="D11" s="65">
        <f t="shared" ref="D11:G11" si="14">(0.191*(1+D4))*$C11</f>
        <v>2.4322512809000001</v>
      </c>
      <c r="E11" s="65">
        <f t="shared" si="14"/>
        <v>2.4345832571999999</v>
      </c>
      <c r="F11" s="65">
        <f t="shared" si="14"/>
        <v>2.4369152335000002</v>
      </c>
      <c r="G11" s="65">
        <f t="shared" si="14"/>
        <v>2.4392472098000004</v>
      </c>
      <c r="H11" s="72">
        <f>(0.191*(1+H4))*$C11</f>
        <v>2.4415791860999998</v>
      </c>
      <c r="I11" s="65">
        <f t="shared" ref="I11:K11" si="15">(0.191*(1+I4))*$C11</f>
        <v>2.4439111624000005</v>
      </c>
      <c r="J11" s="65">
        <f t="shared" si="15"/>
        <v>2.4462431386999999</v>
      </c>
      <c r="K11" s="65">
        <f t="shared" si="15"/>
        <v>2.4485751150000001</v>
      </c>
    </row>
    <row r="12" spans="1:12">
      <c r="C12" s="85">
        <v>12.6</v>
      </c>
      <c r="D12" s="65">
        <f t="shared" ref="D12:G12" si="16">(0.191*(1+D4))*$C12</f>
        <v>2.5100837999999999</v>
      </c>
      <c r="E12" s="65">
        <f t="shared" si="16"/>
        <v>2.5124903999999999</v>
      </c>
      <c r="F12" s="65">
        <f t="shared" si="16"/>
        <v>2.5148969999999999</v>
      </c>
      <c r="G12" s="65">
        <f t="shared" si="16"/>
        <v>2.5173036</v>
      </c>
      <c r="H12" s="65">
        <f>(0.191*(1+H4))*$C12</f>
        <v>2.5197101999999996</v>
      </c>
      <c r="I12" s="65">
        <f t="shared" ref="I12:K12" si="17">(0.191*(1+I4))*$C12</f>
        <v>2.5221168</v>
      </c>
      <c r="J12" s="65">
        <f t="shared" si="17"/>
        <v>2.5245233999999996</v>
      </c>
      <c r="K12" s="65">
        <f t="shared" si="17"/>
        <v>2.5269300000000001</v>
      </c>
    </row>
    <row r="13" spans="1:12">
      <c r="C13" s="85">
        <f>C12+0.4</f>
        <v>13</v>
      </c>
      <c r="D13" s="65">
        <f t="shared" ref="D13:G13" si="18">(0.191*(1+D4))*$C13</f>
        <v>2.589769</v>
      </c>
      <c r="E13" s="65">
        <f t="shared" si="18"/>
        <v>2.5922519999999998</v>
      </c>
      <c r="F13" s="65">
        <f t="shared" si="18"/>
        <v>2.594735</v>
      </c>
      <c r="G13" s="65">
        <f t="shared" si="18"/>
        <v>2.5972180000000002</v>
      </c>
      <c r="H13" s="65">
        <f>(0.191*(1+H4))*$C13</f>
        <v>2.599701</v>
      </c>
      <c r="I13" s="65">
        <f t="shared" ref="I13:K13" si="19">(0.191*(1+I4))*$C13</f>
        <v>2.6021840000000003</v>
      </c>
      <c r="J13" s="65">
        <f t="shared" si="19"/>
        <v>2.6046669999999996</v>
      </c>
      <c r="K13" s="65">
        <f t="shared" si="19"/>
        <v>2.6071499999999999</v>
      </c>
    </row>
    <row r="14" spans="1:12">
      <c r="C14" s="85">
        <f t="shared" ref="C14:C15" si="20">C13+0.4</f>
        <v>13.4</v>
      </c>
      <c r="D14" s="65">
        <f t="shared" ref="D14:G14" si="21">(0.191*(1+D4))*$C14</f>
        <v>2.6694542000000001</v>
      </c>
      <c r="E14" s="65">
        <f t="shared" si="21"/>
        <v>2.6720136000000001</v>
      </c>
      <c r="F14" s="65">
        <f t="shared" si="21"/>
        <v>2.6745730000000001</v>
      </c>
      <c r="G14" s="65">
        <f t="shared" si="21"/>
        <v>2.6771324000000005</v>
      </c>
      <c r="H14" s="65">
        <f>(0.191*(1+H4))*$C14</f>
        <v>2.6796918000000001</v>
      </c>
      <c r="I14" s="65">
        <f t="shared" ref="I14:K14" si="22">(0.191*(1+I4))*$C14</f>
        <v>2.6822512000000001</v>
      </c>
      <c r="J14" s="65">
        <f t="shared" si="22"/>
        <v>2.6848105999999996</v>
      </c>
      <c r="K14" s="65">
        <f t="shared" si="22"/>
        <v>2.68737</v>
      </c>
    </row>
    <row r="15" spans="1:12">
      <c r="C15" s="85">
        <f t="shared" si="20"/>
        <v>13.8</v>
      </c>
      <c r="D15" s="71">
        <f t="shared" ref="D15:G15" si="23">(0.191*(1+D4))*$C15</f>
        <v>2.7491394000000002</v>
      </c>
      <c r="E15" s="71">
        <f t="shared" si="23"/>
        <v>2.7517752</v>
      </c>
      <c r="F15" s="71">
        <f t="shared" si="23"/>
        <v>2.7544110000000002</v>
      </c>
      <c r="G15" s="71">
        <f t="shared" si="23"/>
        <v>2.7570468000000004</v>
      </c>
      <c r="H15" s="71">
        <f>(0.191*(1+H4))*$C15</f>
        <v>2.7596826000000001</v>
      </c>
      <c r="I15" s="71">
        <f t="shared" ref="I15:K15" si="24">(0.191*(1+I4))*$C15</f>
        <v>2.7623184000000003</v>
      </c>
      <c r="J15" s="71">
        <f t="shared" si="24"/>
        <v>2.7649542</v>
      </c>
      <c r="K15" s="71">
        <f t="shared" si="24"/>
        <v>2.7675900000000002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B3C34-B9DF-41FD-AC48-01A162C6F263}">
  <dimension ref="C3:K11"/>
  <sheetViews>
    <sheetView tabSelected="1" workbookViewId="0">
      <selection activeCell="E11" sqref="E11"/>
    </sheetView>
  </sheetViews>
  <sheetFormatPr defaultRowHeight="15.75"/>
  <sheetData>
    <row r="3" spans="3:11">
      <c r="F3" t="s">
        <v>190</v>
      </c>
    </row>
    <row r="4" spans="3:11">
      <c r="E4" s="86">
        <v>7.4999999999999997E-2</v>
      </c>
      <c r="F4" s="86">
        <v>8.5000000000000006E-2</v>
      </c>
      <c r="G4" s="86">
        <v>9.5000000000000001E-2</v>
      </c>
      <c r="H4" s="86">
        <v>0.105</v>
      </c>
      <c r="I4" s="86">
        <v>0.115</v>
      </c>
      <c r="K4" s="2"/>
    </row>
    <row r="5" spans="3:11">
      <c r="D5" s="86">
        <v>2.5999999999999999E-2</v>
      </c>
      <c r="E5" s="88">
        <v>1.98</v>
      </c>
      <c r="F5" s="88">
        <v>1.89</v>
      </c>
      <c r="G5" s="88">
        <v>1.8</v>
      </c>
      <c r="H5" s="88">
        <v>1.69</v>
      </c>
      <c r="I5" s="88">
        <v>1.58</v>
      </c>
      <c r="K5" s="2"/>
    </row>
    <row r="6" spans="3:11">
      <c r="C6" t="s">
        <v>191</v>
      </c>
      <c r="D6" s="86">
        <v>3.5999999999999997E-2</v>
      </c>
      <c r="E6" s="88">
        <v>2</v>
      </c>
      <c r="F6" s="88">
        <v>1.9</v>
      </c>
      <c r="G6" s="88">
        <v>1.81</v>
      </c>
      <c r="H6" s="88">
        <v>1.7</v>
      </c>
      <c r="I6" s="88">
        <v>1.59</v>
      </c>
      <c r="K6" s="2"/>
    </row>
    <row r="7" spans="3:11">
      <c r="C7" t="s">
        <v>192</v>
      </c>
      <c r="D7" s="86">
        <v>4.5999999999999999E-2</v>
      </c>
      <c r="E7" s="88">
        <v>2.0299999999999998</v>
      </c>
      <c r="F7" s="88">
        <v>1.91</v>
      </c>
      <c r="G7" s="88">
        <v>1.82</v>
      </c>
      <c r="H7" s="88">
        <v>1.73</v>
      </c>
      <c r="I7" s="88">
        <v>1.61</v>
      </c>
    </row>
    <row r="8" spans="3:11">
      <c r="C8" t="s">
        <v>193</v>
      </c>
      <c r="D8" s="86">
        <v>5.6000000000000001E-2</v>
      </c>
      <c r="E8" s="88">
        <v>2.04</v>
      </c>
      <c r="F8" s="88">
        <v>1.92</v>
      </c>
      <c r="G8" s="88">
        <v>1.82</v>
      </c>
      <c r="H8" s="88">
        <v>1.75</v>
      </c>
      <c r="I8" s="88">
        <v>1.63</v>
      </c>
    </row>
    <row r="9" spans="3:11">
      <c r="D9" s="86">
        <v>6.6000000000000003E-2</v>
      </c>
      <c r="E9" s="88">
        <v>2.04</v>
      </c>
      <c r="F9" s="88">
        <v>1.94</v>
      </c>
      <c r="G9" s="88">
        <v>1.83</v>
      </c>
      <c r="H9" s="88">
        <v>1.76</v>
      </c>
      <c r="I9" s="88">
        <v>1.63</v>
      </c>
    </row>
    <row r="10" spans="3:11">
      <c r="G10" s="87"/>
    </row>
    <row r="11" spans="3:11">
      <c r="E1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2022-09-21T04:19:43Z</dcterms:created>
  <dcterms:modified xsi:type="dcterms:W3CDTF">2022-10-18T00:39:53Z</dcterms:modified>
  <cp:category/>
  <cp:contentStatus/>
</cp:coreProperties>
</file>