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-MATH Blank" sheetId="1" r:id="rId4"/>
    <sheet state="visible" name="CS-MATH Template" sheetId="2" r:id="rId5"/>
    <sheet state="visible" name="ENGR Major Blank" sheetId="3" r:id="rId6"/>
    <sheet state="visible" name="ENGR Major Template" sheetId="4" r:id="rId7"/>
    <sheet state="visible" name="CS Major Blank" sheetId="5" r:id="rId8"/>
    <sheet state="visible" name="CS Major Template" sheetId="6" r:id="rId9"/>
    <sheet state="visible" name="All Courses" sheetId="7" r:id="rId10"/>
  </sheets>
  <definedNames/>
  <calcPr/>
</workbook>
</file>

<file path=xl/sharedStrings.xml><?xml version="1.0" encoding="utf-8"?>
<sst xmlns="http://schemas.openxmlformats.org/spreadsheetml/2006/main" count="4510" uniqueCount="3513">
  <si>
    <r>
      <rPr>
        <color rgb="FF990000"/>
        <sz val="18.0"/>
      </rPr>
      <t xml:space="preserve">Course Preferences 
</t>
    </r>
    <r>
      <rPr>
        <color rgb="FF00FF00"/>
        <sz val="18.0"/>
      </rPr>
      <t xml:space="preserve">
</t>
    </r>
    <r>
      <rPr>
        <u/>
      </rPr>
      <t>(</t>
    </r>
    <r>
      <rPr>
        <color rgb="FF073763"/>
        <u/>
      </rPr>
      <t>the more the better!</t>
    </r>
    <r>
      <rPr>
        <u/>
      </rPr>
      <t xml:space="preserve">) 
</t>
    </r>
    <r>
      <t xml:space="preserve">
[Courses MUST be selected from dropdown]
</t>
    </r>
  </si>
  <si>
    <t>Ranking (scale of 1 to 10)</t>
  </si>
  <si>
    <t>CS-MATH Requirements</t>
  </si>
  <si>
    <t>How many of these must you take next semester? (lower bound)</t>
  </si>
  <si>
    <r>
      <rPr>
        <color rgb="FF990000"/>
        <sz val="18.0"/>
      </rPr>
      <t>Courses Taken Previously</t>
    </r>
    <r>
      <t xml:space="preserve"> 
(a lot will be similar so you could copy and paste this column from the template and then edit it)
[Courses don't need to be from dropdown list.]</t>
    </r>
  </si>
  <si>
    <r>
      <rPr>
        <color rgb="FF990000"/>
        <sz val="18.0"/>
      </rPr>
      <t xml:space="preserve">Courses you do not want:
</t>
    </r>
    <r>
      <rPr>
        <color rgb="FF00FF00"/>
        <sz val="18.0"/>
      </rPr>
      <t xml:space="preserve">
</t>
    </r>
    <r>
      <t xml:space="preserve"> (any courses beginning with the following wont be included)
[Courses don't need to be from dropdown list.]
["MATH 0" would mean you do not want any math courses that are numbered less than 100]  </t>
    </r>
  </si>
  <si>
    <t>Lower Bound</t>
  </si>
  <si>
    <t>Upper Bound</t>
  </si>
  <si>
    <r>
      <t xml:space="preserve">Courses
</t>
    </r>
    <r>
      <rPr>
        <color rgb="FF000000"/>
        <sz val="12.0"/>
      </rPr>
      <t>[Must be from dropdown list.]</t>
    </r>
  </si>
  <si>
    <t>1. Four Kernel Courses in CS-MATH</t>
  </si>
  <si>
    <t>2. Two Computer Science Courses</t>
  </si>
  <si>
    <t>3. Two Mathematics Courses</t>
  </si>
  <si>
    <t>4. Clinic</t>
  </si>
  <si>
    <t>5. Math Electives</t>
  </si>
  <si>
    <t>6. CS Electives</t>
  </si>
  <si>
    <t>7. HSA Breadth</t>
  </si>
  <si>
    <t>8. HSA Concentration</t>
  </si>
  <si>
    <t>9. HSA Mudd Humms</t>
  </si>
  <si>
    <t>10. HSA General</t>
  </si>
  <si>
    <t>Concentration:</t>
  </si>
  <si>
    <r>
      <rPr>
        <color rgb="FF990000"/>
        <sz val="18.0"/>
      </rPr>
      <t xml:space="preserve">Course Preferences 
</t>
    </r>
    <r>
      <rPr>
        <color rgb="FF00FF00"/>
        <sz val="18.0"/>
      </rPr>
      <t xml:space="preserve">
</t>
    </r>
  </si>
  <si>
    <r>
      <rPr>
        <color rgb="FF990000"/>
        <sz val="18.0"/>
      </rPr>
      <t>Courses Taken Previously</t>
    </r>
    <r>
      <t xml:space="preserve"> 
</t>
    </r>
  </si>
  <si>
    <r>
      <rPr>
        <color rgb="FF990000"/>
        <sz val="18.0"/>
      </rPr>
      <t xml:space="preserve">Courses you do not want:
</t>
    </r>
    <r>
      <rPr>
        <color rgb="FF00FF00"/>
        <sz val="18.0"/>
      </rPr>
      <t xml:space="preserve">
</t>
    </r>
  </si>
  <si>
    <t>Courses</t>
  </si>
  <si>
    <t>MATH 104 HM-01</t>
  </si>
  <si>
    <t>BIOL 023</t>
  </si>
  <si>
    <t>CSCI 181V PO-01</t>
  </si>
  <si>
    <t>STS 179L HM-01</t>
  </si>
  <si>
    <t>RLST 113 HM-01</t>
  </si>
  <si>
    <t>CSCI 151 HM-01</t>
  </si>
  <si>
    <t>CHEM 023A</t>
  </si>
  <si>
    <t>CSCI 186 HM-01</t>
  </si>
  <si>
    <t>RLST 150 AF-01</t>
  </si>
  <si>
    <t>MUS 003 HM-01</t>
  </si>
  <si>
    <t>ENGL 061 PZ-01</t>
  </si>
  <si>
    <t>CSCI 005</t>
  </si>
  <si>
    <t>CSCI 184 HM-01</t>
  </si>
  <si>
    <t>CSCI 181Y HM-01</t>
  </si>
  <si>
    <t>CSCI 005L</t>
  </si>
  <si>
    <t>CSCI 191 PO</t>
  </si>
  <si>
    <t>MATH 021</t>
  </si>
  <si>
    <t>MATH 197 HM-05</t>
  </si>
  <si>
    <t>MATH 030</t>
  </si>
  <si>
    <t>MATH 0</t>
  </si>
  <si>
    <t>MATH 155 HM-01</t>
  </si>
  <si>
    <t>MATH 030G</t>
  </si>
  <si>
    <t>CSCI 0</t>
  </si>
  <si>
    <t>(this would mean one of the courses in this row needs to be taken)</t>
  </si>
  <si>
    <t>MATH 035</t>
  </si>
  <si>
    <t>(this means 3 of the courses in this row have to be taken)</t>
  </si>
  <si>
    <t>PHYS 023</t>
  </si>
  <si>
    <t>x</t>
  </si>
  <si>
    <t>y</t>
  </si>
  <si>
    <t>(at least x and at most y of the courses in this row can be taken)</t>
  </si>
  <si>
    <t>MATH 164 HM-01</t>
  </si>
  <si>
    <t>POLI 120</t>
  </si>
  <si>
    <t>MATH 103 PO-01</t>
  </si>
  <si>
    <t>ECON</t>
  </si>
  <si>
    <t>WRIT 001</t>
  </si>
  <si>
    <t>MCBI 118A HM-01</t>
  </si>
  <si>
    <t>BIOL 052</t>
  </si>
  <si>
    <t>MCBI 118B HM-01</t>
  </si>
  <si>
    <t>CHEM 023</t>
  </si>
  <si>
    <t>CHEM 024</t>
  </si>
  <si>
    <t>HSA 010</t>
  </si>
  <si>
    <t>MATH 040</t>
  </si>
  <si>
    <t>MATH 045</t>
  </si>
  <si>
    <t>MATH 055</t>
  </si>
  <si>
    <t>PE 035B</t>
  </si>
  <si>
    <t>PE 043</t>
  </si>
  <si>
    <t>PHYS 024</t>
  </si>
  <si>
    <t>CSCI 060</t>
  </si>
  <si>
    <t>CSCI 189</t>
  </si>
  <si>
    <t>ECON 104</t>
  </si>
  <si>
    <t>ENGR 079</t>
  </si>
  <si>
    <t>ENGR 079P</t>
  </si>
  <si>
    <t>MATH 060</t>
  </si>
  <si>
    <t>MATH 065</t>
  </si>
  <si>
    <t>PE 008B</t>
  </si>
  <si>
    <t>PHYS 050</t>
  </si>
  <si>
    <t>PHYS 051</t>
  </si>
  <si>
    <t>CSCI 070</t>
  </si>
  <si>
    <t>CSCI 070L</t>
  </si>
  <si>
    <t>CSCI 081</t>
  </si>
  <si>
    <t>ECON 053</t>
  </si>
  <si>
    <t>ECON 136</t>
  </si>
  <si>
    <t>MATH 171</t>
  </si>
  <si>
    <t>PHIL 090</t>
  </si>
  <si>
    <t>CSCI 131</t>
  </si>
  <si>
    <t>CSCI 140</t>
  </si>
  <si>
    <t>CSCI 195</t>
  </si>
  <si>
    <t>ECON 129</t>
  </si>
  <si>
    <t>MATH 113</t>
  </si>
  <si>
    <t>MATH 131</t>
  </si>
  <si>
    <t>MATH 187</t>
  </si>
  <si>
    <r>
      <rPr>
        <color rgb="FF990000"/>
        <sz val="18.0"/>
      </rPr>
      <t xml:space="preserve">Course Preferences 
</t>
    </r>
    <r>
      <rPr>
        <color rgb="FF00FF00"/>
        <sz val="18.0"/>
      </rPr>
      <t xml:space="preserve">
</t>
    </r>
    <r>
      <rPr>
        <u/>
      </rPr>
      <t>(</t>
    </r>
    <r>
      <rPr>
        <color rgb="FF073763"/>
        <u/>
      </rPr>
      <t>the more the better!</t>
    </r>
    <r>
      <rPr>
        <u/>
      </rPr>
      <t xml:space="preserve">) 
</t>
    </r>
    <r>
      <t xml:space="preserve">
[Courses MUST be selected from dropdown]
(If your course isn't listed, please let me know!)</t>
    </r>
  </si>
  <si>
    <t>ENGR Requirements</t>
  </si>
  <si>
    <r>
      <rPr>
        <color rgb="FF990000"/>
        <sz val="18.0"/>
      </rPr>
      <t>Courses Taken Previously</t>
    </r>
    <r>
      <t xml:space="preserve"> 
(a lot will be similar so you could copy and paste this column from the template and then edit it)
[Courses don't need to be from dropdown list.]</t>
    </r>
  </si>
  <si>
    <r>
      <rPr>
        <color rgb="FF990000"/>
        <sz val="18.0"/>
      </rPr>
      <t xml:space="preserve">Courses you do not want:
</t>
    </r>
    <r>
      <rPr>
        <color rgb="FF00FF00"/>
        <sz val="18.0"/>
      </rPr>
      <t xml:space="preserve">
</t>
    </r>
    <r>
      <t xml:space="preserve"> (any courses beginning with the following wont be included)
[Courses don't need to be from dropdown list.]
["MATH 0" would mean you do not want any math courses that are numbered less than 100]  </t>
    </r>
  </si>
  <si>
    <r>
      <t xml:space="preserve">Courses
</t>
    </r>
    <r>
      <rPr>
        <color rgb="FF000000"/>
        <sz val="12.0"/>
      </rPr>
      <t>[Must be from dropdown list.]</t>
    </r>
  </si>
  <si>
    <t>1. Engineering Design Requirement (w/o clinic)</t>
  </si>
  <si>
    <t>2. Engineering Systems Requirement</t>
  </si>
  <si>
    <t>3. Engr Science Requirement (e72 not added since its a half sem course)</t>
  </si>
  <si>
    <t>5. Electives</t>
  </si>
  <si>
    <t>6. HSA Breadth</t>
  </si>
  <si>
    <t>7. HSA Concentration</t>
  </si>
  <si>
    <t>8. HSA Mudd Humms</t>
  </si>
  <si>
    <t>9. HSA General</t>
  </si>
  <si>
    <r>
      <rPr>
        <color rgb="FF990000"/>
        <sz val="18.0"/>
      </rPr>
      <t xml:space="preserve">Course Preferences 
</t>
    </r>
    <r>
      <rPr>
        <color rgb="FF00FF00"/>
        <sz val="18.0"/>
      </rPr>
      <t xml:space="preserve">
</t>
    </r>
  </si>
  <si>
    <t>Courses Taken Previously</t>
  </si>
  <si>
    <r>
      <rPr>
        <color rgb="FF990000"/>
        <sz val="18.0"/>
      </rPr>
      <t xml:space="preserve">Courses you do not want:
</t>
    </r>
    <r>
      <rPr>
        <color rgb="FF00FF00"/>
        <sz val="18.0"/>
      </rPr>
      <t xml:space="preserve">
</t>
    </r>
    <r>
      <t xml:space="preserve"> </t>
    </r>
  </si>
  <si>
    <r>
      <rPr>
        <color rgb="FF990000"/>
        <sz val="18.0"/>
      </rPr>
      <t xml:space="preserve">Course Preferences 
</t>
    </r>
    <r>
      <rPr>
        <color rgb="FF00FF00"/>
        <sz val="18.0"/>
      </rPr>
      <t xml:space="preserve">
</t>
    </r>
    <r>
      <rPr>
        <u/>
      </rPr>
      <t>(</t>
    </r>
    <r>
      <rPr>
        <color rgb="FF073763"/>
        <u/>
      </rPr>
      <t>the more the better!</t>
    </r>
    <r>
      <rPr>
        <u/>
      </rPr>
      <t xml:space="preserve">) 
</t>
    </r>
    <r>
      <t xml:space="preserve">
[Courses MUST be selected from dropdown]
(If your course isn't listed, please let me know!)</t>
    </r>
  </si>
  <si>
    <t>CS Requirements</t>
  </si>
  <si>
    <r>
      <rPr>
        <color rgb="FF990000"/>
        <sz val="18.0"/>
      </rPr>
      <t>Courses Taken Previously</t>
    </r>
    <r>
      <t xml:space="preserve"> 
(a lot will be similar so you could copy and paste this column from the template and then edit it)
[Courses don't need to be from dropdown list.]</t>
    </r>
  </si>
  <si>
    <r>
      <rPr>
        <color rgb="FF990000"/>
        <sz val="18.0"/>
      </rPr>
      <t xml:space="preserve">Courses you do not want:
</t>
    </r>
    <r>
      <rPr>
        <color rgb="FF00FF00"/>
        <sz val="18.0"/>
      </rPr>
      <t xml:space="preserve">
</t>
    </r>
    <r>
      <t xml:space="preserve"> (any courses beginning with the following wont be included)
[Courses don't need to be from dropdown list.]
["MATH 0" would mean you do not want any math courses that are numbered less than 100]  </t>
    </r>
  </si>
  <si>
    <r>
      <t xml:space="preserve">Courses
</t>
    </r>
    <r>
      <rPr>
        <color rgb="FF000000"/>
        <sz val="12.0"/>
      </rPr>
      <t>[Must be from dropdown list.]</t>
    </r>
  </si>
  <si>
    <t>1. CS Foundation Requirement</t>
  </si>
  <si>
    <t>2. CS Kernel Requirement</t>
  </si>
  <si>
    <t>3. CS Elective Requirement</t>
  </si>
  <si>
    <t>5. HSA Breadth</t>
  </si>
  <si>
    <t>6. HSA Concentration</t>
  </si>
  <si>
    <t>7. HSA Mudd Humms</t>
  </si>
  <si>
    <t>8. HSA General</t>
  </si>
  <si>
    <r>
      <rPr>
        <color rgb="FF990000"/>
        <sz val="18.0"/>
      </rPr>
      <t xml:space="preserve">Course Preferences 
</t>
    </r>
    <r>
      <rPr>
        <color rgb="FF00FF00"/>
        <sz val="18.0"/>
      </rPr>
      <t xml:space="preserve">
</t>
    </r>
  </si>
  <si>
    <r>
      <rPr>
        <color rgb="FF990000"/>
        <sz val="18.0"/>
      </rPr>
      <t xml:space="preserve">Courses Taken Previously
</t>
    </r>
    <r>
      <t xml:space="preserve"> </t>
    </r>
  </si>
  <si>
    <r>
      <rPr>
        <color rgb="FF990000"/>
        <sz val="18.0"/>
      </rPr>
      <t xml:space="preserve">Courses you do not want:
</t>
    </r>
    <r>
      <rPr>
        <color rgb="FF00FF00"/>
        <sz val="18.0"/>
      </rPr>
      <t xml:space="preserve">
</t>
    </r>
    <r>
      <t xml:space="preserve"> </t>
    </r>
  </si>
  <si>
    <t xml:space="preserve">Courses
</t>
  </si>
  <si>
    <t>AFRI 010AC AF-01</t>
  </si>
  <si>
    <t>AFRI 010AC</t>
  </si>
  <si>
    <t>KRNT</t>
  </si>
  <si>
    <t>This sheet is needed for the dropdown lists in the other sheets.</t>
  </si>
  <si>
    <t>AFRI 010B AF-01</t>
  </si>
  <si>
    <t>AFRI 010B</t>
  </si>
  <si>
    <t>CHLT</t>
  </si>
  <si>
    <t>AFRI 121 AF-01</t>
  </si>
  <si>
    <t>AFRI 121</t>
  </si>
  <si>
    <t>ARBT</t>
  </si>
  <si>
    <t>AFRI 191 SC-01</t>
  </si>
  <si>
    <t>AFRI 191</t>
  </si>
  <si>
    <t>ASIA</t>
  </si>
  <si>
    <t>AMST 103 SC-01</t>
  </si>
  <si>
    <t>AMST 103</t>
  </si>
  <si>
    <t>GERM</t>
  </si>
  <si>
    <t>AMST 180 SC-01</t>
  </si>
  <si>
    <t>AMST 180</t>
  </si>
  <si>
    <t>MENA</t>
  </si>
  <si>
    <t>AMST 191 SC-01</t>
  </si>
  <si>
    <t>AMST 191</t>
  </si>
  <si>
    <t>LAST</t>
  </si>
  <si>
    <t>ANTH 001 PZ-01</t>
  </si>
  <si>
    <t>ANTH 001</t>
  </si>
  <si>
    <t>PHIL</t>
  </si>
  <si>
    <t>ANTH 002 PO-01</t>
  </si>
  <si>
    <t>ANTH 002</t>
  </si>
  <si>
    <t>ARHI</t>
  </si>
  <si>
    <t>ANTH 002 PO-02</t>
  </si>
  <si>
    <t>CREA</t>
  </si>
  <si>
    <t>ANTH 002 PO-03</t>
  </si>
  <si>
    <t>FGSS</t>
  </si>
  <si>
    <t>ANTH 002 PZ-01</t>
  </si>
  <si>
    <t>ORST</t>
  </si>
  <si>
    <t>ANTH 002 SC-01</t>
  </si>
  <si>
    <t>EDUC</t>
  </si>
  <si>
    <t>ANTH 009 PZ-01</t>
  </si>
  <si>
    <t>ANTH 009</t>
  </si>
  <si>
    <t>ART</t>
  </si>
  <si>
    <t>ANTH 012 PZ-01</t>
  </si>
  <si>
    <t>ANTH 012</t>
  </si>
  <si>
    <t>LEAD</t>
  </si>
  <si>
    <t>ANTH 025 SC-01</t>
  </si>
  <si>
    <t>ANTH 025</t>
  </si>
  <si>
    <t>FREN</t>
  </si>
  <si>
    <t>ANTH 050 PZ-01</t>
  </si>
  <si>
    <t>ANTH 050</t>
  </si>
  <si>
    <t>PPA</t>
  </si>
  <si>
    <t>ANTH 051 PZ-01</t>
  </si>
  <si>
    <t>ANTH 051</t>
  </si>
  <si>
    <t>ARBC</t>
  </si>
  <si>
    <t>ANTH 098 PZ-01</t>
  </si>
  <si>
    <t>ANTH 098</t>
  </si>
  <si>
    <t>MCSI</t>
  </si>
  <si>
    <t>ANTH 101 PO-01</t>
  </si>
  <si>
    <t>ANTH 101</t>
  </si>
  <si>
    <t>SPAN</t>
  </si>
  <si>
    <t>ANTH 105 PO-01</t>
  </si>
  <si>
    <t>ANTH 105</t>
  </si>
  <si>
    <t>ENGL</t>
  </si>
  <si>
    <t>ANTH 108 PO-01</t>
  </si>
  <si>
    <t>ANTH 108</t>
  </si>
  <si>
    <t>LATN</t>
  </si>
  <si>
    <t>ANTH 112 PZ-01</t>
  </si>
  <si>
    <t>ANTH 112</t>
  </si>
  <si>
    <t>MS</t>
  </si>
  <si>
    <t>ANTH 118 SC-01</t>
  </si>
  <si>
    <t>ANTH 118</t>
  </si>
  <si>
    <t>MSL</t>
  </si>
  <si>
    <t>ANTH 121 PO-01</t>
  </si>
  <si>
    <t>ANTH 121</t>
  </si>
  <si>
    <t>ANTH</t>
  </si>
  <si>
    <t>ANTH 150 PO-01</t>
  </si>
  <si>
    <t>ANTH 150</t>
  </si>
  <si>
    <t>CORE</t>
  </si>
  <si>
    <t>ANTH 158 PO-01</t>
  </si>
  <si>
    <t>ANTH 158</t>
  </si>
  <si>
    <t>ANTH 185 PO-01</t>
  </si>
  <si>
    <t>ANTH 185</t>
  </si>
  <si>
    <t>GEOL</t>
  </si>
  <si>
    <t>ANTH 189L PO-01</t>
  </si>
  <si>
    <t>ANTH 189L</t>
  </si>
  <si>
    <t>FLAN</t>
  </si>
  <si>
    <t>ANTH 191 PO-04</t>
  </si>
  <si>
    <t>ANTH 191</t>
  </si>
  <si>
    <t>LIT</t>
  </si>
  <si>
    <t>ANTH 191 SC-01</t>
  </si>
  <si>
    <t>EA</t>
  </si>
  <si>
    <t>ANTH 192 PO-04</t>
  </si>
  <si>
    <t>ANTH 192</t>
  </si>
  <si>
    <t>POLI</t>
  </si>
  <si>
    <t>ARBC 002 CM-01</t>
  </si>
  <si>
    <t>ARBC 002</t>
  </si>
  <si>
    <t>CHST</t>
  </si>
  <si>
    <t>ARBC 002 CM-02</t>
  </si>
  <si>
    <t>JPNT</t>
  </si>
  <si>
    <t>ARBC 012 CM-01</t>
  </si>
  <si>
    <t>ARBC 012</t>
  </si>
  <si>
    <t>HSA</t>
  </si>
  <si>
    <t>ARBC 014 CM-01</t>
  </si>
  <si>
    <t>ARBC 014</t>
  </si>
  <si>
    <t>SOC</t>
  </si>
  <si>
    <t>ARBC 016 CM-01</t>
  </si>
  <si>
    <t>ARBC 016</t>
  </si>
  <si>
    <t>CLAS</t>
  </si>
  <si>
    <t>ARBC 044 CM-01</t>
  </si>
  <si>
    <t>ARBC 044</t>
  </si>
  <si>
    <t>CHNT</t>
  </si>
  <si>
    <t>ARBC 148 CM-01</t>
  </si>
  <si>
    <t>ARBC 148</t>
  </si>
  <si>
    <t>GWS</t>
  </si>
  <si>
    <t>ARBT 148 CM-01</t>
  </si>
  <si>
    <t>ARBT 148</t>
  </si>
  <si>
    <t>HIST</t>
  </si>
  <si>
    <t>ARCN 125 SC-01</t>
  </si>
  <si>
    <t>ARCN 125</t>
  </si>
  <si>
    <t>PORT</t>
  </si>
  <si>
    <t>ARCN 191 SC-01</t>
  </si>
  <si>
    <t>ARCN 191</t>
  </si>
  <si>
    <t>MES</t>
  </si>
  <si>
    <t>ARHI 001B PO-01</t>
  </si>
  <si>
    <t>ARHI 001B</t>
  </si>
  <si>
    <t>BIOL</t>
  </si>
  <si>
    <t>ARHI 120 PO-01</t>
  </si>
  <si>
    <t>ARHI 120</t>
  </si>
  <si>
    <t>RLIT</t>
  </si>
  <si>
    <t>ARHI 131 PO-01</t>
  </si>
  <si>
    <t>ARHI 131</t>
  </si>
  <si>
    <t>PHYS</t>
  </si>
  <si>
    <t>ARHI 140 PO-01</t>
  </si>
  <si>
    <t>ARHI 140</t>
  </si>
  <si>
    <t>RUST</t>
  </si>
  <si>
    <t>ARHI 153 SC-01</t>
  </si>
  <si>
    <t>ARHI 153</t>
  </si>
  <si>
    <t>POST</t>
  </si>
  <si>
    <t>ARHI 162 SC-01</t>
  </si>
  <si>
    <t>ARHI 162</t>
  </si>
  <si>
    <t>PE</t>
  </si>
  <si>
    <t>ARHI 177 PZ-01</t>
  </si>
  <si>
    <t>ARHI 177</t>
  </si>
  <si>
    <t>CHIN</t>
  </si>
  <si>
    <t>ARHI 180R SC-01</t>
  </si>
  <si>
    <t>ARHI 180R</t>
  </si>
  <si>
    <t>JAPN</t>
  </si>
  <si>
    <t>ARHI 184 SC-01</t>
  </si>
  <si>
    <t>ARHI 184</t>
  </si>
  <si>
    <t>FS</t>
  </si>
  <si>
    <t>ARHI 185 SC-01</t>
  </si>
  <si>
    <t>ARHI 185</t>
  </si>
  <si>
    <t>HUM</t>
  </si>
  <si>
    <t>ARHI 186A PZ-01</t>
  </si>
  <si>
    <t>ARHI 186A</t>
  </si>
  <si>
    <t>GRMT</t>
  </si>
  <si>
    <t>ARHI 186B PZ-01</t>
  </si>
  <si>
    <t>ARHI 186B</t>
  </si>
  <si>
    <t>GREK</t>
  </si>
  <si>
    <t>ARHI 186G PO-01</t>
  </si>
  <si>
    <t>ARHI 186G</t>
  </si>
  <si>
    <t>ASAM</t>
  </si>
  <si>
    <t>ARHI 186L PO-01</t>
  </si>
  <si>
    <t>ARHI 186L</t>
  </si>
  <si>
    <t>NEUR</t>
  </si>
  <si>
    <t>ARHI 186M SC-01</t>
  </si>
  <si>
    <t>ARHI 186M</t>
  </si>
  <si>
    <t>PPE</t>
  </si>
  <si>
    <t>ARHI 191 PO-04</t>
  </si>
  <si>
    <t>ARHI 191</t>
  </si>
  <si>
    <t>GLAS</t>
  </si>
  <si>
    <t>ARHI 191 SC-01</t>
  </si>
  <si>
    <t>THEA</t>
  </si>
  <si>
    <t>ART 005 PO-01</t>
  </si>
  <si>
    <t>ART 005</t>
  </si>
  <si>
    <t>RUSS</t>
  </si>
  <si>
    <t>ART 010 PO-01</t>
  </si>
  <si>
    <t>ART 010</t>
  </si>
  <si>
    <t>ID</t>
  </si>
  <si>
    <t>ART 021 PO-01</t>
  </si>
  <si>
    <t>ART 021</t>
  </si>
  <si>
    <t>DS</t>
  </si>
  <si>
    <t>ART 021 PO-02</t>
  </si>
  <si>
    <t>SPCH</t>
  </si>
  <si>
    <t>ART 025A PO-01</t>
  </si>
  <si>
    <t>ART 025A</t>
  </si>
  <si>
    <t>CASA</t>
  </si>
  <si>
    <t>ART 028 PO-01</t>
  </si>
  <si>
    <t>ART 028</t>
  </si>
  <si>
    <t>PSYC</t>
  </si>
  <si>
    <t>ART 028 PO-02</t>
  </si>
  <si>
    <t>DANC</t>
  </si>
  <si>
    <t>ART 030 PZ-01</t>
  </si>
  <si>
    <t>ART 030</t>
  </si>
  <si>
    <t>FHS</t>
  </si>
  <si>
    <t>ART 030 PZ-02</t>
  </si>
  <si>
    <t>CHEM</t>
  </si>
  <si>
    <t>ART 105 SC-01</t>
  </si>
  <si>
    <t>ART 105</t>
  </si>
  <si>
    <t>GEOG</t>
  </si>
  <si>
    <t>ART 105 SC-02</t>
  </si>
  <si>
    <t>CGS</t>
  </si>
  <si>
    <t>ART 111 PO-01</t>
  </si>
  <si>
    <t>ART 111</t>
  </si>
  <si>
    <t>MLLC</t>
  </si>
  <si>
    <t>ART 116 SC-01</t>
  </si>
  <si>
    <t>ART 116</t>
  </si>
  <si>
    <t>ARCN</t>
  </si>
  <si>
    <t>ART 121 SC-01</t>
  </si>
  <si>
    <t>ART 121</t>
  </si>
  <si>
    <t>WRIT</t>
  </si>
  <si>
    <t>ART 121 SC-02</t>
  </si>
  <si>
    <t>KORE</t>
  </si>
  <si>
    <t>ART 139 PO-01</t>
  </si>
  <si>
    <t>ART 139</t>
  </si>
  <si>
    <t>MUS</t>
  </si>
  <si>
    <t>ART 141 SC-01</t>
  </si>
  <si>
    <t>ART 141</t>
  </si>
  <si>
    <t>HMSC</t>
  </si>
  <si>
    <t>ART 141 SC-02</t>
  </si>
  <si>
    <t>ITAL</t>
  </si>
  <si>
    <t>ART 142 SC-01</t>
  </si>
  <si>
    <t>ART 142</t>
  </si>
  <si>
    <t>MOBI</t>
  </si>
  <si>
    <t>ART 143 SC-01</t>
  </si>
  <si>
    <t>ART 143</t>
  </si>
  <si>
    <t>RLST</t>
  </si>
  <si>
    <t>ART 147 SC-01</t>
  </si>
  <si>
    <t>ART 147</t>
  </si>
  <si>
    <t>CSMT</t>
  </si>
  <si>
    <t>ART 151 PZ-01</t>
  </si>
  <si>
    <t>ART 151</t>
  </si>
  <si>
    <t>SPEC</t>
  </si>
  <si>
    <t>ART 151 PZ-02</t>
  </si>
  <si>
    <t>CSCI</t>
  </si>
  <si>
    <t>ART 179G HM-01</t>
  </si>
  <si>
    <t>ART 179G</t>
  </si>
  <si>
    <t>MATH</t>
  </si>
  <si>
    <t>ART 181 SC-01</t>
  </si>
  <si>
    <t>ART 181</t>
  </si>
  <si>
    <t>GOVT</t>
  </si>
  <si>
    <t>ART 181M SC-01</t>
  </si>
  <si>
    <t>ART 181M</t>
  </si>
  <si>
    <t>FIN</t>
  </si>
  <si>
    <t>ART 189A PO-01</t>
  </si>
  <si>
    <t>ART 189A</t>
  </si>
  <si>
    <t>AFRI</t>
  </si>
  <si>
    <t>ART 190 PO-01</t>
  </si>
  <si>
    <t>ART 190</t>
  </si>
  <si>
    <t>ENGR</t>
  </si>
  <si>
    <t>ART 193 SC-01</t>
  </si>
  <si>
    <t>ART 193</t>
  </si>
  <si>
    <t>IR</t>
  </si>
  <si>
    <t>ART 196 PZ-01</t>
  </si>
  <si>
    <t>ART 196</t>
  </si>
  <si>
    <t>MCBI</t>
  </si>
  <si>
    <t>ART 199 PZ-01</t>
  </si>
  <si>
    <t>ART 199</t>
  </si>
  <si>
    <t>LGST</t>
  </si>
  <si>
    <t>ASAM 077B PZ-01</t>
  </si>
  <si>
    <t>ASAM 077B</t>
  </si>
  <si>
    <t>ASTR</t>
  </si>
  <si>
    <t>ASAM 090 PZ-01</t>
  </si>
  <si>
    <t>ASAM 090</t>
  </si>
  <si>
    <t>AMST</t>
  </si>
  <si>
    <t>ASAM 105B PZ-01</t>
  </si>
  <si>
    <t>ASAM 105B</t>
  </si>
  <si>
    <t>LGCS</t>
  </si>
  <si>
    <t>ASAM 115 PZ-01</t>
  </si>
  <si>
    <t>ASAM 115</t>
  </si>
  <si>
    <t>FWS</t>
  </si>
  <si>
    <t>ASAM 125 AA-01</t>
  </si>
  <si>
    <t>ASAM 125</t>
  </si>
  <si>
    <t>STS</t>
  </si>
  <si>
    <t>ASAM 160 AA-01</t>
  </si>
  <si>
    <t>ASAM 160</t>
  </si>
  <si>
    <t>ASAM 179G AA-01</t>
  </si>
  <si>
    <t>ASAM 179G</t>
  </si>
  <si>
    <t>ASAM 189C PO-01</t>
  </si>
  <si>
    <t>ASAM 189C</t>
  </si>
  <si>
    <t>ASAM 191 PO-04</t>
  </si>
  <si>
    <t>ASAM 191</t>
  </si>
  <si>
    <t>ASAM 191 SC-01</t>
  </si>
  <si>
    <t>ASIA 191 PO-04</t>
  </si>
  <si>
    <t>ASIA 191</t>
  </si>
  <si>
    <t>ASIA 191 SC-01</t>
  </si>
  <si>
    <t>ASIA 192 PO-04</t>
  </si>
  <si>
    <t>ASIA 192</t>
  </si>
  <si>
    <t>ASTR 001 PO-01</t>
  </si>
  <si>
    <t>ASTR 001</t>
  </si>
  <si>
    <t>ASTR 001L PO-01</t>
  </si>
  <si>
    <t>ASTR 001L</t>
  </si>
  <si>
    <t>ASTR 051 PO-01</t>
  </si>
  <si>
    <t>ASTR 051</t>
  </si>
  <si>
    <t>ASTR 051L PO-01</t>
  </si>
  <si>
    <t>ASTR 051L</t>
  </si>
  <si>
    <t>ASTR 062 HM-01</t>
  </si>
  <si>
    <t>ASTR 062</t>
  </si>
  <si>
    <t>ASTR 123 PO-01</t>
  </si>
  <si>
    <t>ASTR 123</t>
  </si>
  <si>
    <t>ASTR 124 HM-01</t>
  </si>
  <si>
    <t>ASTR 124</t>
  </si>
  <si>
    <t>BIOL 001A PO-01</t>
  </si>
  <si>
    <t>BIOL 001A</t>
  </si>
  <si>
    <t>BIOL 001D PO-01</t>
  </si>
  <si>
    <t>BIOL 001D</t>
  </si>
  <si>
    <t>BIOL 023 HM-01</t>
  </si>
  <si>
    <t>BIOL 023 HM-02</t>
  </si>
  <si>
    <t>BIOL 023 HM-03</t>
  </si>
  <si>
    <t>BIOL 023 HM-04</t>
  </si>
  <si>
    <t>BIOL 023 HM-05</t>
  </si>
  <si>
    <t>BIOL 023 HM-06</t>
  </si>
  <si>
    <t>BIOL 039L KS-01</t>
  </si>
  <si>
    <t>BIOL 039L</t>
  </si>
  <si>
    <t>BIOL 041C PO-02</t>
  </si>
  <si>
    <t>BIOL 041C</t>
  </si>
  <si>
    <t>BIOL 041C PO-03</t>
  </si>
  <si>
    <t>BIOL 041C PO-04</t>
  </si>
  <si>
    <t>BIOL 041E PO-01</t>
  </si>
  <si>
    <t>BIOL 041E</t>
  </si>
  <si>
    <t>BIOL 041E PO-02</t>
  </si>
  <si>
    <t>BIOL 042L KS-01</t>
  </si>
  <si>
    <t>BIOL 042L</t>
  </si>
  <si>
    <t>BIOL 042L KS-02</t>
  </si>
  <si>
    <t>BIOL 044L KS-01</t>
  </si>
  <si>
    <t>BIOL 044L</t>
  </si>
  <si>
    <t>BIOL 044L KS-02</t>
  </si>
  <si>
    <t>BIOL 044L KS-03</t>
  </si>
  <si>
    <t>BIOL 044L KS-04</t>
  </si>
  <si>
    <t>BIOL 044L KS-05</t>
  </si>
  <si>
    <t>BIOL 044LX KS-01</t>
  </si>
  <si>
    <t>BIOL 044LX</t>
  </si>
  <si>
    <t>BIOL 044LX KS-02</t>
  </si>
  <si>
    <t>BIOL 044LX KS-03</t>
  </si>
  <si>
    <t>BIOL 044LX KS-04</t>
  </si>
  <si>
    <t>BIOL 044LX KS-05</t>
  </si>
  <si>
    <t>BIOL 044LX KS-06</t>
  </si>
  <si>
    <t>BIOL 044LX KS-07</t>
  </si>
  <si>
    <t>BIOL 044LX KS-08</t>
  </si>
  <si>
    <t>BIOL 044LX KS-09</t>
  </si>
  <si>
    <t>BIOL 044LX KS-10</t>
  </si>
  <si>
    <t>BIOL 052 HM-01</t>
  </si>
  <si>
    <t>BIOL 052R HM-01</t>
  </si>
  <si>
    <t>BIOL 052R</t>
  </si>
  <si>
    <t>BIOL 052R HM-02</t>
  </si>
  <si>
    <t>BIOL 052R HM-03</t>
  </si>
  <si>
    <t>BIOL 052R HM-04</t>
  </si>
  <si>
    <t>BIOL 052R HM-05</t>
  </si>
  <si>
    <t>BIOL 052R HM-06</t>
  </si>
  <si>
    <t>BIOL 052R HM-07</t>
  </si>
  <si>
    <t>BIOL 052R HM-08</t>
  </si>
  <si>
    <t>BIOL 054 HM-01</t>
  </si>
  <si>
    <t>BIOL 054</t>
  </si>
  <si>
    <t>BIOL 054 HM-02</t>
  </si>
  <si>
    <t>BIOL 063L KS-01</t>
  </si>
  <si>
    <t>BIOL 063L</t>
  </si>
  <si>
    <t>BIOL 099 KS-01</t>
  </si>
  <si>
    <t>BIOL 099</t>
  </si>
  <si>
    <t>BIOL 101 HM-01</t>
  </si>
  <si>
    <t>BIOL 101</t>
  </si>
  <si>
    <t>BIOL 104 PO-01</t>
  </si>
  <si>
    <t>BIOL 104</t>
  </si>
  <si>
    <t>BIOL 108 HM-01</t>
  </si>
  <si>
    <t>BIOL 108</t>
  </si>
  <si>
    <t>BIOL 129 KS-01</t>
  </si>
  <si>
    <t>BIOL 129</t>
  </si>
  <si>
    <t>BIOL 131L KS-01</t>
  </si>
  <si>
    <t>BIOL 131L</t>
  </si>
  <si>
    <t>BIOL 138 KS-01</t>
  </si>
  <si>
    <t>BIOL 138</t>
  </si>
  <si>
    <t>BIOL 138L KS-01</t>
  </si>
  <si>
    <t>BIOL 138L</t>
  </si>
  <si>
    <t>BIOL 140 KS-01</t>
  </si>
  <si>
    <t>BIOL 140</t>
  </si>
  <si>
    <t>BIOL 143 KS-01</t>
  </si>
  <si>
    <t>BIOL 143</t>
  </si>
  <si>
    <t>BIOL 148L KS-01</t>
  </si>
  <si>
    <t>BIOL 148L</t>
  </si>
  <si>
    <t>BIOL 149 KS-01</t>
  </si>
  <si>
    <t>BIOL 149</t>
  </si>
  <si>
    <t>BIOL 154 HM-01</t>
  </si>
  <si>
    <t>BIOL 154</t>
  </si>
  <si>
    <t>BIOL 156L KS-01</t>
  </si>
  <si>
    <t>BIOL 156L</t>
  </si>
  <si>
    <t>BIOL 157L KS-01</t>
  </si>
  <si>
    <t>BIOL 157L</t>
  </si>
  <si>
    <t>BIOL 160 HM-01</t>
  </si>
  <si>
    <t>BIOL 160</t>
  </si>
  <si>
    <t>BIOL 161 HM-01</t>
  </si>
  <si>
    <t>BIOL 161</t>
  </si>
  <si>
    <t>BIOL 164 KS-01</t>
  </si>
  <si>
    <t>BIOL 164</t>
  </si>
  <si>
    <t>BIOL 165A PO-01</t>
  </si>
  <si>
    <t>BIOL 165A</t>
  </si>
  <si>
    <t>BIOL 167 KS-01</t>
  </si>
  <si>
    <t>BIOL 167</t>
  </si>
  <si>
    <t>BIOL 168L KS-01</t>
  </si>
  <si>
    <t>BIOL 168L</t>
  </si>
  <si>
    <t>BIOL 169 PO-01</t>
  </si>
  <si>
    <t>BIOL 169</t>
  </si>
  <si>
    <t>BIOL 169L PO-01</t>
  </si>
  <si>
    <t>BIOL 169L</t>
  </si>
  <si>
    <t>BIOL 170L KS-01</t>
  </si>
  <si>
    <t>BIOL 170L</t>
  </si>
  <si>
    <t>BIOL 171 KS-01</t>
  </si>
  <si>
    <t>BIOL 171</t>
  </si>
  <si>
    <t>BIOL 173B PO-01</t>
  </si>
  <si>
    <t>BIOL 173B</t>
  </si>
  <si>
    <t>BIOL 173L KS-01</t>
  </si>
  <si>
    <t>BIOL 173L</t>
  </si>
  <si>
    <t>BIOL 175 KS-01</t>
  </si>
  <si>
    <t>BIOL 175</t>
  </si>
  <si>
    <t>BIOL 176 KS-01</t>
  </si>
  <si>
    <t>BIOL 176</t>
  </si>
  <si>
    <t>BIOL 177 KS-01</t>
  </si>
  <si>
    <t>BIOL 177</t>
  </si>
  <si>
    <t>BIOL 180 PO-01</t>
  </si>
  <si>
    <t>BIOL 180</t>
  </si>
  <si>
    <t>BIOL 181 KS-01</t>
  </si>
  <si>
    <t>BIOL 181</t>
  </si>
  <si>
    <t>BIOL 182 HM-01</t>
  </si>
  <si>
    <t>BIOL 182</t>
  </si>
  <si>
    <t>BIOL 183 KS-01</t>
  </si>
  <si>
    <t>BIOL 183</t>
  </si>
  <si>
    <t>BIOL 184 HM-01</t>
  </si>
  <si>
    <t>BIOL 184</t>
  </si>
  <si>
    <t>BIOL 185L KS-01</t>
  </si>
  <si>
    <t>BIOL 185L</t>
  </si>
  <si>
    <t>BIOL 187M KS-01</t>
  </si>
  <si>
    <t>BIOL 187M</t>
  </si>
  <si>
    <t>BIOL 188L KS-01</t>
  </si>
  <si>
    <t>BIOL 188L</t>
  </si>
  <si>
    <t>BIOL 189L KS-01</t>
  </si>
  <si>
    <t>BIOL 189L</t>
  </si>
  <si>
    <t>BIOL 190 PO-01</t>
  </si>
  <si>
    <t>BIOL 190</t>
  </si>
  <si>
    <t>BIOL 190L KS-01</t>
  </si>
  <si>
    <t>BIOL 190L</t>
  </si>
  <si>
    <t>BIOL 191 HM-01</t>
  </si>
  <si>
    <t>BIOL 191</t>
  </si>
  <si>
    <t>BIOL 191 KS-01</t>
  </si>
  <si>
    <t>BIOL 191F PO-04</t>
  </si>
  <si>
    <t>BIOL 191F</t>
  </si>
  <si>
    <t>BIOL 191F PO-08</t>
  </si>
  <si>
    <t>BIOL 191F PO-12</t>
  </si>
  <si>
    <t>BIOL 191F PO-16</t>
  </si>
  <si>
    <t>BIOL 191F PO-20</t>
  </si>
  <si>
    <t>BIOL 191F PO-24</t>
  </si>
  <si>
    <t>BIOL 191F PO-28</t>
  </si>
  <si>
    <t>BIOL 191F PO-32</t>
  </si>
  <si>
    <t>BIOL 191F PO-36</t>
  </si>
  <si>
    <t>BIOL 191F PO-40</t>
  </si>
  <si>
    <t>BIOL 191F PO-44</t>
  </si>
  <si>
    <t>BIOL 191H PO-04</t>
  </si>
  <si>
    <t>BIOL 191H</t>
  </si>
  <si>
    <t>BIOL 191H PO-08</t>
  </si>
  <si>
    <t>BIOL 191H PO-12</t>
  </si>
  <si>
    <t>BIOL 191H PO-16</t>
  </si>
  <si>
    <t>BIOL 191H PO-20</t>
  </si>
  <si>
    <t>BIOL 191H PO-24</t>
  </si>
  <si>
    <t>BIOL 191H PO-28</t>
  </si>
  <si>
    <t>BIOL 191H PO-32</t>
  </si>
  <si>
    <t>BIOL 191H PO-36</t>
  </si>
  <si>
    <t>BIOL 191H PO-40</t>
  </si>
  <si>
    <t>BIOL 191H PO-44</t>
  </si>
  <si>
    <t>BIOL 191H PO-48</t>
  </si>
  <si>
    <t>BIOL 191H PO-52</t>
  </si>
  <si>
    <t>BIOL 193 HM-01</t>
  </si>
  <si>
    <t>BIOL 193</t>
  </si>
  <si>
    <t>BIOL 193 HM-02</t>
  </si>
  <si>
    <t>BIOL 193 HM-03</t>
  </si>
  <si>
    <t>BIOL 193 HM-04</t>
  </si>
  <si>
    <t>BIOL 193 HM-05</t>
  </si>
  <si>
    <t>BIOL 193 HM-06</t>
  </si>
  <si>
    <t>BIOL 193 HM-07</t>
  </si>
  <si>
    <t>BIOL 193 HM-08</t>
  </si>
  <si>
    <t>BIOL 193 HM-09</t>
  </si>
  <si>
    <t>BIOL 193 HM-10</t>
  </si>
  <si>
    <t>BIOL 194A PO-04</t>
  </si>
  <si>
    <t>BIOL 194A</t>
  </si>
  <si>
    <t>BIOL 194A PO-08</t>
  </si>
  <si>
    <t>BIOL 194A PO-12</t>
  </si>
  <si>
    <t>BIOL 194A PO-16</t>
  </si>
  <si>
    <t>BIOL 194A PO-20</t>
  </si>
  <si>
    <t>BIOL 194A PO-24</t>
  </si>
  <si>
    <t>BIOL 194A PO-28</t>
  </si>
  <si>
    <t>BIOL 194A PO-32</t>
  </si>
  <si>
    <t>BIOL 194A PO-36</t>
  </si>
  <si>
    <t>BIOL 194A PO-40</t>
  </si>
  <si>
    <t>BIOL 194A PO-44</t>
  </si>
  <si>
    <t>BIOL 194A PO-48</t>
  </si>
  <si>
    <t>BIOL 195 HM-01</t>
  </si>
  <si>
    <t>BIOL 195</t>
  </si>
  <si>
    <t>BIOL 197 HM-01</t>
  </si>
  <si>
    <t>BIOL 197</t>
  </si>
  <si>
    <t>CASA 101 PZ-01</t>
  </si>
  <si>
    <t>CASA 101</t>
  </si>
  <si>
    <t>CASA 105 PZ-01</t>
  </si>
  <si>
    <t>CASA 105</t>
  </si>
  <si>
    <t>CGS 025C PZ-01</t>
  </si>
  <si>
    <t>CGS 025C</t>
  </si>
  <si>
    <t>CGS 050 PZ-01</t>
  </si>
  <si>
    <t>CGS 050</t>
  </si>
  <si>
    <t>CGS 090 PZ-01</t>
  </si>
  <si>
    <t>CGS 090</t>
  </si>
  <si>
    <t>CGS 092 PZ-01</t>
  </si>
  <si>
    <t>CGS 092</t>
  </si>
  <si>
    <t>CGS 095 PZ-01</t>
  </si>
  <si>
    <t>CGS 095</t>
  </si>
  <si>
    <t>CGS 097 PZ-01</t>
  </si>
  <si>
    <t>CGS 097</t>
  </si>
  <si>
    <t>CGS 110 PZ-01</t>
  </si>
  <si>
    <t>CGS 110</t>
  </si>
  <si>
    <t>CGS 112 PZ-01</t>
  </si>
  <si>
    <t>CGS 112</t>
  </si>
  <si>
    <t>CGS 120 PZ-01</t>
  </si>
  <si>
    <t>CGS 120</t>
  </si>
  <si>
    <t>CGS 125 PZ-01</t>
  </si>
  <si>
    <t>CGS 125</t>
  </si>
  <si>
    <t>CGS 131 PZ-01</t>
  </si>
  <si>
    <t>CGS 131</t>
  </si>
  <si>
    <t>CGS 132 PZ-01</t>
  </si>
  <si>
    <t>CGS 132</t>
  </si>
  <si>
    <t>CGS 133 PZ-01</t>
  </si>
  <si>
    <t>CGS 133</t>
  </si>
  <si>
    <t>CGS 134 PZ-01</t>
  </si>
  <si>
    <t>CGS 134</t>
  </si>
  <si>
    <t>CGS 135 PZ-01</t>
  </si>
  <si>
    <t>CGS 135</t>
  </si>
  <si>
    <t>CHEM 001B PO-01</t>
  </si>
  <si>
    <t>CHEM 001B</t>
  </si>
  <si>
    <t>CHEM 001B PO-03</t>
  </si>
  <si>
    <t>CHEM 001B PO-04</t>
  </si>
  <si>
    <t>CHEM 001BL PO-01</t>
  </si>
  <si>
    <t>CHEM 001BL</t>
  </si>
  <si>
    <t>CHEM 001BL PO-02</t>
  </si>
  <si>
    <t>CHEM 001BL PO-03</t>
  </si>
  <si>
    <t>CHEM 001BL PO-04</t>
  </si>
  <si>
    <t>CHEM 001BL PO-05</t>
  </si>
  <si>
    <t>CHEM 015L KS-01</t>
  </si>
  <si>
    <t>CHEM 015L</t>
  </si>
  <si>
    <t>CHEM 015L KS-02</t>
  </si>
  <si>
    <t>CHEM 015L KS-03</t>
  </si>
  <si>
    <t>CHEM 015L KS-04</t>
  </si>
  <si>
    <t>CHEM 015L KS-05</t>
  </si>
  <si>
    <t>CHEM 015L KS-06</t>
  </si>
  <si>
    <t>CHEM 015L KS-07</t>
  </si>
  <si>
    <t>CHEM 015L KS-08</t>
  </si>
  <si>
    <t>CHEM 023B HM-01</t>
  </si>
  <si>
    <t>CHEM 023B</t>
  </si>
  <si>
    <t>CHEM 023B HM-02</t>
  </si>
  <si>
    <t>CHEM 023B HM-03</t>
  </si>
  <si>
    <t>CHEM 023B HM-04</t>
  </si>
  <si>
    <t>CHEM 023B HM-05</t>
  </si>
  <si>
    <t>CHEM 023B HM-06</t>
  </si>
  <si>
    <t>CHEM 023B HM-07</t>
  </si>
  <si>
    <t>CHEM 024 HM-01</t>
  </si>
  <si>
    <t>CHEM 024 HM-02</t>
  </si>
  <si>
    <t>CHEM 024 HM-03</t>
  </si>
  <si>
    <t>CHEM 056 HM-01</t>
  </si>
  <si>
    <t>CHEM 056</t>
  </si>
  <si>
    <t>CHEM 058 HM-01</t>
  </si>
  <si>
    <t>CHEM 058</t>
  </si>
  <si>
    <t>CHEM 070L KS-01</t>
  </si>
  <si>
    <t>CHEM 070L</t>
  </si>
  <si>
    <t>CHEM 104 HM-01</t>
  </si>
  <si>
    <t>CHEM 104</t>
  </si>
  <si>
    <t>CHEM 106 PO-01</t>
  </si>
  <si>
    <t>CHEM 106</t>
  </si>
  <si>
    <t>CHEM 110 HM-01</t>
  </si>
  <si>
    <t>CHEM 110</t>
  </si>
  <si>
    <t>CHEM 110B PO-01</t>
  </si>
  <si>
    <t>CHEM 110B</t>
  </si>
  <si>
    <t>CHEM 110B PO-02</t>
  </si>
  <si>
    <t>CHEM 110B PO-03</t>
  </si>
  <si>
    <t>CHEM 112 HM-01</t>
  </si>
  <si>
    <t>CHEM 112</t>
  </si>
  <si>
    <t>CHEM 112 PO-01</t>
  </si>
  <si>
    <t>CHEM 114 HM-01</t>
  </si>
  <si>
    <t>CHEM 114</t>
  </si>
  <si>
    <t>CHEM 115 PO-01</t>
  </si>
  <si>
    <t>CHEM 115</t>
  </si>
  <si>
    <t>CHEM 115L PO-01</t>
  </si>
  <si>
    <t>CHEM 115L</t>
  </si>
  <si>
    <t>CHEM 115L PO-02</t>
  </si>
  <si>
    <t>CHEM 117L KS-01</t>
  </si>
  <si>
    <t>CHEM 117L</t>
  </si>
  <si>
    <t>CHEM 117L KS-02</t>
  </si>
  <si>
    <t>CHEM 117L KS-03</t>
  </si>
  <si>
    <t>CHEM 117L KS-04</t>
  </si>
  <si>
    <t>CHEM 117LX KS-01</t>
  </si>
  <si>
    <t>CHEM 117LX</t>
  </si>
  <si>
    <t>CHEM 117LX KS-02</t>
  </si>
  <si>
    <t>CHEM 117LX KS-03</t>
  </si>
  <si>
    <t>CHEM 117LX KS-04</t>
  </si>
  <si>
    <t>CHEM 117LX KS-05</t>
  </si>
  <si>
    <t>CHEM 117LX KS-06</t>
  </si>
  <si>
    <t>CHEM 117LX KS-07</t>
  </si>
  <si>
    <t>CHEM 117LX KS-08</t>
  </si>
  <si>
    <t>CHEM 117LX KS-09</t>
  </si>
  <si>
    <t>CHEM 117LX KS-10</t>
  </si>
  <si>
    <t>CHEM 121 KS-01</t>
  </si>
  <si>
    <t>CHEM 121</t>
  </si>
  <si>
    <t>CHEM 125L KS-01</t>
  </si>
  <si>
    <t>CHEM 125L</t>
  </si>
  <si>
    <t>CHEM 127L KS-01</t>
  </si>
  <si>
    <t>CHEM 127L</t>
  </si>
  <si>
    <t>CHEM 147 PO-01</t>
  </si>
  <si>
    <t>CHEM 147</t>
  </si>
  <si>
    <t>CHEM 150 HM-01</t>
  </si>
  <si>
    <t>CHEM 150</t>
  </si>
  <si>
    <t>CHEM 152 HM-01</t>
  </si>
  <si>
    <t>CHEM 152</t>
  </si>
  <si>
    <t>CHEM 152 HM-02</t>
  </si>
  <si>
    <t>CHEM 152 HM-03</t>
  </si>
  <si>
    <t>CHEM 152 HM-04</t>
  </si>
  <si>
    <t>CHEM 152 HM-05</t>
  </si>
  <si>
    <t>CHEM 152 HM-06</t>
  </si>
  <si>
    <t>CHEM 152 HM-07</t>
  </si>
  <si>
    <t>CHEM 152 HM-08</t>
  </si>
  <si>
    <t>CHEM 152 HM-09</t>
  </si>
  <si>
    <t>CHEM 152 HM-10</t>
  </si>
  <si>
    <t>CHEM 152 HM-11</t>
  </si>
  <si>
    <t>CHEM 152 HM-12</t>
  </si>
  <si>
    <t>CHEM 152 HM-13</t>
  </si>
  <si>
    <t>CHEM 152 HM-14</t>
  </si>
  <si>
    <t>CHEM 152 HM-15</t>
  </si>
  <si>
    <t>CHEM 152 HM-16</t>
  </si>
  <si>
    <t>CHEM 156 PO-01</t>
  </si>
  <si>
    <t>CHEM 156</t>
  </si>
  <si>
    <t>CHEM 158B PO-01</t>
  </si>
  <si>
    <t>CHEM 158B</t>
  </si>
  <si>
    <t>CHEM 158BL PO-01</t>
  </si>
  <si>
    <t>CHEM 158BL</t>
  </si>
  <si>
    <t>CHEM 158BL PO-02</t>
  </si>
  <si>
    <t>CHEM 162 PO-01</t>
  </si>
  <si>
    <t>CHEM 162</t>
  </si>
  <si>
    <t>CHEM 162 PO-02</t>
  </si>
  <si>
    <t>CHEM 164 PO-01</t>
  </si>
  <si>
    <t>CHEM 164</t>
  </si>
  <si>
    <t>CHEM 177 KS-01</t>
  </si>
  <si>
    <t>CHEM 177</t>
  </si>
  <si>
    <t>CHEM 181 PO-01</t>
  </si>
  <si>
    <t>CHEM 181</t>
  </si>
  <si>
    <t>CHEM 182 HM-01</t>
  </si>
  <si>
    <t>CHEM 182</t>
  </si>
  <si>
    <t>CHEM 184 HM-01</t>
  </si>
  <si>
    <t>CHEM 184</t>
  </si>
  <si>
    <t>CHEM 188L KS-01</t>
  </si>
  <si>
    <t>CHEM 188L</t>
  </si>
  <si>
    <t>CHEM 189L KS-01</t>
  </si>
  <si>
    <t>CHEM 189L</t>
  </si>
  <si>
    <t>CHEM 190 HM-01</t>
  </si>
  <si>
    <t>CHEM 190</t>
  </si>
  <si>
    <t>CHEM 190L KS-01</t>
  </si>
  <si>
    <t>CHEM 190L</t>
  </si>
  <si>
    <t>CHEM 191 KS-01</t>
  </si>
  <si>
    <t>CHEM 191</t>
  </si>
  <si>
    <t>CHEM 191 PO-04</t>
  </si>
  <si>
    <t>CHEM 191 PO-08</t>
  </si>
  <si>
    <t>CHEM 191 PO-16</t>
  </si>
  <si>
    <t>CHEM 191 PO-20</t>
  </si>
  <si>
    <t>CHEM 191 PO-24</t>
  </si>
  <si>
    <t>CHEM 191 PO-28</t>
  </si>
  <si>
    <t>CHEM 191 PO-32</t>
  </si>
  <si>
    <t>CHEM 191 PO-36</t>
  </si>
  <si>
    <t>CHEM 191 PO-40</t>
  </si>
  <si>
    <t>CHEM 194 PO-04</t>
  </si>
  <si>
    <t>CHEM 194</t>
  </si>
  <si>
    <t>CHEM 194 PO-08</t>
  </si>
  <si>
    <t>CHEM 194 PO-12</t>
  </si>
  <si>
    <t>CHEM 194 PO-16</t>
  </si>
  <si>
    <t>CHEM 194 PO-20</t>
  </si>
  <si>
    <t>CHEM 194 PO-24</t>
  </si>
  <si>
    <t>CHEM 194 PO-28</t>
  </si>
  <si>
    <t>CHEM 194 PO-32</t>
  </si>
  <si>
    <t>CHEM 194 PO-36</t>
  </si>
  <si>
    <t>CHEM 198 HM-01</t>
  </si>
  <si>
    <t>CHEM 198</t>
  </si>
  <si>
    <t>CHEM 199 HM-01</t>
  </si>
  <si>
    <t>CHEM 199</t>
  </si>
  <si>
    <t>CHIN 001B PO-01</t>
  </si>
  <si>
    <t>CHIN 001B</t>
  </si>
  <si>
    <t>CHIN 001B PO-02</t>
  </si>
  <si>
    <t>CHIN 011 PO-01</t>
  </si>
  <si>
    <t>CHIN 011</t>
  </si>
  <si>
    <t>CHIN 013 PO-01</t>
  </si>
  <si>
    <t>CHIN 013</t>
  </si>
  <si>
    <t>CHIN 051B PO-01</t>
  </si>
  <si>
    <t>CHIN 051B</t>
  </si>
  <si>
    <t>CHIN 051B PO-02</t>
  </si>
  <si>
    <t>CHIN 051H PO-01</t>
  </si>
  <si>
    <t>CHIN 051H</t>
  </si>
  <si>
    <t>CHIN 111B PO-01</t>
  </si>
  <si>
    <t>CHIN 111B</t>
  </si>
  <si>
    <t>CHIN 122 PO-01</t>
  </si>
  <si>
    <t>CHIN 122</t>
  </si>
  <si>
    <t>CHIN 131 PO-01</t>
  </si>
  <si>
    <t>CHIN 131</t>
  </si>
  <si>
    <t>CHLT 060 CH-01</t>
  </si>
  <si>
    <t>CHLT 060</t>
  </si>
  <si>
    <t>CHLT 085 PZ-01</t>
  </si>
  <si>
    <t>CHLT 085</t>
  </si>
  <si>
    <t>CHLT 115 CH-01</t>
  </si>
  <si>
    <t>CHLT 115</t>
  </si>
  <si>
    <t>CHLT 153 CH-01</t>
  </si>
  <si>
    <t>CHLT 153</t>
  </si>
  <si>
    <t>CHLT 160 CH-01</t>
  </si>
  <si>
    <t>CHLT 160</t>
  </si>
  <si>
    <t>CHLT 170 CH-01</t>
  </si>
  <si>
    <t>CHLT 170</t>
  </si>
  <si>
    <t>CHNT 164 PO-01</t>
  </si>
  <si>
    <t>CHNT 164</t>
  </si>
  <si>
    <t>CHST 015 CH-01</t>
  </si>
  <si>
    <t>CHST 015</t>
  </si>
  <si>
    <t>CHST 028 CH-01</t>
  </si>
  <si>
    <t>CHST 028</t>
  </si>
  <si>
    <t>CHST 066 CH-01</t>
  </si>
  <si>
    <t>CHST 066</t>
  </si>
  <si>
    <t>CHST 067 CH-01</t>
  </si>
  <si>
    <t>CHST 067</t>
  </si>
  <si>
    <t>CHST 120 CH-01</t>
  </si>
  <si>
    <t>CHST 120</t>
  </si>
  <si>
    <t>CHST 130 CH-01</t>
  </si>
  <si>
    <t>CHST 130</t>
  </si>
  <si>
    <t>CHST 132 CH-01</t>
  </si>
  <si>
    <t>CHST 132</t>
  </si>
  <si>
    <t>CHST 191 CH-04</t>
  </si>
  <si>
    <t>CHST 191</t>
  </si>
  <si>
    <t>CHST 191 CH-08</t>
  </si>
  <si>
    <t>CHST 191 CH-12</t>
  </si>
  <si>
    <t>CHST 191 CH-16</t>
  </si>
  <si>
    <t>CHST 191 CH-20</t>
  </si>
  <si>
    <t>CHST 191 CH-24</t>
  </si>
  <si>
    <t>CHST 191 CH-28</t>
  </si>
  <si>
    <t>CHST 191 CH-32</t>
  </si>
  <si>
    <t>CHST 191 CH-36</t>
  </si>
  <si>
    <t>CHST 192 CH-04</t>
  </si>
  <si>
    <t>CHST 192</t>
  </si>
  <si>
    <t>CHST 192 CH-08</t>
  </si>
  <si>
    <t>CHST 192 CH-12</t>
  </si>
  <si>
    <t>CHST 192 CH-16</t>
  </si>
  <si>
    <t>CHST 192 CH-20</t>
  </si>
  <si>
    <t>CHST 192 CH-24</t>
  </si>
  <si>
    <t>CHST 192 CH-28</t>
  </si>
  <si>
    <t>CHST 192 CH-32</t>
  </si>
  <si>
    <t>CHST 192 CH-36</t>
  </si>
  <si>
    <t>CLAS 001 PO-01</t>
  </si>
  <si>
    <t>CLAS 001</t>
  </si>
  <si>
    <t>CLAS 019 SC-01</t>
  </si>
  <si>
    <t>CLAS 019</t>
  </si>
  <si>
    <t>CLAS 064 PO-01</t>
  </si>
  <si>
    <t>CLAS 064</t>
  </si>
  <si>
    <t>CLAS 106 PO-01</t>
  </si>
  <si>
    <t>CLAS 106</t>
  </si>
  <si>
    <t>CLAS 114 PO-01</t>
  </si>
  <si>
    <t>CLAS 114</t>
  </si>
  <si>
    <t>CLAS 116A PO-01</t>
  </si>
  <si>
    <t>CLAS 116A</t>
  </si>
  <si>
    <t>CLAS 162 PZ-01</t>
  </si>
  <si>
    <t>CLAS 162</t>
  </si>
  <si>
    <t>CLAS 191 SC-01</t>
  </si>
  <si>
    <t>CLAS 191</t>
  </si>
  <si>
    <t>CORE 002 SC-01</t>
  </si>
  <si>
    <t>CORE 002</t>
  </si>
  <si>
    <t>CORE 002 SC-02</t>
  </si>
  <si>
    <t>CORE 002 SC-03</t>
  </si>
  <si>
    <t>CORE 002 SC-04</t>
  </si>
  <si>
    <t>CORE 002 SC-05</t>
  </si>
  <si>
    <t>CORE 002 SC-06</t>
  </si>
  <si>
    <t>CORE 002 SC-07</t>
  </si>
  <si>
    <t>CORE 002 SC-08</t>
  </si>
  <si>
    <t>CORE 002 SC-09</t>
  </si>
  <si>
    <t>CORE 002 SC-10</t>
  </si>
  <si>
    <t>CORE 002 SC-11</t>
  </si>
  <si>
    <t>CORE 002 SC-12</t>
  </si>
  <si>
    <t>CORE 002 SC-13</t>
  </si>
  <si>
    <t>CREA 018 PZ-01</t>
  </si>
  <si>
    <t>CREA 018</t>
  </si>
  <si>
    <t>CREA 193A PZ-01</t>
  </si>
  <si>
    <t>CREA 193A</t>
  </si>
  <si>
    <t>CSCI 005 HM-01</t>
  </si>
  <si>
    <t>CSCI 005 PZ-01</t>
  </si>
  <si>
    <t>CSCI 005L HM-01</t>
  </si>
  <si>
    <t>CSCI 005L HM-02</t>
  </si>
  <si>
    <t>CSCI 036 CM-01</t>
  </si>
  <si>
    <t>CSCI 036</t>
  </si>
  <si>
    <t>CSCI 036 CM-02</t>
  </si>
  <si>
    <t>CSCI 036 PZ-01</t>
  </si>
  <si>
    <t>CSCI 046 CM-01</t>
  </si>
  <si>
    <t>CSCI 046</t>
  </si>
  <si>
    <t>CSCI 051P PO-01</t>
  </si>
  <si>
    <t>CSCI 051P</t>
  </si>
  <si>
    <t>CSCI 051P PO-02</t>
  </si>
  <si>
    <t>CSCI 051PL PO-01</t>
  </si>
  <si>
    <t>CSCI 051PL</t>
  </si>
  <si>
    <t>CSCI 051PL PO-02</t>
  </si>
  <si>
    <t>CSCI 051PL PO-03</t>
  </si>
  <si>
    <t>CSCI 054 PO-01</t>
  </si>
  <si>
    <t>CSCI 054</t>
  </si>
  <si>
    <t>CSCI 060 HM-01</t>
  </si>
  <si>
    <t>CSCI 062 PO-01</t>
  </si>
  <si>
    <t>CSCI 062</t>
  </si>
  <si>
    <t>CSCI 062L PO-01</t>
  </si>
  <si>
    <t>CSCI 062L</t>
  </si>
  <si>
    <t>CSCI 062L PO-02</t>
  </si>
  <si>
    <t>CSCI 070 HM-01</t>
  </si>
  <si>
    <t>CSCI 081 HM-01</t>
  </si>
  <si>
    <t>CSCI 101 PO-01</t>
  </si>
  <si>
    <t>CSCI 101</t>
  </si>
  <si>
    <t>CSCI 105 HM-01</t>
  </si>
  <si>
    <t>CSCI 105</t>
  </si>
  <si>
    <t>CSCI 105 PO-01</t>
  </si>
  <si>
    <t>CSCI 105 PO-02</t>
  </si>
  <si>
    <t>CSCI 105L PO-01</t>
  </si>
  <si>
    <t>CSCI 105L</t>
  </si>
  <si>
    <t>CSCI 105L PO-02</t>
  </si>
  <si>
    <t>CSCI 121 HM-01</t>
  </si>
  <si>
    <t>CSCI 121</t>
  </si>
  <si>
    <t>CSCI 131 HM-01</t>
  </si>
  <si>
    <t>CSCI 140 HM-01</t>
  </si>
  <si>
    <t>CSCI 140 HM-02</t>
  </si>
  <si>
    <t>CSCI 140 PO-01</t>
  </si>
  <si>
    <t>CSCI 143 CM-01</t>
  </si>
  <si>
    <t>CSCI 143</t>
  </si>
  <si>
    <t>CSCI 144 HM-01</t>
  </si>
  <si>
    <t>CSCI 144</t>
  </si>
  <si>
    <t>CSCI 151</t>
  </si>
  <si>
    <t>CSCI 152 HM-01</t>
  </si>
  <si>
    <t>CSCI 152</t>
  </si>
  <si>
    <t>CSCI 152 HM-02</t>
  </si>
  <si>
    <t>CSCI 152 PO-01</t>
  </si>
  <si>
    <t>CSCI 159 HM-01</t>
  </si>
  <si>
    <t>CSCI 159</t>
  </si>
  <si>
    <t>CSCI 159 HM-02</t>
  </si>
  <si>
    <t>CSCI 181G PO-01</t>
  </si>
  <si>
    <t>CSCI 181G</t>
  </si>
  <si>
    <t>CSCI 181V</t>
  </si>
  <si>
    <t>CSCI 181Y</t>
  </si>
  <si>
    <t>CSCI 181Z HM-01</t>
  </si>
  <si>
    <t>CSCI 181Z</t>
  </si>
  <si>
    <t>CSCI 184</t>
  </si>
  <si>
    <t>CSCI 186</t>
  </si>
  <si>
    <t>CSCI 188 PO-01</t>
  </si>
  <si>
    <t>CSCI 188</t>
  </si>
  <si>
    <t>CSCI 189 HM-01</t>
  </si>
  <si>
    <t>CSCI 190 PO-01</t>
  </si>
  <si>
    <t>CSCI 190</t>
  </si>
  <si>
    <t>CSCI 191 PO-04</t>
  </si>
  <si>
    <t>CSCI 191</t>
  </si>
  <si>
    <t>CSCI 191 PO-08</t>
  </si>
  <si>
    <t>CSCI 191 PO-12</t>
  </si>
  <si>
    <t>CSCI 191 PO-16</t>
  </si>
  <si>
    <t>CSCI 191 PO-20</t>
  </si>
  <si>
    <t>CSCI 192 PO-04</t>
  </si>
  <si>
    <t>CSCI 192</t>
  </si>
  <si>
    <t>CSCI 192 PO-08</t>
  </si>
  <si>
    <t>CSCI 192 PO-12</t>
  </si>
  <si>
    <t>CSCI 192 PO-16</t>
  </si>
  <si>
    <t>CSCI 192 PO-20</t>
  </si>
  <si>
    <t>CSCI 195 HM-01</t>
  </si>
  <si>
    <t>CSMT 184 HM-01</t>
  </si>
  <si>
    <t>CSMT 184</t>
  </si>
  <si>
    <t>DANC 010 PO-01</t>
  </si>
  <si>
    <t>DANC 010</t>
  </si>
  <si>
    <t>DANC 010 PO-02</t>
  </si>
  <si>
    <t>DANC 012 PO-01</t>
  </si>
  <si>
    <t>DANC 012</t>
  </si>
  <si>
    <t>DANC 012P PO-01</t>
  </si>
  <si>
    <t>DANC 012P</t>
  </si>
  <si>
    <t>DANC 050 PO-01</t>
  </si>
  <si>
    <t>DANC 050</t>
  </si>
  <si>
    <t>DANC 050P PO-01</t>
  </si>
  <si>
    <t>DANC 050P</t>
  </si>
  <si>
    <t>DANC 051 PO-01</t>
  </si>
  <si>
    <t>DANC 051</t>
  </si>
  <si>
    <t>DANC 051P PO-01</t>
  </si>
  <si>
    <t>DANC 051P</t>
  </si>
  <si>
    <t>DANC 076A SC-01</t>
  </si>
  <si>
    <t>DANC 076A</t>
  </si>
  <si>
    <t>DANC 076B SC-01</t>
  </si>
  <si>
    <t>DANC 076B</t>
  </si>
  <si>
    <t>DANC 078B SC-01</t>
  </si>
  <si>
    <t>DANC 078B</t>
  </si>
  <si>
    <t>DANC 083B SC-01</t>
  </si>
  <si>
    <t>DANC 083B</t>
  </si>
  <si>
    <t>DANC 101 SC-01</t>
  </si>
  <si>
    <t>DANC 101</t>
  </si>
  <si>
    <t>DANC 110B SC-01</t>
  </si>
  <si>
    <t>DANC 110B</t>
  </si>
  <si>
    <t>DANC 114A SC-01</t>
  </si>
  <si>
    <t>DANC 114A</t>
  </si>
  <si>
    <t>DANC 114B SC-01</t>
  </si>
  <si>
    <t>DANC 114B</t>
  </si>
  <si>
    <t>DANC 120 PO-01</t>
  </si>
  <si>
    <t>DANC 120</t>
  </si>
  <si>
    <t>DANC 120P PO-01</t>
  </si>
  <si>
    <t>DANC 120P</t>
  </si>
  <si>
    <t>DANC 121 SC-01</t>
  </si>
  <si>
    <t>DANC 121</t>
  </si>
  <si>
    <t>DANC 122 PO-01</t>
  </si>
  <si>
    <t>DANC 122</t>
  </si>
  <si>
    <t>DANC 122P PO-01</t>
  </si>
  <si>
    <t>DANC 122P</t>
  </si>
  <si>
    <t>DANC 123 PO-01</t>
  </si>
  <si>
    <t>DANC 123</t>
  </si>
  <si>
    <t>DANC 124 PO-01</t>
  </si>
  <si>
    <t>DANC 124</t>
  </si>
  <si>
    <t>DANC 124P PO-01</t>
  </si>
  <si>
    <t>DANC 124P</t>
  </si>
  <si>
    <t>DANC 130 PO-01</t>
  </si>
  <si>
    <t>DANC 130</t>
  </si>
  <si>
    <t>DANC 131 SC-01</t>
  </si>
  <si>
    <t>DANC 131</t>
  </si>
  <si>
    <t>DANC 150C PO-01</t>
  </si>
  <si>
    <t>DANC 150C</t>
  </si>
  <si>
    <t>DANC 151 PO-01</t>
  </si>
  <si>
    <t>DANC 151</t>
  </si>
  <si>
    <t>DANC 151P PO-01</t>
  </si>
  <si>
    <t>DANC 151P</t>
  </si>
  <si>
    <t>DANC 152 PO-01</t>
  </si>
  <si>
    <t>DANC 152</t>
  </si>
  <si>
    <t>DANC 152P PO-01</t>
  </si>
  <si>
    <t>DANC 152P</t>
  </si>
  <si>
    <t>DANC 162A SC-01</t>
  </si>
  <si>
    <t>DANC 162A</t>
  </si>
  <si>
    <t>DANC 162B SC-01</t>
  </si>
  <si>
    <t>DANC 162B</t>
  </si>
  <si>
    <t>DANC 166 PO-01</t>
  </si>
  <si>
    <t>DANC 166</t>
  </si>
  <si>
    <t>DANC 166P PO-01</t>
  </si>
  <si>
    <t>DANC 166P</t>
  </si>
  <si>
    <t>DANC 175 PO-01</t>
  </si>
  <si>
    <t>DANC 175</t>
  </si>
  <si>
    <t>DANC 176 PO-01</t>
  </si>
  <si>
    <t>DANC 176</t>
  </si>
  <si>
    <t>DANC 180 PO-01</t>
  </si>
  <si>
    <t>DANC 180</t>
  </si>
  <si>
    <t>DANC 180 SC-01</t>
  </si>
  <si>
    <t>DANC 180P PO-01</t>
  </si>
  <si>
    <t>DANC 180P</t>
  </si>
  <si>
    <t>DANC 181 PO-01</t>
  </si>
  <si>
    <t>DANC 181</t>
  </si>
  <si>
    <t>DANC 181P PO-01</t>
  </si>
  <si>
    <t>DANC 181P</t>
  </si>
  <si>
    <t>DANC 191 SC-01</t>
  </si>
  <si>
    <t>DANC 191</t>
  </si>
  <si>
    <t>DANC 192 PO-04</t>
  </si>
  <si>
    <t>DANC 192</t>
  </si>
  <si>
    <t>DANC 193 SC-01</t>
  </si>
  <si>
    <t>DANC 193</t>
  </si>
  <si>
    <t>DS 002 SC-01</t>
  </si>
  <si>
    <t>DS 002</t>
  </si>
  <si>
    <t>DS 180 CM-01</t>
  </si>
  <si>
    <t>DS 180</t>
  </si>
  <si>
    <t>EA 010 PO-01</t>
  </si>
  <si>
    <t>EA 010</t>
  </si>
  <si>
    <t>EA 010 PO-02</t>
  </si>
  <si>
    <t>EA 010 PO-03</t>
  </si>
  <si>
    <t>EA 010 PZ-01</t>
  </si>
  <si>
    <t>EA 010 PZ-02</t>
  </si>
  <si>
    <t>EA 020 PO-01</t>
  </si>
  <si>
    <t>EA 020</t>
  </si>
  <si>
    <t>EA 030E PO-01</t>
  </si>
  <si>
    <t>EA 030E</t>
  </si>
  <si>
    <t>EA 030L KS-01</t>
  </si>
  <si>
    <t>EA 030L</t>
  </si>
  <si>
    <t>EA 030L KS-02</t>
  </si>
  <si>
    <t>EA 032 PZ-01</t>
  </si>
  <si>
    <t>EA 032</t>
  </si>
  <si>
    <t>EA 055L KS-01</t>
  </si>
  <si>
    <t>EA 055L</t>
  </si>
  <si>
    <t>EA 060 PZ-01</t>
  </si>
  <si>
    <t>EA 060</t>
  </si>
  <si>
    <t>EA 086 PZ-01</t>
  </si>
  <si>
    <t>EA 086</t>
  </si>
  <si>
    <t>EA 093 PZ-01</t>
  </si>
  <si>
    <t>EA 093</t>
  </si>
  <si>
    <t>EA 098 PZ-01</t>
  </si>
  <si>
    <t>EA 098</t>
  </si>
  <si>
    <t>EA 101 PO-01</t>
  </si>
  <si>
    <t>EA 101</t>
  </si>
  <si>
    <t>EA 103 KS-01</t>
  </si>
  <si>
    <t>EA 103</t>
  </si>
  <si>
    <t>EA 130 PZ-01</t>
  </si>
  <si>
    <t>EA 130</t>
  </si>
  <si>
    <t>EA 134 PZ-01</t>
  </si>
  <si>
    <t>EA 134</t>
  </si>
  <si>
    <t>EA 138 PZ-01</t>
  </si>
  <si>
    <t>EA 138</t>
  </si>
  <si>
    <t>EA 141 PZ-01</t>
  </si>
  <si>
    <t>EA 141</t>
  </si>
  <si>
    <t>EA 144 PZ-01</t>
  </si>
  <si>
    <t>EA 144</t>
  </si>
  <si>
    <t>EA 170 PO-01</t>
  </si>
  <si>
    <t>EA 170</t>
  </si>
  <si>
    <t>EA 185 PO-01</t>
  </si>
  <si>
    <t>EA 185</t>
  </si>
  <si>
    <t>EA 188L KS-01</t>
  </si>
  <si>
    <t>EA 188L</t>
  </si>
  <si>
    <t>EA 189L KS-01</t>
  </si>
  <si>
    <t>EA 189L</t>
  </si>
  <si>
    <t>EA 190L KS-01</t>
  </si>
  <si>
    <t>EA 190L</t>
  </si>
  <si>
    <t>EA 191 KS-01</t>
  </si>
  <si>
    <t>EA 191</t>
  </si>
  <si>
    <t>EA 191 PO-04</t>
  </si>
  <si>
    <t>EA 191H PO-04</t>
  </si>
  <si>
    <t>EA 191H</t>
  </si>
  <si>
    <t>EA 197 PZ-01</t>
  </si>
  <si>
    <t>EA 197</t>
  </si>
  <si>
    <t>ECON 050 CM-01</t>
  </si>
  <si>
    <t>ECON 050</t>
  </si>
  <si>
    <t>ECON 050 CM-02</t>
  </si>
  <si>
    <t>ECON 051 PO-01</t>
  </si>
  <si>
    <t>ECON 051</t>
  </si>
  <si>
    <t>ECON 051 PO-02</t>
  </si>
  <si>
    <t>ECON 051 PO-03</t>
  </si>
  <si>
    <t>ECON 051 PZ-01</t>
  </si>
  <si>
    <t>ECON 051 PZ-02</t>
  </si>
  <si>
    <t>ECON 051 SC-01</t>
  </si>
  <si>
    <t>ECON 052 PO-03</t>
  </si>
  <si>
    <t>ECON 052</t>
  </si>
  <si>
    <t>ECON 052 PO-04</t>
  </si>
  <si>
    <t>ECON 052 PO-05</t>
  </si>
  <si>
    <t>ECON 052 PZ-01</t>
  </si>
  <si>
    <t>ECON 052 PZ-02</t>
  </si>
  <si>
    <t>ECON 052 SC-01</t>
  </si>
  <si>
    <t>ECON 057 PO-01</t>
  </si>
  <si>
    <t>ECON 057</t>
  </si>
  <si>
    <t>ECON 057B PO-01</t>
  </si>
  <si>
    <t>ECON 057B</t>
  </si>
  <si>
    <t>ECON 086 CM-01</t>
  </si>
  <si>
    <t>ECON 086</t>
  </si>
  <si>
    <t>ECON 086 CM-02</t>
  </si>
  <si>
    <t>ECON 086 CM-03</t>
  </si>
  <si>
    <t>ECON 086 CM-04</t>
  </si>
  <si>
    <t>ECON 086 CM-05</t>
  </si>
  <si>
    <t>ECON 091 PZ-01</t>
  </si>
  <si>
    <t>ECON 091</t>
  </si>
  <si>
    <t>ECON 097 CM-01</t>
  </si>
  <si>
    <t>ECON 097</t>
  </si>
  <si>
    <t>ECON 100 CM-01</t>
  </si>
  <si>
    <t>ECON 100</t>
  </si>
  <si>
    <t>ECON 101 CM-01</t>
  </si>
  <si>
    <t>ECON 101</t>
  </si>
  <si>
    <t>ECON 101 CM-02</t>
  </si>
  <si>
    <t>ECON 101 CM-03</t>
  </si>
  <si>
    <t>ECON 101 CM-04</t>
  </si>
  <si>
    <t>ECON 101 CM-05</t>
  </si>
  <si>
    <t>ECON 101 CM-06</t>
  </si>
  <si>
    <t>ECON 101 CM-07</t>
  </si>
  <si>
    <t>ECON 101 PO-01</t>
  </si>
  <si>
    <t>ECON 101 SC-01</t>
  </si>
  <si>
    <t>ECON 102 CM-01</t>
  </si>
  <si>
    <t>ECON 102</t>
  </si>
  <si>
    <t>ECON 102 CM-02</t>
  </si>
  <si>
    <t>ECON 102 CM-03</t>
  </si>
  <si>
    <t>ECON 102 CM-04</t>
  </si>
  <si>
    <t>ECON 102 CM-05</t>
  </si>
  <si>
    <t>ECON 102 CM-06</t>
  </si>
  <si>
    <t>ECON 102 PO-01</t>
  </si>
  <si>
    <t>ECON 102 SC-01</t>
  </si>
  <si>
    <t>ECON 104 CM-01</t>
  </si>
  <si>
    <t>ECON 104 PZ-01</t>
  </si>
  <si>
    <t>ECON 105 PZ-01</t>
  </si>
  <si>
    <t>ECON 105</t>
  </si>
  <si>
    <t>ECON 107 PO-01</t>
  </si>
  <si>
    <t>ECON 107</t>
  </si>
  <si>
    <t>ECON 116 PZ-01</t>
  </si>
  <si>
    <t>ECON 116</t>
  </si>
  <si>
    <t>ECON 117 PO-01</t>
  </si>
  <si>
    <t>ECON 117</t>
  </si>
  <si>
    <t>ECON 120 CM-01</t>
  </si>
  <si>
    <t>ECON 120</t>
  </si>
  <si>
    <t>ECON 120 CM-02</t>
  </si>
  <si>
    <t>ECON 120 CM-03</t>
  </si>
  <si>
    <t>ECON 120 CM-04</t>
  </si>
  <si>
    <t>ECON 120 SC-01</t>
  </si>
  <si>
    <t>ECON 122 PO-01</t>
  </si>
  <si>
    <t>ECON 122</t>
  </si>
  <si>
    <t>ECON 123 PO-01</t>
  </si>
  <si>
    <t>ECON 123</t>
  </si>
  <si>
    <t>ECON 125 CM-01</t>
  </si>
  <si>
    <t>ECON 125</t>
  </si>
  <si>
    <t>ECON 125 CM-02</t>
  </si>
  <si>
    <t>ECON 125 CM-03</t>
  </si>
  <si>
    <t>ECON 125 CM-04</t>
  </si>
  <si>
    <t>ECON 125 PO-01</t>
  </si>
  <si>
    <t>ECON 125 PZ-01</t>
  </si>
  <si>
    <t>ECON 125 SC-01</t>
  </si>
  <si>
    <t>ECON 126 CM-01</t>
  </si>
  <si>
    <t>ECON 126</t>
  </si>
  <si>
    <t>ECON 128 PO-01</t>
  </si>
  <si>
    <t>ECON 128</t>
  </si>
  <si>
    <t>ECON 128 SC-01</t>
  </si>
  <si>
    <t>ECON 131 PO-01</t>
  </si>
  <si>
    <t>ECON 131</t>
  </si>
  <si>
    <t>ECON 133 SC-01</t>
  </si>
  <si>
    <t>ECON 133</t>
  </si>
  <si>
    <t>ECON 134 CM-01</t>
  </si>
  <si>
    <t>ECON 134</t>
  </si>
  <si>
    <t>ECON 134 CM-02</t>
  </si>
  <si>
    <t>ECON 134 CM-03</t>
  </si>
  <si>
    <t>ECON 134 CM-04</t>
  </si>
  <si>
    <t>ECON 134 CM-05</t>
  </si>
  <si>
    <t>ECON 134B CM-01</t>
  </si>
  <si>
    <t>ECON 134B</t>
  </si>
  <si>
    <t>ECON 135 PO-01</t>
  </si>
  <si>
    <t>ECON 135</t>
  </si>
  <si>
    <t>ECON 137 SC-01</t>
  </si>
  <si>
    <t>ECON 137</t>
  </si>
  <si>
    <t>ECON 138 CM-01</t>
  </si>
  <si>
    <t>ECON 138</t>
  </si>
  <si>
    <t>ECON 145 PZ-01</t>
  </si>
  <si>
    <t>ECON 145</t>
  </si>
  <si>
    <t>ECON 150 CM-01</t>
  </si>
  <si>
    <t>ECON 150</t>
  </si>
  <si>
    <t>ECON 154 CM-01</t>
  </si>
  <si>
    <t>ECON 154</t>
  </si>
  <si>
    <t>ECON 154 PO-01</t>
  </si>
  <si>
    <t>ECON 155 CM-01</t>
  </si>
  <si>
    <t>ECON 155</t>
  </si>
  <si>
    <t>ECON 160 CM-01</t>
  </si>
  <si>
    <t>ECON 160</t>
  </si>
  <si>
    <t>ECON 160 CM-02</t>
  </si>
  <si>
    <t>ECON 162 PO-01</t>
  </si>
  <si>
    <t>ECON 162</t>
  </si>
  <si>
    <t>ECON 165 CM-02</t>
  </si>
  <si>
    <t>ECON 165</t>
  </si>
  <si>
    <t>ECON 165 PO-01</t>
  </si>
  <si>
    <t>ECON 166 PO-01</t>
  </si>
  <si>
    <t>ECON 166</t>
  </si>
  <si>
    <t>ECON 171 CM-01</t>
  </si>
  <si>
    <t>ECON 171</t>
  </si>
  <si>
    <t>ECON 172 CM-01</t>
  </si>
  <si>
    <t>ECON 172</t>
  </si>
  <si>
    <t>ECON 172 CM-02</t>
  </si>
  <si>
    <t>ECON 175 CM-01</t>
  </si>
  <si>
    <t>ECON 175</t>
  </si>
  <si>
    <t>ECON 180 CM-01</t>
  </si>
  <si>
    <t>ECON 180</t>
  </si>
  <si>
    <t>ECON 180 CM-02</t>
  </si>
  <si>
    <t>ECON 180 CM-03</t>
  </si>
  <si>
    <t>ECON 180 CM-04</t>
  </si>
  <si>
    <t>ECON 180 PZ-01</t>
  </si>
  <si>
    <t>ECON 184 PZ-01</t>
  </si>
  <si>
    <t>ECON 184</t>
  </si>
  <si>
    <t>ECON 190 PO-01</t>
  </si>
  <si>
    <t>ECON 190</t>
  </si>
  <si>
    <t>ECON 190 PO-02</t>
  </si>
  <si>
    <t>ECON 190 PO-03</t>
  </si>
  <si>
    <t>ECON 190 PO-04</t>
  </si>
  <si>
    <t>ECON 191 CM-01</t>
  </si>
  <si>
    <t>ECON 191</t>
  </si>
  <si>
    <t>ECON 194B CM-01</t>
  </si>
  <si>
    <t>ECON 194B</t>
  </si>
  <si>
    <t>ECON 195 PO-04</t>
  </si>
  <si>
    <t>ECON 195</t>
  </si>
  <si>
    <t>ECON 197W SC-01</t>
  </si>
  <si>
    <t>ECON 197W</t>
  </si>
  <si>
    <t>EDUC 301G CG-01</t>
  </si>
  <si>
    <t>EDUC 301G</t>
  </si>
  <si>
    <t>EDUC 301GS CG-01</t>
  </si>
  <si>
    <t>EDUC 301GS</t>
  </si>
  <si>
    <t>EDUC 302G CG-01</t>
  </si>
  <si>
    <t>EDUC 302G</t>
  </si>
  <si>
    <t>ENGL 001 PZ-01</t>
  </si>
  <si>
    <t>ENGL 001</t>
  </si>
  <si>
    <t>ENGL 010B PZ-01</t>
  </si>
  <si>
    <t>ENGL 010B</t>
  </si>
  <si>
    <t>ENGL 012B AF-01</t>
  </si>
  <si>
    <t>ENGL 012B</t>
  </si>
  <si>
    <t>ENGL 031 PZ-01</t>
  </si>
  <si>
    <t>ENGL 031</t>
  </si>
  <si>
    <t>ENGL 031 PZ-02</t>
  </si>
  <si>
    <t>ENGL 032 PZ-01</t>
  </si>
  <si>
    <t>ENGL 032</t>
  </si>
  <si>
    <t>ENGL 061</t>
  </si>
  <si>
    <t>ENGL 064B PO-01</t>
  </si>
  <si>
    <t>ENGL 064B</t>
  </si>
  <si>
    <t>ENGL 067 PO-01</t>
  </si>
  <si>
    <t>ENGL 067</t>
  </si>
  <si>
    <t>ENGL 073 PO-01</t>
  </si>
  <si>
    <t>ENGL 073</t>
  </si>
  <si>
    <t>ENGL 075 PO-01</t>
  </si>
  <si>
    <t>ENGL 075</t>
  </si>
  <si>
    <t>ENGL 089A PO-01</t>
  </si>
  <si>
    <t>ENGL 089A</t>
  </si>
  <si>
    <t>ENGL 093 PO-01</t>
  </si>
  <si>
    <t>ENGL 093</t>
  </si>
  <si>
    <t>ENGL 099 PO-01</t>
  </si>
  <si>
    <t>ENGL 099</t>
  </si>
  <si>
    <t>ENGL 102 SC-01</t>
  </si>
  <si>
    <t>ENGL 102</t>
  </si>
  <si>
    <t>ENGL 111 SC-01</t>
  </si>
  <si>
    <t>ENGL 111</t>
  </si>
  <si>
    <t>ENGL 118S SC-01</t>
  </si>
  <si>
    <t>ENGL 118S</t>
  </si>
  <si>
    <t>ENGL 121 SC-01</t>
  </si>
  <si>
    <t>ENGL 121</t>
  </si>
  <si>
    <t>ENGL 122 AF-01</t>
  </si>
  <si>
    <t>ENGL 122</t>
  </si>
  <si>
    <t>ENGL 124 AF-01</t>
  </si>
  <si>
    <t>ENGL 124</t>
  </si>
  <si>
    <t>ENGL 130 PZ-01</t>
  </si>
  <si>
    <t>ENGL 130</t>
  </si>
  <si>
    <t>ENGL 131 SC-01</t>
  </si>
  <si>
    <t>ENGL 131</t>
  </si>
  <si>
    <t>ENGL 135 PZ-01</t>
  </si>
  <si>
    <t>ENGL 135</t>
  </si>
  <si>
    <t>ENGL 138 PO-01</t>
  </si>
  <si>
    <t>ENGL 138</t>
  </si>
  <si>
    <t>ENGL 143S SC-01</t>
  </si>
  <si>
    <t>ENGL 143S</t>
  </si>
  <si>
    <t>ENGL 156 PO-01</t>
  </si>
  <si>
    <t>ENGL 156</t>
  </si>
  <si>
    <t>ENGL 157 SC-01</t>
  </si>
  <si>
    <t>ENGL 157</t>
  </si>
  <si>
    <t>ENGL 161 SC-01</t>
  </si>
  <si>
    <t>ENGL 161</t>
  </si>
  <si>
    <t>ENGL 170G PO-01</t>
  </si>
  <si>
    <t>ENGL 170G</t>
  </si>
  <si>
    <t>ENGL 171S SC-01</t>
  </si>
  <si>
    <t>ENGL 171S</t>
  </si>
  <si>
    <t>ENGL 191 PO-04</t>
  </si>
  <si>
    <t>ENGL 191</t>
  </si>
  <si>
    <t>ENGL 191 PO-08</t>
  </si>
  <si>
    <t>ENGL 191 PO-12</t>
  </si>
  <si>
    <t>ENGL 191 PO-16</t>
  </si>
  <si>
    <t>ENGL 191 PO-20</t>
  </si>
  <si>
    <t>ENGL 191 PO-24</t>
  </si>
  <si>
    <t>ENGL 191 PO-28</t>
  </si>
  <si>
    <t>ENGL 193 SC-01</t>
  </si>
  <si>
    <t>ENGL 193</t>
  </si>
  <si>
    <t>ENGL 194S SC-01</t>
  </si>
  <si>
    <t>ENGL 194S</t>
  </si>
  <si>
    <t>ENGL 195 PO-04</t>
  </si>
  <si>
    <t>ENGL 195</t>
  </si>
  <si>
    <t>ENGL 199T SC-01</t>
  </si>
  <si>
    <t>ENGL 199T</t>
  </si>
  <si>
    <t>ENGR 004 HM-01</t>
  </si>
  <si>
    <t>ENGR 004</t>
  </si>
  <si>
    <t>ENGR 004 HM-02</t>
  </si>
  <si>
    <t>ENGR 004L HM-01</t>
  </si>
  <si>
    <t>ENGR 004L</t>
  </si>
  <si>
    <t>ENGR 004L HM-02</t>
  </si>
  <si>
    <t>ENGR 004L HM-03</t>
  </si>
  <si>
    <t>ENGR 004L HM-04</t>
  </si>
  <si>
    <t>ENGR 072 HM-01</t>
  </si>
  <si>
    <t>ENGR 072</t>
  </si>
  <si>
    <t>ENGR 072 HM-02</t>
  </si>
  <si>
    <t>ENGR 082 HM-01</t>
  </si>
  <si>
    <t>ENGR 082</t>
  </si>
  <si>
    <t>ENGR 083 HM-01</t>
  </si>
  <si>
    <t>ENGR 083</t>
  </si>
  <si>
    <t>ENGR 084 HM-01</t>
  </si>
  <si>
    <t>ENGR 084</t>
  </si>
  <si>
    <t>ENGR 085 HM-01</t>
  </si>
  <si>
    <t>ENGR 085</t>
  </si>
  <si>
    <t>ENGR 085A HM-01</t>
  </si>
  <si>
    <t>ENGR 085A</t>
  </si>
  <si>
    <t>ENGR 086 HM-01</t>
  </si>
  <si>
    <t>ENGR 086</t>
  </si>
  <si>
    <t>ENGR 102 HM-01</t>
  </si>
  <si>
    <t>ENGR 102</t>
  </si>
  <si>
    <t>ENGR 111 HM-01</t>
  </si>
  <si>
    <t>ENGR 111</t>
  </si>
  <si>
    <t>ENGR 113 HM-01</t>
  </si>
  <si>
    <t>ENGR 113</t>
  </si>
  <si>
    <t>ENGR 114 HM-01</t>
  </si>
  <si>
    <t>ENGR 114</t>
  </si>
  <si>
    <t>ENGR 122 HM-01</t>
  </si>
  <si>
    <t>ENGR 122</t>
  </si>
  <si>
    <t>ENGR 124 HM-01</t>
  </si>
  <si>
    <t>ENGR 124</t>
  </si>
  <si>
    <t>ENGR 134 HM-01</t>
  </si>
  <si>
    <t>ENGR 134</t>
  </si>
  <si>
    <t>ENGR 151 HM-01</t>
  </si>
  <si>
    <t>ENGR 151</t>
  </si>
  <si>
    <t>ENGR 161 HM-01</t>
  </si>
  <si>
    <t>ENGR 161</t>
  </si>
  <si>
    <t>ENGR 164 HM-01</t>
  </si>
  <si>
    <t>ENGR 164</t>
  </si>
  <si>
    <t>ENGR 178 HM-01</t>
  </si>
  <si>
    <t>ENGR 178</t>
  </si>
  <si>
    <t>ENGR 180 HM-01</t>
  </si>
  <si>
    <t>ENGR 180</t>
  </si>
  <si>
    <t>ENGR 182 HM-01</t>
  </si>
  <si>
    <t>ENGR 182</t>
  </si>
  <si>
    <t>ENGR 185A HM-01</t>
  </si>
  <si>
    <t>ENGR 185A</t>
  </si>
  <si>
    <t>ENGR 185B HM-01</t>
  </si>
  <si>
    <t>ENGR 185B</t>
  </si>
  <si>
    <t>ENGR 185B HM-02</t>
  </si>
  <si>
    <t>ENGR 190AS HM-01</t>
  </si>
  <si>
    <t>ENGR 190AS</t>
  </si>
  <si>
    <t>ENGR 190AV HM-01</t>
  </si>
  <si>
    <t>ENGR 190AV</t>
  </si>
  <si>
    <t>ENGR 190AX HM-01</t>
  </si>
  <si>
    <t>ENGR 190AX</t>
  </si>
  <si>
    <t>ENGR 190AY HM-01</t>
  </si>
  <si>
    <t>ENGR 190AY</t>
  </si>
  <si>
    <t>ENGR 190AZ HM-01</t>
  </si>
  <si>
    <t>ENGR 190AZ</t>
  </si>
  <si>
    <t>ENGR 190Z HM-01</t>
  </si>
  <si>
    <t>ENGR 190Z</t>
  </si>
  <si>
    <t>ENGR 191 HM-01</t>
  </si>
  <si>
    <t>ENGR 191</t>
  </si>
  <si>
    <t>ENGR 206 HM-01</t>
  </si>
  <si>
    <t>ENGR 206</t>
  </si>
  <si>
    <t>ENGR 240 HM-01</t>
  </si>
  <si>
    <t>ENGR 240</t>
  </si>
  <si>
    <t>FGSS 184 SC-01</t>
  </si>
  <si>
    <t>FGSS 184</t>
  </si>
  <si>
    <t>FGSS 186 SC-01</t>
  </si>
  <si>
    <t>FGSS 186</t>
  </si>
  <si>
    <t>FGSS 191 SC-01</t>
  </si>
  <si>
    <t>FGSS 191</t>
  </si>
  <si>
    <t>FHS 010 CM-01</t>
  </si>
  <si>
    <t>FHS 010</t>
  </si>
  <si>
    <t>FHS 010 CM-02</t>
  </si>
  <si>
    <t>FHS 010 CM-03</t>
  </si>
  <si>
    <t>FHS 010 CM-04</t>
  </si>
  <si>
    <t>FHS 010 CM-05</t>
  </si>
  <si>
    <t>FHS 010 CM-06</t>
  </si>
  <si>
    <t>FHS 010 CM-07</t>
  </si>
  <si>
    <t>FHS 010 CM-08</t>
  </si>
  <si>
    <t>FHS 010 CM-09</t>
  </si>
  <si>
    <t>FHS 010 CM-10</t>
  </si>
  <si>
    <t>FHS 010 CM-11</t>
  </si>
  <si>
    <t>FIN 301B CM-01</t>
  </si>
  <si>
    <t>FIN 301B</t>
  </si>
  <si>
    <t>FIN 330 CM-01</t>
  </si>
  <si>
    <t>FIN 330</t>
  </si>
  <si>
    <t>FIN 410 CM-01</t>
  </si>
  <si>
    <t>FIN 410</t>
  </si>
  <si>
    <t>FIN 425 CM-01</t>
  </si>
  <si>
    <t>FIN 425</t>
  </si>
  <si>
    <t>FLAN 191 SC-01</t>
  </si>
  <si>
    <t>FLAN 191</t>
  </si>
  <si>
    <t>FREN 001 SC-01</t>
  </si>
  <si>
    <t>FREN 001</t>
  </si>
  <si>
    <t>FREN 002 CM-01</t>
  </si>
  <si>
    <t>FREN 002</t>
  </si>
  <si>
    <t>FREN 002 CM-02</t>
  </si>
  <si>
    <t>FREN 002 PO-01</t>
  </si>
  <si>
    <t>FREN 011 PO-01</t>
  </si>
  <si>
    <t>FREN 011</t>
  </si>
  <si>
    <t>FREN 013 PO-01</t>
  </si>
  <si>
    <t>FREN 013</t>
  </si>
  <si>
    <t>FREN 033 CM-01</t>
  </si>
  <si>
    <t>FREN 033</t>
  </si>
  <si>
    <t>FREN 033 PO-01</t>
  </si>
  <si>
    <t>FREN 033 PO-02</t>
  </si>
  <si>
    <t>FREN 033 SC-01</t>
  </si>
  <si>
    <t>FREN 044 PO-01</t>
  </si>
  <si>
    <t>FREN 044</t>
  </si>
  <si>
    <t>FREN 044 PO-02</t>
  </si>
  <si>
    <t>FREN 044 PZ-01</t>
  </si>
  <si>
    <t>FREN 044 SC-01</t>
  </si>
  <si>
    <t>FREN 100 SC-01</t>
  </si>
  <si>
    <t>FREN 100</t>
  </si>
  <si>
    <t>FREN 101 PO-01</t>
  </si>
  <si>
    <t>FREN 101</t>
  </si>
  <si>
    <t>FREN 103 PO-01</t>
  </si>
  <si>
    <t>FREN 103</t>
  </si>
  <si>
    <t>FREN 106 PO-01</t>
  </si>
  <si>
    <t>FREN 106</t>
  </si>
  <si>
    <t>FREN 115 CM-01</t>
  </si>
  <si>
    <t>FREN 115</t>
  </si>
  <si>
    <t>FREN 122 SC-01</t>
  </si>
  <si>
    <t>FREN 122</t>
  </si>
  <si>
    <t>FREN 150C PO-01</t>
  </si>
  <si>
    <t>FREN 150C</t>
  </si>
  <si>
    <t>FREN 175 PO-01</t>
  </si>
  <si>
    <t>FREN 175</t>
  </si>
  <si>
    <t>FREN 182 SC-01</t>
  </si>
  <si>
    <t>FREN 182</t>
  </si>
  <si>
    <t>FREN 191 PO-04</t>
  </si>
  <si>
    <t>FREN 191</t>
  </si>
  <si>
    <t>FREN 191 PO-08</t>
  </si>
  <si>
    <t>FREN 191 PO-12</t>
  </si>
  <si>
    <t>FREN 191 SC-01</t>
  </si>
  <si>
    <t>FREN 192 PO-04</t>
  </si>
  <si>
    <t>FREN 192</t>
  </si>
  <si>
    <t>FREN 192 PO-08</t>
  </si>
  <si>
    <t>FREN 192 PO-12</t>
  </si>
  <si>
    <t>FREN 193 PO-04</t>
  </si>
  <si>
    <t>FREN 193</t>
  </si>
  <si>
    <t>FS 001 PZ-01</t>
  </si>
  <si>
    <t>FS 001</t>
  </si>
  <si>
    <t>FS 013 PZ-01</t>
  </si>
  <si>
    <t>FS 013</t>
  </si>
  <si>
    <t>FS 022 PZ-01</t>
  </si>
  <si>
    <t>FS 022</t>
  </si>
  <si>
    <t>FWS 010 CM-01</t>
  </si>
  <si>
    <t>FWS 010</t>
  </si>
  <si>
    <t>FWS 010 CM-02</t>
  </si>
  <si>
    <t>FWS 010 CM-03</t>
  </si>
  <si>
    <t>FWS 010 CM-04</t>
  </si>
  <si>
    <t>FWS 010 CM-05</t>
  </si>
  <si>
    <t>FWS 010 CM-06</t>
  </si>
  <si>
    <t>FWS 010 CM-07</t>
  </si>
  <si>
    <t>FWS 010 CM-08</t>
  </si>
  <si>
    <t>FWS 010 CM-09</t>
  </si>
  <si>
    <t>FWS 010 CM-10</t>
  </si>
  <si>
    <t>FWS 010 CM-11</t>
  </si>
  <si>
    <t>FWS 010 CM-12</t>
  </si>
  <si>
    <t>FWS 010 CM-13</t>
  </si>
  <si>
    <t>GEOG 179F HM-01</t>
  </si>
  <si>
    <t>GEOG 179F</t>
  </si>
  <si>
    <t>GEOL 020A PO-01</t>
  </si>
  <si>
    <t>GEOL 020A</t>
  </si>
  <si>
    <t>GEOL 020A PO-02</t>
  </si>
  <si>
    <t>GEOL 020C PO-01</t>
  </si>
  <si>
    <t>GEOL 020C</t>
  </si>
  <si>
    <t>GEOL 121 PO-01</t>
  </si>
  <si>
    <t>GEOL 121</t>
  </si>
  <si>
    <t>GEOL 125 PO-01</t>
  </si>
  <si>
    <t>GEOL 125</t>
  </si>
  <si>
    <t>GEOL 127 PO-01</t>
  </si>
  <si>
    <t>GEOL 127</t>
  </si>
  <si>
    <t>GEOL 131 PO-01</t>
  </si>
  <si>
    <t>GEOL 131</t>
  </si>
  <si>
    <t>GEOL 189C PO-01</t>
  </si>
  <si>
    <t>GEOL 189C</t>
  </si>
  <si>
    <t>GEOL 189D PO-01</t>
  </si>
  <si>
    <t>GEOL 189D</t>
  </si>
  <si>
    <t>GEOL 192 PO-04</t>
  </si>
  <si>
    <t>GEOL 192</t>
  </si>
  <si>
    <t>GEOL 192 PO-08</t>
  </si>
  <si>
    <t>GERM 002 PO-01</t>
  </si>
  <si>
    <t>GERM 002</t>
  </si>
  <si>
    <t>GERM 010 PO-01</t>
  </si>
  <si>
    <t>GERM 010</t>
  </si>
  <si>
    <t>GERM 011 PO-01</t>
  </si>
  <si>
    <t>GERM 011</t>
  </si>
  <si>
    <t>GERM 013 PO-01</t>
  </si>
  <si>
    <t>GERM 013</t>
  </si>
  <si>
    <t>GERM 044 SC-01</t>
  </si>
  <si>
    <t>GERM 044</t>
  </si>
  <si>
    <t>GERM 103 PO-01</t>
  </si>
  <si>
    <t>GERM 103</t>
  </si>
  <si>
    <t>GERM 109 SC-01</t>
  </si>
  <si>
    <t>GERM 109</t>
  </si>
  <si>
    <t>GERM 191 PO-04</t>
  </si>
  <si>
    <t>GERM 191</t>
  </si>
  <si>
    <t>GERM 191 SC-01</t>
  </si>
  <si>
    <t>GERM 193 PO-04</t>
  </si>
  <si>
    <t>GERM 193</t>
  </si>
  <si>
    <t>GLAS 180IO PZ-01</t>
  </si>
  <si>
    <t>GLAS 180IO</t>
  </si>
  <si>
    <t>GOVT 020 CM-01</t>
  </si>
  <si>
    <t>GOVT 020</t>
  </si>
  <si>
    <t>GOVT 020 CM-02</t>
  </si>
  <si>
    <t>GOVT 020 CM-03</t>
  </si>
  <si>
    <t>GOVT 020 CM-04</t>
  </si>
  <si>
    <t>GOVT 020 CM-05</t>
  </si>
  <si>
    <t>GOVT 020 CM-06</t>
  </si>
  <si>
    <t>GOVT 020 CM-07</t>
  </si>
  <si>
    <t>GOVT 020 CM-08</t>
  </si>
  <si>
    <t>GOVT 020 CM-09</t>
  </si>
  <si>
    <t>GOVT 041 CM-01</t>
  </si>
  <si>
    <t>GOVT 041</t>
  </si>
  <si>
    <t>GOVT 041B CM-01</t>
  </si>
  <si>
    <t>GOVT 041B</t>
  </si>
  <si>
    <t>GOVT 050 CM-01</t>
  </si>
  <si>
    <t>GOVT 050</t>
  </si>
  <si>
    <t>GOVT 055 CM-01</t>
  </si>
  <si>
    <t>GOVT 055</t>
  </si>
  <si>
    <t>GOVT 060 CM-01</t>
  </si>
  <si>
    <t>GOVT 060</t>
  </si>
  <si>
    <t>GOVT 060 CM-02</t>
  </si>
  <si>
    <t>GOVT 065 CM-01</t>
  </si>
  <si>
    <t>GOVT 065</t>
  </si>
  <si>
    <t>GOVT 070 CM-01</t>
  </si>
  <si>
    <t>GOVT 070</t>
  </si>
  <si>
    <t>GOVT 070 CM-02</t>
  </si>
  <si>
    <t>GOVT 070H CM-01</t>
  </si>
  <si>
    <t>GOVT 070H</t>
  </si>
  <si>
    <t>GOVT 071 CM-01</t>
  </si>
  <si>
    <t>GOVT 071</t>
  </si>
  <si>
    <t>GOVT 080 CM-01</t>
  </si>
  <si>
    <t>GOVT 080</t>
  </si>
  <si>
    <t>GOVT 080 CM-02</t>
  </si>
  <si>
    <t>GOVT 097 CM-01</t>
  </si>
  <si>
    <t>GOVT 097</t>
  </si>
  <si>
    <t>GOVT 100 CM-01</t>
  </si>
  <si>
    <t>GOVT 100</t>
  </si>
  <si>
    <t>GOVT 101 CM-01</t>
  </si>
  <si>
    <t>GOVT 101</t>
  </si>
  <si>
    <t>GOVT 110 CM-01</t>
  </si>
  <si>
    <t>GOVT 110</t>
  </si>
  <si>
    <t>GOVT 112A CM-01</t>
  </si>
  <si>
    <t>GOVT 112A</t>
  </si>
  <si>
    <t>GOVT 117 CM-01</t>
  </si>
  <si>
    <t>GOVT 117</t>
  </si>
  <si>
    <t>GOVT 119 CM-01</t>
  </si>
  <si>
    <t>GOVT 119</t>
  </si>
  <si>
    <t>GOVT 124A CM-01</t>
  </si>
  <si>
    <t>GOVT 124A</t>
  </si>
  <si>
    <t>GOVT 128 JT-01</t>
  </si>
  <si>
    <t>GOVT 128</t>
  </si>
  <si>
    <t>GOVT 131 CM-01</t>
  </si>
  <si>
    <t>GOVT 131</t>
  </si>
  <si>
    <t>GOVT 137B CM-01</t>
  </si>
  <si>
    <t>GOVT 137B</t>
  </si>
  <si>
    <t>GOVT 140 CM-01</t>
  </si>
  <si>
    <t>GOVT 140</t>
  </si>
  <si>
    <t>GOVT 142 CM-01</t>
  </si>
  <si>
    <t>GOVT 142</t>
  </si>
  <si>
    <t>GOVT 142C CM-01</t>
  </si>
  <si>
    <t>GOVT 142C</t>
  </si>
  <si>
    <t>GOVT 143C CM-01</t>
  </si>
  <si>
    <t>GOVT 143C</t>
  </si>
  <si>
    <t>GOVT 143C CM-02</t>
  </si>
  <si>
    <t>GOVT 147 CM-01</t>
  </si>
  <si>
    <t>GOVT 147</t>
  </si>
  <si>
    <t>GOVT 148 CM-01</t>
  </si>
  <si>
    <t>GOVT 148</t>
  </si>
  <si>
    <t>GOVT 149 CM-01</t>
  </si>
  <si>
    <t>GOVT 149</t>
  </si>
  <si>
    <t>GOVT 149 CM-02</t>
  </si>
  <si>
    <t>GOVT 155 CM-01</t>
  </si>
  <si>
    <t>GOVT 155</t>
  </si>
  <si>
    <t>GOVT 156E CM-01</t>
  </si>
  <si>
    <t>GOVT 156E</t>
  </si>
  <si>
    <t>GOVT 157S CM-01</t>
  </si>
  <si>
    <t>GOVT 157S</t>
  </si>
  <si>
    <t>GOVT 157SB CM-01</t>
  </si>
  <si>
    <t>GOVT 157SB</t>
  </si>
  <si>
    <t>GOVT 166 CM-01</t>
  </si>
  <si>
    <t>GOVT 166</t>
  </si>
  <si>
    <t>GOVT 172 CM-01</t>
  </si>
  <si>
    <t>GOVT 172</t>
  </si>
  <si>
    <t>GOVT 191 CM-01</t>
  </si>
  <si>
    <t>GOVT 191</t>
  </si>
  <si>
    <t>GOVT 192 CM-01</t>
  </si>
  <si>
    <t>GOVT 192</t>
  </si>
  <si>
    <t>GOVT 999 CM-01</t>
  </si>
  <si>
    <t>GOVT 999</t>
  </si>
  <si>
    <t>GOVT 999 CM-02</t>
  </si>
  <si>
    <t>GREK 022 PO-01</t>
  </si>
  <si>
    <t>GREK 022</t>
  </si>
  <si>
    <t>GREK 033 SC-01</t>
  </si>
  <si>
    <t>GREK 033</t>
  </si>
  <si>
    <t>GREK 044 SC-01</t>
  </si>
  <si>
    <t>GREK 044</t>
  </si>
  <si>
    <t>GREK 104 PO-01</t>
  </si>
  <si>
    <t>GREK 104</t>
  </si>
  <si>
    <t>GRMT 014 PO-01</t>
  </si>
  <si>
    <t>GRMT 014</t>
  </si>
  <si>
    <t>GRMT 102 SC-01</t>
  </si>
  <si>
    <t>GRMT 102</t>
  </si>
  <si>
    <t>GRMT 114 SC-01</t>
  </si>
  <si>
    <t>GRMT 114</t>
  </si>
  <si>
    <t>GWS 026 PO-01</t>
  </si>
  <si>
    <t>GWS 026</t>
  </si>
  <si>
    <t>GWS 026 PO-02</t>
  </si>
  <si>
    <t>GWS 026 PO-03</t>
  </si>
  <si>
    <t>GWS 172 PO-01</t>
  </si>
  <si>
    <t>GWS 172</t>
  </si>
  <si>
    <t>GWS 182 PO-01</t>
  </si>
  <si>
    <t>GWS 182</t>
  </si>
  <si>
    <t>GWS 186 PO-01</t>
  </si>
  <si>
    <t>GWS 186</t>
  </si>
  <si>
    <t>GWS 191 PO-04</t>
  </si>
  <si>
    <t>GWS 191</t>
  </si>
  <si>
    <t>HIST 011 PO-01</t>
  </si>
  <si>
    <t>HIST 011</t>
  </si>
  <si>
    <t>HIST 021 PO-01</t>
  </si>
  <si>
    <t>HIST 021</t>
  </si>
  <si>
    <t>HIST 024 PO-01</t>
  </si>
  <si>
    <t>HIST 024</t>
  </si>
  <si>
    <t>HIST 032 CH-01</t>
  </si>
  <si>
    <t>HIST 032</t>
  </si>
  <si>
    <t>HIST 041 AF-01</t>
  </si>
  <si>
    <t>HIST 041</t>
  </si>
  <si>
    <t>HIST 043 PO-01</t>
  </si>
  <si>
    <t>HIST 043</t>
  </si>
  <si>
    <t>HIST 048 SC-01</t>
  </si>
  <si>
    <t>HIST 048</t>
  </si>
  <si>
    <t>HIST 050B AF-01</t>
  </si>
  <si>
    <t>HIST 050B</t>
  </si>
  <si>
    <t>HIST 060 PO-01</t>
  </si>
  <si>
    <t>HIST 060</t>
  </si>
  <si>
    <t>HIST 060 PZ-01</t>
  </si>
  <si>
    <t>HIST 062 PO-01</t>
  </si>
  <si>
    <t>HIST 062</t>
  </si>
  <si>
    <t>HIST 066 PZ-01</t>
  </si>
  <si>
    <t>HIST 066</t>
  </si>
  <si>
    <t>HIST 067 PZ-01</t>
  </si>
  <si>
    <t>HIST 067</t>
  </si>
  <si>
    <t>HIST 071 PO-01</t>
  </si>
  <si>
    <t>HIST 071</t>
  </si>
  <si>
    <t>HIST 089A PO-01</t>
  </si>
  <si>
    <t>HIST 089A</t>
  </si>
  <si>
    <t>HIST 096 CM-01</t>
  </si>
  <si>
    <t>HIST 096</t>
  </si>
  <si>
    <t>HIST 096 CM-02</t>
  </si>
  <si>
    <t>HIST 098 PZ-01</t>
  </si>
  <si>
    <t>HIST 098</t>
  </si>
  <si>
    <t>HIST 101 CM-01</t>
  </si>
  <si>
    <t>HIST 101</t>
  </si>
  <si>
    <t>HIST 101 CM-02</t>
  </si>
  <si>
    <t>HIST 101A PO-01</t>
  </si>
  <si>
    <t>HIST 101A</t>
  </si>
  <si>
    <t>HIST 101Q PO-01</t>
  </si>
  <si>
    <t>HIST 101Q</t>
  </si>
  <si>
    <t>HIST 101S CH-01</t>
  </si>
  <si>
    <t>HIST 101S</t>
  </si>
  <si>
    <t>HIST 101W PO-01</t>
  </si>
  <si>
    <t>HIST 101W</t>
  </si>
  <si>
    <t>HIST 112 PZ-01</t>
  </si>
  <si>
    <t>HIST 112</t>
  </si>
  <si>
    <t>HIST 113 SC-01</t>
  </si>
  <si>
    <t>HIST 113</t>
  </si>
  <si>
    <t>HIST 120 CM-01</t>
  </si>
  <si>
    <t>HIST 120</t>
  </si>
  <si>
    <t>HIST 120 CM-02</t>
  </si>
  <si>
    <t>HIST 122 CM-01</t>
  </si>
  <si>
    <t>HIST 122</t>
  </si>
  <si>
    <t>HIST 122 CM-02</t>
  </si>
  <si>
    <t>HIST 127 CH-01</t>
  </si>
  <si>
    <t>HIST 127</t>
  </si>
  <si>
    <t>HIST 127 SC-01</t>
  </si>
  <si>
    <t>HIST 130 CH-01</t>
  </si>
  <si>
    <t>HIST 130</t>
  </si>
  <si>
    <t>HIST 130 PZ-01</t>
  </si>
  <si>
    <t>HIST 140 AF-01</t>
  </si>
  <si>
    <t>HIST 140</t>
  </si>
  <si>
    <t>HIST 140 CM-01</t>
  </si>
  <si>
    <t>HIST 141 SC-01</t>
  </si>
  <si>
    <t>HIST 141</t>
  </si>
  <si>
    <t>HIST 148A PZ-01</t>
  </si>
  <si>
    <t>HIST 148A</t>
  </si>
  <si>
    <t>HIST 152 HM-01</t>
  </si>
  <si>
    <t>HIST 152</t>
  </si>
  <si>
    <t>HIST 153 AF-01</t>
  </si>
  <si>
    <t>HIST 153</t>
  </si>
  <si>
    <t>HIST 155 SC-01</t>
  </si>
  <si>
    <t>HIST 155</t>
  </si>
  <si>
    <t>HIST 161 CM-01</t>
  </si>
  <si>
    <t>HIST 161</t>
  </si>
  <si>
    <t>HIST 162 PZ-01</t>
  </si>
  <si>
    <t>HIST 162</t>
  </si>
  <si>
    <t>HIST 169 SC-01</t>
  </si>
  <si>
    <t>HIST 169</t>
  </si>
  <si>
    <t>HIST 169B CM-01</t>
  </si>
  <si>
    <t>HIST 169B</t>
  </si>
  <si>
    <t>HIST 169B CM-02</t>
  </si>
  <si>
    <t>HIST 172 CM-01</t>
  </si>
  <si>
    <t>HIST 172</t>
  </si>
  <si>
    <t>HIST 179 PO-01</t>
  </si>
  <si>
    <t>HIST 179</t>
  </si>
  <si>
    <t>HIST 180 SC-01</t>
  </si>
  <si>
    <t>HIST 180</t>
  </si>
  <si>
    <t>HIST 185 PZ-01</t>
  </si>
  <si>
    <t>HIST 185</t>
  </si>
  <si>
    <t>HIST 186B CM-01</t>
  </si>
  <si>
    <t>HIST 186B</t>
  </si>
  <si>
    <t>HIST 191 PO-04</t>
  </si>
  <si>
    <t>HIST 191</t>
  </si>
  <si>
    <t>HIST 192 PO-04</t>
  </si>
  <si>
    <t>HIST 192</t>
  </si>
  <si>
    <t>HIST 192 SC-01</t>
  </si>
  <si>
    <t>HIST 193 PO-04</t>
  </si>
  <si>
    <t>HIST 193</t>
  </si>
  <si>
    <t>HMSC 192 SC-01</t>
  </si>
  <si>
    <t>HMSC 192</t>
  </si>
  <si>
    <t>HSA 010 HM-01</t>
  </si>
  <si>
    <t>HSA 010 HM-02</t>
  </si>
  <si>
    <t>HSA 010 HM-03</t>
  </si>
  <si>
    <t>HSA 010 HM-04</t>
  </si>
  <si>
    <t>HSA 010 HM-05</t>
  </si>
  <si>
    <t>HSA 010 HM-06</t>
  </si>
  <si>
    <t>HSA 010 HM-07</t>
  </si>
  <si>
    <t>HSA 010 HM-08</t>
  </si>
  <si>
    <t>HSA 010 HM-09</t>
  </si>
  <si>
    <t>HSA 010 HM-10</t>
  </si>
  <si>
    <t>HSA 010 HM-11</t>
  </si>
  <si>
    <t>HSA 010 HM-12</t>
  </si>
  <si>
    <t>HSA 010 HM-13</t>
  </si>
  <si>
    <t>HSA 010 HM-14</t>
  </si>
  <si>
    <t>HSA 010 HM-15</t>
  </si>
  <si>
    <t>HUM 195J SC-01</t>
  </si>
  <si>
    <t>HUM 195J</t>
  </si>
  <si>
    <t>HUM 196 PO-01</t>
  </si>
  <si>
    <t>HUM 196</t>
  </si>
  <si>
    <t>ID 011 PO-01</t>
  </si>
  <si>
    <t>ID 011</t>
  </si>
  <si>
    <t>ID 022 PO-01</t>
  </si>
  <si>
    <t>ID 022</t>
  </si>
  <si>
    <t>ID 048 HM-01</t>
  </si>
  <si>
    <t>ID 048</t>
  </si>
  <si>
    <t>ID 080 CM-01</t>
  </si>
  <si>
    <t>ID 080</t>
  </si>
  <si>
    <t>ID 150B CM-01</t>
  </si>
  <si>
    <t>ID 150B</t>
  </si>
  <si>
    <t>ID 176 PO-01</t>
  </si>
  <si>
    <t>ID 176</t>
  </si>
  <si>
    <t>ID 177 PO-01</t>
  </si>
  <si>
    <t>ID 177</t>
  </si>
  <si>
    <t>ID 178 PO-01</t>
  </si>
  <si>
    <t>ID 178</t>
  </si>
  <si>
    <t>ID 179 PO-01</t>
  </si>
  <si>
    <t>ID 179</t>
  </si>
  <si>
    <t>ID 180 PO-01</t>
  </si>
  <si>
    <t>ID 180</t>
  </si>
  <si>
    <t>ID 181 PO-01</t>
  </si>
  <si>
    <t>ID 181</t>
  </si>
  <si>
    <t>ID 182 PO-01</t>
  </si>
  <si>
    <t>ID 182</t>
  </si>
  <si>
    <t>ID 183 PO-01</t>
  </si>
  <si>
    <t>ID 183</t>
  </si>
  <si>
    <t>ID 184 PO-01</t>
  </si>
  <si>
    <t>ID 184</t>
  </si>
  <si>
    <t>ID 185 PO-01</t>
  </si>
  <si>
    <t>ID 185</t>
  </si>
  <si>
    <t>ID 186 PO-01</t>
  </si>
  <si>
    <t>ID 186</t>
  </si>
  <si>
    <t>ID 187 PO-01</t>
  </si>
  <si>
    <t>ID 187</t>
  </si>
  <si>
    <t>ID 188 PO-01</t>
  </si>
  <si>
    <t>ID 188</t>
  </si>
  <si>
    <t>ID 189 PO-01</t>
  </si>
  <si>
    <t>ID 189</t>
  </si>
  <si>
    <t>ID 199P2 PO-01</t>
  </si>
  <si>
    <t>ID 199P2</t>
  </si>
  <si>
    <t>ID 199P4 PO-01</t>
  </si>
  <si>
    <t>ID 199P4</t>
  </si>
  <si>
    <t>ID 199S1 PO-01</t>
  </si>
  <si>
    <t>ID 199S1</t>
  </si>
  <si>
    <t>ID 199S4 PO-01</t>
  </si>
  <si>
    <t>ID 199S4</t>
  </si>
  <si>
    <t>IR 118 PO-01</t>
  </si>
  <si>
    <t>IR 118</t>
  </si>
  <si>
    <t>IR 190 PO-01</t>
  </si>
  <si>
    <t>IR 190</t>
  </si>
  <si>
    <t>IR 191 PO-04</t>
  </si>
  <si>
    <t>IR 191</t>
  </si>
  <si>
    <t>ITAL 001 SC-01</t>
  </si>
  <si>
    <t>ITAL 001</t>
  </si>
  <si>
    <t>ITAL 002 SC-01</t>
  </si>
  <si>
    <t>ITAL 002</t>
  </si>
  <si>
    <t>ITAL 002 SC-02</t>
  </si>
  <si>
    <t>ITAL 033 SC-01</t>
  </si>
  <si>
    <t>ITAL 033</t>
  </si>
  <si>
    <t>ITAL 044 SC-01</t>
  </si>
  <si>
    <t>ITAL 044</t>
  </si>
  <si>
    <t>ITAL 121 SC-01</t>
  </si>
  <si>
    <t>ITAL 121</t>
  </si>
  <si>
    <t>ITAL 191 SC-01</t>
  </si>
  <si>
    <t>ITAL 191</t>
  </si>
  <si>
    <t>JAPN 001B PO-01</t>
  </si>
  <si>
    <t>JAPN 001B</t>
  </si>
  <si>
    <t>JAPN 001B PO-02</t>
  </si>
  <si>
    <t>JAPN 001B PO-03</t>
  </si>
  <si>
    <t>JAPN 001B PO-04</t>
  </si>
  <si>
    <t>JAPN 011 PO-01</t>
  </si>
  <si>
    <t>JAPN 011</t>
  </si>
  <si>
    <t>JAPN 012B PO-01</t>
  </si>
  <si>
    <t>JAPN 012B</t>
  </si>
  <si>
    <t>JAPN 013 PO-01</t>
  </si>
  <si>
    <t>JAPN 013</t>
  </si>
  <si>
    <t>JAPN 014B PO-01</t>
  </si>
  <si>
    <t>JAPN 014B</t>
  </si>
  <si>
    <t>JAPN 051B PO-01</t>
  </si>
  <si>
    <t>JAPN 051B</t>
  </si>
  <si>
    <t>JAPN 051B PO-02</t>
  </si>
  <si>
    <t>JAPN 111B PO-01</t>
  </si>
  <si>
    <t>JAPN 111B</t>
  </si>
  <si>
    <t>JAPN 131 PO-01</t>
  </si>
  <si>
    <t>JAPN 131</t>
  </si>
  <si>
    <t>JAPN 191H PO-04</t>
  </si>
  <si>
    <t>JAPN 191H</t>
  </si>
  <si>
    <t>JAPN 192 PO-04</t>
  </si>
  <si>
    <t>JAPN 192</t>
  </si>
  <si>
    <t>JPNT 175 PO-01</t>
  </si>
  <si>
    <t>JPNT 175</t>
  </si>
  <si>
    <t>JPNT 179 PO-01</t>
  </si>
  <si>
    <t>JPNT 179</t>
  </si>
  <si>
    <t>KORE 002 CM-01</t>
  </si>
  <si>
    <t>KORE 002</t>
  </si>
  <si>
    <t>KORE 002 CM-02</t>
  </si>
  <si>
    <t>KORE 002 CM-03</t>
  </si>
  <si>
    <t>KORE 044 CM-01</t>
  </si>
  <si>
    <t>KORE 044</t>
  </si>
  <si>
    <t>KRNT 130 CM-01</t>
  </si>
  <si>
    <t>KRNT 130</t>
  </si>
  <si>
    <t>LAST 191 SC-01</t>
  </si>
  <si>
    <t>LAST 191</t>
  </si>
  <si>
    <t>LATN 022 PO-01</t>
  </si>
  <si>
    <t>LATN 022</t>
  </si>
  <si>
    <t>LATN 033 PO-01</t>
  </si>
  <si>
    <t>LATN 033</t>
  </si>
  <si>
    <t>LATN 044 SC-01</t>
  </si>
  <si>
    <t>LATN 044</t>
  </si>
  <si>
    <t>LATN 103 PO-01</t>
  </si>
  <si>
    <t>LATN 103</t>
  </si>
  <si>
    <t>LEAD 010 CM-01</t>
  </si>
  <si>
    <t>LEAD 010</t>
  </si>
  <si>
    <t>LEAD 041 CM-01</t>
  </si>
  <si>
    <t>LEAD 041</t>
  </si>
  <si>
    <t>LEAD 142 CM-01</t>
  </si>
  <si>
    <t>LEAD 142</t>
  </si>
  <si>
    <t>LEAD 142 CM-02</t>
  </si>
  <si>
    <t>LEAD 151 HM-01</t>
  </si>
  <si>
    <t>LEAD 151</t>
  </si>
  <si>
    <t>LEAD 179D HM-01</t>
  </si>
  <si>
    <t>LEAD 179D</t>
  </si>
  <si>
    <t>LEAD 179D HM-02</t>
  </si>
  <si>
    <t>LEAD 179D HM-03</t>
  </si>
  <si>
    <t>LGCS 010 PO-01</t>
  </si>
  <si>
    <t>LGCS 010</t>
  </si>
  <si>
    <t>LGCS 010 PO-02</t>
  </si>
  <si>
    <t>LGCS 011 PO-01</t>
  </si>
  <si>
    <t>LGCS 011</t>
  </si>
  <si>
    <t>LGCS 011 PO-02</t>
  </si>
  <si>
    <t>LGCS 108 PO-01</t>
  </si>
  <si>
    <t>LGCS 108</t>
  </si>
  <si>
    <t>LGCS 110 PZ-01</t>
  </si>
  <si>
    <t>LGCS 110</t>
  </si>
  <si>
    <t>LGCS 112 PO-01</t>
  </si>
  <si>
    <t>LGCS 112</t>
  </si>
  <si>
    <t>LGCS 118 PO-01</t>
  </si>
  <si>
    <t>LGCS 118</t>
  </si>
  <si>
    <t>LGCS 119 PO-01</t>
  </si>
  <si>
    <t>LGCS 119</t>
  </si>
  <si>
    <t>LGCS 120 PO-01</t>
  </si>
  <si>
    <t>LGCS 120</t>
  </si>
  <si>
    <t>LGCS 130 PO-01</t>
  </si>
  <si>
    <t>LGCS 130</t>
  </si>
  <si>
    <t>LGCS 166 PZ-01</t>
  </si>
  <si>
    <t>LGCS 166</t>
  </si>
  <si>
    <t>LGCS 184 PO-01</t>
  </si>
  <si>
    <t>LGCS 184</t>
  </si>
  <si>
    <t>LGCS 185 PO-01</t>
  </si>
  <si>
    <t>LGCS 185</t>
  </si>
  <si>
    <t>LGCS 191 PO-04</t>
  </si>
  <si>
    <t>LGCS 191</t>
  </si>
  <si>
    <t>LGCS 191 PO-08</t>
  </si>
  <si>
    <t>LGCS 191 PO-12</t>
  </si>
  <si>
    <t>LGCS 191 PO-16</t>
  </si>
  <si>
    <t>LGCS 191 PO-20</t>
  </si>
  <si>
    <t>LGCS 191 PO-24</t>
  </si>
  <si>
    <t>LGCS 191 PO-28</t>
  </si>
  <si>
    <t>LGCS 191 PO-32</t>
  </si>
  <si>
    <t>LGCS 191 PO-36</t>
  </si>
  <si>
    <t>LGCS 191 PO-40</t>
  </si>
  <si>
    <t>LGCS 191 PO-44</t>
  </si>
  <si>
    <t>LGCS 191 PO-48</t>
  </si>
  <si>
    <t>LGCS 191 PO-52</t>
  </si>
  <si>
    <t>LGST 191 SC-01</t>
  </si>
  <si>
    <t>LGST 191</t>
  </si>
  <si>
    <t>LIT 034 CM-01</t>
  </si>
  <si>
    <t>LIT 034</t>
  </si>
  <si>
    <t>LIT 035 HM-01</t>
  </si>
  <si>
    <t>LIT 035</t>
  </si>
  <si>
    <t>LIT 058 CM-01</t>
  </si>
  <si>
    <t>LIT 058</t>
  </si>
  <si>
    <t>LIT 061 CM-01</t>
  </si>
  <si>
    <t>LIT 061</t>
  </si>
  <si>
    <t>LIT 063 CM-01</t>
  </si>
  <si>
    <t>LIT 063</t>
  </si>
  <si>
    <t>LIT 068 CM-01</t>
  </si>
  <si>
    <t>LIT 068</t>
  </si>
  <si>
    <t>LIT 068 CM-02</t>
  </si>
  <si>
    <t>LIT 084 CM-01</t>
  </si>
  <si>
    <t>LIT 084</t>
  </si>
  <si>
    <t>LIT 099 CM-01</t>
  </si>
  <si>
    <t>LIT 099</t>
  </si>
  <si>
    <t>LIT 099A CM-01</t>
  </si>
  <si>
    <t>LIT 099A</t>
  </si>
  <si>
    <t>LIT 099IO CM-01</t>
  </si>
  <si>
    <t>LIT 099IO</t>
  </si>
  <si>
    <t>LIT 103 CM-01</t>
  </si>
  <si>
    <t>LIT 103</t>
  </si>
  <si>
    <t>LIT 112 HM-01</t>
  </si>
  <si>
    <t>LIT 112</t>
  </si>
  <si>
    <t>LIT 119 CM-01</t>
  </si>
  <si>
    <t>LIT 119</t>
  </si>
  <si>
    <t>LIT 130 CM-01</t>
  </si>
  <si>
    <t>LIT 130</t>
  </si>
  <si>
    <t>LIT 134 CM-01</t>
  </si>
  <si>
    <t>LIT 134</t>
  </si>
  <si>
    <t>LIT 141 HM-01</t>
  </si>
  <si>
    <t>LIT 141</t>
  </si>
  <si>
    <t>LIT 152 CM-01</t>
  </si>
  <si>
    <t>LIT 152</t>
  </si>
  <si>
    <t>LIT 165 AF-01</t>
  </si>
  <si>
    <t>LIT 165</t>
  </si>
  <si>
    <t>LIT 181 CM-01</t>
  </si>
  <si>
    <t>LIT 181</t>
  </si>
  <si>
    <t>LIT 183 CM-01</t>
  </si>
  <si>
    <t>LIT 183</t>
  </si>
  <si>
    <t>LIT 185 CM-01</t>
  </si>
  <si>
    <t>LIT 185</t>
  </si>
  <si>
    <t>MATH 008 PZ-01</t>
  </si>
  <si>
    <t>MATH 008</t>
  </si>
  <si>
    <t>MATH 030 CM-01</t>
  </si>
  <si>
    <t>MATH 030 CM-02</t>
  </si>
  <si>
    <t>MATH 030 CM-03</t>
  </si>
  <si>
    <t>MATH 030 PO-01</t>
  </si>
  <si>
    <t>MATH 030 PO-02</t>
  </si>
  <si>
    <t>MATH 030 PZ-01</t>
  </si>
  <si>
    <t>MATH 030 SC-01</t>
  </si>
  <si>
    <t>MATH 031 CM-01</t>
  </si>
  <si>
    <t>MATH 031</t>
  </si>
  <si>
    <t>MATH 031 PO-01</t>
  </si>
  <si>
    <t>MATH 031 PZ-01</t>
  </si>
  <si>
    <t>MATH 031 SC-01</t>
  </si>
  <si>
    <t>MATH 031A CM-01</t>
  </si>
  <si>
    <t>MATH 031A</t>
  </si>
  <si>
    <t>MATH 031H PO-01</t>
  </si>
  <si>
    <t>MATH 031H</t>
  </si>
  <si>
    <t>MATH 032 CM-01</t>
  </si>
  <si>
    <t>MATH 032</t>
  </si>
  <si>
    <t>MATH 032 CM-02</t>
  </si>
  <si>
    <t>MATH 032 PO-01</t>
  </si>
  <si>
    <t>MATH 032 PO-02</t>
  </si>
  <si>
    <t>MATH 032 PZ-01</t>
  </si>
  <si>
    <t>MATH 032 SC-01</t>
  </si>
  <si>
    <t>MATH 032S PO-01</t>
  </si>
  <si>
    <t>MATH 032S</t>
  </si>
  <si>
    <t>MATH 052 CM-01</t>
  </si>
  <si>
    <t>MATH 052</t>
  </si>
  <si>
    <t>MATH 055 CM-01</t>
  </si>
  <si>
    <t>MATH 055 HM-01</t>
  </si>
  <si>
    <t>MATH 055 HM-02</t>
  </si>
  <si>
    <t>MATH 055 HM-03</t>
  </si>
  <si>
    <t>MATH 055 SC-01</t>
  </si>
  <si>
    <t>MATH 058 PO-01</t>
  </si>
  <si>
    <t>MATH 058</t>
  </si>
  <si>
    <t>MATH 058B PO-01</t>
  </si>
  <si>
    <t>MATH 058B</t>
  </si>
  <si>
    <t>MATH 060 CM-01</t>
  </si>
  <si>
    <t>MATH 060 CM-02</t>
  </si>
  <si>
    <t>MATH 060 CM-03</t>
  </si>
  <si>
    <t>MATH 060 PO-01</t>
  </si>
  <si>
    <t>MATH 060 PO-02</t>
  </si>
  <si>
    <t>MATH 060 PO-03</t>
  </si>
  <si>
    <t>MATH 060 SC-01</t>
  </si>
  <si>
    <t>MATH 062 HM-01</t>
  </si>
  <si>
    <t>MATH 062</t>
  </si>
  <si>
    <t>MATH 067 PO-01</t>
  </si>
  <si>
    <t>MATH 067</t>
  </si>
  <si>
    <t>MATH 070 HM-01</t>
  </si>
  <si>
    <t>MATH 070</t>
  </si>
  <si>
    <t>MATH 073 HM-01</t>
  </si>
  <si>
    <t>MATH 073</t>
  </si>
  <si>
    <t>MATH 073 HM-02</t>
  </si>
  <si>
    <t>MATH 073 HM-03</t>
  </si>
  <si>
    <t>MATH 073 HM-04</t>
  </si>
  <si>
    <t>MATH 073 HM-05</t>
  </si>
  <si>
    <t>MATH 073 HM-06</t>
  </si>
  <si>
    <t>MATH 073 HM-07</t>
  </si>
  <si>
    <t>MATH 073 HM-08</t>
  </si>
  <si>
    <t>MATH 080 HM-01</t>
  </si>
  <si>
    <t>MATH 080</t>
  </si>
  <si>
    <t>MATH 101 PO-01</t>
  </si>
  <si>
    <t>MATH 101</t>
  </si>
  <si>
    <t>MATH 102 PO-01</t>
  </si>
  <si>
    <t>MATH 102</t>
  </si>
  <si>
    <t>MATH 102 PZ-01</t>
  </si>
  <si>
    <t>MATH 102 SC-01</t>
  </si>
  <si>
    <t>MATH 103</t>
  </si>
  <si>
    <t>MATH 104</t>
  </si>
  <si>
    <t>MATH 111 CM-01</t>
  </si>
  <si>
    <t>MATH 111</t>
  </si>
  <si>
    <t>MATH 112 PO-01</t>
  </si>
  <si>
    <t>MATH 112</t>
  </si>
  <si>
    <t>MATH 115 HM-01</t>
  </si>
  <si>
    <t>MATH 115</t>
  </si>
  <si>
    <t>MATH 131 CM-01</t>
  </si>
  <si>
    <t>MATH 131 HM-01</t>
  </si>
  <si>
    <t>MATH 131 HM-02</t>
  </si>
  <si>
    <t>MATH 132 PO-01</t>
  </si>
  <si>
    <t>MATH 132</t>
  </si>
  <si>
    <t>MATH 135 SC-01</t>
  </si>
  <si>
    <t>MATH 135</t>
  </si>
  <si>
    <t>MATH 138 CM-01</t>
  </si>
  <si>
    <t>MATH 138</t>
  </si>
  <si>
    <t>MATH 145 PO-01</t>
  </si>
  <si>
    <t>MATH 145</t>
  </si>
  <si>
    <t>MATH 150 PO-01</t>
  </si>
  <si>
    <t>MATH 150</t>
  </si>
  <si>
    <t>MATH 151 CM-01</t>
  </si>
  <si>
    <t>MATH 151</t>
  </si>
  <si>
    <t>MATH 151 PO-01</t>
  </si>
  <si>
    <t>MATH 152 CM-01</t>
  </si>
  <si>
    <t>MATH 152</t>
  </si>
  <si>
    <t>MATH 155</t>
  </si>
  <si>
    <t>MATH 157 HM-01</t>
  </si>
  <si>
    <t>MATH 157</t>
  </si>
  <si>
    <t>MATH 158 PO-01</t>
  </si>
  <si>
    <t>MATH 158</t>
  </si>
  <si>
    <t>MATH 160 CM-01</t>
  </si>
  <si>
    <t>MATH 160</t>
  </si>
  <si>
    <t>MATH 164</t>
  </si>
  <si>
    <t>MATH 168 HM-01</t>
  </si>
  <si>
    <t>MATH 168</t>
  </si>
  <si>
    <t>MATH 168 HM-02</t>
  </si>
  <si>
    <t>MATH 171 HM-01</t>
  </si>
  <si>
    <t>MATH 171 PO-01</t>
  </si>
  <si>
    <t>MATH 172 CM-01</t>
  </si>
  <si>
    <t>MATH 172</t>
  </si>
  <si>
    <t>MATH 175 HM-01</t>
  </si>
  <si>
    <t>MATH 175</t>
  </si>
  <si>
    <t>MATH 176 HM-01</t>
  </si>
  <si>
    <t>MATH 176</t>
  </si>
  <si>
    <t>MATH 180 CM-01</t>
  </si>
  <si>
    <t>MATH 180</t>
  </si>
  <si>
    <t>MATH 181 PO-01</t>
  </si>
  <si>
    <t>MATH 181</t>
  </si>
  <si>
    <t>MATH 189AA HM-01</t>
  </si>
  <si>
    <t>MATH 189AA</t>
  </si>
  <si>
    <t>MATH 190 CM-01</t>
  </si>
  <si>
    <t>MATH 190</t>
  </si>
  <si>
    <t>MATH 191 CM-01</t>
  </si>
  <si>
    <t>MATH 191</t>
  </si>
  <si>
    <t>MATH 191 PO-04</t>
  </si>
  <si>
    <t>MATH 193 HM-01</t>
  </si>
  <si>
    <t>MATH 193</t>
  </si>
  <si>
    <t>MATH 195 CM-01</t>
  </si>
  <si>
    <t>MATH 195</t>
  </si>
  <si>
    <t>MATH 196 HM-01</t>
  </si>
  <si>
    <t>MATH 196</t>
  </si>
  <si>
    <t>MATH 197 HM-01</t>
  </si>
  <si>
    <t>MATH 197</t>
  </si>
  <si>
    <t>MATH 197 HM-02</t>
  </si>
  <si>
    <t>MATH 197 HM-03</t>
  </si>
  <si>
    <t>MATH 197 HM-04</t>
  </si>
  <si>
    <t>MATH 197 HM-06</t>
  </si>
  <si>
    <t>MATH 197 HM-07</t>
  </si>
  <si>
    <t>MATH 197 HM-09</t>
  </si>
  <si>
    <t>MATH 197 HM-10</t>
  </si>
  <si>
    <t>MATH 197 HM-11</t>
  </si>
  <si>
    <t>MATH 197 HM-12</t>
  </si>
  <si>
    <t>MATH 197 HM-13</t>
  </si>
  <si>
    <t>MATH 197 HM-14</t>
  </si>
  <si>
    <t>MATH 198 HM-01</t>
  </si>
  <si>
    <t>MATH 198</t>
  </si>
  <si>
    <t>MATH 198 HM-02</t>
  </si>
  <si>
    <t>MATH 198 HM-03</t>
  </si>
  <si>
    <t>MATH 199 HM-01</t>
  </si>
  <si>
    <t>MATH 199</t>
  </si>
  <si>
    <t>MCBI 118A</t>
  </si>
  <si>
    <t>MCBI 118B</t>
  </si>
  <si>
    <t>MCBI 199 HM-01</t>
  </si>
  <si>
    <t>MCBI 199</t>
  </si>
  <si>
    <t>MCSI 195 PZ-01</t>
  </si>
  <si>
    <t>MCSI 195</t>
  </si>
  <si>
    <t>MENA 191 SC-01</t>
  </si>
  <si>
    <t>MENA 191</t>
  </si>
  <si>
    <t>MES 191 PO-04</t>
  </si>
  <si>
    <t>MES 191</t>
  </si>
  <si>
    <t>MLLC 144 PZ-01</t>
  </si>
  <si>
    <t>MLLC 144</t>
  </si>
  <si>
    <t>MLLC 150 PZ-01</t>
  </si>
  <si>
    <t>MLLC 150</t>
  </si>
  <si>
    <t>MLLC 155 PZ-01</t>
  </si>
  <si>
    <t>MLLC 155</t>
  </si>
  <si>
    <t>MLLC 188 PZ-01</t>
  </si>
  <si>
    <t>MLLC 188</t>
  </si>
  <si>
    <t>MOBI 188 PO-01</t>
  </si>
  <si>
    <t>MOBI 188</t>
  </si>
  <si>
    <t>MOBI 191A PO-04</t>
  </si>
  <si>
    <t>MOBI 191A</t>
  </si>
  <si>
    <t>MOBI 191A PO-08</t>
  </si>
  <si>
    <t>MOBI 191A PO-12</t>
  </si>
  <si>
    <t>MOBI 191A PO-16</t>
  </si>
  <si>
    <t>MOBI 191A PO-20</t>
  </si>
  <si>
    <t>MOBI 191A PO-24</t>
  </si>
  <si>
    <t>MOBI 191A PO-28</t>
  </si>
  <si>
    <t>MOBI 191A PO-32</t>
  </si>
  <si>
    <t>MOBI 191A PO-36</t>
  </si>
  <si>
    <t>MOBI 191A PO-40</t>
  </si>
  <si>
    <t>MOBI 191A PO-44</t>
  </si>
  <si>
    <t>MOBI 191A PO-48</t>
  </si>
  <si>
    <t>MOBI 191A PO-52</t>
  </si>
  <si>
    <t>MOBI 191A PO-56</t>
  </si>
  <si>
    <t>MOBI 191A PO-60</t>
  </si>
  <si>
    <t>MOBI 191A PO-64</t>
  </si>
  <si>
    <t>MOBI 194A PO-04</t>
  </si>
  <si>
    <t>MOBI 194A</t>
  </si>
  <si>
    <t>MOBI 194A PO-08</t>
  </si>
  <si>
    <t>MOBI 194A PO-12</t>
  </si>
  <si>
    <t>MOBI 194A PO-16</t>
  </si>
  <si>
    <t>MOBI 194A PO-20</t>
  </si>
  <si>
    <t>MOBI 194A PO-24</t>
  </si>
  <si>
    <t>MOBI 194A PO-28</t>
  </si>
  <si>
    <t>MOBI 194A PO-32</t>
  </si>
  <si>
    <t>MOBI 194A PO-36</t>
  </si>
  <si>
    <t>MOBI 194A PO-40</t>
  </si>
  <si>
    <t>MOBI 194A PO-44</t>
  </si>
  <si>
    <t>MOBI 194A PO-48</t>
  </si>
  <si>
    <t>MOBI 194A PO-52</t>
  </si>
  <si>
    <t>MOBI 194A PO-56</t>
  </si>
  <si>
    <t>MOBI 194A PO-60</t>
  </si>
  <si>
    <t>MOBI 194A PO-64</t>
  </si>
  <si>
    <t>MOBI 194A PO-68</t>
  </si>
  <si>
    <t>MOBI 194B PO-04</t>
  </si>
  <si>
    <t>MOBI 194B</t>
  </si>
  <si>
    <t>MS 038 SC-01</t>
  </si>
  <si>
    <t>MS 038</t>
  </si>
  <si>
    <t>MS 050 PO-01</t>
  </si>
  <si>
    <t>MS 050</t>
  </si>
  <si>
    <t>MS 050 PZ-01</t>
  </si>
  <si>
    <t>MS 051 PO-01</t>
  </si>
  <si>
    <t>MS 051</t>
  </si>
  <si>
    <t>MS 051 PZ-01</t>
  </si>
  <si>
    <t>MS 051 SC-01</t>
  </si>
  <si>
    <t>MS 053 SC-01</t>
  </si>
  <si>
    <t>MS 053</t>
  </si>
  <si>
    <t>MS 054 SC-01</t>
  </si>
  <si>
    <t>MS 054</t>
  </si>
  <si>
    <t>MS 059 SC-01</t>
  </si>
  <si>
    <t>MS 059</t>
  </si>
  <si>
    <t>MS 082 PZ-01</t>
  </si>
  <si>
    <t>MS 082</t>
  </si>
  <si>
    <t>MS 087 PZ-01</t>
  </si>
  <si>
    <t>MS 087</t>
  </si>
  <si>
    <t>MS 092 PO-01</t>
  </si>
  <si>
    <t>MS 092</t>
  </si>
  <si>
    <t>MS 097 PZ-01</t>
  </si>
  <si>
    <t>MS 097</t>
  </si>
  <si>
    <t>MS 098 PZ-01</t>
  </si>
  <si>
    <t>MS 098</t>
  </si>
  <si>
    <t>MS 111 PZ-01</t>
  </si>
  <si>
    <t>MS 111</t>
  </si>
  <si>
    <t>MS 115 PZ-01</t>
  </si>
  <si>
    <t>MS 115</t>
  </si>
  <si>
    <t>MS 117 PZ-01</t>
  </si>
  <si>
    <t>MS 117</t>
  </si>
  <si>
    <t>MS 120 HM-01</t>
  </si>
  <si>
    <t>MS 120</t>
  </si>
  <si>
    <t>MS 121 PZ-01</t>
  </si>
  <si>
    <t>MS 121</t>
  </si>
  <si>
    <t>MS 132 SC-01</t>
  </si>
  <si>
    <t>MS 132</t>
  </si>
  <si>
    <t>MS 148F PO-01</t>
  </si>
  <si>
    <t>MS 148F</t>
  </si>
  <si>
    <t>MS 148G PO-01</t>
  </si>
  <si>
    <t>MS 148G</t>
  </si>
  <si>
    <t>MS 149T PO-01</t>
  </si>
  <si>
    <t>MS 149T</t>
  </si>
  <si>
    <t>MS 160 SC-01</t>
  </si>
  <si>
    <t>MS 160</t>
  </si>
  <si>
    <t>MS 173 HM-01</t>
  </si>
  <si>
    <t>MS 173</t>
  </si>
  <si>
    <t>MS 173 HM-02</t>
  </si>
  <si>
    <t>MS 175 PO-01</t>
  </si>
  <si>
    <t>MS 175</t>
  </si>
  <si>
    <t>MS 175 PZ-01</t>
  </si>
  <si>
    <t>MS 192 JT-01</t>
  </si>
  <si>
    <t>MS 192</t>
  </si>
  <si>
    <t>MS 194 PZ-01</t>
  </si>
  <si>
    <t>MS 194</t>
  </si>
  <si>
    <t>MS 196 PZ-01</t>
  </si>
  <si>
    <t>MS 196</t>
  </si>
  <si>
    <t>MSL 001A CM-01</t>
  </si>
  <si>
    <t>MSL 001A</t>
  </si>
  <si>
    <t>MSL 089 CM-01</t>
  </si>
  <si>
    <t>MSL 089</t>
  </si>
  <si>
    <t>MSL 099 CM-01</t>
  </si>
  <si>
    <t>MSL 099</t>
  </si>
  <si>
    <t>MSL 101B CM-01</t>
  </si>
  <si>
    <t>MSL 101B</t>
  </si>
  <si>
    <t>MSL 102B CM-01</t>
  </si>
  <si>
    <t>MSL 102B</t>
  </si>
  <si>
    <t>MSL 103B CM-01</t>
  </si>
  <si>
    <t>MSL 103B</t>
  </si>
  <si>
    <t>MSL 104B CM-01</t>
  </si>
  <si>
    <t>MSL 104B</t>
  </si>
  <si>
    <t>MUS 003</t>
  </si>
  <si>
    <t>MUS 004 PO-01</t>
  </si>
  <si>
    <t>MUS 004</t>
  </si>
  <si>
    <t>MUS 007 PO-01</t>
  </si>
  <si>
    <t>MUS 007</t>
  </si>
  <si>
    <t>MUS 007 PO-02</t>
  </si>
  <si>
    <t>MUS 010 PO-01</t>
  </si>
  <si>
    <t>MUS 010</t>
  </si>
  <si>
    <t>MUS 015 PO-01</t>
  </si>
  <si>
    <t>MUS 015</t>
  </si>
  <si>
    <t>MUS 016 PO-01</t>
  </si>
  <si>
    <t>MUS 016</t>
  </si>
  <si>
    <t>MUS 020 PO-01</t>
  </si>
  <si>
    <t>MUS 020</t>
  </si>
  <si>
    <t>MUS 031P PO-01</t>
  </si>
  <si>
    <t>MUS 031P</t>
  </si>
  <si>
    <t>MUS 032P PO-01</t>
  </si>
  <si>
    <t>MUS 032P</t>
  </si>
  <si>
    <t>MUS 033P PO-01</t>
  </si>
  <si>
    <t>MUS 033P</t>
  </si>
  <si>
    <t>MUS 035P PO-01</t>
  </si>
  <si>
    <t>MUS 035P</t>
  </si>
  <si>
    <t>MUS 037P PO-01</t>
  </si>
  <si>
    <t>MUS 037P</t>
  </si>
  <si>
    <t>MUS 041P PO-01</t>
  </si>
  <si>
    <t>MUS 041P</t>
  </si>
  <si>
    <t>MUS 042B PO-01</t>
  </si>
  <si>
    <t>MUS 042B</t>
  </si>
  <si>
    <t>MUS 051 PO-01</t>
  </si>
  <si>
    <t>MUS 051</t>
  </si>
  <si>
    <t>MUS 060 PO-01</t>
  </si>
  <si>
    <t>MUS 060</t>
  </si>
  <si>
    <t>MUS 065 PO-01</t>
  </si>
  <si>
    <t>MUS 065</t>
  </si>
  <si>
    <t>MUS 067 HM-01</t>
  </si>
  <si>
    <t>MUS 067</t>
  </si>
  <si>
    <t>MUS 072 SC-01</t>
  </si>
  <si>
    <t>MUS 072</t>
  </si>
  <si>
    <t>MUS 080 PO-01</t>
  </si>
  <si>
    <t>MUS 080</t>
  </si>
  <si>
    <t>MUS 080L PO-01</t>
  </si>
  <si>
    <t>MUS 080L</t>
  </si>
  <si>
    <t>MUS 080L PO-02</t>
  </si>
  <si>
    <t>MUS 082 PO-01</t>
  </si>
  <si>
    <t>MUS 082</t>
  </si>
  <si>
    <t>MUS 082L PO-01</t>
  </si>
  <si>
    <t>MUS 082L</t>
  </si>
  <si>
    <t>MUS 085 SC-01</t>
  </si>
  <si>
    <t>MUS 085</t>
  </si>
  <si>
    <t>MUS 088 PO-01</t>
  </si>
  <si>
    <t>MUS 088</t>
  </si>
  <si>
    <t>MUS 089 SC-01</t>
  </si>
  <si>
    <t>MUS 089</t>
  </si>
  <si>
    <t>MUS 089 SC-02</t>
  </si>
  <si>
    <t>MUS 092F SC-01</t>
  </si>
  <si>
    <t>MUS 092F</t>
  </si>
  <si>
    <t>MUS 092F SC-02</t>
  </si>
  <si>
    <t>MUS 092F SC-03</t>
  </si>
  <si>
    <t>MUS 092H SC-01</t>
  </si>
  <si>
    <t>MUS 092H</t>
  </si>
  <si>
    <t>MUS 092H SC-02</t>
  </si>
  <si>
    <t>MUS 092H SC-03</t>
  </si>
  <si>
    <t>MUS 095 PO-01</t>
  </si>
  <si>
    <t>MUS 095</t>
  </si>
  <si>
    <t>MUS 096B PO-01</t>
  </si>
  <si>
    <t>MUS 096B</t>
  </si>
  <si>
    <t>MUS 100 PO-01</t>
  </si>
  <si>
    <t>MUS 100</t>
  </si>
  <si>
    <t>MUS 102 SC-01</t>
  </si>
  <si>
    <t>MUS 102</t>
  </si>
  <si>
    <t>MUS 110B SC-01</t>
  </si>
  <si>
    <t>MUS 110B</t>
  </si>
  <si>
    <t>MUS 112 SC-01</t>
  </si>
  <si>
    <t>MUS 112</t>
  </si>
  <si>
    <t>MUS 119 SC-01</t>
  </si>
  <si>
    <t>MUS 119</t>
  </si>
  <si>
    <t>MUS 120 SC-01</t>
  </si>
  <si>
    <t>MUS 120</t>
  </si>
  <si>
    <t>MUS 121 PO-01</t>
  </si>
  <si>
    <t>MUS 121</t>
  </si>
  <si>
    <t>MUS 130 SC-01</t>
  </si>
  <si>
    <t>MUS 130</t>
  </si>
  <si>
    <t>MUS 147 PO-01</t>
  </si>
  <si>
    <t>MUS 147</t>
  </si>
  <si>
    <t>MUS 170F SC-01</t>
  </si>
  <si>
    <t>MUS 170F</t>
  </si>
  <si>
    <t>MUS 170H SC-01</t>
  </si>
  <si>
    <t>MUS 170H</t>
  </si>
  <si>
    <t>MUS 170H SC-02</t>
  </si>
  <si>
    <t>MUS 170H SC-03</t>
  </si>
  <si>
    <t>MUS 171F SC-01</t>
  </si>
  <si>
    <t>MUS 171F</t>
  </si>
  <si>
    <t>MUS 171F SC-02</t>
  </si>
  <si>
    <t>MUS 171H SC-01</t>
  </si>
  <si>
    <t>MUS 171H</t>
  </si>
  <si>
    <t>MUS 171H SC-02</t>
  </si>
  <si>
    <t>MUS 171H SC-03</t>
  </si>
  <si>
    <t>MUS 172 SC-01</t>
  </si>
  <si>
    <t>MUS 172</t>
  </si>
  <si>
    <t>MUS 173 JM-01</t>
  </si>
  <si>
    <t>MUS 173</t>
  </si>
  <si>
    <t>MUS 175 JM-01</t>
  </si>
  <si>
    <t>MUS 175</t>
  </si>
  <si>
    <t>MUS 177F SC-01</t>
  </si>
  <si>
    <t>MUS 177F</t>
  </si>
  <si>
    <t>MUS 177H SC-01</t>
  </si>
  <si>
    <t>MUS 177H</t>
  </si>
  <si>
    <t>MUS 189 SC-01</t>
  </si>
  <si>
    <t>MUS 189</t>
  </si>
  <si>
    <t>MUS 191 SC-01</t>
  </si>
  <si>
    <t>MUS 191</t>
  </si>
  <si>
    <t>MUS 192 PO-04</t>
  </si>
  <si>
    <t>MUS 192</t>
  </si>
  <si>
    <t>NEUR 095L JT-01</t>
  </si>
  <si>
    <t>NEUR 095L</t>
  </si>
  <si>
    <t>NEUR 101B PO-01</t>
  </si>
  <si>
    <t>NEUR 101B</t>
  </si>
  <si>
    <t>NEUR 101BL PO-01</t>
  </si>
  <si>
    <t>NEUR 101BL</t>
  </si>
  <si>
    <t>NEUR 101BL PO-02</t>
  </si>
  <si>
    <t>NEUR 123 PO-01</t>
  </si>
  <si>
    <t>NEUR 123</t>
  </si>
  <si>
    <t>NEUR 168 PO-01</t>
  </si>
  <si>
    <t>NEUR 168</t>
  </si>
  <si>
    <t>NEUR 168L PO-01</t>
  </si>
  <si>
    <t>NEUR 168L</t>
  </si>
  <si>
    <t>NEUR 178 PO-01</t>
  </si>
  <si>
    <t>NEUR 178</t>
  </si>
  <si>
    <t>NEUR 188L KS-01</t>
  </si>
  <si>
    <t>NEUR 188L</t>
  </si>
  <si>
    <t>NEUR 189L KS-01</t>
  </si>
  <si>
    <t>NEUR 189L</t>
  </si>
  <si>
    <t>NEUR 190L KS-01</t>
  </si>
  <si>
    <t>NEUR 190L</t>
  </si>
  <si>
    <t>NEUR 191 KS-01</t>
  </si>
  <si>
    <t>NEUR 191</t>
  </si>
  <si>
    <t>NEUR 191 PO-04</t>
  </si>
  <si>
    <t>NEUR 191 PO-08</t>
  </si>
  <si>
    <t>NEUR 191 PO-12</t>
  </si>
  <si>
    <t>NEUR 191 PO-16</t>
  </si>
  <si>
    <t>NEUR 192 PO-04</t>
  </si>
  <si>
    <t>NEUR 192</t>
  </si>
  <si>
    <t>NEUR 194A PO-04</t>
  </si>
  <si>
    <t>NEUR 194A</t>
  </si>
  <si>
    <t>NEUR 194A PO-08</t>
  </si>
  <si>
    <t>NEUR 194A PO-12</t>
  </si>
  <si>
    <t>NEUR 194A PO-16</t>
  </si>
  <si>
    <t>NEUR 194A PO-20</t>
  </si>
  <si>
    <t>NEUR 194A PO-24</t>
  </si>
  <si>
    <t>ORST 103 PZ-01</t>
  </si>
  <si>
    <t>ORST 103</t>
  </si>
  <si>
    <t>ORST 135 PZ-01</t>
  </si>
  <si>
    <t>ORST 135</t>
  </si>
  <si>
    <t>ORST 150 PZ-01</t>
  </si>
  <si>
    <t>ORST 150</t>
  </si>
  <si>
    <t>ORST 198 PZ-01</t>
  </si>
  <si>
    <t>ORST 198</t>
  </si>
  <si>
    <t>PE 001D PO-01</t>
  </si>
  <si>
    <t>PE 001D</t>
  </si>
  <si>
    <t>PE 002 PO-01</t>
  </si>
  <si>
    <t>PE 002</t>
  </si>
  <si>
    <t>PE 003 PO-01</t>
  </si>
  <si>
    <t>PE 003</t>
  </si>
  <si>
    <t>PE 003 PO-02</t>
  </si>
  <si>
    <t>PE 004 JP-01</t>
  </si>
  <si>
    <t>PE 004</t>
  </si>
  <si>
    <t>PE 004B JP-01</t>
  </si>
  <si>
    <t>PE 004B</t>
  </si>
  <si>
    <t>PE 005 JP-01</t>
  </si>
  <si>
    <t>PE 005</t>
  </si>
  <si>
    <t>PE 005A JP-01</t>
  </si>
  <si>
    <t>PE 005A</t>
  </si>
  <si>
    <t>PE 005C JP-01</t>
  </si>
  <si>
    <t>PE 005C</t>
  </si>
  <si>
    <t>PE 005D JP-01</t>
  </si>
  <si>
    <t>PE 005D</t>
  </si>
  <si>
    <t>PE 005E JP-01</t>
  </si>
  <si>
    <t>PE 005E</t>
  </si>
  <si>
    <t>PE 006 PO-01</t>
  </si>
  <si>
    <t>PE 006</t>
  </si>
  <si>
    <t>PE 006 PO-02</t>
  </si>
  <si>
    <t>PE 007 PO-01</t>
  </si>
  <si>
    <t>PE 007</t>
  </si>
  <si>
    <t>PE 007D JP-01</t>
  </si>
  <si>
    <t>PE 007D</t>
  </si>
  <si>
    <t>PE 008 PO-01</t>
  </si>
  <si>
    <t>PE 008</t>
  </si>
  <si>
    <t>PE 008 PO-02</t>
  </si>
  <si>
    <t>PE 008B JP-01</t>
  </si>
  <si>
    <t>PE 008B JP-02</t>
  </si>
  <si>
    <t>PE 008D JP-01</t>
  </si>
  <si>
    <t>PE 008D</t>
  </si>
  <si>
    <t>PE 009 JP-01</t>
  </si>
  <si>
    <t>PE 009</t>
  </si>
  <si>
    <t>PE 009 PO-01</t>
  </si>
  <si>
    <t>PE 009 PO-02</t>
  </si>
  <si>
    <t>PE 009A PO-01</t>
  </si>
  <si>
    <t>PE 009A</t>
  </si>
  <si>
    <t>PE 009A PO-02</t>
  </si>
  <si>
    <t>PE 010 JP-01</t>
  </si>
  <si>
    <t>PE 010</t>
  </si>
  <si>
    <t>PE 011 JP-01</t>
  </si>
  <si>
    <t>PE 011</t>
  </si>
  <si>
    <t>PE 011A JP-01</t>
  </si>
  <si>
    <t>PE 011A</t>
  </si>
  <si>
    <t>PE 013 JP-01</t>
  </si>
  <si>
    <t>PE 013</t>
  </si>
  <si>
    <t>PE 013C JP-01</t>
  </si>
  <si>
    <t>PE 013C</t>
  </si>
  <si>
    <t>PE 014 JP-01</t>
  </si>
  <si>
    <t>PE 014</t>
  </si>
  <si>
    <t>PE 014 JP-02</t>
  </si>
  <si>
    <t>PE 014 JP-03</t>
  </si>
  <si>
    <t>PE 014A JP-01</t>
  </si>
  <si>
    <t>PE 014A</t>
  </si>
  <si>
    <t>PE 015 JP-01</t>
  </si>
  <si>
    <t>PE 015</t>
  </si>
  <si>
    <t>PE 015 PO-01</t>
  </si>
  <si>
    <t>PE 018 PO-01</t>
  </si>
  <si>
    <t>PE 018</t>
  </si>
  <si>
    <t>PE 018A JP-01</t>
  </si>
  <si>
    <t>PE 018A</t>
  </si>
  <si>
    <t>PE 019 PO-01</t>
  </si>
  <si>
    <t>PE 019</t>
  </si>
  <si>
    <t>PE 019 PO-02</t>
  </si>
  <si>
    <t>PE 019B JP-01</t>
  </si>
  <si>
    <t>PE 019B</t>
  </si>
  <si>
    <t>PE 020B PO-01</t>
  </si>
  <si>
    <t>PE 020B</t>
  </si>
  <si>
    <t>PE 022A PO-01</t>
  </si>
  <si>
    <t>PE 022A</t>
  </si>
  <si>
    <t>PE 022A PO-02</t>
  </si>
  <si>
    <t>PE 022A PO-03</t>
  </si>
  <si>
    <t>PE 022B PO-01</t>
  </si>
  <si>
    <t>PE 022B</t>
  </si>
  <si>
    <t>PE 023 PO-01</t>
  </si>
  <si>
    <t>PE 023</t>
  </si>
  <si>
    <t>PE 024 JP-01</t>
  </si>
  <si>
    <t>PE 024</t>
  </si>
  <si>
    <t>PE 025 JP-01</t>
  </si>
  <si>
    <t>PE 025</t>
  </si>
  <si>
    <t>PE 026 PO-01</t>
  </si>
  <si>
    <t>PE 026</t>
  </si>
  <si>
    <t>PE 028B JP-01</t>
  </si>
  <si>
    <t>PE 028B</t>
  </si>
  <si>
    <t>PE 029 PO-01</t>
  </si>
  <si>
    <t>PE 029</t>
  </si>
  <si>
    <t>PE 032 PO-01</t>
  </si>
  <si>
    <t>PE 032</t>
  </si>
  <si>
    <t>PE 033B PO-01</t>
  </si>
  <si>
    <t>PE 033B</t>
  </si>
  <si>
    <t>PE 035A PO-01</t>
  </si>
  <si>
    <t>PE 035A</t>
  </si>
  <si>
    <t>PE 035B PO-01</t>
  </si>
  <si>
    <t>PE 038A PO-01</t>
  </si>
  <si>
    <t>PE 038A</t>
  </si>
  <si>
    <t>PE 039 JP-01</t>
  </si>
  <si>
    <t>PE 039</t>
  </si>
  <si>
    <t>PE 039A JP-01</t>
  </si>
  <si>
    <t>PE 039A</t>
  </si>
  <si>
    <t>PE 039D JP-01</t>
  </si>
  <si>
    <t>PE 039D</t>
  </si>
  <si>
    <t>PE 042 JP-01</t>
  </si>
  <si>
    <t>PE 042</t>
  </si>
  <si>
    <t>PE 042A JP-01</t>
  </si>
  <si>
    <t>PE 042A</t>
  </si>
  <si>
    <t>PE 056D JP-01</t>
  </si>
  <si>
    <t>PE 056D</t>
  </si>
  <si>
    <t>PE 057A JP-01</t>
  </si>
  <si>
    <t>PE 057A</t>
  </si>
  <si>
    <t>PE 057B JP-01</t>
  </si>
  <si>
    <t>PE 057B</t>
  </si>
  <si>
    <t>PE 057C JP-01</t>
  </si>
  <si>
    <t>PE 057C</t>
  </si>
  <si>
    <t>PE 057D JP-01</t>
  </si>
  <si>
    <t>PE 057D</t>
  </si>
  <si>
    <t>PE 067B JP-01</t>
  </si>
  <si>
    <t>PE 067B</t>
  </si>
  <si>
    <t>PE 070B JP-01</t>
  </si>
  <si>
    <t>PE 070B</t>
  </si>
  <si>
    <t>PE 073 JP-01</t>
  </si>
  <si>
    <t>PE 073</t>
  </si>
  <si>
    <t>PE 073D JP-01</t>
  </si>
  <si>
    <t>PE 073D</t>
  </si>
  <si>
    <t>PE 074 JP-01</t>
  </si>
  <si>
    <t>PE 074</t>
  </si>
  <si>
    <t>PE 074 JP-02</t>
  </si>
  <si>
    <t>PE 075 JP-01</t>
  </si>
  <si>
    <t>PE 075</t>
  </si>
  <si>
    <t>PE 075 JP-02</t>
  </si>
  <si>
    <t>PE 075 JP-03</t>
  </si>
  <si>
    <t>PE 075 JP-04</t>
  </si>
  <si>
    <t>PE 075H JP-01</t>
  </si>
  <si>
    <t>PE 075H</t>
  </si>
  <si>
    <t>PE 076 JP-01</t>
  </si>
  <si>
    <t>PE 076</t>
  </si>
  <si>
    <t>PE 076 JP-02</t>
  </si>
  <si>
    <t>PE 076A JP-01</t>
  </si>
  <si>
    <t>PE 076A</t>
  </si>
  <si>
    <t>PE 076A JP-02</t>
  </si>
  <si>
    <t>PE 077A PO-01</t>
  </si>
  <si>
    <t>PE 077A</t>
  </si>
  <si>
    <t>PE 080 JP-01</t>
  </si>
  <si>
    <t>PE 080</t>
  </si>
  <si>
    <t>PE 082 JP-01</t>
  </si>
  <si>
    <t>PE 082</t>
  </si>
  <si>
    <t>PE 082 PO-01</t>
  </si>
  <si>
    <t>PE 084 JP-01</t>
  </si>
  <si>
    <t>PE 084</t>
  </si>
  <si>
    <t>PE 085 PO-01</t>
  </si>
  <si>
    <t>PE 085</t>
  </si>
  <si>
    <t>PE 086 PO-01</t>
  </si>
  <si>
    <t>PE 086</t>
  </si>
  <si>
    <t>PE 087 PO-01</t>
  </si>
  <si>
    <t>PE 087</t>
  </si>
  <si>
    <t>PE 087A JP-01</t>
  </si>
  <si>
    <t>PE 087A</t>
  </si>
  <si>
    <t>PE 088 JP-01</t>
  </si>
  <si>
    <t>PE 088</t>
  </si>
  <si>
    <t>PE 088A JP-01</t>
  </si>
  <si>
    <t>PE 088A</t>
  </si>
  <si>
    <t>PE 088D JP-01</t>
  </si>
  <si>
    <t>PE 088D</t>
  </si>
  <si>
    <t>PE 088E JP-01</t>
  </si>
  <si>
    <t>PE 088E</t>
  </si>
  <si>
    <t>PE 090A JP-01</t>
  </si>
  <si>
    <t>PE 090A</t>
  </si>
  <si>
    <t>PE 100 JP-01</t>
  </si>
  <si>
    <t>PE 100</t>
  </si>
  <si>
    <t>PE 105M PO-01</t>
  </si>
  <si>
    <t>PE 105M</t>
  </si>
  <si>
    <t>PE 105W PO-01</t>
  </si>
  <si>
    <t>PE 105W</t>
  </si>
  <si>
    <t>PE 110 PO-01</t>
  </si>
  <si>
    <t>PE 110</t>
  </si>
  <si>
    <t>PE 115 JP-01</t>
  </si>
  <si>
    <t>PE 115</t>
  </si>
  <si>
    <t>PE 115M PO-01</t>
  </si>
  <si>
    <t>PE 115M</t>
  </si>
  <si>
    <t>PE 115W PO-01</t>
  </si>
  <si>
    <t>PE 115W</t>
  </si>
  <si>
    <t>PE 120 PO-01</t>
  </si>
  <si>
    <t>PE 120</t>
  </si>
  <si>
    <t>PE 125 JP-01</t>
  </si>
  <si>
    <t>PE 125</t>
  </si>
  <si>
    <t>PE 125M PO-01</t>
  </si>
  <si>
    <t>PE 125M</t>
  </si>
  <si>
    <t>PE 125W PO-01</t>
  </si>
  <si>
    <t>PE 125W</t>
  </si>
  <si>
    <t>PE 127 JP-01</t>
  </si>
  <si>
    <t>PE 127</t>
  </si>
  <si>
    <t>PE 130 JP-01</t>
  </si>
  <si>
    <t>PE 130</t>
  </si>
  <si>
    <t>PE 130M PO-01</t>
  </si>
  <si>
    <t>PE 130M</t>
  </si>
  <si>
    <t>PE 130W PO-01</t>
  </si>
  <si>
    <t>PE 130W</t>
  </si>
  <si>
    <t>PE 137 JP-01</t>
  </si>
  <si>
    <t>PE 137</t>
  </si>
  <si>
    <t>PE 140M PO-01</t>
  </si>
  <si>
    <t>PE 140M</t>
  </si>
  <si>
    <t>PE 140W PO-01</t>
  </si>
  <si>
    <t>PE 140W</t>
  </si>
  <si>
    <t>PE 145 JP-01</t>
  </si>
  <si>
    <t>PE 145</t>
  </si>
  <si>
    <t>PE 150 JP-01</t>
  </si>
  <si>
    <t>PE 150</t>
  </si>
  <si>
    <t>PE 150 PO-01</t>
  </si>
  <si>
    <t>PE 152 JP-01</t>
  </si>
  <si>
    <t>PE 152</t>
  </si>
  <si>
    <t>PE 155 JP-01</t>
  </si>
  <si>
    <t>PE 155</t>
  </si>
  <si>
    <t>PE 155M PO-01</t>
  </si>
  <si>
    <t>PE 155M</t>
  </si>
  <si>
    <t>PE 155W PO-01</t>
  </si>
  <si>
    <t>PE 155W</t>
  </si>
  <si>
    <t>PE 160W PO-01</t>
  </si>
  <si>
    <t>PE 160W</t>
  </si>
  <si>
    <t>PE 165 PO-01</t>
  </si>
  <si>
    <t>PE 165</t>
  </si>
  <si>
    <t>PE 166 JP-01</t>
  </si>
  <si>
    <t>PE 166</t>
  </si>
  <si>
    <t>PE 170M PO-01</t>
  </si>
  <si>
    <t>PE 170M</t>
  </si>
  <si>
    <t>PE 170W PO-01</t>
  </si>
  <si>
    <t>PE 170W</t>
  </si>
  <si>
    <t>PE 175M PO-01</t>
  </si>
  <si>
    <t>PE 175M</t>
  </si>
  <si>
    <t>PE 175W PO-01</t>
  </si>
  <si>
    <t>PE 175W</t>
  </si>
  <si>
    <t>PE 225 JP-01</t>
  </si>
  <si>
    <t>PE 225</t>
  </si>
  <si>
    <t>PE 230 JP-01</t>
  </si>
  <si>
    <t>PE 230</t>
  </si>
  <si>
    <t>PE 232 JP-01</t>
  </si>
  <si>
    <t>PE 232</t>
  </si>
  <si>
    <t>PHIL 001 PO-01</t>
  </si>
  <si>
    <t>PHIL 001</t>
  </si>
  <si>
    <t>PHIL 007 PZ-01</t>
  </si>
  <si>
    <t>PHIL 007</t>
  </si>
  <si>
    <t>PHIL 030 CM-01</t>
  </si>
  <si>
    <t>PHIL 030</t>
  </si>
  <si>
    <t>PHIL 030 CM-02</t>
  </si>
  <si>
    <t>PHIL 030 CM-03</t>
  </si>
  <si>
    <t>PHIL 030 CM-04</t>
  </si>
  <si>
    <t>PHIL 030 CM-05</t>
  </si>
  <si>
    <t>PHIL 030 PZ-01</t>
  </si>
  <si>
    <t>PHIL 032 CM-01</t>
  </si>
  <si>
    <t>PHIL 032</t>
  </si>
  <si>
    <t>PHIL 032 CM-02</t>
  </si>
  <si>
    <t>PHIL 032 PO-01</t>
  </si>
  <si>
    <t>PHIL 033 PO-01</t>
  </si>
  <si>
    <t>PHIL 033</t>
  </si>
  <si>
    <t>PHIL 035 PO-01</t>
  </si>
  <si>
    <t>PHIL 035</t>
  </si>
  <si>
    <t>PHIL 039 CM-01</t>
  </si>
  <si>
    <t>PHIL 039</t>
  </si>
  <si>
    <t>PHIL 042 PO-01</t>
  </si>
  <si>
    <t>PHIL 042</t>
  </si>
  <si>
    <t>PHIL 043 PO-01</t>
  </si>
  <si>
    <t>PHIL 043</t>
  </si>
  <si>
    <t>PHIL 046 PO-01</t>
  </si>
  <si>
    <t>PHIL 046</t>
  </si>
  <si>
    <t>PHIL 047 PO-01</t>
  </si>
  <si>
    <t>PHIL 047</t>
  </si>
  <si>
    <t>PHIL 057 JT-01</t>
  </si>
  <si>
    <t>PHIL 057</t>
  </si>
  <si>
    <t>PHIL 080 PO-01</t>
  </si>
  <si>
    <t>PHIL 080</t>
  </si>
  <si>
    <t>PHIL 081 PO-01</t>
  </si>
  <si>
    <t>PHIL 081</t>
  </si>
  <si>
    <t>PHIL 084 PZ-01</t>
  </si>
  <si>
    <t>PHIL 084</t>
  </si>
  <si>
    <t>PHIL 095 CM-01</t>
  </si>
  <si>
    <t>PHIL 095</t>
  </si>
  <si>
    <t>PHIL 095 CM-02</t>
  </si>
  <si>
    <t>PHIL 109 CM-01</t>
  </si>
  <si>
    <t>PHIL 109</t>
  </si>
  <si>
    <t>PHIL 118 SC-01</t>
  </si>
  <si>
    <t>PHIL 118</t>
  </si>
  <si>
    <t>PHIL 121 CM-01</t>
  </si>
  <si>
    <t>PHIL 121</t>
  </si>
  <si>
    <t>PHIL 121 CM-02</t>
  </si>
  <si>
    <t>PHIL 121 HM-01</t>
  </si>
  <si>
    <t>PHIL 160 CM-01</t>
  </si>
  <si>
    <t>PHIL 160</t>
  </si>
  <si>
    <t>PHIL 160IO CM-01</t>
  </si>
  <si>
    <t>PHIL 160IO</t>
  </si>
  <si>
    <t>PHIL 183 CM-01</t>
  </si>
  <si>
    <t>PHIL 183</t>
  </si>
  <si>
    <t>PHIL 185R PO-01</t>
  </si>
  <si>
    <t>PHIL 185R</t>
  </si>
  <si>
    <t>PHIL 185S PO-01</t>
  </si>
  <si>
    <t>PHIL 185S</t>
  </si>
  <si>
    <t>PHIL 191 SC-01</t>
  </si>
  <si>
    <t>PHIL 191</t>
  </si>
  <si>
    <t>PHIL 198 CM-01</t>
  </si>
  <si>
    <t>PHIL 198</t>
  </si>
  <si>
    <t>PHYS 009 PO-01</t>
  </si>
  <si>
    <t>PHYS 009</t>
  </si>
  <si>
    <t>PHYS 024 HM-01</t>
  </si>
  <si>
    <t>PHYS 024 HM-02</t>
  </si>
  <si>
    <t>PHYS 024 HM-03</t>
  </si>
  <si>
    <t>PHYS 024 HM-04</t>
  </si>
  <si>
    <t>PHYS 024 HM-05</t>
  </si>
  <si>
    <t>PHYS 024 HM-06</t>
  </si>
  <si>
    <t>PHYS 024 HM-07</t>
  </si>
  <si>
    <t>PHYS 024 HM-08</t>
  </si>
  <si>
    <t>PHYS 024 HM-09</t>
  </si>
  <si>
    <t>PHYS 024 HM-10</t>
  </si>
  <si>
    <t>PHYS 024A HM-01</t>
  </si>
  <si>
    <t>PHYS 024A</t>
  </si>
  <si>
    <t>PHYS 024A HM-02</t>
  </si>
  <si>
    <t>PHYS 031L KS-01</t>
  </si>
  <si>
    <t>PHYS 031L</t>
  </si>
  <si>
    <t>PHYS 031L KS-02</t>
  </si>
  <si>
    <t>PHYS 031L KS-03</t>
  </si>
  <si>
    <t>PHYS 031LX KS-01</t>
  </si>
  <si>
    <t>PHYS 031LX</t>
  </si>
  <si>
    <t>PHYS 031LX KS-02</t>
  </si>
  <si>
    <t>PHYS 031LX KS-03</t>
  </si>
  <si>
    <t>PHYS 031LX KS-04</t>
  </si>
  <si>
    <t>PHYS 031LX KS-05</t>
  </si>
  <si>
    <t>PHYS 034L KS-01</t>
  </si>
  <si>
    <t>PHYS 034L</t>
  </si>
  <si>
    <t>PHYS 034L KS-02</t>
  </si>
  <si>
    <t>PHYS 042 PO-01</t>
  </si>
  <si>
    <t>PHYS 042</t>
  </si>
  <si>
    <t>PHYS 042 PO-02</t>
  </si>
  <si>
    <t>PHYS 042L PO-01</t>
  </si>
  <si>
    <t>PHYS 042L</t>
  </si>
  <si>
    <t>PHYS 042L PO-02</t>
  </si>
  <si>
    <t>PHYS 042L PO-03</t>
  </si>
  <si>
    <t>PHYS 042L PO-04</t>
  </si>
  <si>
    <t>PHYS 050 HM-01</t>
  </si>
  <si>
    <t>PHYS 052 HM-01</t>
  </si>
  <si>
    <t>PHYS 052</t>
  </si>
  <si>
    <t>PHYS 052 HM-02</t>
  </si>
  <si>
    <t>PHYS 052 HM-03</t>
  </si>
  <si>
    <t>PHYS 054 HM-01</t>
  </si>
  <si>
    <t>PHYS 054</t>
  </si>
  <si>
    <t>PHYS 078 HM-01</t>
  </si>
  <si>
    <t>PHYS 078</t>
  </si>
  <si>
    <t>PHYS 089B PO-01</t>
  </si>
  <si>
    <t>PHYS 089B</t>
  </si>
  <si>
    <t>PHYS 089B PO-02</t>
  </si>
  <si>
    <t>PHYS 089C PO-01</t>
  </si>
  <si>
    <t>PHYS 089C</t>
  </si>
  <si>
    <t>PHYS 089C PO-02</t>
  </si>
  <si>
    <t>PHYS 089CL PO-01</t>
  </si>
  <si>
    <t>PHYS 089CL</t>
  </si>
  <si>
    <t>PHYS 089CL PO-02</t>
  </si>
  <si>
    <t>PHYS 089CL PO-03</t>
  </si>
  <si>
    <t>PHYS 100 KS-01</t>
  </si>
  <si>
    <t>PHYS 100</t>
  </si>
  <si>
    <t>PHYS 102 KS-01</t>
  </si>
  <si>
    <t>PHYS 102</t>
  </si>
  <si>
    <t>PHYS 105 KS-01</t>
  </si>
  <si>
    <t>PHYS 105</t>
  </si>
  <si>
    <t>PHYS 106L KS-01</t>
  </si>
  <si>
    <t>PHYS 106L</t>
  </si>
  <si>
    <t>PHYS 114 KS-01</t>
  </si>
  <si>
    <t>PHYS 114</t>
  </si>
  <si>
    <t>PHYS 116 HM-01</t>
  </si>
  <si>
    <t>PHYS 116</t>
  </si>
  <si>
    <t>PHYS 125 PO-01</t>
  </si>
  <si>
    <t>PHYS 125</t>
  </si>
  <si>
    <t>PHYS 128 PO-01</t>
  </si>
  <si>
    <t>PHYS 128</t>
  </si>
  <si>
    <t>PHYS 134 HM-01</t>
  </si>
  <si>
    <t>PHYS 134</t>
  </si>
  <si>
    <t>PHYS 142 PO-01</t>
  </si>
  <si>
    <t>PHYS 142</t>
  </si>
  <si>
    <t>PHYS 154 HM-01</t>
  </si>
  <si>
    <t>PHYS 154</t>
  </si>
  <si>
    <t>PHYS 162 HM-01</t>
  </si>
  <si>
    <t>PHYS 162</t>
  </si>
  <si>
    <t>PHYS 170 HM-01</t>
  </si>
  <si>
    <t>PHYS 170</t>
  </si>
  <si>
    <t>PHYS 172 HM-01</t>
  </si>
  <si>
    <t>PHYS 172</t>
  </si>
  <si>
    <t>PHYS 174 HM-01</t>
  </si>
  <si>
    <t>PHYS 174</t>
  </si>
  <si>
    <t>PHYS 174 PO-01</t>
  </si>
  <si>
    <t>PHYS 175 PO-01</t>
  </si>
  <si>
    <t>PHYS 175</t>
  </si>
  <si>
    <t>PHYS 178 KS-01</t>
  </si>
  <si>
    <t>PHYS 178</t>
  </si>
  <si>
    <t>PHYS 178F HM-01</t>
  </si>
  <si>
    <t>PHYS 178F</t>
  </si>
  <si>
    <t>PHYS 188L KS-01</t>
  </si>
  <si>
    <t>PHYS 188L</t>
  </si>
  <si>
    <t>PHYS 189L KS-01</t>
  </si>
  <si>
    <t>PHYS 189L</t>
  </si>
  <si>
    <t>PHYS 190L KS-01</t>
  </si>
  <si>
    <t>PHYS 190L</t>
  </si>
  <si>
    <t>PHYS 191 HM-01</t>
  </si>
  <si>
    <t>PHYS 191</t>
  </si>
  <si>
    <t>PHYS 191 KS-01</t>
  </si>
  <si>
    <t>PHYS 191E PO-04</t>
  </si>
  <si>
    <t>PHYS 191E</t>
  </si>
  <si>
    <t>PHYS 191E PO-08</t>
  </si>
  <si>
    <t>PHYS 191E PO-12</t>
  </si>
  <si>
    <t>PHYS 191E PO-16</t>
  </si>
  <si>
    <t>PHYS 191E PO-20</t>
  </si>
  <si>
    <t>PHYS 191E PO-24</t>
  </si>
  <si>
    <t>PHYS 191E PO-28</t>
  </si>
  <si>
    <t>PHYS 191L PO-04</t>
  </si>
  <si>
    <t>PHYS 191L</t>
  </si>
  <si>
    <t>PHYS 191L PO-08</t>
  </si>
  <si>
    <t>PHYS 191L PO-12</t>
  </si>
  <si>
    <t>PHYS 191L PO-16</t>
  </si>
  <si>
    <t>PHYS 191L PO-20</t>
  </si>
  <si>
    <t>PHYS 191L PO-24</t>
  </si>
  <si>
    <t>PHYS 193 PO-04</t>
  </si>
  <si>
    <t>PHYS 193</t>
  </si>
  <si>
    <t>PHYS 194 HM-01</t>
  </si>
  <si>
    <t>PHYS 194</t>
  </si>
  <si>
    <t>PHYS 195 HM-01</t>
  </si>
  <si>
    <t>PHYS 195</t>
  </si>
  <si>
    <t>PHYS 197 HM-01</t>
  </si>
  <si>
    <t>PHYS 197</t>
  </si>
  <si>
    <t>PHYS 199 HM-01</t>
  </si>
  <si>
    <t>PHYS 199</t>
  </si>
  <si>
    <t>PHYS 199 HM-02</t>
  </si>
  <si>
    <t>PHYS 199 HM-03</t>
  </si>
  <si>
    <t>PHYS 199 HM-04</t>
  </si>
  <si>
    <t>PHYS 199 HM-05</t>
  </si>
  <si>
    <t>PHYS 199 HM-06</t>
  </si>
  <si>
    <t>PHYS 199 HM-07</t>
  </si>
  <si>
    <t>PHYS 199 HM-08</t>
  </si>
  <si>
    <t>PHYS 199 HM-09</t>
  </si>
  <si>
    <t>PHYS 199 HM-10</t>
  </si>
  <si>
    <t>POLI 001B PO-01</t>
  </si>
  <si>
    <t>POLI 001B</t>
  </si>
  <si>
    <t>POLI 003 PO-01</t>
  </si>
  <si>
    <t>POLI 003</t>
  </si>
  <si>
    <t>POLI 005 PO-01</t>
  </si>
  <si>
    <t>POLI 005</t>
  </si>
  <si>
    <t>POLI 005 PO-02</t>
  </si>
  <si>
    <t>POLI 008 PO-01</t>
  </si>
  <si>
    <t>POLI 008</t>
  </si>
  <si>
    <t>POLI 008 PO-02</t>
  </si>
  <si>
    <t>POLI 033B PO-01</t>
  </si>
  <si>
    <t>POLI 033B</t>
  </si>
  <si>
    <t>POLI 060 PO-01</t>
  </si>
  <si>
    <t>POLI 060</t>
  </si>
  <si>
    <t>POLI 090 PO-01</t>
  </si>
  <si>
    <t>POLI 090</t>
  </si>
  <si>
    <t>POLI 100 SC-01</t>
  </si>
  <si>
    <t>POLI 100</t>
  </si>
  <si>
    <t>POLI 110 SC-01</t>
  </si>
  <si>
    <t>POLI 110</t>
  </si>
  <si>
    <t>POLI 111 PO-01</t>
  </si>
  <si>
    <t>POLI 111</t>
  </si>
  <si>
    <t>POLI 115 SC-01</t>
  </si>
  <si>
    <t>POLI 115</t>
  </si>
  <si>
    <t>POLI 120 JT-01</t>
  </si>
  <si>
    <t>POLI 123IO SC-01</t>
  </si>
  <si>
    <t>POLI 123IO</t>
  </si>
  <si>
    <t>POLI 130 SC-01</t>
  </si>
  <si>
    <t>POLI 130</t>
  </si>
  <si>
    <t>POLI 134 PO-01</t>
  </si>
  <si>
    <t>POLI 134</t>
  </si>
  <si>
    <t>POLI 136 PO-01</t>
  </si>
  <si>
    <t>POLI 136</t>
  </si>
  <si>
    <t>POLI 145 SC-01</t>
  </si>
  <si>
    <t>POLI 145</t>
  </si>
  <si>
    <t>POLI 147 PO-01</t>
  </si>
  <si>
    <t>POLI 147</t>
  </si>
  <si>
    <t>POLI 150 SC-01</t>
  </si>
  <si>
    <t>POLI 150</t>
  </si>
  <si>
    <t>POLI 172 PO-01</t>
  </si>
  <si>
    <t>POLI 172</t>
  </si>
  <si>
    <t>POLI 177 PO-01</t>
  </si>
  <si>
    <t>POLI 177</t>
  </si>
  <si>
    <t>POLI 180 PO-01</t>
  </si>
  <si>
    <t>POLI 180</t>
  </si>
  <si>
    <t>POLI 180 SC-01</t>
  </si>
  <si>
    <t>POLI 189Y PO-01</t>
  </si>
  <si>
    <t>POLI 189Y</t>
  </si>
  <si>
    <t>POLI 189Z PO-01</t>
  </si>
  <si>
    <t>POLI 189Z</t>
  </si>
  <si>
    <t>POLI 190B PO-01</t>
  </si>
  <si>
    <t>POLI 190B</t>
  </si>
  <si>
    <t>POLI 190D PO-01</t>
  </si>
  <si>
    <t>POLI 190D</t>
  </si>
  <si>
    <t>POLI 191 PO-04</t>
  </si>
  <si>
    <t>POLI 191</t>
  </si>
  <si>
    <t>POLI 191 PO-08</t>
  </si>
  <si>
    <t>POLI 191 PO-12</t>
  </si>
  <si>
    <t>POLI 191 PO-16</t>
  </si>
  <si>
    <t>POLI 191 PO-20</t>
  </si>
  <si>
    <t>POLI 191 PO-24</t>
  </si>
  <si>
    <t>POLI 191 PO-28</t>
  </si>
  <si>
    <t>POLI 191 PO-32</t>
  </si>
  <si>
    <t>POLI 191 PO-36</t>
  </si>
  <si>
    <t>POLI 193 PO-04</t>
  </si>
  <si>
    <t>POLI 193</t>
  </si>
  <si>
    <t>POLI 195 PO-04</t>
  </si>
  <si>
    <t>POLI 195</t>
  </si>
  <si>
    <t>PORT 022 PZ-01</t>
  </si>
  <si>
    <t>PORT 022</t>
  </si>
  <si>
    <t>PORT 035 PZ-01</t>
  </si>
  <si>
    <t>PORT 035</t>
  </si>
  <si>
    <t>PORT 044 CM-01</t>
  </si>
  <si>
    <t>PORT 044</t>
  </si>
  <si>
    <t>POST 050 PZ-01</t>
  </si>
  <si>
    <t>POST 050</t>
  </si>
  <si>
    <t>POST 070 PZ-01</t>
  </si>
  <si>
    <t>POST 070</t>
  </si>
  <si>
    <t>POST 096 PZ-01</t>
  </si>
  <si>
    <t>POST 096</t>
  </si>
  <si>
    <t>POST 106 PZ-01</t>
  </si>
  <si>
    <t>POST 106</t>
  </si>
  <si>
    <t>POST 123 PZ-01</t>
  </si>
  <si>
    <t>POST 123</t>
  </si>
  <si>
    <t>POST 134 PZ-01</t>
  </si>
  <si>
    <t>POST 134</t>
  </si>
  <si>
    <t>POST 140 HM-01</t>
  </si>
  <si>
    <t>POST 140</t>
  </si>
  <si>
    <t>POST 140 HM-02</t>
  </si>
  <si>
    <t>POST 140 PZ-01</t>
  </si>
  <si>
    <t>POST 141 PZ-01</t>
  </si>
  <si>
    <t>POST 141</t>
  </si>
  <si>
    <t>POST 170 PZ-01</t>
  </si>
  <si>
    <t>POST 170</t>
  </si>
  <si>
    <t>POST 185 PZ-01</t>
  </si>
  <si>
    <t>POST 185</t>
  </si>
  <si>
    <t>POST 190 PZ-01</t>
  </si>
  <si>
    <t>POST 190</t>
  </si>
  <si>
    <t>POST 199 PZ-01</t>
  </si>
  <si>
    <t>POST 199</t>
  </si>
  <si>
    <t>PPA 001 PO-01</t>
  </si>
  <si>
    <t>PPA 001</t>
  </si>
  <si>
    <t>PPA 191 PO-04</t>
  </si>
  <si>
    <t>PPA 191</t>
  </si>
  <si>
    <t>PPA 195 PO-04</t>
  </si>
  <si>
    <t>PPA 195</t>
  </si>
  <si>
    <t>PPE 001A CM-01</t>
  </si>
  <si>
    <t>PPE 001A</t>
  </si>
  <si>
    <t>PPE 001A CM-02</t>
  </si>
  <si>
    <t>PPE 001B CM-01</t>
  </si>
  <si>
    <t>PPE 001B</t>
  </si>
  <si>
    <t>PPE 001B CM-02</t>
  </si>
  <si>
    <t>PPE 011A CM-01</t>
  </si>
  <si>
    <t>PPE 011A</t>
  </si>
  <si>
    <t>PPE 011A CM-02</t>
  </si>
  <si>
    <t>PPE 011B CM-01</t>
  </si>
  <si>
    <t>PPE 011B</t>
  </si>
  <si>
    <t>PPE 011B CM-02</t>
  </si>
  <si>
    <t>PPE 100 PO-01</t>
  </si>
  <si>
    <t>PPE 100</t>
  </si>
  <si>
    <t>PPE 110A CM-01</t>
  </si>
  <si>
    <t>PPE 110A</t>
  </si>
  <si>
    <t>PPE 110A CM-02</t>
  </si>
  <si>
    <t>PPE 110B CM-01</t>
  </si>
  <si>
    <t>PPE 110B</t>
  </si>
  <si>
    <t>PPE 110B CM-02</t>
  </si>
  <si>
    <t>PPE 195 PO-04</t>
  </si>
  <si>
    <t>PPE 195</t>
  </si>
  <si>
    <t>PSYC 010 PZ-01</t>
  </si>
  <si>
    <t>PSYC 010</t>
  </si>
  <si>
    <t>PSYC 010 PZ-02</t>
  </si>
  <si>
    <t>PSYC 030 CM-01</t>
  </si>
  <si>
    <t>PSYC 030</t>
  </si>
  <si>
    <t>PSYC 030 CM-02</t>
  </si>
  <si>
    <t>PSYC 030 CM-03</t>
  </si>
  <si>
    <t>PSYC 030 CM-04</t>
  </si>
  <si>
    <t>PSYC 030 CM-05</t>
  </si>
  <si>
    <t>PSYC 030 CM-06</t>
  </si>
  <si>
    <t>PSYC 037 CM-01</t>
  </si>
  <si>
    <t>PSYC 037</t>
  </si>
  <si>
    <t>PSYC 037 CM-02</t>
  </si>
  <si>
    <t>PSYC 037 CM-03</t>
  </si>
  <si>
    <t>PSYC 040 CM-01</t>
  </si>
  <si>
    <t>PSYC 040</t>
  </si>
  <si>
    <t>PSYC 040 CM-02</t>
  </si>
  <si>
    <t>PSYC 051 PO-01</t>
  </si>
  <si>
    <t>PSYC 051</t>
  </si>
  <si>
    <t>PSYC 051 PO-02</t>
  </si>
  <si>
    <t>PSYC 051 PO-03</t>
  </si>
  <si>
    <t>PSYC 051 PO-04</t>
  </si>
  <si>
    <t>PSYC 052 SC-01</t>
  </si>
  <si>
    <t>PSYC 052</t>
  </si>
  <si>
    <t>PSYC 065 CM-01</t>
  </si>
  <si>
    <t>PSYC 065</t>
  </si>
  <si>
    <t>PSYC 070 CM-01</t>
  </si>
  <si>
    <t>PSYC 070</t>
  </si>
  <si>
    <t>PSYC 084 CH-01</t>
  </si>
  <si>
    <t>PSYC 084</t>
  </si>
  <si>
    <t>PSYC 091 PZ-01</t>
  </si>
  <si>
    <t>PSYC 091</t>
  </si>
  <si>
    <t>PSYC 091P PZ-01</t>
  </si>
  <si>
    <t>PSYC 091P</t>
  </si>
  <si>
    <t>PSYC 092 CM-01</t>
  </si>
  <si>
    <t>PSYC 092</t>
  </si>
  <si>
    <t>PSYC 092 PZ-01</t>
  </si>
  <si>
    <t>PSYC 092P PZ-01</t>
  </si>
  <si>
    <t>PSYC 092P</t>
  </si>
  <si>
    <t>PSYC 096 PZ-01</t>
  </si>
  <si>
    <t>PSYC 096</t>
  </si>
  <si>
    <t>PSYC 097 CM-01</t>
  </si>
  <si>
    <t>PSYC 097</t>
  </si>
  <si>
    <t>PSYC 097 CM-02</t>
  </si>
  <si>
    <t>PSYC 103 SC-01</t>
  </si>
  <si>
    <t>PSYC 103</t>
  </si>
  <si>
    <t>PSYC 105 PZ-01</t>
  </si>
  <si>
    <t>PSYC 105</t>
  </si>
  <si>
    <t>PSYC 105 PZ-02</t>
  </si>
  <si>
    <t>PSYC 108 PO-01</t>
  </si>
  <si>
    <t>PSYC 108</t>
  </si>
  <si>
    <t>PSYC 109 CM-01</t>
  </si>
  <si>
    <t>PSYC 109</t>
  </si>
  <si>
    <t>PSYC 110 CM-01</t>
  </si>
  <si>
    <t>PSYC 110</t>
  </si>
  <si>
    <t>PSYC 110 CM-02</t>
  </si>
  <si>
    <t>PSYC 111L CM-01</t>
  </si>
  <si>
    <t>PSYC 111L</t>
  </si>
  <si>
    <t>PSYC 111L CM-02</t>
  </si>
  <si>
    <t>PSYC 113 PZ-01</t>
  </si>
  <si>
    <t>PSYC 113</t>
  </si>
  <si>
    <t>PSYC 117 PZ-01</t>
  </si>
  <si>
    <t>PSYC 117</t>
  </si>
  <si>
    <t>PSYC 120 CM-01</t>
  </si>
  <si>
    <t>PSYC 120</t>
  </si>
  <si>
    <t>PSYC 124 SC-01</t>
  </si>
  <si>
    <t>PSYC 124</t>
  </si>
  <si>
    <t>PSYC 130 PZ-01</t>
  </si>
  <si>
    <t>PSYC 130</t>
  </si>
  <si>
    <t>PSYC 130P PZ-01</t>
  </si>
  <si>
    <t>PSYC 130P</t>
  </si>
  <si>
    <t>PSYC 131 CM-01</t>
  </si>
  <si>
    <t>PSYC 131</t>
  </si>
  <si>
    <t>PSYC 132 CM-01</t>
  </si>
  <si>
    <t>PSYC 132</t>
  </si>
  <si>
    <t>PSYC 133 SC-01</t>
  </si>
  <si>
    <t>PSYC 133</t>
  </si>
  <si>
    <t>PSYC 140 CM-01</t>
  </si>
  <si>
    <t>PSYC 140</t>
  </si>
  <si>
    <t>PSYC 141 PO-01</t>
  </si>
  <si>
    <t>PSYC 141</t>
  </si>
  <si>
    <t>PSYC 142 CM-01</t>
  </si>
  <si>
    <t>PSYC 142</t>
  </si>
  <si>
    <t>PSYC 145 SC-01</t>
  </si>
  <si>
    <t>PSYC 145</t>
  </si>
  <si>
    <t>PSYC 148 PZ-01</t>
  </si>
  <si>
    <t>PSYC 148</t>
  </si>
  <si>
    <t>PSYC 150 AF-01</t>
  </si>
  <si>
    <t>PSYC 150</t>
  </si>
  <si>
    <t>PSYC 152 PZ-01</t>
  </si>
  <si>
    <t>PSYC 152</t>
  </si>
  <si>
    <t>PSYC 153 AA-01</t>
  </si>
  <si>
    <t>PSYC 153</t>
  </si>
  <si>
    <t>PSYC 155 PZ-01</t>
  </si>
  <si>
    <t>PSYC 155</t>
  </si>
  <si>
    <t>PSYC 157 PO-01</t>
  </si>
  <si>
    <t>PSYC 157</t>
  </si>
  <si>
    <t>PSYC 159 CM-01</t>
  </si>
  <si>
    <t>PSYC 159</t>
  </si>
  <si>
    <t>PSYC 162 PO-01</t>
  </si>
  <si>
    <t>PSYC 162</t>
  </si>
  <si>
    <t>PSYC 168 SC-01</t>
  </si>
  <si>
    <t>PSYC 168</t>
  </si>
  <si>
    <t>PSYC 168L SC-01</t>
  </si>
  <si>
    <t>PSYC 168L</t>
  </si>
  <si>
    <t>PSYC 175 CM-01</t>
  </si>
  <si>
    <t>PSYC 175</t>
  </si>
  <si>
    <t>PSYC 179T HM-01</t>
  </si>
  <si>
    <t>PSYC 179T</t>
  </si>
  <si>
    <t>PSYC 180 CM-01</t>
  </si>
  <si>
    <t>PSYC 180</t>
  </si>
  <si>
    <t>PSYC 180 PZ-01</t>
  </si>
  <si>
    <t>PSYC 180A PO-01</t>
  </si>
  <si>
    <t>PSYC 180A</t>
  </si>
  <si>
    <t>PSYC 180C PO-01</t>
  </si>
  <si>
    <t>PSYC 180C</t>
  </si>
  <si>
    <t>PSYC 180H PO-01</t>
  </si>
  <si>
    <t>PSYC 180H</t>
  </si>
  <si>
    <t>PSYC 180M PO-01</t>
  </si>
  <si>
    <t>PSYC 180M</t>
  </si>
  <si>
    <t>PSYC 180P PZ-01</t>
  </si>
  <si>
    <t>PSYC 180P</t>
  </si>
  <si>
    <t>PSYC 189 PZ-01</t>
  </si>
  <si>
    <t>PSYC 189</t>
  </si>
  <si>
    <t>PSYC 189A PO-01</t>
  </si>
  <si>
    <t>PSYC 189A</t>
  </si>
  <si>
    <t>PSYC 189L PO-01</t>
  </si>
  <si>
    <t>PSYC 189L</t>
  </si>
  <si>
    <t>PSYC 189M PO-01</t>
  </si>
  <si>
    <t>PSYC 189M</t>
  </si>
  <si>
    <t>PSYC 190R PO-04</t>
  </si>
  <si>
    <t>PSYC 190R</t>
  </si>
  <si>
    <t>PSYC 190R PO-08</t>
  </si>
  <si>
    <t>PSYC 190R PO-12</t>
  </si>
  <si>
    <t>PSYC 190R PO-16</t>
  </si>
  <si>
    <t>PSYC 190R PO-20</t>
  </si>
  <si>
    <t>PSYC 190R PO-24</t>
  </si>
  <si>
    <t>PSYC 190R PO-28</t>
  </si>
  <si>
    <t>PSYC 190R PO-32</t>
  </si>
  <si>
    <t>PSYC 190R PO-36</t>
  </si>
  <si>
    <t>PSYC 190R PO-40</t>
  </si>
  <si>
    <t>PSYC 191 PO-01</t>
  </si>
  <si>
    <t>PSYC 191</t>
  </si>
  <si>
    <t>PSYC 191 PZ-01</t>
  </si>
  <si>
    <t>PSYC 193 PZ-01</t>
  </si>
  <si>
    <t>PSYC 193</t>
  </si>
  <si>
    <t>PSYC 197A CM-01</t>
  </si>
  <si>
    <t>PSYC 197A</t>
  </si>
  <si>
    <t>PSYC 197A CM-02</t>
  </si>
  <si>
    <t>PSYC 197A CM-03</t>
  </si>
  <si>
    <t>PSYC 197A CM-04</t>
  </si>
  <si>
    <t>PSYC 197A CM-05</t>
  </si>
  <si>
    <t>PSYC 197A CM-06</t>
  </si>
  <si>
    <t>PSYC 197A CM-07</t>
  </si>
  <si>
    <t>PSYC 197A CM-08</t>
  </si>
  <si>
    <t>PSYC 197A CM-09</t>
  </si>
  <si>
    <t>PSYC 197A CM-10</t>
  </si>
  <si>
    <t>PSYC 197A CM-11</t>
  </si>
  <si>
    <t>PSYC 197A CM-12</t>
  </si>
  <si>
    <t>PSYC 197A CM-13</t>
  </si>
  <si>
    <t>PSYC 197A CM-14</t>
  </si>
  <si>
    <t>PSYC 197A CM-15</t>
  </si>
  <si>
    <t>PSYC 197A CM-16</t>
  </si>
  <si>
    <t>PSYC 197B CM-01</t>
  </si>
  <si>
    <t>PSYC 197B</t>
  </si>
  <si>
    <t>PSYC 197B CM-02</t>
  </si>
  <si>
    <t>PSYC 197B CM-03</t>
  </si>
  <si>
    <t>PSYC 197B CM-04</t>
  </si>
  <si>
    <t>PSYC 197B CM-05</t>
  </si>
  <si>
    <t>PSYC 197B CM-06</t>
  </si>
  <si>
    <t>PSYC 197B CM-07</t>
  </si>
  <si>
    <t>PSYC 197B CM-08</t>
  </si>
  <si>
    <t>PSYC 197B CM-09</t>
  </si>
  <si>
    <t>PSYC 197B CM-10</t>
  </si>
  <si>
    <t>PSYC 197B CM-11</t>
  </si>
  <si>
    <t>PSYC 197B CM-12</t>
  </si>
  <si>
    <t>PSYC 197B CM-13</t>
  </si>
  <si>
    <t>PSYC 197B CM-14</t>
  </si>
  <si>
    <t>PSYC 197B CM-15</t>
  </si>
  <si>
    <t>PSYC 197B CM-16</t>
  </si>
  <si>
    <t>RLIT 191 PO-04</t>
  </si>
  <si>
    <t>RLIT 191</t>
  </si>
  <si>
    <t>RLST 002 PO-01</t>
  </si>
  <si>
    <t>RLST 002</t>
  </si>
  <si>
    <t>RLST 020 PO-01</t>
  </si>
  <si>
    <t>RLST 020</t>
  </si>
  <si>
    <t>RLST 025 PO-01</t>
  </si>
  <si>
    <t>RLST 025</t>
  </si>
  <si>
    <t>RLST 045 CM-01</t>
  </si>
  <si>
    <t>RLST 045</t>
  </si>
  <si>
    <t>RLST 055 CM-01</t>
  </si>
  <si>
    <t>RLST 055</t>
  </si>
  <si>
    <t>RLST 058 CM-01</t>
  </si>
  <si>
    <t>RLST 058</t>
  </si>
  <si>
    <t>RLST 084 CM-01</t>
  </si>
  <si>
    <t>RLST 084</t>
  </si>
  <si>
    <t>RLST 086 SC-01</t>
  </si>
  <si>
    <t>RLST 086</t>
  </si>
  <si>
    <t>RLST 095 SC-01</t>
  </si>
  <si>
    <t>RLST 095</t>
  </si>
  <si>
    <t>RLST 100 PO-01</t>
  </si>
  <si>
    <t>RLST 100</t>
  </si>
  <si>
    <t>RLST 102 CM-01</t>
  </si>
  <si>
    <t>RLST 102</t>
  </si>
  <si>
    <t>RLST 102 CM-02</t>
  </si>
  <si>
    <t>RLST 110 PO-01</t>
  </si>
  <si>
    <t>RLST 110</t>
  </si>
  <si>
    <t>RLST 113</t>
  </si>
  <si>
    <t>RLST 137 CM-01</t>
  </si>
  <si>
    <t>RLST 137</t>
  </si>
  <si>
    <t>RLST 139 PO-01</t>
  </si>
  <si>
    <t>RLST 139</t>
  </si>
  <si>
    <t>RLST 142 AF-01</t>
  </si>
  <si>
    <t>RLST 142</t>
  </si>
  <si>
    <t>RLST 150</t>
  </si>
  <si>
    <t>RLST 151 CM-01</t>
  </si>
  <si>
    <t>RLST 151</t>
  </si>
  <si>
    <t>RLST 164 PO-01</t>
  </si>
  <si>
    <t>RLST 164</t>
  </si>
  <si>
    <t>RLST 169 CM-01</t>
  </si>
  <si>
    <t>RLST 169</t>
  </si>
  <si>
    <t>RLST 176 CM-01</t>
  </si>
  <si>
    <t>RLST 176</t>
  </si>
  <si>
    <t>RLST 180 HM-01</t>
  </si>
  <si>
    <t>RLST 180</t>
  </si>
  <si>
    <t>RLST 191 PO-04</t>
  </si>
  <si>
    <t>RLST 191</t>
  </si>
  <si>
    <t>RLST 191 SC-01</t>
  </si>
  <si>
    <t>RUSS 002 PO-01</t>
  </si>
  <si>
    <t>RUSS 002</t>
  </si>
  <si>
    <t>RUSS 011 PO-01</t>
  </si>
  <si>
    <t>RUSS 011</t>
  </si>
  <si>
    <t>RUSS 013 PO-01</t>
  </si>
  <si>
    <t>RUSS 013</t>
  </si>
  <si>
    <t>RUSS 180 PO-01</t>
  </si>
  <si>
    <t>RUSS 180</t>
  </si>
  <si>
    <t>RUSS 191 PO-04</t>
  </si>
  <si>
    <t>RUSS 191</t>
  </si>
  <si>
    <t>RUST 103 PO-01</t>
  </si>
  <si>
    <t>RUST 103</t>
  </si>
  <si>
    <t>RUST 114 PO-01</t>
  </si>
  <si>
    <t>RUST 114</t>
  </si>
  <si>
    <t>SOC 001 PZ-01</t>
  </si>
  <si>
    <t>SOC 001</t>
  </si>
  <si>
    <t>SOC 001 PZ-02</t>
  </si>
  <si>
    <t>SOC 035 PZ-01</t>
  </si>
  <si>
    <t>SOC 035</t>
  </si>
  <si>
    <t>SOC 051 PO-01</t>
  </si>
  <si>
    <t>SOC 051</t>
  </si>
  <si>
    <t>SOC 051 PO-02</t>
  </si>
  <si>
    <t>SOC 051 PO-03</t>
  </si>
  <si>
    <t>SOC 055 PZ-01</t>
  </si>
  <si>
    <t>SOC 055</t>
  </si>
  <si>
    <t>SOC 074 PZ-01</t>
  </si>
  <si>
    <t>SOC 074</t>
  </si>
  <si>
    <t>SOC 083 PZ-01</t>
  </si>
  <si>
    <t>SOC 083</t>
  </si>
  <si>
    <t>SOC 101 PZ-01</t>
  </si>
  <si>
    <t>SOC 101</t>
  </si>
  <si>
    <t>SOC 102 PZ-01</t>
  </si>
  <si>
    <t>SOC 102</t>
  </si>
  <si>
    <t>SOC 110 PZ-01</t>
  </si>
  <si>
    <t>SOC 110</t>
  </si>
  <si>
    <t>SOC 126 AA-01</t>
  </si>
  <si>
    <t>SOC 126</t>
  </si>
  <si>
    <t>SOC 128 JT-01</t>
  </si>
  <si>
    <t>SOC 128</t>
  </si>
  <si>
    <t>SOC 147 PO-01</t>
  </si>
  <si>
    <t>SOC 147</t>
  </si>
  <si>
    <t>SOC 148 PO-01</t>
  </si>
  <si>
    <t>SOC 148</t>
  </si>
  <si>
    <t>SOC 150 CH-01</t>
  </si>
  <si>
    <t>SOC 150</t>
  </si>
  <si>
    <t>SOC 155 CH-01</t>
  </si>
  <si>
    <t>SOC 155</t>
  </si>
  <si>
    <t>SOC 157 PO-01</t>
  </si>
  <si>
    <t>SOC 157</t>
  </si>
  <si>
    <t>SOC 189E PO-01</t>
  </si>
  <si>
    <t>SOC 189E</t>
  </si>
  <si>
    <t>SOC 189G PO-01</t>
  </si>
  <si>
    <t>SOC 189G</t>
  </si>
  <si>
    <t>SOC 189K PO-01</t>
  </si>
  <si>
    <t>SOC 189K</t>
  </si>
  <si>
    <t>SOC 191 PO-04</t>
  </si>
  <si>
    <t>SOC 191</t>
  </si>
  <si>
    <t>SOC 191 PO-08</t>
  </si>
  <si>
    <t>SOC 191 PO-12</t>
  </si>
  <si>
    <t>SOC 191 PO-16</t>
  </si>
  <si>
    <t>SOC 199A PZ-01</t>
  </si>
  <si>
    <t>SOC 199A</t>
  </si>
  <si>
    <t>SOC 199B PZ-01</t>
  </si>
  <si>
    <t>SOC 199B</t>
  </si>
  <si>
    <t>SPAN 002 CM-01</t>
  </si>
  <si>
    <t>SPAN 002</t>
  </si>
  <si>
    <t>SPAN 002 CM-02</t>
  </si>
  <si>
    <t>SPAN 002 PO-01</t>
  </si>
  <si>
    <t>SPAN 002 PZ-01</t>
  </si>
  <si>
    <t>SPAN 002 PZ-02</t>
  </si>
  <si>
    <t>SPAN 011 PO-01</t>
  </si>
  <si>
    <t>SPAN 011</t>
  </si>
  <si>
    <t>SPAN 011 PO-02</t>
  </si>
  <si>
    <t>SPAN 013 PO-01</t>
  </si>
  <si>
    <t>SPAN 013</t>
  </si>
  <si>
    <t>SPAN 013 PO-02</t>
  </si>
  <si>
    <t>SPAN 022 CM-01</t>
  </si>
  <si>
    <t>SPAN 022</t>
  </si>
  <si>
    <t>SPAN 022 PZ-01</t>
  </si>
  <si>
    <t>SPAN 031 PZ-01</t>
  </si>
  <si>
    <t>SPAN 031</t>
  </si>
  <si>
    <t>SPAN 033 CM-01</t>
  </si>
  <si>
    <t>SPAN 033</t>
  </si>
  <si>
    <t>SPAN 033 CM-02</t>
  </si>
  <si>
    <t>SPAN 033 CM-03</t>
  </si>
  <si>
    <t>SPAN 033 PO-01</t>
  </si>
  <si>
    <t>SPAN 033 PO-02</t>
  </si>
  <si>
    <t>SPAN 033 PZ-01</t>
  </si>
  <si>
    <t>SPAN 033 PZ-02</t>
  </si>
  <si>
    <t>SPAN 033 PZ-03</t>
  </si>
  <si>
    <t>SPAN 033 SC-01</t>
  </si>
  <si>
    <t>SPAN 033 SC-02</t>
  </si>
  <si>
    <t>SPAN 033 SC-03</t>
  </si>
  <si>
    <t>SPAN 033L CM-01</t>
  </si>
  <si>
    <t>SPAN 033L</t>
  </si>
  <si>
    <t>SPAN 033L CM-02</t>
  </si>
  <si>
    <t>SPAN 033L CM-03</t>
  </si>
  <si>
    <t>SPAN 033L CM-04</t>
  </si>
  <si>
    <t>SPAN 033L CM-05</t>
  </si>
  <si>
    <t>SPAN 033L CM-06</t>
  </si>
  <si>
    <t>SPAN 044 CM-01</t>
  </si>
  <si>
    <t>SPAN 044</t>
  </si>
  <si>
    <t>SPAN 044 CM-02</t>
  </si>
  <si>
    <t>SPAN 044 PO-01</t>
  </si>
  <si>
    <t>SPAN 044 PO-02</t>
  </si>
  <si>
    <t>SPAN 044 PO-03</t>
  </si>
  <si>
    <t>SPAN 044 PZ-01</t>
  </si>
  <si>
    <t>SPAN 044 PZ-02</t>
  </si>
  <si>
    <t>SPAN 044 SC-01</t>
  </si>
  <si>
    <t>SPAN 044 SC-02</t>
  </si>
  <si>
    <t>SPAN 044L CM-01</t>
  </si>
  <si>
    <t>SPAN 044L</t>
  </si>
  <si>
    <t>SPAN 044L CM-02</t>
  </si>
  <si>
    <t>SPAN 044L CM-03</t>
  </si>
  <si>
    <t>SPAN 044L CM-04</t>
  </si>
  <si>
    <t>SPAN 050 PZ-01</t>
  </si>
  <si>
    <t>SPAN 050</t>
  </si>
  <si>
    <t>SPAN 055 PZ-01</t>
  </si>
  <si>
    <t>SPAN 055</t>
  </si>
  <si>
    <t>SPAN 055 PZ-02</t>
  </si>
  <si>
    <t>SPAN 100 PZ-01</t>
  </si>
  <si>
    <t>SPAN 100</t>
  </si>
  <si>
    <t>SPAN 101 PO-01</t>
  </si>
  <si>
    <t>SPAN 101</t>
  </si>
  <si>
    <t>SPAN 101 PO-02</t>
  </si>
  <si>
    <t>SPAN 101 SC-01</t>
  </si>
  <si>
    <t>SPAN 102 CM-01</t>
  </si>
  <si>
    <t>SPAN 102</t>
  </si>
  <si>
    <t>SPAN 103 PO-01</t>
  </si>
  <si>
    <t>SPAN 103</t>
  </si>
  <si>
    <t>SPAN 108 PO-01</t>
  </si>
  <si>
    <t>SPAN 108</t>
  </si>
  <si>
    <t>SPAN 120B PO-01</t>
  </si>
  <si>
    <t>SPAN 120B</t>
  </si>
  <si>
    <t>SPAN 125B CM-01</t>
  </si>
  <si>
    <t>SPAN 125B</t>
  </si>
  <si>
    <t>SPAN 127 CH-01</t>
  </si>
  <si>
    <t>SPAN 127</t>
  </si>
  <si>
    <t>SPAN 129 CM-01</t>
  </si>
  <si>
    <t>SPAN 129</t>
  </si>
  <si>
    <t>SPAN 131 SC-01</t>
  </si>
  <si>
    <t>SPAN 131</t>
  </si>
  <si>
    <t>SPAN 135 PO-01</t>
  </si>
  <si>
    <t>SPAN 135</t>
  </si>
  <si>
    <t>SPAN 139 SC-01</t>
  </si>
  <si>
    <t>SPAN 139</t>
  </si>
  <si>
    <t>SPAN 142 PO-01</t>
  </si>
  <si>
    <t>SPAN 142</t>
  </si>
  <si>
    <t>SPAN 153 PO-01</t>
  </si>
  <si>
    <t>SPAN 153</t>
  </si>
  <si>
    <t>SPAN 162 PZ-01</t>
  </si>
  <si>
    <t>SPAN 162</t>
  </si>
  <si>
    <t>SPAN 163 PZ-01</t>
  </si>
  <si>
    <t>SPAN 163</t>
  </si>
  <si>
    <t>SPAN 183 SC-01</t>
  </si>
  <si>
    <t>SPAN 183</t>
  </si>
  <si>
    <t>SPAN 191 PO-04</t>
  </si>
  <si>
    <t>SPAN 191</t>
  </si>
  <si>
    <t>SPAN 191 PO-08</t>
  </si>
  <si>
    <t>SPAN 191 SC-01</t>
  </si>
  <si>
    <t>SPAN 192 PO-04</t>
  </si>
  <si>
    <t>SPAN 192</t>
  </si>
  <si>
    <t>SPAN 192 PO-08</t>
  </si>
  <si>
    <t>SPAN 199 PZ-01</t>
  </si>
  <si>
    <t>SPAN 199</t>
  </si>
  <si>
    <t>SPCH 061A CM-01</t>
  </si>
  <si>
    <t>SPCH 061A</t>
  </si>
  <si>
    <t>SPCH 061B CM-01</t>
  </si>
  <si>
    <t>SPCH 061B</t>
  </si>
  <si>
    <t>SPEC 192 PO-04</t>
  </si>
  <si>
    <t>SPEC 192</t>
  </si>
  <si>
    <t>STS 010 HM-01</t>
  </si>
  <si>
    <t>STS 010</t>
  </si>
  <si>
    <t>STS 179L</t>
  </si>
  <si>
    <t>STS 191 SC-01</t>
  </si>
  <si>
    <t>STS 191</t>
  </si>
  <si>
    <t>THEA 001A PO-01</t>
  </si>
  <si>
    <t>THEA 001A</t>
  </si>
  <si>
    <t>THEA 001A PO-02</t>
  </si>
  <si>
    <t>THEA 001D PO-01</t>
  </si>
  <si>
    <t>THEA 001D</t>
  </si>
  <si>
    <t>THEA 002 PO-01</t>
  </si>
  <si>
    <t>THEA 002</t>
  </si>
  <si>
    <t>THEA 012 PO-01</t>
  </si>
  <si>
    <t>THEA 012</t>
  </si>
  <si>
    <t>THEA 013 PO-01</t>
  </si>
  <si>
    <t>THEA 013</t>
  </si>
  <si>
    <t>THEA 014 PO-01</t>
  </si>
  <si>
    <t>THEA 014</t>
  </si>
  <si>
    <t>THEA 017 PO-01</t>
  </si>
  <si>
    <t>THEA 017</t>
  </si>
  <si>
    <t>THEA 022 PO-01</t>
  </si>
  <si>
    <t>THEA 022</t>
  </si>
  <si>
    <t>THEA 031 PO-01</t>
  </si>
  <si>
    <t>THEA 031</t>
  </si>
  <si>
    <t>THEA 051C PO-01</t>
  </si>
  <si>
    <t>THEA 051C</t>
  </si>
  <si>
    <t>THEA 051C PO-02</t>
  </si>
  <si>
    <t>THEA 051C PO-03</t>
  </si>
  <si>
    <t>THEA 051H PO-01</t>
  </si>
  <si>
    <t>THEA 051H</t>
  </si>
  <si>
    <t>THEA 051H PO-02</t>
  </si>
  <si>
    <t>THEA 051H PO-03</t>
  </si>
  <si>
    <t>THEA 052C PO-01</t>
  </si>
  <si>
    <t>THEA 052C</t>
  </si>
  <si>
    <t>THEA 052C PO-02</t>
  </si>
  <si>
    <t>THEA 052C PO-03</t>
  </si>
  <si>
    <t>THEA 052C PO-04</t>
  </si>
  <si>
    <t>THEA 052H PO-01</t>
  </si>
  <si>
    <t>THEA 052H</t>
  </si>
  <si>
    <t>THEA 052H PO-02</t>
  </si>
  <si>
    <t>THEA 052H PO-03</t>
  </si>
  <si>
    <t>THEA 052H PO-04</t>
  </si>
  <si>
    <t>THEA 053CG PO-01</t>
  </si>
  <si>
    <t>THEA 053CG</t>
  </si>
  <si>
    <t>THEA 053CI PO-01</t>
  </si>
  <si>
    <t>THEA 053CI</t>
  </si>
  <si>
    <t>THEA 053CI PO-02</t>
  </si>
  <si>
    <t>THEA 053HG PO-01</t>
  </si>
  <si>
    <t>THEA 053HG</t>
  </si>
  <si>
    <t>THEA 053HI PO-01</t>
  </si>
  <si>
    <t>THEA 053HI</t>
  </si>
  <si>
    <t>THEA 060 PO-01</t>
  </si>
  <si>
    <t>THEA 060</t>
  </si>
  <si>
    <t>THEA 062 PO-01</t>
  </si>
  <si>
    <t>THEA 062</t>
  </si>
  <si>
    <t>THEA 080 PO-01</t>
  </si>
  <si>
    <t>THEA 080</t>
  </si>
  <si>
    <t>THEA 081 PO-01</t>
  </si>
  <si>
    <t>THEA 081</t>
  </si>
  <si>
    <t>THEA 100K PO-01</t>
  </si>
  <si>
    <t>THEA 100K</t>
  </si>
  <si>
    <t>THEA 130 PO-01</t>
  </si>
  <si>
    <t>THEA 130</t>
  </si>
  <si>
    <t>THEA 170 PO-01</t>
  </si>
  <si>
    <t>THEA 170</t>
  </si>
  <si>
    <t>THEA 188 PO-01</t>
  </si>
  <si>
    <t>THEA 188</t>
  </si>
  <si>
    <t>THEA 191H PO-04</t>
  </si>
  <si>
    <t>THEA 191H</t>
  </si>
  <si>
    <t>THEA 191H PO-08</t>
  </si>
  <si>
    <t>THEA 191H PO-12</t>
  </si>
  <si>
    <t>THEA 191H PO-16</t>
  </si>
  <si>
    <t>THEA 191H PO-20</t>
  </si>
  <si>
    <t>THEA 192H PO-04</t>
  </si>
  <si>
    <t>THEA 192H</t>
  </si>
  <si>
    <t>THEA 192H PO-08</t>
  </si>
  <si>
    <t>THEA 192H PO-12</t>
  </si>
  <si>
    <t>THEA 192H PO-16</t>
  </si>
  <si>
    <t>THEA 192H PO-20</t>
  </si>
  <si>
    <t>WRIT 031 PZ-01</t>
  </si>
  <si>
    <t>WRIT 031</t>
  </si>
  <si>
    <t>WRIT 109 SC-01</t>
  </si>
  <si>
    <t>WRIT 109</t>
  </si>
  <si>
    <t>WRIT 110 PZ-01</t>
  </si>
  <si>
    <t>WRIT 110</t>
  </si>
  <si>
    <t>WRIT 120 SC-01</t>
  </si>
  <si>
    <t>WRIT 120</t>
  </si>
  <si>
    <t>WRIT 165IO SC-01</t>
  </si>
  <si>
    <t>WRIT 165IO</t>
  </si>
  <si>
    <t>WRIT 191 SC-01</t>
  </si>
  <si>
    <t>WRIT 191</t>
  </si>
  <si>
    <t>WRIT 197 SC-01</t>
  </si>
  <si>
    <t>WRIT 197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</si>
</sst>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Arial"/>
    </font>
    <font>
      <b/>
      <sz val="18.0"/>
      <color rgb="FF990000"/>
      <name val="Arial"/>
    </font>
    <font/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3" fontId="5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4" numFmtId="0" xfId="0" applyAlignment="1" applyFill="1" applyFont="1">
      <alignment readingOrder="0"/>
    </xf>
  </cellXfs>
  <cellStyles count="1">
    <cellStyle xfId="0" name="Normal" builtinId="0"/>
  </cellStyles>
  <dxfs count="3">
    <dxf>
      <font>
        <b/>
      </font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64FF00"/>
          <bgColor rgb="FF64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4" max="4" width="33.43"/>
    <col customWidth="1" min="7" max="7" width="22.0"/>
    <col customWidth="1" min="8" max="8" width="19.86"/>
    <col customWidth="1" min="9" max="9" width="62.86"/>
    <col customWidth="1" min="13" max="13" width="64.29"/>
  </cols>
  <sheetData>
    <row r="1">
      <c r="A1" s="1" t="s">
        <v>0</v>
      </c>
      <c r="B1" s="1" t="s">
        <v>1</v>
      </c>
      <c r="C1" s="2"/>
      <c r="D1" s="3" t="s">
        <v>2</v>
      </c>
      <c r="E1" s="1" t="s">
        <v>3</v>
      </c>
      <c r="F1" s="4"/>
      <c r="G1" s="1" t="s">
        <v>4</v>
      </c>
      <c r="H1" s="5"/>
      <c r="I1" s="1" t="s">
        <v>5</v>
      </c>
      <c r="J1" s="2"/>
      <c r="K1" s="3" t="s">
        <v>6</v>
      </c>
      <c r="L1" s="3" t="s">
        <v>7</v>
      </c>
      <c r="M1" s="6" t="s">
        <v>8</v>
      </c>
      <c r="N1" s="7"/>
      <c r="O1" s="7"/>
      <c r="P1" s="7"/>
      <c r="Q1" s="7"/>
      <c r="R1" s="7"/>
      <c r="S1" s="7"/>
      <c r="T1" s="7"/>
      <c r="U1" s="8"/>
      <c r="V1" s="2"/>
      <c r="W1" s="2"/>
      <c r="X1" s="2"/>
      <c r="Y1" s="2"/>
      <c r="Z1" s="2"/>
      <c r="AA1" s="2"/>
      <c r="AB1" s="2"/>
      <c r="AC1" s="2"/>
      <c r="AD1" s="2"/>
    </row>
    <row r="2">
      <c r="A2" s="9"/>
      <c r="B2" s="9"/>
      <c r="D2" s="9" t="s">
        <v>9</v>
      </c>
      <c r="E2" s="9">
        <v>0.0</v>
      </c>
      <c r="G2" s="9"/>
      <c r="I2" s="9"/>
      <c r="K2" s="9"/>
      <c r="L2" s="9"/>
      <c r="M2" s="10"/>
      <c r="N2" s="10"/>
      <c r="O2" s="11"/>
      <c r="P2" s="11"/>
      <c r="Q2" s="11"/>
      <c r="R2" s="11"/>
      <c r="S2" s="11"/>
      <c r="T2" s="11"/>
      <c r="U2" s="11"/>
    </row>
    <row r="3">
      <c r="A3" s="9"/>
      <c r="B3" s="9"/>
      <c r="D3" s="10" t="s">
        <v>10</v>
      </c>
      <c r="E3" s="9">
        <v>0.0</v>
      </c>
      <c r="G3" s="9"/>
      <c r="I3" s="9"/>
      <c r="K3" s="9"/>
      <c r="L3" s="9"/>
      <c r="M3" s="10"/>
      <c r="N3" s="10"/>
      <c r="O3" s="10"/>
      <c r="P3" s="10"/>
      <c r="Q3" s="10"/>
      <c r="R3" s="11"/>
      <c r="S3" s="11"/>
      <c r="T3" s="11"/>
      <c r="U3" s="11"/>
    </row>
    <row r="4">
      <c r="A4" s="9"/>
      <c r="B4" s="9"/>
      <c r="D4" s="10" t="s">
        <v>11</v>
      </c>
      <c r="E4" s="9">
        <v>0.0</v>
      </c>
      <c r="G4" s="9"/>
      <c r="I4" s="9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ht="15.75" customHeight="1">
      <c r="A5" s="9"/>
      <c r="B5" s="9"/>
      <c r="D5" s="10" t="s">
        <v>12</v>
      </c>
      <c r="E5" s="9">
        <v>0.0</v>
      </c>
      <c r="G5" s="9"/>
      <c r="I5" s="9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>
      <c r="A6" s="9"/>
      <c r="B6" s="9"/>
      <c r="D6" s="10" t="s">
        <v>13</v>
      </c>
      <c r="E6" s="9">
        <v>0.0</v>
      </c>
      <c r="G6" s="9"/>
      <c r="I6" s="9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>
      <c r="A7" s="9"/>
      <c r="B7" s="9"/>
      <c r="D7" s="10" t="s">
        <v>14</v>
      </c>
      <c r="E7" s="9">
        <v>0.0</v>
      </c>
      <c r="G7" s="9"/>
      <c r="I7" s="9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>
      <c r="A8" s="9"/>
      <c r="B8" s="9"/>
      <c r="D8" s="10" t="s">
        <v>15</v>
      </c>
      <c r="E8" s="9">
        <v>0.0</v>
      </c>
      <c r="G8" s="9"/>
      <c r="I8" s="9"/>
      <c r="K8" s="9"/>
      <c r="L8" s="9"/>
      <c r="M8" s="9"/>
      <c r="N8" s="11"/>
      <c r="O8" s="11"/>
      <c r="P8" s="11"/>
      <c r="Q8" s="11"/>
      <c r="R8" s="11"/>
      <c r="S8" s="11"/>
      <c r="T8" s="11"/>
      <c r="U8" s="11"/>
    </row>
    <row r="9">
      <c r="A9" s="9"/>
      <c r="B9" s="9"/>
      <c r="D9" s="10" t="s">
        <v>16</v>
      </c>
      <c r="E9" s="9">
        <v>0.0</v>
      </c>
      <c r="G9" s="9"/>
      <c r="I9" s="11"/>
      <c r="K9" s="9"/>
      <c r="L9" s="9"/>
      <c r="M9" s="9"/>
      <c r="N9" s="11"/>
      <c r="O9" s="11"/>
      <c r="P9" s="11"/>
      <c r="Q9" s="11"/>
      <c r="R9" s="11"/>
      <c r="S9" s="11"/>
      <c r="T9" s="11"/>
      <c r="U9" s="11"/>
    </row>
    <row r="10">
      <c r="A10" s="9"/>
      <c r="B10" s="9"/>
      <c r="D10" s="10" t="s">
        <v>17</v>
      </c>
      <c r="E10" s="9">
        <v>0.0</v>
      </c>
      <c r="G10" s="9"/>
      <c r="I10" s="11"/>
      <c r="K10" s="9"/>
      <c r="L10" s="9"/>
      <c r="M10" s="9"/>
      <c r="N10" s="11"/>
      <c r="O10" s="11"/>
      <c r="P10" s="11"/>
      <c r="Q10" s="11"/>
      <c r="R10" s="11"/>
      <c r="S10" s="11"/>
      <c r="T10" s="11"/>
      <c r="U10" s="11"/>
    </row>
    <row r="11">
      <c r="A11" s="12"/>
      <c r="B11" s="9"/>
      <c r="D11" s="10" t="s">
        <v>18</v>
      </c>
      <c r="E11" s="9">
        <v>0.0</v>
      </c>
      <c r="G11" s="9"/>
      <c r="I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>
      <c r="A12" s="9"/>
      <c r="B12" s="9"/>
      <c r="D12" s="9" t="s">
        <v>19</v>
      </c>
      <c r="E12" s="9"/>
      <c r="G12" s="9"/>
      <c r="I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>
      <c r="A13" s="9"/>
      <c r="B13" s="9"/>
      <c r="D13" s="11"/>
      <c r="E13" s="11"/>
      <c r="G13" s="9"/>
      <c r="I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>
      <c r="A14" s="9"/>
      <c r="B14" s="9"/>
      <c r="D14" s="11"/>
      <c r="E14" s="11"/>
      <c r="G14" s="9"/>
      <c r="I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>
      <c r="A15" s="11"/>
      <c r="B15" s="11"/>
      <c r="D15" s="11"/>
      <c r="E15" s="11"/>
      <c r="G15" s="9"/>
      <c r="I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>
      <c r="A16" s="11"/>
      <c r="B16" s="11"/>
      <c r="D16" s="11"/>
      <c r="E16" s="11"/>
      <c r="G16" s="9"/>
      <c r="I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>
      <c r="A17" s="11"/>
      <c r="B17" s="11"/>
      <c r="D17" s="11"/>
      <c r="E17" s="11"/>
      <c r="G17" s="9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>
      <c r="A18" s="11"/>
      <c r="B18" s="11"/>
      <c r="D18" s="11"/>
      <c r="E18" s="11"/>
      <c r="G18" s="9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>
      <c r="A19" s="11"/>
      <c r="B19" s="11"/>
      <c r="D19" s="11"/>
      <c r="E19" s="11"/>
      <c r="G19" s="9"/>
      <c r="I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>
      <c r="A20" s="11"/>
      <c r="B20" s="11"/>
      <c r="D20" s="11"/>
      <c r="E20" s="11"/>
      <c r="G20" s="9"/>
      <c r="I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>
      <c r="A21" s="11"/>
      <c r="B21" s="11"/>
      <c r="D21" s="11"/>
      <c r="E21" s="11"/>
      <c r="G21" s="9"/>
      <c r="I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>
      <c r="A22" s="11"/>
      <c r="B22" s="11"/>
      <c r="D22" s="11"/>
      <c r="E22" s="11"/>
      <c r="G22" s="9"/>
      <c r="I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>
      <c r="A23" s="11"/>
      <c r="B23" s="11"/>
      <c r="D23" s="11"/>
      <c r="E23" s="11"/>
      <c r="G23" s="9"/>
      <c r="I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>
      <c r="A24" s="11"/>
      <c r="B24" s="11"/>
      <c r="D24" s="11"/>
      <c r="E24" s="11"/>
      <c r="G24" s="9"/>
      <c r="I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>
      <c r="A25" s="11"/>
      <c r="B25" s="11"/>
      <c r="D25" s="11"/>
      <c r="E25" s="11"/>
      <c r="G25" s="9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>
      <c r="A26" s="11"/>
      <c r="B26" s="11"/>
      <c r="D26" s="11"/>
      <c r="E26" s="11"/>
      <c r="G26" s="9"/>
      <c r="I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>
      <c r="A27" s="11"/>
      <c r="B27" s="11"/>
      <c r="D27" s="11"/>
      <c r="E27" s="11"/>
      <c r="G27" s="9"/>
      <c r="I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>
      <c r="A28" s="11"/>
      <c r="B28" s="11"/>
      <c r="D28" s="11"/>
      <c r="E28" s="11"/>
      <c r="G28" s="9"/>
      <c r="I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>
      <c r="A29" s="11"/>
      <c r="B29" s="11"/>
      <c r="D29" s="11"/>
      <c r="E29" s="11"/>
      <c r="G29" s="9"/>
      <c r="I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>
      <c r="A30" s="11"/>
      <c r="B30" s="11"/>
      <c r="D30" s="11"/>
      <c r="E30" s="11"/>
      <c r="G30" s="9"/>
      <c r="I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>
      <c r="A31" s="11"/>
      <c r="B31" s="11"/>
      <c r="D31" s="11"/>
      <c r="E31" s="11"/>
      <c r="G31" s="9"/>
      <c r="I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>
      <c r="A32" s="11"/>
      <c r="B32" s="11"/>
      <c r="D32" s="11"/>
      <c r="E32" s="11"/>
      <c r="G32" s="9"/>
      <c r="I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>
      <c r="A33" s="11"/>
      <c r="B33" s="11"/>
      <c r="D33" s="11"/>
      <c r="E33" s="11"/>
      <c r="G33" s="9"/>
      <c r="I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>
      <c r="A34" s="11"/>
      <c r="B34" s="11"/>
      <c r="D34" s="11"/>
      <c r="E34" s="11"/>
      <c r="G34" s="9"/>
      <c r="I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>
      <c r="A35" s="11"/>
      <c r="B35" s="11"/>
      <c r="D35" s="11"/>
      <c r="E35" s="11"/>
      <c r="G35" s="9"/>
      <c r="I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>
      <c r="A36" s="11"/>
      <c r="B36" s="11"/>
      <c r="D36" s="11"/>
      <c r="E36" s="11"/>
      <c r="G36" s="9"/>
      <c r="I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>
      <c r="A37" s="11"/>
      <c r="B37" s="11"/>
      <c r="D37" s="11"/>
      <c r="E37" s="11"/>
      <c r="G37" s="9"/>
      <c r="I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>
      <c r="A38" s="11"/>
      <c r="B38" s="11"/>
      <c r="D38" s="11"/>
      <c r="E38" s="11"/>
      <c r="G38" s="9"/>
      <c r="I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>
      <c r="A39" s="11"/>
      <c r="B39" s="11"/>
      <c r="D39" s="11"/>
      <c r="E39" s="11"/>
      <c r="G39" s="9"/>
      <c r="I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>
      <c r="A40" s="11"/>
      <c r="B40" s="11"/>
      <c r="D40" s="11"/>
      <c r="E40" s="11"/>
      <c r="G40" s="9"/>
      <c r="I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>
      <c r="A41" s="11"/>
      <c r="B41" s="11"/>
      <c r="D41" s="11"/>
      <c r="E41" s="11"/>
      <c r="G41" s="9"/>
      <c r="I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>
      <c r="A42" s="11"/>
      <c r="B42" s="11"/>
      <c r="D42" s="11"/>
      <c r="E42" s="11"/>
      <c r="G42" s="9"/>
      <c r="I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>
      <c r="A43" s="11"/>
      <c r="B43" s="11"/>
      <c r="D43" s="11"/>
      <c r="E43" s="11"/>
      <c r="G43" s="9"/>
      <c r="I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>
      <c r="A44" s="11"/>
      <c r="B44" s="11"/>
      <c r="D44" s="11"/>
      <c r="E44" s="11"/>
      <c r="G44" s="9"/>
      <c r="I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>
      <c r="A45" s="11"/>
      <c r="B45" s="11"/>
      <c r="D45" s="11"/>
      <c r="E45" s="11"/>
      <c r="G45" s="9"/>
      <c r="I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>
      <c r="A46" s="11"/>
      <c r="B46" s="11"/>
      <c r="D46" s="11"/>
      <c r="E46" s="11"/>
      <c r="G46" s="9"/>
      <c r="I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>
      <c r="A47" s="11"/>
      <c r="B47" s="11"/>
      <c r="D47" s="11"/>
      <c r="E47" s="11"/>
      <c r="G47" s="9"/>
      <c r="I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>
      <c r="A48" s="11"/>
      <c r="B48" s="11"/>
      <c r="D48" s="11"/>
      <c r="E48" s="11"/>
      <c r="G48" s="11"/>
      <c r="I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>
      <c r="A49" s="11"/>
      <c r="B49" s="11"/>
      <c r="D49" s="11"/>
      <c r="E49" s="11"/>
      <c r="G49" s="11"/>
      <c r="I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>
      <c r="A50" s="11"/>
      <c r="B50" s="11"/>
      <c r="D50" s="11"/>
      <c r="E50" s="11"/>
      <c r="G50" s="11"/>
      <c r="I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>
      <c r="A51" s="11"/>
      <c r="B51" s="11"/>
      <c r="D51" s="11"/>
      <c r="E51" s="11"/>
      <c r="G51" s="11"/>
      <c r="I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>
      <c r="A52" s="11"/>
      <c r="B52" s="11"/>
      <c r="D52" s="11"/>
      <c r="E52" s="11"/>
      <c r="G52" s="11"/>
      <c r="I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>
      <c r="A53" s="11"/>
      <c r="B53" s="11"/>
      <c r="D53" s="11"/>
      <c r="E53" s="11"/>
      <c r="G53" s="11"/>
      <c r="I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>
      <c r="A54" s="11"/>
      <c r="B54" s="11"/>
      <c r="D54" s="11"/>
      <c r="E54" s="11"/>
      <c r="G54" s="11"/>
      <c r="I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>
      <c r="A55" s="11"/>
      <c r="B55" s="11"/>
      <c r="D55" s="11"/>
      <c r="E55" s="11"/>
      <c r="G55" s="11"/>
      <c r="I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>
      <c r="A56" s="11"/>
      <c r="B56" s="11"/>
      <c r="D56" s="11"/>
      <c r="E56" s="11"/>
      <c r="G56" s="11"/>
      <c r="I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>
      <c r="A57" s="11"/>
      <c r="B57" s="11"/>
      <c r="D57" s="11"/>
      <c r="E57" s="11"/>
      <c r="G57" s="11"/>
      <c r="I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>
      <c r="A58" s="11"/>
      <c r="B58" s="11"/>
      <c r="D58" s="11"/>
      <c r="E58" s="11"/>
      <c r="G58" s="11"/>
      <c r="I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>
      <c r="A59" s="11"/>
      <c r="B59" s="11"/>
      <c r="D59" s="11"/>
      <c r="E59" s="11"/>
      <c r="G59" s="11"/>
      <c r="I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>
      <c r="A60" s="11"/>
      <c r="B60" s="11"/>
      <c r="D60" s="11"/>
      <c r="E60" s="11"/>
      <c r="G60" s="11"/>
      <c r="I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>
      <c r="A61" s="11"/>
      <c r="B61" s="11"/>
      <c r="D61" s="11"/>
      <c r="E61" s="11"/>
      <c r="G61" s="11"/>
      <c r="I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>
      <c r="A62" s="11"/>
      <c r="B62" s="11"/>
      <c r="D62" s="11"/>
      <c r="E62" s="11"/>
      <c r="G62" s="11"/>
      <c r="I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>
      <c r="A63" s="11"/>
      <c r="B63" s="11"/>
      <c r="D63" s="11"/>
      <c r="E63" s="11"/>
      <c r="G63" s="11"/>
      <c r="I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>
      <c r="A64" s="11"/>
      <c r="B64" s="11"/>
      <c r="D64" s="11"/>
      <c r="E64" s="11"/>
      <c r="G64" s="11"/>
      <c r="I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>
      <c r="A65" s="11"/>
      <c r="B65" s="11"/>
      <c r="D65" s="11"/>
      <c r="E65" s="11"/>
      <c r="G65" s="11"/>
      <c r="I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>
      <c r="A66" s="11"/>
      <c r="B66" s="11"/>
      <c r="D66" s="11"/>
      <c r="E66" s="11"/>
      <c r="G66" s="11"/>
      <c r="I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>
      <c r="A67" s="11"/>
      <c r="B67" s="11"/>
      <c r="D67" s="11"/>
      <c r="E67" s="11"/>
      <c r="G67" s="11"/>
      <c r="I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>
      <c r="A68" s="11"/>
      <c r="B68" s="11"/>
      <c r="D68" s="11"/>
      <c r="E68" s="11"/>
      <c r="G68" s="11"/>
      <c r="I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>
      <c r="A69" s="11"/>
      <c r="B69" s="11"/>
      <c r="D69" s="11"/>
      <c r="E69" s="11"/>
      <c r="G69" s="11"/>
      <c r="I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>
      <c r="A70" s="11"/>
      <c r="B70" s="11"/>
      <c r="D70" s="11"/>
      <c r="E70" s="11"/>
      <c r="G70" s="11"/>
      <c r="I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>
      <c r="A71" s="11"/>
      <c r="B71" s="11"/>
      <c r="D71" s="11"/>
      <c r="E71" s="11"/>
      <c r="G71" s="11"/>
      <c r="I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>
      <c r="A72" s="11"/>
      <c r="B72" s="11"/>
      <c r="D72" s="11"/>
      <c r="E72" s="11"/>
      <c r="G72" s="11"/>
      <c r="I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>
      <c r="A73" s="11"/>
      <c r="B73" s="11"/>
      <c r="D73" s="11"/>
      <c r="E73" s="11"/>
      <c r="G73" s="11"/>
      <c r="I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>
      <c r="A74" s="11"/>
      <c r="B74" s="11"/>
      <c r="D74" s="11"/>
      <c r="E74" s="11"/>
      <c r="G74" s="11"/>
      <c r="I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>
      <c r="A75" s="11"/>
      <c r="B75" s="11"/>
      <c r="D75" s="11"/>
      <c r="E75" s="11"/>
      <c r="G75" s="11"/>
      <c r="I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>
      <c r="A76" s="11"/>
      <c r="B76" s="11"/>
      <c r="D76" s="11"/>
      <c r="E76" s="11"/>
      <c r="G76" s="11"/>
      <c r="I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>
      <c r="A77" s="11"/>
      <c r="B77" s="11"/>
      <c r="D77" s="11"/>
      <c r="E77" s="11"/>
      <c r="G77" s="11"/>
      <c r="I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>
      <c r="A78" s="11"/>
      <c r="B78" s="11"/>
      <c r="D78" s="11"/>
      <c r="E78" s="11"/>
      <c r="G78" s="11"/>
      <c r="I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>
      <c r="A79" s="11"/>
      <c r="B79" s="11"/>
      <c r="D79" s="11"/>
      <c r="E79" s="11"/>
      <c r="G79" s="11"/>
      <c r="I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>
      <c r="A80" s="11"/>
      <c r="B80" s="11"/>
      <c r="D80" s="11"/>
      <c r="E80" s="11"/>
      <c r="G80" s="11"/>
      <c r="I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>
      <c r="A81" s="11"/>
      <c r="B81" s="11"/>
      <c r="D81" s="11"/>
      <c r="E81" s="11"/>
      <c r="G81" s="11"/>
      <c r="I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>
      <c r="A82" s="11"/>
      <c r="B82" s="11"/>
      <c r="D82" s="11"/>
      <c r="E82" s="11"/>
      <c r="G82" s="11"/>
      <c r="I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>
      <c r="A83" s="11"/>
      <c r="B83" s="11"/>
      <c r="D83" s="11"/>
      <c r="E83" s="11"/>
      <c r="G83" s="11"/>
      <c r="I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>
      <c r="A84" s="11"/>
      <c r="B84" s="11"/>
      <c r="D84" s="11"/>
      <c r="E84" s="11"/>
      <c r="G84" s="11"/>
      <c r="I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>
      <c r="A85" s="11"/>
      <c r="B85" s="11"/>
      <c r="D85" s="11"/>
      <c r="E85" s="11"/>
      <c r="G85" s="11"/>
      <c r="I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>
      <c r="A86" s="11"/>
      <c r="B86" s="11"/>
      <c r="D86" s="11"/>
      <c r="E86" s="11"/>
      <c r="G86" s="11"/>
      <c r="I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>
      <c r="A87" s="11"/>
      <c r="B87" s="11"/>
      <c r="D87" s="11"/>
      <c r="E87" s="11"/>
      <c r="G87" s="11"/>
      <c r="I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>
      <c r="A88" s="11"/>
      <c r="B88" s="11"/>
      <c r="D88" s="11"/>
      <c r="E88" s="11"/>
      <c r="G88" s="11"/>
      <c r="I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>
      <c r="A89" s="11"/>
      <c r="B89" s="11"/>
      <c r="D89" s="11"/>
      <c r="E89" s="11"/>
      <c r="G89" s="11"/>
      <c r="I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>
      <c r="A90" s="11"/>
      <c r="B90" s="11"/>
      <c r="D90" s="11"/>
      <c r="E90" s="11"/>
      <c r="G90" s="11"/>
      <c r="I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>
      <c r="A91" s="11"/>
      <c r="B91" s="11"/>
      <c r="D91" s="11"/>
      <c r="E91" s="11"/>
      <c r="G91" s="11"/>
      <c r="I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>
      <c r="A92" s="11"/>
      <c r="B92" s="11"/>
      <c r="D92" s="11"/>
      <c r="E92" s="11"/>
      <c r="G92" s="11"/>
      <c r="I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>
      <c r="A93" s="11"/>
      <c r="B93" s="11"/>
      <c r="D93" s="11"/>
      <c r="E93" s="11"/>
      <c r="G93" s="11"/>
      <c r="I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>
      <c r="A94" s="11"/>
      <c r="B94" s="11"/>
      <c r="D94" s="11"/>
      <c r="E94" s="11"/>
      <c r="G94" s="11"/>
      <c r="I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>
      <c r="A95" s="11"/>
      <c r="B95" s="11"/>
      <c r="D95" s="11"/>
      <c r="E95" s="11"/>
      <c r="G95" s="11"/>
      <c r="I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>
      <c r="A96" s="11"/>
      <c r="B96" s="11"/>
      <c r="D96" s="11"/>
      <c r="E96" s="11"/>
      <c r="G96" s="11"/>
      <c r="I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>
      <c r="A97" s="11"/>
      <c r="B97" s="11"/>
      <c r="D97" s="11"/>
      <c r="E97" s="11"/>
      <c r="G97" s="11"/>
      <c r="I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>
      <c r="A98" s="11"/>
      <c r="B98" s="11"/>
      <c r="D98" s="11"/>
      <c r="E98" s="11"/>
      <c r="G98" s="11"/>
      <c r="I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>
      <c r="A99" s="11"/>
      <c r="B99" s="11"/>
      <c r="D99" s="11"/>
      <c r="E99" s="11"/>
      <c r="G99" s="11"/>
      <c r="I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>
      <c r="A100" s="11"/>
      <c r="B100" s="11"/>
      <c r="D100" s="11"/>
      <c r="E100" s="11"/>
      <c r="G100" s="11"/>
      <c r="I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>
      <c r="A101" s="11"/>
      <c r="B101" s="11"/>
      <c r="D101" s="11"/>
      <c r="E101" s="11"/>
      <c r="G101" s="11"/>
      <c r="I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>
      <c r="A102" s="11"/>
      <c r="B102" s="11"/>
      <c r="D102" s="11"/>
      <c r="E102" s="11"/>
      <c r="G102" s="11"/>
      <c r="I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>
      <c r="A103" s="11"/>
      <c r="B103" s="11"/>
      <c r="D103" s="11"/>
      <c r="E103" s="11"/>
      <c r="G103" s="11"/>
      <c r="I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>
      <c r="A104" s="11"/>
      <c r="B104" s="11"/>
      <c r="D104" s="11"/>
      <c r="E104" s="11"/>
      <c r="G104" s="11"/>
      <c r="I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>
      <c r="A105" s="11"/>
      <c r="B105" s="11"/>
      <c r="D105" s="11"/>
      <c r="E105" s="11"/>
      <c r="G105" s="11"/>
      <c r="I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>
      <c r="A106" s="11"/>
      <c r="B106" s="11"/>
      <c r="D106" s="11"/>
      <c r="E106" s="11"/>
      <c r="G106" s="11"/>
      <c r="I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>
      <c r="A107" s="11"/>
      <c r="B107" s="11"/>
      <c r="D107" s="11"/>
      <c r="E107" s="11"/>
      <c r="G107" s="11"/>
      <c r="I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>
      <c r="A108" s="11"/>
      <c r="B108" s="11"/>
      <c r="D108" s="11"/>
      <c r="E108" s="11"/>
      <c r="G108" s="11"/>
      <c r="I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>
      <c r="A109" s="11"/>
      <c r="B109" s="11"/>
      <c r="D109" s="11"/>
      <c r="E109" s="11"/>
      <c r="G109" s="11"/>
      <c r="I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>
      <c r="A110" s="11"/>
      <c r="B110" s="11"/>
      <c r="D110" s="11"/>
      <c r="E110" s="11"/>
      <c r="G110" s="11"/>
      <c r="I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>
      <c r="A111" s="11"/>
      <c r="B111" s="11"/>
      <c r="D111" s="11"/>
      <c r="E111" s="11"/>
      <c r="G111" s="11"/>
      <c r="I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>
      <c r="A112" s="11"/>
      <c r="B112" s="11"/>
      <c r="D112" s="11"/>
      <c r="E112" s="11"/>
      <c r="G112" s="11"/>
      <c r="I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>
      <c r="A113" s="11"/>
      <c r="B113" s="11"/>
      <c r="D113" s="11"/>
      <c r="E113" s="11"/>
      <c r="G113" s="11"/>
      <c r="I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>
      <c r="A114" s="11"/>
      <c r="B114" s="11"/>
      <c r="D114" s="11"/>
      <c r="E114" s="11"/>
      <c r="G114" s="11"/>
      <c r="I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>
      <c r="A115" s="11"/>
      <c r="B115" s="11"/>
      <c r="D115" s="11"/>
      <c r="E115" s="11"/>
      <c r="G115" s="11"/>
      <c r="I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>
      <c r="A116" s="11"/>
      <c r="B116" s="11"/>
      <c r="D116" s="11"/>
      <c r="E116" s="11"/>
      <c r="G116" s="11"/>
      <c r="I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>
      <c r="A117" s="11"/>
      <c r="B117" s="11"/>
      <c r="D117" s="11"/>
      <c r="E117" s="11"/>
      <c r="G117" s="11"/>
      <c r="I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>
      <c r="A118" s="11"/>
      <c r="B118" s="11"/>
      <c r="D118" s="11"/>
      <c r="E118" s="11"/>
      <c r="G118" s="11"/>
      <c r="I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>
      <c r="A119" s="11"/>
      <c r="B119" s="11"/>
      <c r="D119" s="11"/>
      <c r="E119" s="11"/>
      <c r="G119" s="11"/>
      <c r="I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>
      <c r="A120" s="11"/>
      <c r="B120" s="11"/>
      <c r="D120" s="11"/>
      <c r="E120" s="11"/>
      <c r="G120" s="11"/>
      <c r="I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>
      <c r="A121" s="11"/>
      <c r="B121" s="11"/>
      <c r="D121" s="11"/>
      <c r="E121" s="11"/>
      <c r="G121" s="11"/>
      <c r="I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>
      <c r="A122" s="11"/>
      <c r="B122" s="11"/>
      <c r="D122" s="11"/>
      <c r="E122" s="11"/>
      <c r="G122" s="11"/>
      <c r="I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>
      <c r="A123" s="11"/>
      <c r="B123" s="11"/>
      <c r="D123" s="11"/>
      <c r="E123" s="11"/>
      <c r="G123" s="11"/>
      <c r="I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>
      <c r="A124" s="11"/>
      <c r="B124" s="11"/>
      <c r="D124" s="11"/>
      <c r="E124" s="11"/>
      <c r="G124" s="11"/>
      <c r="I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>
      <c r="A125" s="11"/>
      <c r="B125" s="11"/>
      <c r="D125" s="11"/>
      <c r="E125" s="11"/>
      <c r="G125" s="11"/>
      <c r="I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>
      <c r="A126" s="11"/>
      <c r="B126" s="11"/>
      <c r="D126" s="11"/>
      <c r="E126" s="11"/>
      <c r="G126" s="11"/>
      <c r="I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>
      <c r="A127" s="11"/>
      <c r="B127" s="11"/>
      <c r="D127" s="11"/>
      <c r="E127" s="11"/>
      <c r="G127" s="11"/>
      <c r="I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>
      <c r="A128" s="11"/>
      <c r="B128" s="11"/>
      <c r="D128" s="11"/>
      <c r="E128" s="11"/>
      <c r="G128" s="11"/>
      <c r="I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>
      <c r="A129" s="11"/>
      <c r="B129" s="11"/>
      <c r="D129" s="11"/>
      <c r="E129" s="11"/>
      <c r="G129" s="11"/>
      <c r="I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>
      <c r="A130" s="11"/>
      <c r="B130" s="11"/>
      <c r="D130" s="11"/>
      <c r="E130" s="11"/>
      <c r="G130" s="11"/>
      <c r="I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>
      <c r="A131" s="11"/>
      <c r="B131" s="11"/>
      <c r="D131" s="11"/>
      <c r="E131" s="11"/>
      <c r="G131" s="11"/>
      <c r="I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>
      <c r="A132" s="11"/>
      <c r="B132" s="11"/>
      <c r="D132" s="11"/>
      <c r="E132" s="11"/>
      <c r="G132" s="11"/>
      <c r="I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>
      <c r="A133" s="11"/>
      <c r="B133" s="11"/>
      <c r="D133" s="11"/>
      <c r="E133" s="11"/>
      <c r="G133" s="11"/>
      <c r="I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>
      <c r="A134" s="11"/>
      <c r="B134" s="11"/>
      <c r="D134" s="11"/>
      <c r="E134" s="11"/>
      <c r="G134" s="11"/>
      <c r="I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>
      <c r="A135" s="11"/>
      <c r="B135" s="11"/>
      <c r="D135" s="11"/>
      <c r="E135" s="11"/>
      <c r="G135" s="11"/>
      <c r="I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>
      <c r="A136" s="11"/>
      <c r="B136" s="11"/>
      <c r="D136" s="11"/>
      <c r="E136" s="11"/>
      <c r="G136" s="11"/>
      <c r="I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>
      <c r="A137" s="11"/>
      <c r="B137" s="11"/>
      <c r="D137" s="11"/>
      <c r="E137" s="11"/>
      <c r="G137" s="11"/>
      <c r="I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>
      <c r="A138" s="11"/>
      <c r="B138" s="11"/>
      <c r="D138" s="11"/>
      <c r="E138" s="11"/>
      <c r="G138" s="11"/>
      <c r="I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>
      <c r="A139" s="11"/>
      <c r="B139" s="11"/>
      <c r="D139" s="11"/>
      <c r="E139" s="11"/>
      <c r="G139" s="11"/>
      <c r="I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>
      <c r="A140" s="11"/>
      <c r="B140" s="11"/>
      <c r="D140" s="11"/>
      <c r="E140" s="11"/>
      <c r="G140" s="11"/>
      <c r="I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>
      <c r="A141" s="11"/>
      <c r="B141" s="11"/>
      <c r="D141" s="11"/>
      <c r="E141" s="11"/>
      <c r="G141" s="11"/>
      <c r="I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>
      <c r="A142" s="11"/>
      <c r="B142" s="11"/>
      <c r="D142" s="11"/>
      <c r="E142" s="11"/>
      <c r="G142" s="11"/>
      <c r="I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>
      <c r="A143" s="11"/>
      <c r="B143" s="11"/>
      <c r="D143" s="11"/>
      <c r="E143" s="11"/>
      <c r="G143" s="11"/>
      <c r="I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>
      <c r="A144" s="11"/>
      <c r="B144" s="11"/>
      <c r="D144" s="11"/>
      <c r="E144" s="11"/>
      <c r="G144" s="11"/>
      <c r="I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>
      <c r="A145" s="11"/>
      <c r="B145" s="11"/>
      <c r="D145" s="11"/>
      <c r="E145" s="11"/>
      <c r="G145" s="11"/>
      <c r="I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>
      <c r="A146" s="11"/>
      <c r="B146" s="11"/>
      <c r="D146" s="11"/>
      <c r="E146" s="11"/>
      <c r="G146" s="11"/>
      <c r="I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>
      <c r="A147" s="11"/>
      <c r="B147" s="11"/>
      <c r="D147" s="11"/>
      <c r="E147" s="11"/>
      <c r="G147" s="11"/>
      <c r="I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>
      <c r="A148" s="11"/>
      <c r="B148" s="11"/>
      <c r="D148" s="11"/>
      <c r="E148" s="11"/>
      <c r="G148" s="11"/>
      <c r="I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>
      <c r="A149" s="11"/>
      <c r="B149" s="11"/>
      <c r="D149" s="11"/>
      <c r="E149" s="11"/>
      <c r="G149" s="11"/>
      <c r="I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>
      <c r="A150" s="11"/>
      <c r="B150" s="11"/>
      <c r="D150" s="11"/>
      <c r="E150" s="11"/>
      <c r="G150" s="11"/>
      <c r="I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>
      <c r="A151" s="11"/>
      <c r="B151" s="11"/>
      <c r="D151" s="11"/>
      <c r="E151" s="11"/>
      <c r="G151" s="11"/>
      <c r="I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>
      <c r="A152" s="11"/>
      <c r="B152" s="11"/>
      <c r="D152" s="11"/>
      <c r="E152" s="11"/>
      <c r="G152" s="11"/>
      <c r="I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>
      <c r="A153" s="11"/>
      <c r="B153" s="11"/>
      <c r="D153" s="11"/>
      <c r="E153" s="11"/>
      <c r="G153" s="11"/>
      <c r="I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>
      <c r="A154" s="11"/>
      <c r="B154" s="11"/>
      <c r="D154" s="11"/>
      <c r="E154" s="11"/>
      <c r="G154" s="11"/>
      <c r="I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>
      <c r="A155" s="11"/>
      <c r="B155" s="11"/>
      <c r="D155" s="11"/>
      <c r="E155" s="11"/>
      <c r="G155" s="11"/>
      <c r="I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>
      <c r="A156" s="11"/>
      <c r="B156" s="11"/>
      <c r="D156" s="11"/>
      <c r="E156" s="11"/>
      <c r="G156" s="11"/>
      <c r="I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>
      <c r="A157" s="11"/>
      <c r="B157" s="11"/>
      <c r="D157" s="11"/>
      <c r="E157" s="11"/>
      <c r="G157" s="11"/>
      <c r="I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>
      <c r="A158" s="11"/>
      <c r="B158" s="11"/>
      <c r="D158" s="11"/>
      <c r="E158" s="11"/>
      <c r="G158" s="11"/>
      <c r="I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>
      <c r="A159" s="11"/>
      <c r="B159" s="11"/>
      <c r="D159" s="11"/>
      <c r="E159" s="11"/>
      <c r="G159" s="11"/>
      <c r="I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>
      <c r="A160" s="11"/>
      <c r="B160" s="11"/>
      <c r="D160" s="11"/>
      <c r="E160" s="11"/>
      <c r="G160" s="11"/>
      <c r="I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>
      <c r="A161" s="11"/>
      <c r="B161" s="11"/>
      <c r="D161" s="11"/>
      <c r="E161" s="11"/>
      <c r="G161" s="11"/>
      <c r="I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>
      <c r="A162" s="11"/>
      <c r="B162" s="11"/>
      <c r="D162" s="11"/>
      <c r="E162" s="11"/>
      <c r="G162" s="11"/>
      <c r="I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>
      <c r="A163" s="11"/>
      <c r="B163" s="11"/>
      <c r="D163" s="11"/>
      <c r="E163" s="11"/>
      <c r="G163" s="11"/>
      <c r="I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>
      <c r="A164" s="11"/>
      <c r="B164" s="11"/>
      <c r="D164" s="11"/>
      <c r="E164" s="11"/>
      <c r="G164" s="11"/>
      <c r="I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>
      <c r="A165" s="11"/>
      <c r="B165" s="11"/>
      <c r="D165" s="11"/>
      <c r="E165" s="11"/>
      <c r="G165" s="11"/>
      <c r="I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>
      <c r="A166" s="11"/>
      <c r="B166" s="11"/>
      <c r="D166" s="11"/>
      <c r="E166" s="11"/>
      <c r="G166" s="11"/>
      <c r="I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>
      <c r="A167" s="11"/>
      <c r="B167" s="11"/>
      <c r="D167" s="11"/>
      <c r="E167" s="11"/>
      <c r="G167" s="11"/>
      <c r="I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>
      <c r="A168" s="11"/>
      <c r="B168" s="11"/>
      <c r="D168" s="11"/>
      <c r="E168" s="11"/>
      <c r="G168" s="11"/>
      <c r="I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>
      <c r="A169" s="11"/>
      <c r="B169" s="11"/>
      <c r="D169" s="11"/>
      <c r="E169" s="11"/>
      <c r="G169" s="11"/>
      <c r="I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>
      <c r="A170" s="11"/>
      <c r="B170" s="11"/>
      <c r="D170" s="11"/>
      <c r="E170" s="11"/>
      <c r="G170" s="11"/>
      <c r="I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>
      <c r="A171" s="11"/>
      <c r="B171" s="11"/>
      <c r="D171" s="11"/>
      <c r="E171" s="11"/>
      <c r="G171" s="11"/>
      <c r="I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>
      <c r="A172" s="11"/>
      <c r="B172" s="11"/>
      <c r="D172" s="11"/>
      <c r="E172" s="11"/>
      <c r="G172" s="11"/>
      <c r="I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>
      <c r="A173" s="11"/>
      <c r="B173" s="11"/>
      <c r="D173" s="11"/>
      <c r="E173" s="11"/>
      <c r="G173" s="11"/>
      <c r="I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>
      <c r="A174" s="11"/>
      <c r="B174" s="11"/>
      <c r="D174" s="11"/>
      <c r="E174" s="11"/>
      <c r="G174" s="11"/>
      <c r="I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>
      <c r="A175" s="11"/>
      <c r="B175" s="11"/>
      <c r="D175" s="11"/>
      <c r="E175" s="11"/>
      <c r="G175" s="11"/>
      <c r="I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>
      <c r="A176" s="11"/>
      <c r="B176" s="11"/>
      <c r="D176" s="11"/>
      <c r="E176" s="11"/>
      <c r="G176" s="11"/>
      <c r="I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>
      <c r="A177" s="11"/>
      <c r="B177" s="11"/>
      <c r="D177" s="11"/>
      <c r="E177" s="11"/>
      <c r="G177" s="11"/>
      <c r="I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>
      <c r="A178" s="11"/>
      <c r="B178" s="11"/>
      <c r="D178" s="11"/>
      <c r="E178" s="11"/>
      <c r="G178" s="11"/>
      <c r="I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>
      <c r="A179" s="11"/>
      <c r="B179" s="11"/>
      <c r="D179" s="11"/>
      <c r="E179" s="11"/>
      <c r="G179" s="11"/>
      <c r="I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>
      <c r="A180" s="11"/>
      <c r="B180" s="11"/>
      <c r="D180" s="11"/>
      <c r="E180" s="11"/>
      <c r="G180" s="11"/>
      <c r="I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>
      <c r="A181" s="11"/>
      <c r="B181" s="11"/>
      <c r="D181" s="11"/>
      <c r="E181" s="11"/>
      <c r="G181" s="11"/>
      <c r="I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>
      <c r="A182" s="11"/>
      <c r="B182" s="11"/>
      <c r="D182" s="11"/>
      <c r="E182" s="11"/>
      <c r="G182" s="11"/>
      <c r="I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>
      <c r="A183" s="11"/>
      <c r="B183" s="11"/>
      <c r="D183" s="11"/>
      <c r="E183" s="11"/>
      <c r="G183" s="11"/>
      <c r="I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>
      <c r="A184" s="11"/>
      <c r="B184" s="11"/>
      <c r="D184" s="11"/>
      <c r="E184" s="11"/>
      <c r="G184" s="11"/>
      <c r="I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>
      <c r="A185" s="11"/>
      <c r="B185" s="11"/>
      <c r="D185" s="11"/>
      <c r="E185" s="11"/>
      <c r="G185" s="11"/>
      <c r="I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>
      <c r="A186" s="11"/>
      <c r="B186" s="11"/>
      <c r="D186" s="11"/>
      <c r="E186" s="11"/>
      <c r="G186" s="11"/>
      <c r="I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>
      <c r="A187" s="11"/>
      <c r="B187" s="11"/>
      <c r="D187" s="11"/>
      <c r="E187" s="11"/>
      <c r="G187" s="11"/>
      <c r="I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>
      <c r="A188" s="11"/>
      <c r="B188" s="11"/>
      <c r="D188" s="11"/>
      <c r="E188" s="11"/>
      <c r="G188" s="11"/>
      <c r="I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>
      <c r="A189" s="11"/>
      <c r="B189" s="11"/>
      <c r="D189" s="11"/>
      <c r="E189" s="11"/>
      <c r="G189" s="11"/>
      <c r="I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>
      <c r="A190" s="11"/>
      <c r="B190" s="11"/>
      <c r="D190" s="11"/>
      <c r="E190" s="11"/>
      <c r="G190" s="11"/>
      <c r="I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>
      <c r="A191" s="11"/>
      <c r="B191" s="11"/>
      <c r="D191" s="11"/>
      <c r="E191" s="11"/>
      <c r="G191" s="11"/>
      <c r="I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>
      <c r="A192" s="11"/>
      <c r="B192" s="11"/>
      <c r="D192" s="11"/>
      <c r="E192" s="11"/>
      <c r="G192" s="11"/>
      <c r="I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>
      <c r="A193" s="11"/>
      <c r="B193" s="11"/>
      <c r="D193" s="11"/>
      <c r="E193" s="11"/>
      <c r="G193" s="11"/>
      <c r="I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>
      <c r="A194" s="11"/>
      <c r="B194" s="11"/>
      <c r="D194" s="11"/>
      <c r="E194" s="11"/>
      <c r="G194" s="11"/>
      <c r="I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>
      <c r="A195" s="11"/>
      <c r="B195" s="11"/>
      <c r="D195" s="11"/>
      <c r="E195" s="11"/>
      <c r="G195" s="11"/>
      <c r="I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>
      <c r="A196" s="11"/>
      <c r="B196" s="11"/>
      <c r="D196" s="11"/>
      <c r="E196" s="11"/>
      <c r="G196" s="11"/>
      <c r="I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>
      <c r="A197" s="11"/>
      <c r="B197" s="11"/>
      <c r="D197" s="11"/>
      <c r="E197" s="11"/>
      <c r="G197" s="11"/>
      <c r="I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>
      <c r="A198" s="11"/>
      <c r="B198" s="11"/>
      <c r="D198" s="11"/>
      <c r="E198" s="11"/>
      <c r="G198" s="11"/>
      <c r="I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>
      <c r="A199" s="11"/>
      <c r="B199" s="11"/>
      <c r="D199" s="11"/>
      <c r="E199" s="11"/>
      <c r="G199" s="11"/>
      <c r="I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>
      <c r="A200" s="11"/>
      <c r="B200" s="11"/>
      <c r="D200" s="11"/>
      <c r="E200" s="11"/>
      <c r="G200" s="11"/>
      <c r="I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>
      <c r="A201" s="11"/>
      <c r="B201" s="11"/>
      <c r="D201" s="11"/>
      <c r="E201" s="11"/>
      <c r="G201" s="11"/>
      <c r="I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>
      <c r="A202" s="11"/>
      <c r="B202" s="11"/>
      <c r="D202" s="11"/>
      <c r="E202" s="11"/>
      <c r="G202" s="11"/>
      <c r="I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>
      <c r="A203" s="11"/>
      <c r="B203" s="11"/>
      <c r="D203" s="11"/>
      <c r="E203" s="11"/>
      <c r="G203" s="11"/>
      <c r="I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>
      <c r="A204" s="11"/>
      <c r="B204" s="11"/>
      <c r="D204" s="11"/>
      <c r="E204" s="11"/>
      <c r="G204" s="11"/>
      <c r="I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>
      <c r="A205" s="11"/>
      <c r="B205" s="11"/>
      <c r="D205" s="11"/>
      <c r="E205" s="11"/>
      <c r="G205" s="11"/>
      <c r="I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>
      <c r="A206" s="11"/>
      <c r="B206" s="11"/>
      <c r="D206" s="11"/>
      <c r="E206" s="11"/>
      <c r="G206" s="11"/>
      <c r="I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>
      <c r="A207" s="11"/>
      <c r="B207" s="11"/>
      <c r="D207" s="11"/>
      <c r="E207" s="11"/>
      <c r="G207" s="11"/>
      <c r="I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>
      <c r="A208" s="11"/>
      <c r="B208" s="11"/>
      <c r="D208" s="11"/>
      <c r="E208" s="11"/>
      <c r="G208" s="11"/>
      <c r="I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>
      <c r="A209" s="11"/>
      <c r="B209" s="11"/>
      <c r="D209" s="11"/>
      <c r="E209" s="11"/>
      <c r="G209" s="11"/>
      <c r="I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>
      <c r="A210" s="11"/>
      <c r="B210" s="11"/>
      <c r="D210" s="11"/>
      <c r="E210" s="11"/>
      <c r="G210" s="11"/>
      <c r="I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>
      <c r="A211" s="11"/>
      <c r="B211" s="11"/>
      <c r="D211" s="11"/>
      <c r="E211" s="11"/>
      <c r="G211" s="11"/>
      <c r="I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>
      <c r="A212" s="11"/>
      <c r="B212" s="11"/>
      <c r="D212" s="11"/>
      <c r="E212" s="11"/>
      <c r="G212" s="11"/>
      <c r="I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>
      <c r="A213" s="11"/>
      <c r="B213" s="11"/>
      <c r="D213" s="11"/>
      <c r="E213" s="11"/>
      <c r="G213" s="11"/>
      <c r="I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>
      <c r="A214" s="11"/>
      <c r="B214" s="11"/>
      <c r="D214" s="11"/>
      <c r="E214" s="11"/>
      <c r="G214" s="11"/>
      <c r="I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>
      <c r="A215" s="11"/>
      <c r="B215" s="11"/>
      <c r="D215" s="11"/>
      <c r="E215" s="11"/>
      <c r="G215" s="11"/>
      <c r="I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>
      <c r="A216" s="11"/>
      <c r="B216" s="11"/>
      <c r="D216" s="11"/>
      <c r="E216" s="11"/>
      <c r="G216" s="11"/>
      <c r="I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>
      <c r="A217" s="11"/>
      <c r="B217" s="11"/>
      <c r="D217" s="11"/>
      <c r="E217" s="11"/>
      <c r="G217" s="11"/>
      <c r="I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>
      <c r="A218" s="11"/>
      <c r="B218" s="11"/>
      <c r="D218" s="11"/>
      <c r="E218" s="11"/>
      <c r="G218" s="11"/>
      <c r="I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>
      <c r="A219" s="11"/>
      <c r="B219" s="11"/>
      <c r="D219" s="11"/>
      <c r="E219" s="11"/>
      <c r="G219" s="11"/>
      <c r="I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>
      <c r="A220" s="11"/>
      <c r="B220" s="11"/>
      <c r="D220" s="11"/>
      <c r="E220" s="11"/>
      <c r="G220" s="11"/>
      <c r="I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>
      <c r="A221" s="11"/>
      <c r="B221" s="11"/>
      <c r="D221" s="11"/>
      <c r="E221" s="11"/>
      <c r="G221" s="11"/>
      <c r="I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>
      <c r="A222" s="11"/>
      <c r="B222" s="11"/>
      <c r="D222" s="11"/>
      <c r="E222" s="11"/>
      <c r="G222" s="11"/>
      <c r="I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>
      <c r="A223" s="11"/>
      <c r="B223" s="11"/>
      <c r="D223" s="11"/>
      <c r="E223" s="11"/>
      <c r="G223" s="11"/>
      <c r="I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>
      <c r="A224" s="11"/>
      <c r="B224" s="11"/>
      <c r="D224" s="11"/>
      <c r="E224" s="11"/>
      <c r="G224" s="11"/>
      <c r="I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>
      <c r="A225" s="11"/>
      <c r="B225" s="11"/>
      <c r="D225" s="11"/>
      <c r="E225" s="11"/>
      <c r="G225" s="11"/>
      <c r="I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>
      <c r="A226" s="11"/>
      <c r="B226" s="11"/>
      <c r="D226" s="11"/>
      <c r="E226" s="11"/>
      <c r="G226" s="11"/>
      <c r="I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>
      <c r="A227" s="11"/>
      <c r="B227" s="11"/>
      <c r="D227" s="11"/>
      <c r="E227" s="11"/>
      <c r="G227" s="11"/>
      <c r="I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>
      <c r="A228" s="11"/>
      <c r="B228" s="11"/>
      <c r="D228" s="11"/>
      <c r="E228" s="11"/>
      <c r="G228" s="11"/>
      <c r="I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>
      <c r="A229" s="11"/>
      <c r="B229" s="11"/>
      <c r="D229" s="11"/>
      <c r="E229" s="11"/>
      <c r="G229" s="11"/>
      <c r="I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>
      <c r="A230" s="11"/>
      <c r="B230" s="11"/>
      <c r="D230" s="11"/>
      <c r="E230" s="11"/>
      <c r="G230" s="11"/>
      <c r="I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>
      <c r="A231" s="11"/>
      <c r="B231" s="11"/>
      <c r="D231" s="11"/>
      <c r="E231" s="11"/>
      <c r="G231" s="11"/>
      <c r="I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>
      <c r="A232" s="11"/>
      <c r="B232" s="11"/>
      <c r="D232" s="11"/>
      <c r="E232" s="11"/>
      <c r="G232" s="11"/>
      <c r="I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>
      <c r="A233" s="11"/>
      <c r="B233" s="11"/>
      <c r="D233" s="11"/>
      <c r="E233" s="11"/>
      <c r="G233" s="11"/>
      <c r="I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>
      <c r="A234" s="11"/>
      <c r="B234" s="11"/>
      <c r="D234" s="11"/>
      <c r="E234" s="11"/>
      <c r="G234" s="11"/>
      <c r="I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>
      <c r="A235" s="11"/>
      <c r="B235" s="11"/>
      <c r="D235" s="11"/>
      <c r="E235" s="11"/>
      <c r="G235" s="11"/>
      <c r="I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>
      <c r="A236" s="11"/>
      <c r="B236" s="11"/>
      <c r="D236" s="11"/>
      <c r="E236" s="11"/>
      <c r="G236" s="11"/>
      <c r="I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>
      <c r="A237" s="11"/>
      <c r="B237" s="11"/>
      <c r="D237" s="11"/>
      <c r="E237" s="11"/>
      <c r="G237" s="11"/>
      <c r="I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>
      <c r="A238" s="11"/>
      <c r="B238" s="11"/>
      <c r="D238" s="11"/>
      <c r="E238" s="11"/>
      <c r="G238" s="11"/>
      <c r="I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>
      <c r="A239" s="11"/>
      <c r="B239" s="11"/>
      <c r="D239" s="11"/>
      <c r="E239" s="11"/>
      <c r="G239" s="11"/>
      <c r="I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>
      <c r="A240" s="11"/>
      <c r="B240" s="11"/>
      <c r="D240" s="11"/>
      <c r="E240" s="11"/>
      <c r="G240" s="11"/>
      <c r="I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>
      <c r="A241" s="11"/>
      <c r="B241" s="11"/>
      <c r="D241" s="11"/>
      <c r="E241" s="11"/>
      <c r="G241" s="11"/>
      <c r="I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>
      <c r="A242" s="11"/>
      <c r="B242" s="11"/>
      <c r="D242" s="11"/>
      <c r="E242" s="11"/>
      <c r="G242" s="11"/>
      <c r="I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>
      <c r="A243" s="11"/>
      <c r="B243" s="11"/>
      <c r="D243" s="11"/>
      <c r="E243" s="11"/>
      <c r="G243" s="11"/>
      <c r="I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>
      <c r="A244" s="11"/>
      <c r="B244" s="11"/>
      <c r="D244" s="11"/>
      <c r="E244" s="11"/>
      <c r="G244" s="11"/>
      <c r="I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>
      <c r="A245" s="11"/>
      <c r="B245" s="11"/>
      <c r="D245" s="11"/>
      <c r="E245" s="11"/>
      <c r="G245" s="11"/>
      <c r="I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>
      <c r="A246" s="11"/>
      <c r="B246" s="11"/>
      <c r="D246" s="11"/>
      <c r="E246" s="11"/>
      <c r="G246" s="11"/>
      <c r="I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>
      <c r="A247" s="11"/>
      <c r="B247" s="11"/>
      <c r="D247" s="11"/>
      <c r="E247" s="11"/>
      <c r="G247" s="11"/>
      <c r="I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>
      <c r="A248" s="11"/>
      <c r="B248" s="11"/>
      <c r="D248" s="11"/>
      <c r="E248" s="11"/>
      <c r="G248" s="11"/>
      <c r="I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>
      <c r="A249" s="11"/>
      <c r="B249" s="11"/>
      <c r="D249" s="11"/>
      <c r="E249" s="11"/>
      <c r="G249" s="11"/>
      <c r="I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>
      <c r="A250" s="11"/>
      <c r="B250" s="11"/>
      <c r="D250" s="11"/>
      <c r="E250" s="11"/>
      <c r="G250" s="11"/>
      <c r="I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>
      <c r="A251" s="11"/>
      <c r="B251" s="11"/>
      <c r="D251" s="11"/>
      <c r="E251" s="11"/>
      <c r="G251" s="11"/>
      <c r="I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>
      <c r="A252" s="11"/>
      <c r="B252" s="11"/>
      <c r="D252" s="11"/>
      <c r="E252" s="11"/>
      <c r="G252" s="11"/>
      <c r="I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>
      <c r="A253" s="11"/>
      <c r="B253" s="11"/>
      <c r="D253" s="11"/>
      <c r="E253" s="11"/>
      <c r="G253" s="11"/>
      <c r="I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>
      <c r="A254" s="11"/>
      <c r="B254" s="11"/>
      <c r="D254" s="11"/>
      <c r="E254" s="11"/>
      <c r="G254" s="11"/>
      <c r="I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>
      <c r="A255" s="11"/>
      <c r="B255" s="11"/>
      <c r="D255" s="11"/>
      <c r="E255" s="11"/>
      <c r="G255" s="11"/>
      <c r="I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>
      <c r="A256" s="11"/>
      <c r="B256" s="11"/>
      <c r="D256" s="11"/>
      <c r="E256" s="11"/>
      <c r="G256" s="11"/>
      <c r="I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>
      <c r="A257" s="11"/>
      <c r="B257" s="11"/>
      <c r="D257" s="11"/>
      <c r="E257" s="11"/>
      <c r="G257" s="11"/>
      <c r="I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>
      <c r="A258" s="11"/>
      <c r="B258" s="11"/>
      <c r="D258" s="11"/>
      <c r="E258" s="11"/>
      <c r="G258" s="11"/>
      <c r="I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>
      <c r="A259" s="11"/>
      <c r="B259" s="11"/>
      <c r="D259" s="11"/>
      <c r="E259" s="11"/>
      <c r="G259" s="11"/>
      <c r="I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>
      <c r="A260" s="11"/>
      <c r="B260" s="11"/>
      <c r="D260" s="11"/>
      <c r="E260" s="11"/>
      <c r="G260" s="11"/>
      <c r="I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>
      <c r="A261" s="11"/>
      <c r="B261" s="11"/>
      <c r="D261" s="11"/>
      <c r="E261" s="11"/>
      <c r="G261" s="11"/>
      <c r="I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>
      <c r="A262" s="11"/>
      <c r="B262" s="11"/>
      <c r="D262" s="11"/>
      <c r="E262" s="11"/>
      <c r="G262" s="11"/>
      <c r="I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>
      <c r="A263" s="11"/>
      <c r="B263" s="11"/>
      <c r="D263" s="11"/>
      <c r="E263" s="11"/>
      <c r="G263" s="11"/>
      <c r="I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>
      <c r="A264" s="11"/>
      <c r="B264" s="11"/>
      <c r="D264" s="11"/>
      <c r="E264" s="11"/>
      <c r="G264" s="11"/>
      <c r="I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>
      <c r="A265" s="11"/>
      <c r="B265" s="11"/>
      <c r="D265" s="11"/>
      <c r="E265" s="11"/>
      <c r="G265" s="11"/>
      <c r="I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>
      <c r="A266" s="11"/>
      <c r="B266" s="11"/>
      <c r="D266" s="11"/>
      <c r="E266" s="11"/>
      <c r="G266" s="11"/>
      <c r="I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>
      <c r="A267" s="11"/>
      <c r="B267" s="11"/>
      <c r="D267" s="11"/>
      <c r="E267" s="11"/>
      <c r="G267" s="11"/>
      <c r="I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>
      <c r="A268" s="11"/>
      <c r="B268" s="11"/>
      <c r="D268" s="11"/>
      <c r="E268" s="11"/>
      <c r="G268" s="11"/>
      <c r="I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>
      <c r="A269" s="11"/>
      <c r="B269" s="11"/>
      <c r="D269" s="11"/>
      <c r="E269" s="11"/>
      <c r="G269" s="11"/>
      <c r="I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>
      <c r="A270" s="11"/>
      <c r="B270" s="11"/>
      <c r="D270" s="11"/>
      <c r="E270" s="11"/>
      <c r="G270" s="11"/>
      <c r="I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>
      <c r="A271" s="11"/>
      <c r="B271" s="11"/>
      <c r="D271" s="11"/>
      <c r="E271" s="11"/>
      <c r="G271" s="11"/>
      <c r="I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>
      <c r="A272" s="11"/>
      <c r="B272" s="11"/>
      <c r="D272" s="11"/>
      <c r="E272" s="11"/>
      <c r="G272" s="11"/>
      <c r="I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>
      <c r="A273" s="11"/>
      <c r="B273" s="11"/>
      <c r="D273" s="11"/>
      <c r="E273" s="11"/>
      <c r="G273" s="11"/>
      <c r="I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>
      <c r="A274" s="11"/>
      <c r="B274" s="11"/>
      <c r="D274" s="11"/>
      <c r="E274" s="11"/>
      <c r="G274" s="11"/>
      <c r="I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>
      <c r="A275" s="11"/>
      <c r="B275" s="11"/>
      <c r="D275" s="11"/>
      <c r="E275" s="11"/>
      <c r="G275" s="11"/>
      <c r="I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>
      <c r="A276" s="11"/>
      <c r="B276" s="11"/>
      <c r="D276" s="11"/>
      <c r="E276" s="11"/>
      <c r="G276" s="11"/>
      <c r="I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>
      <c r="A277" s="11"/>
      <c r="B277" s="11"/>
      <c r="D277" s="11"/>
      <c r="E277" s="11"/>
      <c r="G277" s="11"/>
      <c r="I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>
      <c r="A278" s="11"/>
      <c r="B278" s="11"/>
      <c r="D278" s="11"/>
      <c r="E278" s="11"/>
      <c r="G278" s="11"/>
      <c r="I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>
      <c r="A279" s="11"/>
      <c r="B279" s="11"/>
      <c r="D279" s="11"/>
      <c r="E279" s="11"/>
      <c r="G279" s="11"/>
      <c r="I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>
      <c r="A280" s="11"/>
      <c r="B280" s="11"/>
      <c r="D280" s="11"/>
      <c r="E280" s="11"/>
      <c r="G280" s="11"/>
      <c r="I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>
      <c r="A281" s="11"/>
      <c r="B281" s="11"/>
      <c r="D281" s="11"/>
      <c r="E281" s="11"/>
      <c r="G281" s="11"/>
      <c r="I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>
      <c r="A282" s="11"/>
      <c r="B282" s="11"/>
      <c r="D282" s="11"/>
      <c r="E282" s="11"/>
      <c r="G282" s="11"/>
      <c r="I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>
      <c r="A283" s="11"/>
      <c r="B283" s="11"/>
      <c r="D283" s="11"/>
      <c r="E283" s="11"/>
      <c r="G283" s="11"/>
      <c r="I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>
      <c r="A284" s="11"/>
      <c r="B284" s="11"/>
      <c r="D284" s="11"/>
      <c r="E284" s="11"/>
      <c r="G284" s="11"/>
      <c r="I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>
      <c r="A285" s="11"/>
      <c r="B285" s="11"/>
      <c r="D285" s="11"/>
      <c r="E285" s="11"/>
      <c r="G285" s="11"/>
      <c r="I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>
      <c r="A286" s="11"/>
      <c r="B286" s="11"/>
      <c r="D286" s="11"/>
      <c r="E286" s="11"/>
      <c r="G286" s="11"/>
      <c r="I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>
      <c r="A287" s="11"/>
      <c r="B287" s="11"/>
      <c r="D287" s="11"/>
      <c r="E287" s="11"/>
      <c r="G287" s="11"/>
      <c r="I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>
      <c r="A288" s="11"/>
      <c r="B288" s="11"/>
      <c r="D288" s="11"/>
      <c r="E288" s="11"/>
      <c r="G288" s="11"/>
      <c r="I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>
      <c r="A289" s="11"/>
      <c r="B289" s="11"/>
      <c r="D289" s="11"/>
      <c r="E289" s="11"/>
      <c r="G289" s="11"/>
      <c r="I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>
      <c r="A290" s="11"/>
      <c r="B290" s="11"/>
      <c r="D290" s="11"/>
      <c r="E290" s="11"/>
      <c r="G290" s="11"/>
      <c r="I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>
      <c r="A291" s="11"/>
      <c r="B291" s="11"/>
      <c r="D291" s="11"/>
      <c r="E291" s="11"/>
      <c r="G291" s="11"/>
      <c r="I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>
      <c r="A292" s="11"/>
      <c r="B292" s="11"/>
      <c r="D292" s="11"/>
      <c r="E292" s="11"/>
      <c r="G292" s="11"/>
      <c r="I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>
      <c r="A293" s="11"/>
      <c r="B293" s="11"/>
      <c r="D293" s="11"/>
      <c r="E293" s="11"/>
      <c r="G293" s="11"/>
      <c r="I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>
      <c r="A294" s="11"/>
      <c r="B294" s="11"/>
      <c r="D294" s="11"/>
      <c r="E294" s="11"/>
      <c r="G294" s="11"/>
      <c r="I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>
      <c r="A295" s="11"/>
      <c r="B295" s="11"/>
      <c r="D295" s="11"/>
      <c r="E295" s="11"/>
      <c r="G295" s="11"/>
      <c r="I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>
      <c r="A296" s="11"/>
      <c r="B296" s="11"/>
      <c r="D296" s="11"/>
      <c r="E296" s="11"/>
      <c r="G296" s="11"/>
      <c r="I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>
      <c r="A297" s="11"/>
      <c r="B297" s="11"/>
      <c r="D297" s="11"/>
      <c r="E297" s="11"/>
      <c r="G297" s="11"/>
      <c r="I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>
      <c r="A298" s="11"/>
      <c r="B298" s="11"/>
      <c r="D298" s="11"/>
      <c r="E298" s="11"/>
      <c r="G298" s="11"/>
      <c r="I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>
      <c r="A299" s="11"/>
      <c r="B299" s="11"/>
      <c r="D299" s="11"/>
      <c r="E299" s="11"/>
      <c r="G299" s="11"/>
      <c r="I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>
      <c r="A300" s="11"/>
      <c r="B300" s="11"/>
      <c r="D300" s="11"/>
      <c r="E300" s="11"/>
      <c r="G300" s="11"/>
      <c r="I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>
      <c r="A301" s="11"/>
      <c r="B301" s="11"/>
      <c r="D301" s="11"/>
      <c r="E301" s="11"/>
      <c r="G301" s="11"/>
      <c r="I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>
      <c r="A302" s="11"/>
      <c r="B302" s="11"/>
      <c r="D302" s="11"/>
      <c r="E302" s="11"/>
      <c r="G302" s="11"/>
      <c r="I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>
      <c r="A303" s="11"/>
      <c r="B303" s="11"/>
      <c r="D303" s="11"/>
      <c r="E303" s="11"/>
      <c r="G303" s="11"/>
      <c r="I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>
      <c r="A304" s="11"/>
      <c r="B304" s="11"/>
      <c r="D304" s="11"/>
      <c r="E304" s="11"/>
      <c r="G304" s="11"/>
      <c r="I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>
      <c r="A305" s="11"/>
      <c r="B305" s="11"/>
      <c r="D305" s="11"/>
      <c r="E305" s="11"/>
      <c r="G305" s="11"/>
      <c r="I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>
      <c r="A306" s="11"/>
      <c r="B306" s="11"/>
      <c r="D306" s="11"/>
      <c r="E306" s="11"/>
      <c r="G306" s="11"/>
      <c r="I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>
      <c r="A307" s="11"/>
      <c r="B307" s="11"/>
      <c r="D307" s="11"/>
      <c r="E307" s="11"/>
      <c r="G307" s="11"/>
      <c r="I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>
      <c r="A308" s="11"/>
      <c r="B308" s="11"/>
      <c r="D308" s="11"/>
      <c r="E308" s="11"/>
      <c r="G308" s="11"/>
      <c r="I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>
      <c r="A309" s="11"/>
      <c r="B309" s="11"/>
      <c r="D309" s="11"/>
      <c r="E309" s="11"/>
      <c r="G309" s="11"/>
      <c r="I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>
      <c r="A310" s="11"/>
      <c r="B310" s="11"/>
      <c r="D310" s="11"/>
      <c r="E310" s="11"/>
      <c r="G310" s="11"/>
      <c r="I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>
      <c r="A311" s="11"/>
      <c r="B311" s="11"/>
      <c r="D311" s="11"/>
      <c r="E311" s="11"/>
      <c r="G311" s="11"/>
      <c r="I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>
      <c r="A312" s="11"/>
      <c r="B312" s="11"/>
      <c r="D312" s="11"/>
      <c r="E312" s="11"/>
      <c r="G312" s="11"/>
      <c r="I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>
      <c r="A313" s="11"/>
      <c r="B313" s="11"/>
      <c r="D313" s="11"/>
      <c r="E313" s="11"/>
      <c r="G313" s="11"/>
      <c r="I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>
      <c r="A314" s="11"/>
      <c r="B314" s="11"/>
      <c r="D314" s="11"/>
      <c r="E314" s="11"/>
      <c r="G314" s="11"/>
      <c r="I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>
      <c r="A315" s="11"/>
      <c r="B315" s="11"/>
      <c r="D315" s="11"/>
      <c r="E315" s="11"/>
      <c r="G315" s="11"/>
      <c r="I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>
      <c r="A316" s="11"/>
      <c r="B316" s="11"/>
      <c r="D316" s="11"/>
      <c r="E316" s="11"/>
      <c r="G316" s="11"/>
      <c r="I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>
      <c r="A317" s="11"/>
      <c r="B317" s="11"/>
      <c r="D317" s="11"/>
      <c r="E317" s="11"/>
      <c r="G317" s="11"/>
      <c r="I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>
      <c r="A318" s="11"/>
      <c r="B318" s="11"/>
      <c r="D318" s="11"/>
      <c r="E318" s="11"/>
      <c r="G318" s="11"/>
      <c r="I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>
      <c r="A319" s="11"/>
      <c r="B319" s="11"/>
      <c r="D319" s="11"/>
      <c r="E319" s="11"/>
      <c r="G319" s="11"/>
      <c r="I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>
      <c r="A320" s="11"/>
      <c r="B320" s="11"/>
      <c r="D320" s="11"/>
      <c r="E320" s="11"/>
      <c r="G320" s="11"/>
      <c r="I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>
      <c r="A321" s="11"/>
      <c r="B321" s="11"/>
      <c r="D321" s="11"/>
      <c r="E321" s="11"/>
      <c r="G321" s="11"/>
      <c r="I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>
      <c r="A322" s="11"/>
      <c r="B322" s="11"/>
      <c r="D322" s="11"/>
      <c r="E322" s="11"/>
      <c r="G322" s="11"/>
      <c r="I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>
      <c r="A323" s="11"/>
      <c r="B323" s="11"/>
      <c r="D323" s="11"/>
      <c r="E323" s="11"/>
      <c r="G323" s="11"/>
      <c r="I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>
      <c r="A324" s="11"/>
      <c r="B324" s="11"/>
      <c r="D324" s="11"/>
      <c r="E324" s="11"/>
      <c r="G324" s="11"/>
      <c r="I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>
      <c r="A325" s="11"/>
      <c r="B325" s="11"/>
      <c r="D325" s="11"/>
      <c r="E325" s="11"/>
      <c r="G325" s="11"/>
      <c r="I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>
      <c r="A326" s="11"/>
      <c r="B326" s="11"/>
      <c r="D326" s="11"/>
      <c r="E326" s="11"/>
      <c r="G326" s="11"/>
      <c r="I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>
      <c r="A327" s="11"/>
      <c r="B327" s="11"/>
      <c r="D327" s="11"/>
      <c r="E327" s="11"/>
      <c r="G327" s="11"/>
      <c r="I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>
      <c r="A328" s="11"/>
      <c r="B328" s="11"/>
      <c r="D328" s="11"/>
      <c r="E328" s="11"/>
      <c r="G328" s="11"/>
      <c r="I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>
      <c r="A329" s="11"/>
      <c r="B329" s="11"/>
      <c r="D329" s="11"/>
      <c r="E329" s="11"/>
      <c r="G329" s="11"/>
      <c r="I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>
      <c r="A330" s="11"/>
      <c r="B330" s="11"/>
      <c r="D330" s="11"/>
      <c r="E330" s="11"/>
      <c r="G330" s="11"/>
      <c r="I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>
      <c r="A331" s="11"/>
      <c r="B331" s="11"/>
      <c r="D331" s="11"/>
      <c r="E331" s="11"/>
      <c r="G331" s="11"/>
      <c r="I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>
      <c r="A332" s="11"/>
      <c r="B332" s="11"/>
      <c r="D332" s="11"/>
      <c r="E332" s="11"/>
      <c r="G332" s="11"/>
      <c r="I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>
      <c r="A333" s="11"/>
      <c r="B333" s="11"/>
      <c r="D333" s="11"/>
      <c r="E333" s="11"/>
      <c r="G333" s="11"/>
      <c r="I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>
      <c r="A334" s="11"/>
      <c r="B334" s="11"/>
      <c r="D334" s="11"/>
      <c r="E334" s="11"/>
      <c r="G334" s="11"/>
      <c r="I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>
      <c r="A335" s="11"/>
      <c r="B335" s="11"/>
      <c r="D335" s="11"/>
      <c r="E335" s="11"/>
      <c r="G335" s="11"/>
      <c r="I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>
      <c r="A336" s="11"/>
      <c r="B336" s="11"/>
      <c r="D336" s="11"/>
      <c r="E336" s="11"/>
      <c r="G336" s="11"/>
      <c r="I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>
      <c r="A337" s="11"/>
      <c r="B337" s="11"/>
      <c r="D337" s="11"/>
      <c r="E337" s="11"/>
      <c r="G337" s="11"/>
      <c r="I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>
      <c r="A338" s="11"/>
      <c r="B338" s="11"/>
      <c r="D338" s="11"/>
      <c r="E338" s="11"/>
      <c r="G338" s="11"/>
      <c r="I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>
      <c r="A339" s="11"/>
      <c r="B339" s="11"/>
      <c r="D339" s="11"/>
      <c r="E339" s="11"/>
      <c r="G339" s="11"/>
      <c r="I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>
      <c r="A340" s="11"/>
      <c r="B340" s="11"/>
      <c r="D340" s="11"/>
      <c r="E340" s="11"/>
      <c r="G340" s="11"/>
      <c r="I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>
      <c r="A341" s="11"/>
      <c r="B341" s="11"/>
      <c r="D341" s="11"/>
      <c r="E341" s="11"/>
      <c r="G341" s="11"/>
      <c r="I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>
      <c r="A342" s="11"/>
      <c r="B342" s="11"/>
      <c r="D342" s="11"/>
      <c r="E342" s="11"/>
      <c r="G342" s="11"/>
      <c r="I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>
      <c r="A343" s="11"/>
      <c r="B343" s="11"/>
      <c r="D343" s="11"/>
      <c r="E343" s="11"/>
      <c r="G343" s="11"/>
      <c r="I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>
      <c r="A344" s="11"/>
      <c r="B344" s="11"/>
      <c r="D344" s="11"/>
      <c r="E344" s="11"/>
      <c r="G344" s="11"/>
      <c r="I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>
      <c r="A345" s="11"/>
      <c r="B345" s="11"/>
      <c r="D345" s="11"/>
      <c r="E345" s="11"/>
      <c r="G345" s="11"/>
      <c r="I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>
      <c r="A346" s="11"/>
      <c r="B346" s="11"/>
      <c r="D346" s="11"/>
      <c r="E346" s="11"/>
      <c r="G346" s="11"/>
      <c r="I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>
      <c r="A347" s="11"/>
      <c r="B347" s="11"/>
      <c r="D347" s="11"/>
      <c r="E347" s="11"/>
      <c r="G347" s="11"/>
      <c r="I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>
      <c r="A348" s="11"/>
      <c r="B348" s="11"/>
      <c r="D348" s="11"/>
      <c r="E348" s="11"/>
      <c r="G348" s="11"/>
      <c r="I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>
      <c r="A349" s="11"/>
      <c r="B349" s="11"/>
      <c r="D349" s="11"/>
      <c r="E349" s="11"/>
      <c r="G349" s="11"/>
      <c r="I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>
      <c r="A350" s="11"/>
      <c r="B350" s="11"/>
      <c r="D350" s="11"/>
      <c r="E350" s="11"/>
      <c r="G350" s="11"/>
      <c r="I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>
      <c r="A351" s="11"/>
      <c r="B351" s="11"/>
      <c r="D351" s="11"/>
      <c r="E351" s="11"/>
      <c r="G351" s="11"/>
      <c r="I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>
      <c r="A352" s="11"/>
      <c r="B352" s="11"/>
      <c r="D352" s="11"/>
      <c r="E352" s="11"/>
      <c r="G352" s="11"/>
      <c r="I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>
      <c r="A353" s="11"/>
      <c r="B353" s="11"/>
      <c r="D353" s="11"/>
      <c r="E353" s="11"/>
      <c r="G353" s="11"/>
      <c r="I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>
      <c r="A354" s="11"/>
      <c r="B354" s="11"/>
      <c r="D354" s="11"/>
      <c r="E354" s="11"/>
      <c r="G354" s="11"/>
      <c r="I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>
      <c r="A355" s="11"/>
      <c r="B355" s="11"/>
      <c r="D355" s="11"/>
      <c r="E355" s="11"/>
      <c r="G355" s="11"/>
      <c r="I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>
      <c r="A356" s="11"/>
      <c r="B356" s="11"/>
      <c r="D356" s="11"/>
      <c r="E356" s="11"/>
      <c r="G356" s="11"/>
      <c r="I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>
      <c r="A357" s="11"/>
      <c r="B357" s="11"/>
      <c r="D357" s="11"/>
      <c r="E357" s="11"/>
      <c r="G357" s="11"/>
      <c r="I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>
      <c r="A358" s="11"/>
      <c r="B358" s="11"/>
      <c r="D358" s="11"/>
      <c r="E358" s="11"/>
      <c r="G358" s="11"/>
      <c r="I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>
      <c r="A359" s="11"/>
      <c r="B359" s="11"/>
      <c r="D359" s="11"/>
      <c r="E359" s="11"/>
      <c r="G359" s="11"/>
      <c r="I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>
      <c r="A360" s="11"/>
      <c r="B360" s="11"/>
      <c r="D360" s="11"/>
      <c r="E360" s="11"/>
      <c r="G360" s="11"/>
      <c r="I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>
      <c r="A361" s="11"/>
      <c r="B361" s="11"/>
      <c r="D361" s="11"/>
      <c r="E361" s="11"/>
      <c r="G361" s="11"/>
      <c r="I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>
      <c r="A362" s="11"/>
      <c r="B362" s="11"/>
      <c r="D362" s="11"/>
      <c r="E362" s="11"/>
      <c r="G362" s="11"/>
      <c r="I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>
      <c r="A363" s="11"/>
      <c r="B363" s="11"/>
      <c r="D363" s="11"/>
      <c r="E363" s="11"/>
      <c r="G363" s="11"/>
      <c r="I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>
      <c r="A364" s="11"/>
      <c r="B364" s="11"/>
      <c r="D364" s="11"/>
      <c r="E364" s="11"/>
      <c r="G364" s="11"/>
      <c r="I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>
      <c r="A365" s="11"/>
      <c r="B365" s="11"/>
      <c r="D365" s="11"/>
      <c r="E365" s="11"/>
      <c r="G365" s="11"/>
      <c r="I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>
      <c r="A366" s="11"/>
      <c r="B366" s="11"/>
      <c r="D366" s="11"/>
      <c r="E366" s="11"/>
      <c r="G366" s="11"/>
      <c r="I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>
      <c r="A367" s="11"/>
      <c r="B367" s="11"/>
      <c r="D367" s="11"/>
      <c r="E367" s="11"/>
      <c r="G367" s="11"/>
      <c r="I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>
      <c r="A368" s="11"/>
      <c r="B368" s="11"/>
      <c r="D368" s="11"/>
      <c r="E368" s="11"/>
      <c r="G368" s="11"/>
      <c r="I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>
      <c r="A369" s="11"/>
      <c r="B369" s="11"/>
      <c r="D369" s="11"/>
      <c r="E369" s="11"/>
      <c r="G369" s="11"/>
      <c r="I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>
      <c r="A370" s="11"/>
      <c r="B370" s="11"/>
      <c r="D370" s="11"/>
      <c r="E370" s="11"/>
      <c r="G370" s="11"/>
      <c r="I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>
      <c r="A371" s="11"/>
      <c r="B371" s="11"/>
      <c r="D371" s="11"/>
      <c r="E371" s="11"/>
      <c r="G371" s="11"/>
      <c r="I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>
      <c r="A372" s="11"/>
      <c r="B372" s="11"/>
      <c r="D372" s="11"/>
      <c r="E372" s="11"/>
      <c r="G372" s="11"/>
      <c r="I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>
      <c r="A373" s="11"/>
      <c r="B373" s="11"/>
      <c r="D373" s="11"/>
      <c r="E373" s="11"/>
      <c r="G373" s="11"/>
      <c r="I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>
      <c r="A374" s="11"/>
      <c r="B374" s="11"/>
      <c r="D374" s="11"/>
      <c r="E374" s="11"/>
      <c r="G374" s="11"/>
      <c r="I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>
      <c r="A375" s="11"/>
      <c r="B375" s="11"/>
      <c r="D375" s="11"/>
      <c r="E375" s="11"/>
      <c r="G375" s="11"/>
      <c r="I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>
      <c r="A376" s="11"/>
      <c r="B376" s="11"/>
      <c r="D376" s="11"/>
      <c r="E376" s="11"/>
      <c r="G376" s="11"/>
      <c r="I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>
      <c r="A377" s="11"/>
      <c r="B377" s="11"/>
      <c r="D377" s="11"/>
      <c r="E377" s="11"/>
      <c r="G377" s="11"/>
      <c r="I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>
      <c r="A378" s="11"/>
      <c r="B378" s="11"/>
      <c r="D378" s="11"/>
      <c r="E378" s="11"/>
      <c r="G378" s="11"/>
      <c r="I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>
      <c r="A379" s="11"/>
      <c r="B379" s="11"/>
      <c r="D379" s="11"/>
      <c r="E379" s="11"/>
      <c r="G379" s="11"/>
      <c r="I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>
      <c r="A380" s="11"/>
      <c r="B380" s="11"/>
      <c r="D380" s="11"/>
      <c r="E380" s="11"/>
      <c r="G380" s="11"/>
      <c r="I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>
      <c r="A381" s="11"/>
      <c r="B381" s="11"/>
      <c r="D381" s="11"/>
      <c r="E381" s="11"/>
      <c r="G381" s="11"/>
      <c r="I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>
      <c r="A382" s="11"/>
      <c r="B382" s="11"/>
      <c r="D382" s="11"/>
      <c r="E382" s="11"/>
      <c r="G382" s="11"/>
      <c r="I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>
      <c r="A383" s="11"/>
      <c r="B383" s="11"/>
      <c r="D383" s="11"/>
      <c r="E383" s="11"/>
      <c r="G383" s="11"/>
      <c r="I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>
      <c r="A384" s="11"/>
      <c r="B384" s="11"/>
      <c r="D384" s="11"/>
      <c r="E384" s="11"/>
      <c r="G384" s="11"/>
      <c r="I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>
      <c r="A385" s="11"/>
      <c r="B385" s="11"/>
      <c r="D385" s="11"/>
      <c r="E385" s="11"/>
      <c r="G385" s="11"/>
      <c r="I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>
      <c r="A386" s="11"/>
      <c r="B386" s="11"/>
      <c r="D386" s="11"/>
      <c r="E386" s="11"/>
      <c r="G386" s="11"/>
      <c r="I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>
      <c r="A387" s="11"/>
      <c r="B387" s="11"/>
      <c r="D387" s="11"/>
      <c r="E387" s="11"/>
      <c r="G387" s="11"/>
      <c r="I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>
      <c r="A388" s="11"/>
      <c r="B388" s="11"/>
      <c r="D388" s="11"/>
      <c r="E388" s="11"/>
      <c r="G388" s="11"/>
      <c r="I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>
      <c r="A389" s="11"/>
      <c r="B389" s="11"/>
      <c r="D389" s="11"/>
      <c r="E389" s="11"/>
      <c r="G389" s="11"/>
      <c r="I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>
      <c r="A390" s="11"/>
      <c r="B390" s="11"/>
      <c r="D390" s="11"/>
      <c r="E390" s="11"/>
      <c r="G390" s="11"/>
      <c r="I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>
      <c r="A391" s="11"/>
      <c r="B391" s="11"/>
      <c r="D391" s="11"/>
      <c r="E391" s="11"/>
      <c r="G391" s="11"/>
      <c r="I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>
      <c r="A392" s="11"/>
      <c r="B392" s="11"/>
      <c r="D392" s="11"/>
      <c r="E392" s="11"/>
      <c r="G392" s="11"/>
      <c r="I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>
      <c r="A393" s="11"/>
      <c r="B393" s="11"/>
      <c r="D393" s="11"/>
      <c r="E393" s="11"/>
      <c r="G393" s="11"/>
      <c r="I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>
      <c r="A394" s="11"/>
      <c r="B394" s="11"/>
      <c r="D394" s="11"/>
      <c r="E394" s="11"/>
      <c r="G394" s="11"/>
      <c r="I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>
      <c r="A395" s="11"/>
      <c r="B395" s="11"/>
      <c r="D395" s="11"/>
      <c r="E395" s="11"/>
      <c r="G395" s="11"/>
      <c r="I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>
      <c r="A396" s="11"/>
      <c r="B396" s="11"/>
      <c r="D396" s="11"/>
      <c r="E396" s="11"/>
      <c r="G396" s="11"/>
      <c r="I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>
      <c r="A397" s="11"/>
      <c r="B397" s="11"/>
      <c r="D397" s="11"/>
      <c r="E397" s="11"/>
      <c r="G397" s="11"/>
      <c r="I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>
      <c r="A398" s="11"/>
      <c r="B398" s="11"/>
      <c r="D398" s="11"/>
      <c r="E398" s="11"/>
      <c r="G398" s="11"/>
      <c r="I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>
      <c r="A399" s="11"/>
      <c r="B399" s="11"/>
      <c r="D399" s="11"/>
      <c r="E399" s="11"/>
      <c r="G399" s="11"/>
      <c r="I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>
      <c r="A400" s="11"/>
      <c r="B400" s="11"/>
      <c r="D400" s="11"/>
      <c r="E400" s="11"/>
      <c r="G400" s="11"/>
      <c r="I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>
      <c r="A401" s="11"/>
      <c r="B401" s="11"/>
      <c r="D401" s="11"/>
      <c r="E401" s="11"/>
      <c r="G401" s="11"/>
      <c r="I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>
      <c r="A402" s="11"/>
      <c r="B402" s="11"/>
      <c r="D402" s="11"/>
      <c r="E402" s="11"/>
      <c r="G402" s="11"/>
      <c r="I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>
      <c r="A403" s="11"/>
      <c r="B403" s="11"/>
      <c r="D403" s="11"/>
      <c r="E403" s="11"/>
      <c r="G403" s="11"/>
      <c r="I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>
      <c r="A404" s="11"/>
      <c r="B404" s="11"/>
      <c r="D404" s="11"/>
      <c r="E404" s="11"/>
      <c r="G404" s="11"/>
      <c r="I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>
      <c r="A405" s="11"/>
      <c r="B405" s="11"/>
      <c r="D405" s="11"/>
      <c r="E405" s="11"/>
      <c r="G405" s="11"/>
      <c r="I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>
      <c r="A406" s="11"/>
      <c r="B406" s="11"/>
      <c r="D406" s="11"/>
      <c r="E406" s="11"/>
      <c r="G406" s="11"/>
      <c r="I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>
      <c r="A407" s="11"/>
      <c r="B407" s="11"/>
      <c r="D407" s="11"/>
      <c r="E407" s="11"/>
      <c r="G407" s="11"/>
      <c r="I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>
      <c r="A408" s="11"/>
      <c r="B408" s="11"/>
      <c r="D408" s="11"/>
      <c r="E408" s="11"/>
      <c r="G408" s="11"/>
      <c r="I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>
      <c r="A409" s="11"/>
      <c r="B409" s="11"/>
      <c r="D409" s="11"/>
      <c r="E409" s="11"/>
      <c r="G409" s="11"/>
      <c r="I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>
      <c r="A410" s="11"/>
      <c r="B410" s="11"/>
      <c r="D410" s="11"/>
      <c r="E410" s="11"/>
      <c r="G410" s="11"/>
      <c r="I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>
      <c r="A411" s="11"/>
      <c r="B411" s="11"/>
      <c r="D411" s="11"/>
      <c r="E411" s="11"/>
      <c r="G411" s="11"/>
      <c r="I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>
      <c r="A412" s="11"/>
      <c r="B412" s="11"/>
      <c r="D412" s="11"/>
      <c r="E412" s="11"/>
      <c r="G412" s="11"/>
      <c r="I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>
      <c r="A413" s="11"/>
      <c r="B413" s="11"/>
      <c r="D413" s="11"/>
      <c r="E413" s="11"/>
      <c r="G413" s="11"/>
      <c r="I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>
      <c r="A414" s="11"/>
      <c r="B414" s="11"/>
      <c r="D414" s="11"/>
      <c r="E414" s="11"/>
      <c r="G414" s="11"/>
      <c r="I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>
      <c r="A415" s="11"/>
      <c r="B415" s="11"/>
      <c r="D415" s="11"/>
      <c r="E415" s="11"/>
      <c r="G415" s="11"/>
      <c r="I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>
      <c r="A416" s="11"/>
      <c r="B416" s="11"/>
      <c r="D416" s="11"/>
      <c r="E416" s="11"/>
      <c r="G416" s="11"/>
      <c r="I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>
      <c r="A417" s="11"/>
      <c r="B417" s="11"/>
      <c r="D417" s="11"/>
      <c r="E417" s="11"/>
      <c r="G417" s="11"/>
      <c r="I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>
      <c r="A418" s="11"/>
      <c r="B418" s="11"/>
      <c r="D418" s="11"/>
      <c r="E418" s="11"/>
      <c r="G418" s="11"/>
      <c r="I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>
      <c r="A419" s="11"/>
      <c r="B419" s="11"/>
      <c r="D419" s="11"/>
      <c r="E419" s="11"/>
      <c r="G419" s="11"/>
      <c r="I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>
      <c r="A420" s="11"/>
      <c r="B420" s="11"/>
      <c r="D420" s="11"/>
      <c r="E420" s="11"/>
      <c r="G420" s="11"/>
      <c r="I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>
      <c r="A421" s="11"/>
      <c r="B421" s="11"/>
      <c r="D421" s="11"/>
      <c r="E421" s="11"/>
      <c r="G421" s="11"/>
      <c r="I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>
      <c r="A422" s="11"/>
      <c r="B422" s="11"/>
      <c r="D422" s="11"/>
      <c r="E422" s="11"/>
      <c r="G422" s="11"/>
      <c r="I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>
      <c r="A423" s="11"/>
      <c r="B423" s="11"/>
      <c r="D423" s="11"/>
      <c r="E423" s="11"/>
      <c r="G423" s="11"/>
      <c r="I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>
      <c r="A424" s="11"/>
      <c r="B424" s="11"/>
      <c r="D424" s="11"/>
      <c r="E424" s="11"/>
      <c r="G424" s="11"/>
      <c r="I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>
      <c r="A425" s="11"/>
      <c r="B425" s="11"/>
      <c r="D425" s="11"/>
      <c r="E425" s="11"/>
      <c r="G425" s="11"/>
      <c r="I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>
      <c r="A426" s="11"/>
      <c r="B426" s="11"/>
      <c r="D426" s="11"/>
      <c r="E426" s="11"/>
      <c r="G426" s="11"/>
      <c r="I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>
      <c r="A427" s="11"/>
      <c r="B427" s="11"/>
      <c r="D427" s="11"/>
      <c r="E427" s="11"/>
      <c r="G427" s="11"/>
      <c r="I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>
      <c r="A428" s="11"/>
      <c r="B428" s="11"/>
      <c r="D428" s="11"/>
      <c r="E428" s="11"/>
      <c r="G428" s="11"/>
      <c r="I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>
      <c r="A429" s="11"/>
      <c r="B429" s="11"/>
      <c r="D429" s="11"/>
      <c r="E429" s="11"/>
      <c r="G429" s="11"/>
      <c r="I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>
      <c r="A430" s="11"/>
      <c r="B430" s="11"/>
      <c r="D430" s="11"/>
      <c r="E430" s="11"/>
      <c r="G430" s="11"/>
      <c r="I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>
      <c r="A431" s="11"/>
      <c r="B431" s="11"/>
      <c r="D431" s="11"/>
      <c r="E431" s="11"/>
      <c r="G431" s="11"/>
      <c r="I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>
      <c r="A432" s="11"/>
      <c r="B432" s="11"/>
      <c r="D432" s="11"/>
      <c r="E432" s="11"/>
      <c r="G432" s="11"/>
      <c r="I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>
      <c r="A433" s="11"/>
      <c r="B433" s="11"/>
      <c r="D433" s="11"/>
      <c r="E433" s="11"/>
      <c r="G433" s="11"/>
      <c r="I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>
      <c r="A434" s="11"/>
      <c r="B434" s="11"/>
      <c r="D434" s="11"/>
      <c r="E434" s="11"/>
      <c r="G434" s="11"/>
      <c r="I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>
      <c r="A435" s="11"/>
      <c r="B435" s="11"/>
      <c r="D435" s="11"/>
      <c r="E435" s="11"/>
      <c r="G435" s="11"/>
      <c r="I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>
      <c r="A436" s="11"/>
      <c r="B436" s="11"/>
      <c r="D436" s="11"/>
      <c r="E436" s="11"/>
      <c r="G436" s="11"/>
      <c r="I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>
      <c r="A437" s="11"/>
      <c r="B437" s="11"/>
      <c r="D437" s="11"/>
      <c r="E437" s="11"/>
      <c r="G437" s="11"/>
      <c r="I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>
      <c r="A438" s="11"/>
      <c r="B438" s="11"/>
      <c r="D438" s="11"/>
      <c r="E438" s="11"/>
      <c r="G438" s="11"/>
      <c r="I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>
      <c r="A439" s="11"/>
      <c r="B439" s="11"/>
      <c r="D439" s="11"/>
      <c r="E439" s="11"/>
      <c r="G439" s="11"/>
      <c r="I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>
      <c r="A440" s="11"/>
      <c r="B440" s="11"/>
      <c r="D440" s="11"/>
      <c r="E440" s="11"/>
      <c r="G440" s="11"/>
      <c r="I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>
      <c r="A441" s="11"/>
      <c r="B441" s="11"/>
      <c r="D441" s="11"/>
      <c r="E441" s="11"/>
      <c r="G441" s="11"/>
      <c r="I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>
      <c r="A442" s="11"/>
      <c r="B442" s="11"/>
      <c r="D442" s="11"/>
      <c r="E442" s="11"/>
      <c r="G442" s="11"/>
      <c r="I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>
      <c r="A443" s="11"/>
      <c r="B443" s="11"/>
      <c r="D443" s="11"/>
      <c r="E443" s="11"/>
      <c r="G443" s="11"/>
      <c r="I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>
      <c r="A444" s="11"/>
      <c r="B444" s="11"/>
      <c r="D444" s="11"/>
      <c r="E444" s="11"/>
      <c r="G444" s="11"/>
      <c r="I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>
      <c r="A445" s="11"/>
      <c r="B445" s="11"/>
      <c r="D445" s="11"/>
      <c r="E445" s="11"/>
      <c r="G445" s="11"/>
      <c r="I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>
      <c r="A446" s="11"/>
      <c r="B446" s="11"/>
      <c r="D446" s="11"/>
      <c r="E446" s="11"/>
      <c r="G446" s="11"/>
      <c r="I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>
      <c r="A447" s="11"/>
      <c r="B447" s="11"/>
      <c r="D447" s="11"/>
      <c r="E447" s="11"/>
      <c r="G447" s="11"/>
      <c r="I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>
      <c r="A448" s="11"/>
      <c r="B448" s="11"/>
      <c r="D448" s="11"/>
      <c r="E448" s="11"/>
      <c r="G448" s="11"/>
      <c r="I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>
      <c r="A449" s="11"/>
      <c r="B449" s="11"/>
      <c r="D449" s="11"/>
      <c r="E449" s="11"/>
      <c r="G449" s="11"/>
      <c r="I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>
      <c r="A450" s="11"/>
      <c r="B450" s="11"/>
      <c r="D450" s="11"/>
      <c r="E450" s="11"/>
      <c r="G450" s="11"/>
      <c r="I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>
      <c r="A451" s="11"/>
      <c r="B451" s="11"/>
      <c r="D451" s="11"/>
      <c r="E451" s="11"/>
      <c r="G451" s="11"/>
      <c r="I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>
      <c r="A452" s="11"/>
      <c r="B452" s="11"/>
      <c r="D452" s="11"/>
      <c r="E452" s="11"/>
      <c r="G452" s="11"/>
      <c r="I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>
      <c r="A453" s="11"/>
      <c r="B453" s="11"/>
      <c r="D453" s="11"/>
      <c r="E453" s="11"/>
      <c r="G453" s="11"/>
      <c r="I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>
      <c r="A454" s="11"/>
      <c r="B454" s="11"/>
      <c r="D454" s="11"/>
      <c r="E454" s="11"/>
      <c r="G454" s="11"/>
      <c r="I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>
      <c r="A455" s="11"/>
      <c r="B455" s="11"/>
      <c r="D455" s="11"/>
      <c r="E455" s="11"/>
      <c r="G455" s="11"/>
      <c r="I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>
      <c r="A456" s="11"/>
      <c r="B456" s="11"/>
      <c r="D456" s="11"/>
      <c r="E456" s="11"/>
      <c r="G456" s="11"/>
      <c r="I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>
      <c r="A457" s="11"/>
      <c r="B457" s="11"/>
      <c r="D457" s="11"/>
      <c r="E457" s="11"/>
      <c r="G457" s="11"/>
      <c r="I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>
      <c r="A458" s="11"/>
      <c r="B458" s="11"/>
      <c r="D458" s="11"/>
      <c r="E458" s="11"/>
      <c r="G458" s="11"/>
      <c r="I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>
      <c r="A459" s="11"/>
      <c r="B459" s="11"/>
      <c r="D459" s="11"/>
      <c r="E459" s="11"/>
      <c r="G459" s="11"/>
      <c r="I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>
      <c r="A460" s="11"/>
      <c r="B460" s="11"/>
      <c r="D460" s="11"/>
      <c r="E460" s="11"/>
      <c r="G460" s="11"/>
      <c r="I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>
      <c r="A461" s="11"/>
      <c r="B461" s="11"/>
      <c r="D461" s="11"/>
      <c r="E461" s="11"/>
      <c r="G461" s="11"/>
      <c r="I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>
      <c r="A462" s="11"/>
      <c r="B462" s="11"/>
      <c r="D462" s="11"/>
      <c r="E462" s="11"/>
      <c r="G462" s="11"/>
      <c r="I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>
      <c r="A463" s="11"/>
      <c r="B463" s="11"/>
      <c r="D463" s="11"/>
      <c r="E463" s="11"/>
      <c r="G463" s="11"/>
      <c r="I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>
      <c r="A464" s="11"/>
      <c r="B464" s="11"/>
      <c r="D464" s="11"/>
      <c r="E464" s="11"/>
      <c r="G464" s="11"/>
      <c r="I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>
      <c r="A465" s="11"/>
      <c r="B465" s="11"/>
      <c r="D465" s="11"/>
      <c r="E465" s="11"/>
      <c r="G465" s="11"/>
      <c r="I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>
      <c r="A466" s="11"/>
      <c r="B466" s="11"/>
      <c r="D466" s="11"/>
      <c r="E466" s="11"/>
      <c r="G466" s="11"/>
      <c r="I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>
      <c r="A467" s="11"/>
      <c r="B467" s="11"/>
      <c r="D467" s="11"/>
      <c r="E467" s="11"/>
      <c r="G467" s="11"/>
      <c r="I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>
      <c r="A468" s="11"/>
      <c r="B468" s="11"/>
      <c r="D468" s="11"/>
      <c r="E468" s="11"/>
      <c r="G468" s="11"/>
      <c r="I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>
      <c r="A469" s="11"/>
      <c r="B469" s="11"/>
      <c r="D469" s="11"/>
      <c r="E469" s="11"/>
      <c r="G469" s="11"/>
      <c r="I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>
      <c r="A470" s="11"/>
      <c r="B470" s="11"/>
      <c r="D470" s="11"/>
      <c r="E470" s="11"/>
      <c r="G470" s="11"/>
      <c r="I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>
      <c r="A471" s="11"/>
      <c r="B471" s="11"/>
      <c r="D471" s="11"/>
      <c r="E471" s="11"/>
      <c r="G471" s="11"/>
      <c r="I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>
      <c r="A472" s="11"/>
      <c r="B472" s="11"/>
      <c r="D472" s="11"/>
      <c r="E472" s="11"/>
      <c r="G472" s="11"/>
      <c r="I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>
      <c r="A473" s="11"/>
      <c r="B473" s="11"/>
      <c r="D473" s="11"/>
      <c r="E473" s="11"/>
      <c r="G473" s="11"/>
      <c r="I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>
      <c r="A474" s="11"/>
      <c r="B474" s="11"/>
      <c r="D474" s="11"/>
      <c r="E474" s="11"/>
      <c r="G474" s="11"/>
      <c r="I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>
      <c r="A475" s="11"/>
      <c r="B475" s="11"/>
      <c r="D475" s="11"/>
      <c r="E475" s="11"/>
      <c r="G475" s="11"/>
      <c r="I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>
      <c r="A476" s="11"/>
      <c r="B476" s="11"/>
      <c r="D476" s="11"/>
      <c r="E476" s="11"/>
      <c r="G476" s="11"/>
      <c r="I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>
      <c r="A477" s="11"/>
      <c r="B477" s="11"/>
      <c r="D477" s="11"/>
      <c r="E477" s="11"/>
      <c r="G477" s="11"/>
      <c r="I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>
      <c r="A478" s="11"/>
      <c r="B478" s="11"/>
      <c r="D478" s="11"/>
      <c r="E478" s="11"/>
      <c r="G478" s="11"/>
      <c r="I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>
      <c r="A479" s="11"/>
      <c r="B479" s="11"/>
      <c r="D479" s="11"/>
      <c r="E479" s="11"/>
      <c r="G479" s="11"/>
      <c r="I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>
      <c r="A480" s="11"/>
      <c r="B480" s="11"/>
      <c r="D480" s="11"/>
      <c r="E480" s="11"/>
      <c r="G480" s="11"/>
      <c r="I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>
      <c r="A481" s="11"/>
      <c r="B481" s="11"/>
      <c r="D481" s="11"/>
      <c r="E481" s="11"/>
      <c r="G481" s="11"/>
      <c r="I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>
      <c r="A482" s="11"/>
      <c r="B482" s="11"/>
      <c r="D482" s="11"/>
      <c r="E482" s="11"/>
      <c r="G482" s="11"/>
      <c r="I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>
      <c r="A483" s="11"/>
      <c r="B483" s="11"/>
      <c r="D483" s="11"/>
      <c r="E483" s="11"/>
      <c r="G483" s="11"/>
      <c r="I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>
      <c r="A484" s="11"/>
      <c r="B484" s="11"/>
      <c r="D484" s="11"/>
      <c r="E484" s="11"/>
      <c r="G484" s="11"/>
      <c r="I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>
      <c r="A485" s="11"/>
      <c r="B485" s="11"/>
      <c r="D485" s="11"/>
      <c r="E485" s="11"/>
      <c r="G485" s="11"/>
      <c r="I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>
      <c r="A486" s="11"/>
      <c r="B486" s="11"/>
      <c r="D486" s="11"/>
      <c r="E486" s="11"/>
      <c r="G486" s="11"/>
      <c r="I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>
      <c r="A487" s="11"/>
      <c r="B487" s="11"/>
      <c r="D487" s="11"/>
      <c r="E487" s="11"/>
      <c r="G487" s="11"/>
      <c r="I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>
      <c r="A488" s="11"/>
      <c r="B488" s="11"/>
      <c r="D488" s="11"/>
      <c r="E488" s="11"/>
      <c r="G488" s="11"/>
      <c r="I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>
      <c r="A489" s="11"/>
      <c r="B489" s="11"/>
      <c r="D489" s="11"/>
      <c r="E489" s="11"/>
      <c r="G489" s="11"/>
      <c r="I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>
      <c r="A490" s="11"/>
      <c r="B490" s="11"/>
      <c r="D490" s="11"/>
      <c r="E490" s="11"/>
      <c r="G490" s="11"/>
      <c r="I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>
      <c r="A491" s="11"/>
      <c r="B491" s="11"/>
      <c r="D491" s="11"/>
      <c r="E491" s="11"/>
      <c r="G491" s="11"/>
      <c r="I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>
      <c r="A492" s="11"/>
      <c r="B492" s="11"/>
      <c r="D492" s="11"/>
      <c r="E492" s="11"/>
      <c r="G492" s="11"/>
      <c r="I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>
      <c r="A493" s="11"/>
      <c r="B493" s="11"/>
      <c r="D493" s="11"/>
      <c r="E493" s="11"/>
      <c r="G493" s="11"/>
      <c r="I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>
      <c r="A494" s="11"/>
      <c r="B494" s="11"/>
      <c r="D494" s="11"/>
      <c r="E494" s="11"/>
      <c r="G494" s="11"/>
      <c r="I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>
      <c r="A495" s="11"/>
      <c r="B495" s="11"/>
      <c r="D495" s="11"/>
      <c r="E495" s="11"/>
      <c r="G495" s="11"/>
      <c r="I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>
      <c r="A496" s="11"/>
      <c r="B496" s="11"/>
      <c r="D496" s="11"/>
      <c r="E496" s="11"/>
      <c r="G496" s="11"/>
      <c r="I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>
      <c r="A497" s="11"/>
      <c r="B497" s="11"/>
      <c r="D497" s="11"/>
      <c r="E497" s="11"/>
      <c r="G497" s="11"/>
      <c r="I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>
      <c r="A498" s="11"/>
      <c r="B498" s="11"/>
      <c r="D498" s="11"/>
      <c r="E498" s="11"/>
      <c r="G498" s="11"/>
      <c r="I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>
      <c r="A499" s="11"/>
      <c r="B499" s="11"/>
      <c r="D499" s="11"/>
      <c r="E499" s="11"/>
      <c r="G499" s="11"/>
      <c r="I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>
      <c r="A500" s="11"/>
      <c r="B500" s="11"/>
      <c r="D500" s="11"/>
      <c r="E500" s="11"/>
      <c r="G500" s="11"/>
      <c r="I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>
      <c r="A501" s="11"/>
      <c r="B501" s="11"/>
      <c r="D501" s="11"/>
      <c r="E501" s="11"/>
      <c r="G501" s="11"/>
      <c r="I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>
      <c r="A502" s="11"/>
      <c r="B502" s="11"/>
      <c r="D502" s="11"/>
      <c r="E502" s="11"/>
      <c r="G502" s="11"/>
      <c r="I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>
      <c r="A503" s="11"/>
      <c r="B503" s="11"/>
      <c r="D503" s="11"/>
      <c r="E503" s="11"/>
      <c r="G503" s="11"/>
      <c r="I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>
      <c r="A504" s="11"/>
      <c r="B504" s="11"/>
      <c r="D504" s="11"/>
      <c r="E504" s="11"/>
      <c r="G504" s="11"/>
      <c r="I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>
      <c r="A505" s="11"/>
      <c r="B505" s="11"/>
      <c r="D505" s="11"/>
      <c r="E505" s="11"/>
      <c r="G505" s="11"/>
      <c r="I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>
      <c r="A506" s="11"/>
      <c r="B506" s="11"/>
      <c r="D506" s="11"/>
      <c r="E506" s="11"/>
      <c r="G506" s="11"/>
      <c r="I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>
      <c r="A507" s="11"/>
      <c r="B507" s="11"/>
      <c r="D507" s="11"/>
      <c r="E507" s="11"/>
      <c r="G507" s="11"/>
      <c r="I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>
      <c r="A508" s="11"/>
      <c r="B508" s="11"/>
      <c r="D508" s="11"/>
      <c r="E508" s="11"/>
      <c r="G508" s="11"/>
      <c r="I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>
      <c r="A509" s="11"/>
      <c r="B509" s="11"/>
      <c r="D509" s="11"/>
      <c r="E509" s="11"/>
      <c r="G509" s="11"/>
      <c r="I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>
      <c r="A510" s="11"/>
      <c r="B510" s="11"/>
      <c r="D510" s="11"/>
      <c r="E510" s="11"/>
      <c r="G510" s="11"/>
      <c r="I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>
      <c r="A511" s="11"/>
      <c r="B511" s="11"/>
      <c r="D511" s="11"/>
      <c r="E511" s="11"/>
      <c r="G511" s="11"/>
      <c r="I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>
      <c r="A512" s="11"/>
      <c r="B512" s="11"/>
      <c r="D512" s="11"/>
      <c r="E512" s="11"/>
      <c r="G512" s="11"/>
      <c r="I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>
      <c r="A513" s="11"/>
      <c r="B513" s="11"/>
      <c r="D513" s="11"/>
      <c r="E513" s="11"/>
      <c r="G513" s="11"/>
      <c r="I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>
      <c r="A514" s="11"/>
      <c r="B514" s="11"/>
      <c r="D514" s="11"/>
      <c r="E514" s="11"/>
      <c r="G514" s="11"/>
      <c r="I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>
      <c r="A515" s="11"/>
      <c r="B515" s="11"/>
      <c r="D515" s="11"/>
      <c r="E515" s="11"/>
      <c r="G515" s="11"/>
      <c r="I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>
      <c r="A516" s="11"/>
      <c r="B516" s="11"/>
      <c r="D516" s="11"/>
      <c r="E516" s="11"/>
      <c r="G516" s="11"/>
      <c r="I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>
      <c r="A517" s="11"/>
      <c r="B517" s="11"/>
      <c r="D517" s="11"/>
      <c r="E517" s="11"/>
      <c r="G517" s="11"/>
      <c r="I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>
      <c r="A518" s="11"/>
      <c r="B518" s="11"/>
      <c r="D518" s="11"/>
      <c r="E518" s="11"/>
      <c r="G518" s="11"/>
      <c r="I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>
      <c r="A519" s="11"/>
      <c r="B519" s="11"/>
      <c r="D519" s="11"/>
      <c r="E519" s="11"/>
      <c r="G519" s="11"/>
      <c r="I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>
      <c r="A520" s="11"/>
      <c r="B520" s="11"/>
      <c r="D520" s="11"/>
      <c r="E520" s="11"/>
      <c r="G520" s="11"/>
      <c r="I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>
      <c r="A521" s="11"/>
      <c r="B521" s="11"/>
      <c r="D521" s="11"/>
      <c r="E521" s="11"/>
      <c r="G521" s="11"/>
      <c r="I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>
      <c r="A522" s="11"/>
      <c r="B522" s="11"/>
      <c r="D522" s="11"/>
      <c r="E522" s="11"/>
      <c r="G522" s="11"/>
      <c r="I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>
      <c r="A523" s="11"/>
      <c r="B523" s="11"/>
      <c r="D523" s="11"/>
      <c r="E523" s="11"/>
      <c r="G523" s="11"/>
      <c r="I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>
      <c r="A524" s="11"/>
      <c r="B524" s="11"/>
      <c r="D524" s="11"/>
      <c r="E524" s="11"/>
      <c r="G524" s="11"/>
      <c r="I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>
      <c r="A525" s="11"/>
      <c r="B525" s="11"/>
      <c r="D525" s="11"/>
      <c r="E525" s="11"/>
      <c r="G525" s="11"/>
      <c r="I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>
      <c r="A526" s="11"/>
      <c r="B526" s="11"/>
      <c r="D526" s="11"/>
      <c r="E526" s="11"/>
      <c r="G526" s="11"/>
      <c r="I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>
      <c r="A527" s="11"/>
      <c r="B527" s="11"/>
      <c r="D527" s="11"/>
      <c r="E527" s="11"/>
      <c r="G527" s="11"/>
      <c r="I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>
      <c r="A528" s="11"/>
      <c r="B528" s="11"/>
      <c r="D528" s="11"/>
      <c r="E528" s="11"/>
      <c r="G528" s="11"/>
      <c r="I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>
      <c r="A529" s="11"/>
      <c r="B529" s="11"/>
      <c r="D529" s="11"/>
      <c r="E529" s="11"/>
      <c r="G529" s="11"/>
      <c r="I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>
      <c r="A530" s="11"/>
      <c r="B530" s="11"/>
      <c r="D530" s="11"/>
      <c r="E530" s="11"/>
      <c r="G530" s="11"/>
      <c r="I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>
      <c r="A531" s="11"/>
      <c r="B531" s="11"/>
      <c r="D531" s="11"/>
      <c r="E531" s="11"/>
      <c r="G531" s="11"/>
      <c r="I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>
      <c r="A532" s="11"/>
      <c r="B532" s="11"/>
      <c r="D532" s="11"/>
      <c r="E532" s="11"/>
      <c r="G532" s="11"/>
      <c r="I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>
      <c r="A533" s="11"/>
      <c r="B533" s="11"/>
      <c r="D533" s="11"/>
      <c r="E533" s="11"/>
      <c r="G533" s="11"/>
      <c r="I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>
      <c r="A534" s="11"/>
      <c r="B534" s="11"/>
      <c r="D534" s="11"/>
      <c r="E534" s="11"/>
      <c r="G534" s="11"/>
      <c r="I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>
      <c r="A535" s="11"/>
      <c r="B535" s="11"/>
      <c r="D535" s="11"/>
      <c r="E535" s="11"/>
      <c r="G535" s="11"/>
      <c r="I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>
      <c r="A536" s="11"/>
      <c r="B536" s="11"/>
      <c r="D536" s="11"/>
      <c r="E536" s="11"/>
      <c r="G536" s="11"/>
      <c r="I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>
      <c r="A537" s="11"/>
      <c r="B537" s="11"/>
      <c r="D537" s="11"/>
      <c r="E537" s="11"/>
      <c r="G537" s="11"/>
      <c r="I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>
      <c r="A538" s="11"/>
      <c r="B538" s="11"/>
      <c r="D538" s="11"/>
      <c r="E538" s="11"/>
      <c r="G538" s="11"/>
      <c r="I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>
      <c r="A539" s="11"/>
      <c r="B539" s="11"/>
      <c r="D539" s="11"/>
      <c r="E539" s="11"/>
      <c r="G539" s="11"/>
      <c r="I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>
      <c r="A540" s="11"/>
      <c r="B540" s="11"/>
      <c r="D540" s="11"/>
      <c r="E540" s="11"/>
      <c r="G540" s="11"/>
      <c r="I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>
      <c r="A541" s="11"/>
      <c r="B541" s="11"/>
      <c r="D541" s="11"/>
      <c r="E541" s="11"/>
      <c r="G541" s="11"/>
      <c r="I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>
      <c r="A542" s="11"/>
      <c r="B542" s="11"/>
      <c r="D542" s="11"/>
      <c r="E542" s="11"/>
      <c r="G542" s="11"/>
      <c r="I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>
      <c r="A543" s="11"/>
      <c r="B543" s="11"/>
      <c r="D543" s="11"/>
      <c r="E543" s="11"/>
      <c r="G543" s="11"/>
      <c r="I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>
      <c r="A544" s="11"/>
      <c r="B544" s="11"/>
      <c r="D544" s="11"/>
      <c r="E544" s="11"/>
      <c r="G544" s="11"/>
      <c r="I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>
      <c r="A545" s="11"/>
      <c r="B545" s="11"/>
      <c r="D545" s="11"/>
      <c r="E545" s="11"/>
      <c r="G545" s="11"/>
      <c r="I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>
      <c r="A546" s="11"/>
      <c r="B546" s="11"/>
      <c r="D546" s="11"/>
      <c r="E546" s="11"/>
      <c r="G546" s="11"/>
      <c r="I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>
      <c r="A547" s="11"/>
      <c r="B547" s="11"/>
      <c r="D547" s="11"/>
      <c r="E547" s="11"/>
      <c r="G547" s="11"/>
      <c r="I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>
      <c r="A548" s="11"/>
      <c r="B548" s="11"/>
      <c r="D548" s="11"/>
      <c r="E548" s="11"/>
      <c r="G548" s="11"/>
      <c r="I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>
      <c r="A549" s="11"/>
      <c r="B549" s="11"/>
      <c r="D549" s="11"/>
      <c r="E549" s="11"/>
      <c r="G549" s="11"/>
      <c r="I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>
      <c r="A550" s="11"/>
      <c r="B550" s="11"/>
      <c r="D550" s="11"/>
      <c r="E550" s="11"/>
      <c r="G550" s="11"/>
      <c r="I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>
      <c r="A551" s="11"/>
      <c r="B551" s="11"/>
      <c r="D551" s="11"/>
      <c r="E551" s="11"/>
      <c r="G551" s="11"/>
      <c r="I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>
      <c r="A552" s="11"/>
      <c r="B552" s="11"/>
      <c r="D552" s="11"/>
      <c r="E552" s="11"/>
      <c r="G552" s="11"/>
      <c r="I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>
      <c r="A553" s="11"/>
      <c r="B553" s="11"/>
      <c r="D553" s="11"/>
      <c r="E553" s="11"/>
      <c r="G553" s="11"/>
      <c r="I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>
      <c r="A554" s="11"/>
      <c r="B554" s="11"/>
      <c r="D554" s="11"/>
      <c r="E554" s="11"/>
      <c r="G554" s="11"/>
      <c r="I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>
      <c r="A555" s="11"/>
      <c r="B555" s="11"/>
      <c r="D555" s="11"/>
      <c r="E555" s="11"/>
      <c r="G555" s="11"/>
      <c r="I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>
      <c r="A556" s="11"/>
      <c r="B556" s="11"/>
      <c r="D556" s="11"/>
      <c r="E556" s="11"/>
      <c r="G556" s="11"/>
      <c r="I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>
      <c r="A557" s="11"/>
      <c r="B557" s="11"/>
      <c r="D557" s="11"/>
      <c r="E557" s="11"/>
      <c r="G557" s="11"/>
      <c r="I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>
      <c r="A558" s="11"/>
      <c r="B558" s="11"/>
      <c r="D558" s="11"/>
      <c r="E558" s="11"/>
      <c r="G558" s="11"/>
      <c r="I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>
      <c r="A559" s="11"/>
      <c r="B559" s="11"/>
      <c r="D559" s="11"/>
      <c r="E559" s="11"/>
      <c r="G559" s="11"/>
      <c r="I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>
      <c r="A560" s="11"/>
      <c r="B560" s="11"/>
      <c r="D560" s="11"/>
      <c r="E560" s="11"/>
      <c r="G560" s="11"/>
      <c r="I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>
      <c r="A561" s="11"/>
      <c r="B561" s="11"/>
      <c r="D561" s="11"/>
      <c r="E561" s="11"/>
      <c r="G561" s="11"/>
      <c r="I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>
      <c r="A562" s="11"/>
      <c r="B562" s="11"/>
      <c r="D562" s="11"/>
      <c r="E562" s="11"/>
      <c r="G562" s="11"/>
      <c r="I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>
      <c r="A563" s="11"/>
      <c r="B563" s="11"/>
      <c r="D563" s="11"/>
      <c r="E563" s="11"/>
      <c r="G563" s="11"/>
      <c r="I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>
      <c r="A564" s="11"/>
      <c r="B564" s="11"/>
      <c r="D564" s="11"/>
      <c r="E564" s="11"/>
      <c r="G564" s="11"/>
      <c r="I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>
      <c r="A565" s="11"/>
      <c r="B565" s="11"/>
      <c r="D565" s="11"/>
      <c r="E565" s="11"/>
      <c r="G565" s="11"/>
      <c r="I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>
      <c r="A566" s="11"/>
      <c r="B566" s="11"/>
      <c r="D566" s="11"/>
      <c r="E566" s="11"/>
      <c r="G566" s="11"/>
      <c r="I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>
      <c r="A567" s="11"/>
      <c r="B567" s="11"/>
      <c r="D567" s="11"/>
      <c r="E567" s="11"/>
      <c r="G567" s="11"/>
      <c r="I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>
      <c r="A568" s="11"/>
      <c r="B568" s="11"/>
      <c r="D568" s="11"/>
      <c r="E568" s="11"/>
      <c r="G568" s="11"/>
      <c r="I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>
      <c r="A569" s="11"/>
      <c r="B569" s="11"/>
      <c r="D569" s="11"/>
      <c r="E569" s="11"/>
      <c r="G569" s="11"/>
      <c r="I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>
      <c r="A570" s="11"/>
      <c r="B570" s="11"/>
      <c r="D570" s="11"/>
      <c r="E570" s="11"/>
      <c r="G570" s="11"/>
      <c r="I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>
      <c r="A571" s="11"/>
      <c r="B571" s="11"/>
      <c r="D571" s="11"/>
      <c r="E571" s="11"/>
      <c r="G571" s="11"/>
      <c r="I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>
      <c r="A572" s="11"/>
      <c r="B572" s="11"/>
      <c r="D572" s="11"/>
      <c r="E572" s="11"/>
      <c r="G572" s="11"/>
      <c r="I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>
      <c r="A573" s="11"/>
      <c r="B573" s="11"/>
      <c r="D573" s="11"/>
      <c r="E573" s="11"/>
      <c r="G573" s="11"/>
      <c r="I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>
      <c r="A574" s="11"/>
      <c r="B574" s="11"/>
      <c r="D574" s="11"/>
      <c r="E574" s="11"/>
      <c r="G574" s="11"/>
      <c r="I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>
      <c r="A575" s="11"/>
      <c r="B575" s="11"/>
      <c r="D575" s="11"/>
      <c r="E575" s="11"/>
      <c r="G575" s="11"/>
      <c r="I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>
      <c r="A576" s="11"/>
      <c r="B576" s="11"/>
      <c r="D576" s="11"/>
      <c r="E576" s="11"/>
      <c r="G576" s="11"/>
      <c r="I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>
      <c r="A577" s="11"/>
      <c r="B577" s="11"/>
      <c r="D577" s="11"/>
      <c r="E577" s="11"/>
      <c r="G577" s="11"/>
      <c r="I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>
      <c r="A578" s="11"/>
      <c r="B578" s="11"/>
      <c r="D578" s="11"/>
      <c r="E578" s="11"/>
      <c r="G578" s="11"/>
      <c r="I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>
      <c r="A579" s="11"/>
      <c r="B579" s="11"/>
      <c r="D579" s="11"/>
      <c r="E579" s="11"/>
      <c r="G579" s="11"/>
      <c r="I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>
      <c r="A580" s="11"/>
      <c r="B580" s="11"/>
      <c r="D580" s="11"/>
      <c r="E580" s="11"/>
      <c r="G580" s="11"/>
      <c r="I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>
      <c r="A581" s="11"/>
      <c r="B581" s="11"/>
      <c r="D581" s="11"/>
      <c r="E581" s="11"/>
      <c r="G581" s="11"/>
      <c r="I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>
      <c r="A582" s="11"/>
      <c r="B582" s="11"/>
      <c r="D582" s="11"/>
      <c r="E582" s="11"/>
      <c r="G582" s="11"/>
      <c r="I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>
      <c r="A583" s="11"/>
      <c r="B583" s="11"/>
      <c r="D583" s="11"/>
      <c r="E583" s="11"/>
      <c r="G583" s="11"/>
      <c r="I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>
      <c r="A584" s="11"/>
      <c r="B584" s="11"/>
      <c r="D584" s="11"/>
      <c r="E584" s="11"/>
      <c r="G584" s="11"/>
      <c r="I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>
      <c r="A585" s="11"/>
      <c r="B585" s="11"/>
      <c r="D585" s="11"/>
      <c r="E585" s="11"/>
      <c r="G585" s="11"/>
      <c r="I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>
      <c r="A586" s="11"/>
      <c r="B586" s="11"/>
      <c r="D586" s="11"/>
      <c r="E586" s="11"/>
      <c r="G586" s="11"/>
      <c r="I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>
      <c r="A587" s="11"/>
      <c r="B587" s="11"/>
      <c r="D587" s="11"/>
      <c r="E587" s="11"/>
      <c r="G587" s="11"/>
      <c r="I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>
      <c r="A588" s="11"/>
      <c r="B588" s="11"/>
      <c r="D588" s="11"/>
      <c r="E588" s="11"/>
      <c r="G588" s="11"/>
      <c r="I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>
      <c r="A589" s="11"/>
      <c r="B589" s="11"/>
      <c r="D589" s="11"/>
      <c r="E589" s="11"/>
      <c r="G589" s="11"/>
      <c r="I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>
      <c r="A590" s="11"/>
      <c r="B590" s="11"/>
      <c r="D590" s="11"/>
      <c r="E590" s="11"/>
      <c r="G590" s="11"/>
      <c r="I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>
      <c r="A591" s="11"/>
      <c r="B591" s="11"/>
      <c r="D591" s="11"/>
      <c r="E591" s="11"/>
      <c r="G591" s="11"/>
      <c r="I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>
      <c r="A592" s="11"/>
      <c r="B592" s="11"/>
      <c r="D592" s="11"/>
      <c r="E592" s="11"/>
      <c r="G592" s="11"/>
      <c r="I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>
      <c r="A593" s="11"/>
      <c r="B593" s="11"/>
      <c r="D593" s="11"/>
      <c r="E593" s="11"/>
      <c r="G593" s="11"/>
      <c r="I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>
      <c r="A594" s="11"/>
      <c r="B594" s="11"/>
      <c r="D594" s="11"/>
      <c r="E594" s="11"/>
      <c r="G594" s="11"/>
      <c r="I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>
      <c r="A595" s="11"/>
      <c r="B595" s="11"/>
      <c r="D595" s="11"/>
      <c r="E595" s="11"/>
      <c r="G595" s="11"/>
      <c r="I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>
      <c r="A596" s="11"/>
      <c r="B596" s="11"/>
      <c r="D596" s="11"/>
      <c r="E596" s="11"/>
      <c r="G596" s="11"/>
      <c r="I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>
      <c r="A597" s="11"/>
      <c r="B597" s="11"/>
      <c r="D597" s="11"/>
      <c r="E597" s="11"/>
      <c r="G597" s="11"/>
      <c r="I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>
      <c r="A598" s="11"/>
      <c r="B598" s="11"/>
      <c r="D598" s="11"/>
      <c r="E598" s="11"/>
      <c r="G598" s="11"/>
      <c r="I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>
      <c r="A599" s="11"/>
      <c r="B599" s="11"/>
      <c r="D599" s="11"/>
      <c r="E599" s="11"/>
      <c r="G599" s="11"/>
      <c r="I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>
      <c r="A600" s="11"/>
      <c r="B600" s="11"/>
      <c r="D600" s="11"/>
      <c r="E600" s="11"/>
      <c r="G600" s="11"/>
      <c r="I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>
      <c r="A601" s="11"/>
      <c r="B601" s="11"/>
      <c r="D601" s="11"/>
      <c r="E601" s="11"/>
      <c r="G601" s="11"/>
      <c r="I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>
      <c r="A602" s="11"/>
      <c r="B602" s="11"/>
      <c r="D602" s="11"/>
      <c r="E602" s="11"/>
      <c r="G602" s="11"/>
      <c r="I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>
      <c r="A603" s="11"/>
      <c r="B603" s="11"/>
      <c r="D603" s="11"/>
      <c r="E603" s="11"/>
      <c r="G603" s="11"/>
      <c r="I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>
      <c r="A604" s="11"/>
      <c r="B604" s="11"/>
      <c r="D604" s="11"/>
      <c r="E604" s="11"/>
      <c r="G604" s="11"/>
      <c r="I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>
      <c r="A605" s="11"/>
      <c r="B605" s="11"/>
      <c r="D605" s="11"/>
      <c r="E605" s="11"/>
      <c r="G605" s="11"/>
      <c r="I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>
      <c r="A606" s="11"/>
      <c r="B606" s="11"/>
      <c r="D606" s="11"/>
      <c r="E606" s="11"/>
      <c r="G606" s="11"/>
      <c r="I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>
      <c r="A607" s="11"/>
      <c r="B607" s="11"/>
      <c r="D607" s="11"/>
      <c r="E607" s="11"/>
      <c r="G607" s="11"/>
      <c r="I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>
      <c r="A608" s="11"/>
      <c r="B608" s="11"/>
      <c r="D608" s="11"/>
      <c r="E608" s="11"/>
      <c r="G608" s="11"/>
      <c r="I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>
      <c r="A609" s="11"/>
      <c r="B609" s="11"/>
      <c r="D609" s="11"/>
      <c r="E609" s="11"/>
      <c r="G609" s="11"/>
      <c r="I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>
      <c r="A610" s="11"/>
      <c r="B610" s="11"/>
      <c r="D610" s="11"/>
      <c r="E610" s="11"/>
      <c r="G610" s="11"/>
      <c r="I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>
      <c r="A611" s="11"/>
      <c r="B611" s="11"/>
      <c r="D611" s="11"/>
      <c r="E611" s="11"/>
      <c r="G611" s="11"/>
      <c r="I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>
      <c r="A612" s="11"/>
      <c r="B612" s="11"/>
      <c r="D612" s="11"/>
      <c r="E612" s="11"/>
      <c r="G612" s="11"/>
      <c r="I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>
      <c r="A613" s="11"/>
      <c r="B613" s="11"/>
      <c r="D613" s="11"/>
      <c r="E613" s="11"/>
      <c r="G613" s="11"/>
      <c r="I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>
      <c r="A614" s="11"/>
      <c r="B614" s="11"/>
      <c r="D614" s="11"/>
      <c r="E614" s="11"/>
      <c r="G614" s="11"/>
      <c r="I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>
      <c r="A615" s="11"/>
      <c r="B615" s="11"/>
      <c r="D615" s="11"/>
      <c r="E615" s="11"/>
      <c r="G615" s="11"/>
      <c r="I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>
      <c r="A616" s="11"/>
      <c r="B616" s="11"/>
      <c r="D616" s="11"/>
      <c r="E616" s="11"/>
      <c r="G616" s="11"/>
      <c r="I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>
      <c r="A617" s="11"/>
      <c r="B617" s="11"/>
      <c r="D617" s="11"/>
      <c r="E617" s="11"/>
      <c r="G617" s="11"/>
      <c r="I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>
      <c r="A618" s="11"/>
      <c r="B618" s="11"/>
      <c r="D618" s="11"/>
      <c r="E618" s="11"/>
      <c r="G618" s="11"/>
      <c r="I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>
      <c r="A619" s="11"/>
      <c r="B619" s="11"/>
      <c r="D619" s="11"/>
      <c r="E619" s="11"/>
      <c r="G619" s="11"/>
      <c r="I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>
      <c r="A620" s="11"/>
      <c r="B620" s="11"/>
      <c r="D620" s="11"/>
      <c r="E620" s="11"/>
      <c r="G620" s="11"/>
      <c r="I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>
      <c r="A621" s="11"/>
      <c r="B621" s="11"/>
      <c r="D621" s="11"/>
      <c r="E621" s="11"/>
      <c r="G621" s="11"/>
      <c r="I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>
      <c r="A622" s="11"/>
      <c r="B622" s="11"/>
      <c r="D622" s="11"/>
      <c r="E622" s="11"/>
      <c r="G622" s="11"/>
      <c r="I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>
      <c r="A623" s="11"/>
      <c r="B623" s="11"/>
      <c r="D623" s="11"/>
      <c r="E623" s="11"/>
      <c r="G623" s="11"/>
      <c r="I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>
      <c r="A624" s="11"/>
      <c r="B624" s="11"/>
      <c r="D624" s="11"/>
      <c r="E624" s="11"/>
      <c r="G624" s="11"/>
      <c r="I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>
      <c r="A625" s="11"/>
      <c r="B625" s="11"/>
      <c r="D625" s="11"/>
      <c r="E625" s="11"/>
      <c r="G625" s="11"/>
      <c r="I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>
      <c r="A626" s="11"/>
      <c r="B626" s="11"/>
      <c r="D626" s="11"/>
      <c r="E626" s="11"/>
      <c r="G626" s="11"/>
      <c r="I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>
      <c r="A627" s="11"/>
      <c r="B627" s="11"/>
      <c r="D627" s="11"/>
      <c r="E627" s="11"/>
      <c r="G627" s="11"/>
      <c r="I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>
      <c r="A628" s="11"/>
      <c r="B628" s="11"/>
      <c r="D628" s="11"/>
      <c r="E628" s="11"/>
      <c r="G628" s="11"/>
      <c r="I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>
      <c r="A629" s="11"/>
      <c r="B629" s="11"/>
      <c r="D629" s="11"/>
      <c r="E629" s="11"/>
      <c r="G629" s="11"/>
      <c r="I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>
      <c r="A630" s="11"/>
      <c r="B630" s="11"/>
      <c r="D630" s="11"/>
      <c r="E630" s="11"/>
      <c r="G630" s="11"/>
      <c r="I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>
      <c r="A631" s="11"/>
      <c r="B631" s="11"/>
      <c r="D631" s="11"/>
      <c r="E631" s="11"/>
      <c r="G631" s="11"/>
      <c r="I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>
      <c r="A632" s="11"/>
      <c r="B632" s="11"/>
      <c r="D632" s="11"/>
      <c r="E632" s="11"/>
      <c r="G632" s="11"/>
      <c r="I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>
      <c r="A633" s="11"/>
      <c r="B633" s="11"/>
      <c r="D633" s="11"/>
      <c r="E633" s="11"/>
      <c r="G633" s="11"/>
      <c r="I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>
      <c r="A634" s="11"/>
      <c r="B634" s="11"/>
      <c r="D634" s="11"/>
      <c r="E634" s="11"/>
      <c r="G634" s="11"/>
      <c r="I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>
      <c r="A635" s="11"/>
      <c r="B635" s="11"/>
      <c r="D635" s="11"/>
      <c r="E635" s="11"/>
      <c r="G635" s="11"/>
      <c r="I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>
      <c r="A636" s="11"/>
      <c r="B636" s="11"/>
      <c r="D636" s="11"/>
      <c r="E636" s="11"/>
      <c r="G636" s="11"/>
      <c r="I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>
      <c r="A637" s="11"/>
      <c r="B637" s="11"/>
      <c r="D637" s="11"/>
      <c r="E637" s="11"/>
      <c r="G637" s="11"/>
      <c r="I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>
      <c r="A638" s="11"/>
      <c r="B638" s="11"/>
      <c r="D638" s="11"/>
      <c r="E638" s="11"/>
      <c r="G638" s="11"/>
      <c r="I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>
      <c r="A639" s="11"/>
      <c r="B639" s="11"/>
      <c r="D639" s="11"/>
      <c r="E639" s="11"/>
      <c r="G639" s="11"/>
      <c r="I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>
      <c r="A640" s="11"/>
      <c r="B640" s="11"/>
      <c r="D640" s="11"/>
      <c r="E640" s="11"/>
      <c r="G640" s="11"/>
      <c r="I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>
      <c r="A641" s="11"/>
      <c r="B641" s="11"/>
      <c r="D641" s="11"/>
      <c r="E641" s="11"/>
      <c r="G641" s="11"/>
      <c r="I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>
      <c r="A642" s="11"/>
      <c r="B642" s="11"/>
      <c r="D642" s="11"/>
      <c r="E642" s="11"/>
      <c r="G642" s="11"/>
      <c r="I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>
      <c r="A643" s="11"/>
      <c r="B643" s="11"/>
      <c r="D643" s="11"/>
      <c r="E643" s="11"/>
      <c r="G643" s="11"/>
      <c r="I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>
      <c r="A644" s="11"/>
      <c r="B644" s="11"/>
      <c r="D644" s="11"/>
      <c r="E644" s="11"/>
      <c r="G644" s="11"/>
      <c r="I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>
      <c r="A645" s="11"/>
      <c r="B645" s="11"/>
      <c r="D645" s="11"/>
      <c r="E645" s="11"/>
      <c r="G645" s="11"/>
      <c r="I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>
      <c r="A646" s="11"/>
      <c r="B646" s="11"/>
      <c r="D646" s="11"/>
      <c r="E646" s="11"/>
      <c r="G646" s="11"/>
      <c r="I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>
      <c r="A647" s="11"/>
      <c r="B647" s="11"/>
      <c r="D647" s="11"/>
      <c r="E647" s="11"/>
      <c r="G647" s="11"/>
      <c r="I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>
      <c r="A648" s="11"/>
      <c r="B648" s="11"/>
      <c r="D648" s="11"/>
      <c r="E648" s="11"/>
      <c r="G648" s="11"/>
      <c r="I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>
      <c r="A649" s="11"/>
      <c r="B649" s="11"/>
      <c r="D649" s="11"/>
      <c r="E649" s="11"/>
      <c r="G649" s="11"/>
      <c r="I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>
      <c r="A650" s="11"/>
      <c r="B650" s="11"/>
      <c r="D650" s="11"/>
      <c r="E650" s="11"/>
      <c r="G650" s="11"/>
      <c r="I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>
      <c r="A651" s="11"/>
      <c r="B651" s="11"/>
      <c r="D651" s="11"/>
      <c r="E651" s="11"/>
      <c r="G651" s="11"/>
      <c r="I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>
      <c r="A652" s="11"/>
      <c r="B652" s="11"/>
      <c r="D652" s="11"/>
      <c r="E652" s="11"/>
      <c r="G652" s="11"/>
      <c r="I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>
      <c r="A653" s="11"/>
      <c r="B653" s="11"/>
      <c r="D653" s="11"/>
      <c r="E653" s="11"/>
      <c r="G653" s="11"/>
      <c r="I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>
      <c r="A654" s="11"/>
      <c r="B654" s="11"/>
      <c r="D654" s="11"/>
      <c r="E654" s="11"/>
      <c r="G654" s="11"/>
      <c r="I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>
      <c r="A655" s="11"/>
      <c r="B655" s="11"/>
      <c r="D655" s="11"/>
      <c r="E655" s="11"/>
      <c r="G655" s="11"/>
      <c r="I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>
      <c r="A656" s="11"/>
      <c r="B656" s="11"/>
      <c r="D656" s="11"/>
      <c r="E656" s="11"/>
      <c r="G656" s="11"/>
      <c r="I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>
      <c r="A657" s="11"/>
      <c r="B657" s="11"/>
      <c r="D657" s="11"/>
      <c r="E657" s="11"/>
      <c r="G657" s="11"/>
      <c r="I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>
      <c r="A658" s="11"/>
      <c r="B658" s="11"/>
      <c r="D658" s="11"/>
      <c r="E658" s="11"/>
      <c r="G658" s="11"/>
      <c r="I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>
      <c r="A659" s="11"/>
      <c r="B659" s="11"/>
      <c r="D659" s="11"/>
      <c r="E659" s="11"/>
      <c r="G659" s="11"/>
      <c r="I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>
      <c r="A660" s="11"/>
      <c r="B660" s="11"/>
      <c r="D660" s="11"/>
      <c r="E660" s="11"/>
      <c r="G660" s="11"/>
      <c r="I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>
      <c r="A661" s="11"/>
      <c r="B661" s="11"/>
      <c r="D661" s="11"/>
      <c r="E661" s="11"/>
      <c r="G661" s="11"/>
      <c r="I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>
      <c r="A662" s="11"/>
      <c r="B662" s="11"/>
      <c r="D662" s="11"/>
      <c r="E662" s="11"/>
      <c r="G662" s="11"/>
      <c r="I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>
      <c r="A663" s="11"/>
      <c r="B663" s="11"/>
      <c r="D663" s="11"/>
      <c r="E663" s="11"/>
      <c r="G663" s="11"/>
      <c r="I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>
      <c r="A664" s="11"/>
      <c r="B664" s="11"/>
      <c r="D664" s="11"/>
      <c r="E664" s="11"/>
      <c r="G664" s="11"/>
      <c r="I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>
      <c r="A665" s="11"/>
      <c r="B665" s="11"/>
      <c r="D665" s="11"/>
      <c r="E665" s="11"/>
      <c r="G665" s="11"/>
      <c r="I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>
      <c r="A666" s="11"/>
      <c r="B666" s="11"/>
      <c r="D666" s="11"/>
      <c r="E666" s="11"/>
      <c r="G666" s="11"/>
      <c r="I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>
      <c r="A667" s="11"/>
      <c r="B667" s="11"/>
      <c r="D667" s="11"/>
      <c r="E667" s="11"/>
      <c r="G667" s="11"/>
      <c r="I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>
      <c r="A668" s="11"/>
      <c r="B668" s="11"/>
      <c r="D668" s="11"/>
      <c r="E668" s="11"/>
      <c r="G668" s="11"/>
      <c r="I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>
      <c r="A669" s="11"/>
      <c r="B669" s="11"/>
      <c r="D669" s="11"/>
      <c r="E669" s="11"/>
      <c r="G669" s="11"/>
      <c r="I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>
      <c r="A670" s="11"/>
      <c r="B670" s="11"/>
      <c r="D670" s="11"/>
      <c r="E670" s="11"/>
      <c r="G670" s="11"/>
      <c r="I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>
      <c r="A671" s="11"/>
      <c r="B671" s="11"/>
      <c r="D671" s="11"/>
      <c r="E671" s="11"/>
      <c r="G671" s="11"/>
      <c r="I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>
      <c r="A672" s="11"/>
      <c r="B672" s="11"/>
      <c r="D672" s="11"/>
      <c r="E672" s="11"/>
      <c r="G672" s="11"/>
      <c r="I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>
      <c r="A673" s="11"/>
      <c r="B673" s="11"/>
      <c r="D673" s="11"/>
      <c r="E673" s="11"/>
      <c r="G673" s="11"/>
      <c r="I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>
      <c r="A674" s="11"/>
      <c r="B674" s="11"/>
      <c r="D674" s="11"/>
      <c r="E674" s="11"/>
      <c r="G674" s="11"/>
      <c r="I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>
      <c r="A675" s="11"/>
      <c r="B675" s="11"/>
      <c r="D675" s="11"/>
      <c r="E675" s="11"/>
      <c r="G675" s="11"/>
      <c r="I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>
      <c r="A676" s="11"/>
      <c r="B676" s="11"/>
      <c r="D676" s="11"/>
      <c r="E676" s="11"/>
      <c r="G676" s="11"/>
      <c r="I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>
      <c r="A677" s="11"/>
      <c r="B677" s="11"/>
      <c r="D677" s="11"/>
      <c r="E677" s="11"/>
      <c r="G677" s="11"/>
      <c r="I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>
      <c r="A678" s="11"/>
      <c r="B678" s="11"/>
      <c r="D678" s="11"/>
      <c r="E678" s="11"/>
      <c r="G678" s="11"/>
      <c r="I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>
      <c r="A679" s="11"/>
      <c r="B679" s="11"/>
      <c r="D679" s="11"/>
      <c r="E679" s="11"/>
      <c r="G679" s="11"/>
      <c r="I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>
      <c r="A680" s="11"/>
      <c r="B680" s="11"/>
      <c r="D680" s="11"/>
      <c r="E680" s="11"/>
      <c r="G680" s="11"/>
      <c r="I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>
      <c r="A681" s="11"/>
      <c r="B681" s="11"/>
      <c r="D681" s="11"/>
      <c r="E681" s="11"/>
      <c r="G681" s="11"/>
      <c r="I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>
      <c r="A682" s="11"/>
      <c r="B682" s="11"/>
      <c r="D682" s="11"/>
      <c r="E682" s="11"/>
      <c r="G682" s="11"/>
      <c r="I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>
      <c r="A683" s="11"/>
      <c r="B683" s="11"/>
      <c r="D683" s="11"/>
      <c r="E683" s="11"/>
      <c r="G683" s="11"/>
      <c r="I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>
      <c r="A684" s="11"/>
      <c r="B684" s="11"/>
      <c r="D684" s="11"/>
      <c r="E684" s="11"/>
      <c r="G684" s="11"/>
      <c r="I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>
      <c r="A685" s="11"/>
      <c r="B685" s="11"/>
      <c r="D685" s="11"/>
      <c r="E685" s="11"/>
      <c r="G685" s="11"/>
      <c r="I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>
      <c r="A686" s="11"/>
      <c r="B686" s="11"/>
      <c r="D686" s="11"/>
      <c r="E686" s="11"/>
      <c r="G686" s="11"/>
      <c r="I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>
      <c r="A687" s="11"/>
      <c r="B687" s="11"/>
      <c r="D687" s="11"/>
      <c r="E687" s="11"/>
      <c r="G687" s="11"/>
      <c r="I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>
      <c r="A688" s="11"/>
      <c r="B688" s="11"/>
      <c r="D688" s="11"/>
      <c r="E688" s="11"/>
      <c r="G688" s="11"/>
      <c r="I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>
      <c r="A689" s="11"/>
      <c r="B689" s="11"/>
      <c r="D689" s="11"/>
      <c r="E689" s="11"/>
      <c r="G689" s="11"/>
      <c r="I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>
      <c r="A690" s="11"/>
      <c r="B690" s="11"/>
      <c r="D690" s="11"/>
      <c r="E690" s="11"/>
      <c r="G690" s="11"/>
      <c r="I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>
      <c r="A691" s="11"/>
      <c r="B691" s="11"/>
      <c r="D691" s="11"/>
      <c r="E691" s="11"/>
      <c r="G691" s="11"/>
      <c r="I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>
      <c r="A692" s="11"/>
      <c r="B692" s="11"/>
      <c r="D692" s="11"/>
      <c r="E692" s="11"/>
      <c r="G692" s="11"/>
      <c r="I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>
      <c r="A693" s="11"/>
      <c r="B693" s="11"/>
      <c r="D693" s="11"/>
      <c r="E693" s="11"/>
      <c r="G693" s="11"/>
      <c r="I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>
      <c r="A694" s="11"/>
      <c r="B694" s="11"/>
      <c r="D694" s="11"/>
      <c r="E694" s="11"/>
      <c r="G694" s="11"/>
      <c r="I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>
      <c r="A695" s="11"/>
      <c r="B695" s="11"/>
      <c r="D695" s="11"/>
      <c r="E695" s="11"/>
      <c r="G695" s="11"/>
      <c r="I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>
      <c r="A696" s="11"/>
      <c r="B696" s="11"/>
      <c r="D696" s="11"/>
      <c r="E696" s="11"/>
      <c r="G696" s="11"/>
      <c r="I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>
      <c r="A697" s="11"/>
      <c r="B697" s="11"/>
      <c r="D697" s="11"/>
      <c r="E697" s="11"/>
      <c r="G697" s="11"/>
      <c r="I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>
      <c r="A698" s="11"/>
      <c r="B698" s="11"/>
      <c r="D698" s="11"/>
      <c r="E698" s="11"/>
      <c r="G698" s="11"/>
      <c r="I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>
      <c r="A699" s="11"/>
      <c r="B699" s="11"/>
      <c r="D699" s="11"/>
      <c r="E699" s="11"/>
      <c r="G699" s="11"/>
      <c r="I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>
      <c r="A700" s="11"/>
      <c r="B700" s="11"/>
      <c r="D700" s="11"/>
      <c r="E700" s="11"/>
      <c r="G700" s="11"/>
      <c r="I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>
      <c r="A701" s="11"/>
      <c r="B701" s="11"/>
      <c r="D701" s="11"/>
      <c r="E701" s="11"/>
      <c r="G701" s="11"/>
      <c r="I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>
      <c r="A702" s="11"/>
      <c r="B702" s="11"/>
      <c r="D702" s="11"/>
      <c r="E702" s="11"/>
      <c r="G702" s="11"/>
      <c r="I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>
      <c r="A703" s="11"/>
      <c r="B703" s="11"/>
      <c r="D703" s="11"/>
      <c r="E703" s="11"/>
      <c r="G703" s="11"/>
      <c r="I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>
      <c r="A704" s="11"/>
      <c r="B704" s="11"/>
      <c r="D704" s="11"/>
      <c r="E704" s="11"/>
      <c r="G704" s="11"/>
      <c r="I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>
      <c r="A705" s="11"/>
      <c r="B705" s="11"/>
      <c r="D705" s="11"/>
      <c r="E705" s="11"/>
      <c r="G705" s="11"/>
      <c r="I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>
      <c r="A706" s="11"/>
      <c r="B706" s="11"/>
      <c r="D706" s="11"/>
      <c r="E706" s="11"/>
      <c r="G706" s="11"/>
      <c r="I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>
      <c r="A707" s="11"/>
      <c r="B707" s="11"/>
      <c r="D707" s="11"/>
      <c r="E707" s="11"/>
      <c r="G707" s="11"/>
      <c r="I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>
      <c r="A708" s="11"/>
      <c r="B708" s="11"/>
      <c r="D708" s="11"/>
      <c r="E708" s="11"/>
      <c r="G708" s="11"/>
      <c r="I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>
      <c r="A709" s="11"/>
      <c r="B709" s="11"/>
      <c r="D709" s="11"/>
      <c r="E709" s="11"/>
      <c r="G709" s="11"/>
      <c r="I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>
      <c r="A710" s="11"/>
      <c r="B710" s="11"/>
      <c r="D710" s="11"/>
      <c r="E710" s="11"/>
      <c r="G710" s="11"/>
      <c r="I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>
      <c r="A711" s="11"/>
      <c r="B711" s="11"/>
      <c r="D711" s="11"/>
      <c r="E711" s="11"/>
      <c r="G711" s="11"/>
      <c r="I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>
      <c r="A712" s="11"/>
      <c r="B712" s="11"/>
      <c r="D712" s="11"/>
      <c r="E712" s="11"/>
      <c r="G712" s="11"/>
      <c r="I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>
      <c r="A713" s="11"/>
      <c r="B713" s="11"/>
      <c r="D713" s="11"/>
      <c r="E713" s="11"/>
      <c r="G713" s="11"/>
      <c r="I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>
      <c r="A714" s="11"/>
      <c r="B714" s="11"/>
      <c r="D714" s="11"/>
      <c r="E714" s="11"/>
      <c r="G714" s="11"/>
      <c r="I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>
      <c r="A715" s="11"/>
      <c r="B715" s="11"/>
      <c r="D715" s="11"/>
      <c r="E715" s="11"/>
      <c r="G715" s="11"/>
      <c r="I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>
      <c r="A716" s="11"/>
      <c r="B716" s="11"/>
      <c r="D716" s="11"/>
      <c r="E716" s="11"/>
      <c r="G716" s="11"/>
      <c r="I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>
      <c r="A717" s="11"/>
      <c r="B717" s="11"/>
      <c r="D717" s="11"/>
      <c r="E717" s="11"/>
      <c r="G717" s="11"/>
      <c r="I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>
      <c r="A718" s="11"/>
      <c r="B718" s="11"/>
      <c r="D718" s="11"/>
      <c r="E718" s="11"/>
      <c r="G718" s="11"/>
      <c r="I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>
      <c r="A719" s="11"/>
      <c r="B719" s="11"/>
      <c r="D719" s="11"/>
      <c r="E719" s="11"/>
      <c r="G719" s="11"/>
      <c r="I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>
      <c r="A720" s="11"/>
      <c r="B720" s="11"/>
      <c r="D720" s="11"/>
      <c r="E720" s="11"/>
      <c r="G720" s="11"/>
      <c r="I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>
      <c r="A721" s="11"/>
      <c r="B721" s="11"/>
      <c r="D721" s="11"/>
      <c r="E721" s="11"/>
      <c r="G721" s="11"/>
      <c r="I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>
      <c r="A722" s="11"/>
      <c r="B722" s="11"/>
      <c r="D722" s="11"/>
      <c r="E722" s="11"/>
      <c r="G722" s="11"/>
      <c r="I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>
      <c r="A723" s="11"/>
      <c r="B723" s="11"/>
      <c r="D723" s="11"/>
      <c r="E723" s="11"/>
      <c r="G723" s="11"/>
      <c r="I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>
      <c r="A724" s="11"/>
      <c r="B724" s="11"/>
      <c r="D724" s="11"/>
      <c r="E724" s="11"/>
      <c r="G724" s="11"/>
      <c r="I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>
      <c r="A725" s="11"/>
      <c r="B725" s="11"/>
      <c r="D725" s="11"/>
      <c r="E725" s="11"/>
      <c r="G725" s="11"/>
      <c r="I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>
      <c r="A726" s="11"/>
      <c r="B726" s="11"/>
      <c r="D726" s="11"/>
      <c r="E726" s="11"/>
      <c r="G726" s="11"/>
      <c r="I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>
      <c r="A727" s="11"/>
      <c r="B727" s="11"/>
      <c r="D727" s="11"/>
      <c r="E727" s="11"/>
      <c r="G727" s="11"/>
      <c r="I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>
      <c r="A728" s="11"/>
      <c r="B728" s="11"/>
      <c r="D728" s="11"/>
      <c r="E728" s="11"/>
      <c r="G728" s="11"/>
      <c r="I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>
      <c r="A729" s="11"/>
      <c r="B729" s="11"/>
      <c r="D729" s="11"/>
      <c r="E729" s="11"/>
      <c r="G729" s="11"/>
      <c r="I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>
      <c r="A730" s="11"/>
      <c r="B730" s="11"/>
      <c r="D730" s="11"/>
      <c r="E730" s="11"/>
      <c r="G730" s="11"/>
      <c r="I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>
      <c r="A731" s="11"/>
      <c r="B731" s="11"/>
      <c r="D731" s="11"/>
      <c r="E731" s="11"/>
      <c r="G731" s="11"/>
      <c r="I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>
      <c r="A732" s="11"/>
      <c r="B732" s="11"/>
      <c r="D732" s="11"/>
      <c r="E732" s="11"/>
      <c r="G732" s="11"/>
      <c r="I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>
      <c r="A733" s="11"/>
      <c r="B733" s="11"/>
      <c r="D733" s="11"/>
      <c r="E733" s="11"/>
      <c r="G733" s="11"/>
      <c r="I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>
      <c r="A734" s="11"/>
      <c r="B734" s="11"/>
      <c r="D734" s="11"/>
      <c r="E734" s="11"/>
      <c r="G734" s="11"/>
      <c r="I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>
      <c r="A735" s="11"/>
      <c r="B735" s="11"/>
      <c r="D735" s="11"/>
      <c r="E735" s="11"/>
      <c r="G735" s="11"/>
      <c r="I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>
      <c r="A736" s="11"/>
      <c r="B736" s="11"/>
      <c r="D736" s="11"/>
      <c r="E736" s="11"/>
      <c r="G736" s="11"/>
      <c r="I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>
      <c r="A737" s="11"/>
      <c r="B737" s="11"/>
      <c r="D737" s="11"/>
      <c r="E737" s="11"/>
      <c r="G737" s="11"/>
      <c r="I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>
      <c r="A738" s="11"/>
      <c r="B738" s="11"/>
      <c r="D738" s="11"/>
      <c r="E738" s="11"/>
      <c r="G738" s="11"/>
      <c r="I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>
      <c r="A739" s="11"/>
      <c r="B739" s="11"/>
      <c r="D739" s="11"/>
      <c r="E739" s="11"/>
      <c r="G739" s="11"/>
      <c r="I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>
      <c r="A740" s="11"/>
      <c r="B740" s="11"/>
      <c r="D740" s="11"/>
      <c r="E740" s="11"/>
      <c r="G740" s="11"/>
      <c r="I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>
      <c r="A741" s="11"/>
      <c r="B741" s="11"/>
      <c r="D741" s="11"/>
      <c r="E741" s="11"/>
      <c r="G741" s="11"/>
      <c r="I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>
      <c r="A742" s="11"/>
      <c r="B742" s="11"/>
      <c r="D742" s="11"/>
      <c r="E742" s="11"/>
      <c r="G742" s="11"/>
      <c r="I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>
      <c r="A743" s="11"/>
      <c r="B743" s="11"/>
      <c r="D743" s="11"/>
      <c r="E743" s="11"/>
      <c r="G743" s="11"/>
      <c r="I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>
      <c r="A744" s="11"/>
      <c r="B744" s="11"/>
      <c r="D744" s="11"/>
      <c r="E744" s="11"/>
      <c r="G744" s="11"/>
      <c r="I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>
      <c r="A745" s="11"/>
      <c r="B745" s="11"/>
      <c r="D745" s="11"/>
      <c r="E745" s="11"/>
      <c r="G745" s="11"/>
      <c r="I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>
      <c r="A746" s="11"/>
      <c r="B746" s="11"/>
      <c r="D746" s="11"/>
      <c r="E746" s="11"/>
      <c r="G746" s="11"/>
      <c r="I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>
      <c r="A747" s="11"/>
      <c r="B747" s="11"/>
      <c r="D747" s="11"/>
      <c r="E747" s="11"/>
      <c r="G747" s="11"/>
      <c r="I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>
      <c r="A748" s="11"/>
      <c r="B748" s="11"/>
      <c r="D748" s="11"/>
      <c r="E748" s="11"/>
      <c r="G748" s="11"/>
      <c r="I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>
      <c r="A749" s="11"/>
      <c r="B749" s="11"/>
      <c r="D749" s="11"/>
      <c r="E749" s="11"/>
      <c r="G749" s="11"/>
      <c r="I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>
      <c r="A750" s="11"/>
      <c r="B750" s="11"/>
      <c r="D750" s="11"/>
      <c r="E750" s="11"/>
      <c r="G750" s="11"/>
      <c r="I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>
      <c r="A751" s="11"/>
      <c r="B751" s="11"/>
      <c r="D751" s="11"/>
      <c r="E751" s="11"/>
      <c r="G751" s="11"/>
      <c r="I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>
      <c r="A752" s="11"/>
      <c r="B752" s="11"/>
      <c r="D752" s="11"/>
      <c r="E752" s="11"/>
      <c r="G752" s="11"/>
      <c r="I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>
      <c r="A753" s="11"/>
      <c r="B753" s="11"/>
      <c r="D753" s="11"/>
      <c r="E753" s="11"/>
      <c r="G753" s="11"/>
      <c r="I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>
      <c r="A754" s="11"/>
      <c r="B754" s="11"/>
      <c r="D754" s="11"/>
      <c r="E754" s="11"/>
      <c r="G754" s="11"/>
      <c r="I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>
      <c r="A755" s="11"/>
      <c r="B755" s="11"/>
      <c r="D755" s="11"/>
      <c r="E755" s="11"/>
      <c r="G755" s="11"/>
      <c r="I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>
      <c r="A756" s="11"/>
      <c r="B756" s="11"/>
      <c r="D756" s="11"/>
      <c r="E756" s="11"/>
      <c r="G756" s="11"/>
      <c r="I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>
      <c r="A757" s="11"/>
      <c r="B757" s="11"/>
      <c r="D757" s="11"/>
      <c r="E757" s="11"/>
      <c r="G757" s="11"/>
      <c r="I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>
      <c r="A758" s="11"/>
      <c r="B758" s="11"/>
      <c r="D758" s="11"/>
      <c r="E758" s="11"/>
      <c r="G758" s="11"/>
      <c r="I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>
      <c r="A759" s="11"/>
      <c r="B759" s="11"/>
      <c r="D759" s="11"/>
      <c r="E759" s="11"/>
      <c r="G759" s="11"/>
      <c r="I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>
      <c r="A760" s="11"/>
      <c r="B760" s="11"/>
      <c r="D760" s="11"/>
      <c r="E760" s="11"/>
      <c r="G760" s="11"/>
      <c r="I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>
      <c r="A761" s="11"/>
      <c r="B761" s="11"/>
      <c r="D761" s="11"/>
      <c r="E761" s="11"/>
      <c r="G761" s="11"/>
      <c r="I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>
      <c r="A762" s="11"/>
      <c r="B762" s="11"/>
      <c r="D762" s="11"/>
      <c r="E762" s="11"/>
      <c r="G762" s="11"/>
      <c r="I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>
      <c r="A763" s="11"/>
      <c r="B763" s="11"/>
      <c r="D763" s="11"/>
      <c r="E763" s="11"/>
      <c r="G763" s="11"/>
      <c r="I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>
      <c r="A764" s="11"/>
      <c r="B764" s="11"/>
      <c r="D764" s="11"/>
      <c r="E764" s="11"/>
      <c r="G764" s="11"/>
      <c r="I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>
      <c r="A765" s="11"/>
      <c r="B765" s="11"/>
      <c r="D765" s="11"/>
      <c r="E765" s="11"/>
      <c r="G765" s="11"/>
      <c r="I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>
      <c r="A766" s="11"/>
      <c r="B766" s="11"/>
      <c r="D766" s="11"/>
      <c r="E766" s="11"/>
      <c r="G766" s="11"/>
      <c r="I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>
      <c r="A767" s="11"/>
      <c r="B767" s="11"/>
      <c r="D767" s="11"/>
      <c r="E767" s="11"/>
      <c r="G767" s="11"/>
      <c r="I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>
      <c r="A768" s="11"/>
      <c r="B768" s="11"/>
      <c r="D768" s="11"/>
      <c r="E768" s="11"/>
      <c r="G768" s="11"/>
      <c r="I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>
      <c r="A769" s="11"/>
      <c r="B769" s="11"/>
      <c r="D769" s="11"/>
      <c r="E769" s="11"/>
      <c r="G769" s="11"/>
      <c r="I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>
      <c r="A770" s="11"/>
      <c r="B770" s="11"/>
      <c r="D770" s="11"/>
      <c r="E770" s="11"/>
      <c r="G770" s="11"/>
      <c r="I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>
      <c r="A771" s="11"/>
      <c r="B771" s="11"/>
      <c r="D771" s="11"/>
      <c r="E771" s="11"/>
      <c r="G771" s="11"/>
      <c r="I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>
      <c r="A772" s="11"/>
      <c r="B772" s="11"/>
      <c r="D772" s="11"/>
      <c r="E772" s="11"/>
      <c r="G772" s="11"/>
      <c r="I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>
      <c r="A773" s="11"/>
      <c r="B773" s="11"/>
      <c r="D773" s="11"/>
      <c r="E773" s="11"/>
      <c r="G773" s="11"/>
      <c r="I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>
      <c r="A774" s="11"/>
      <c r="B774" s="11"/>
      <c r="D774" s="11"/>
      <c r="E774" s="11"/>
      <c r="G774" s="11"/>
      <c r="I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>
      <c r="A775" s="11"/>
      <c r="B775" s="11"/>
      <c r="D775" s="11"/>
      <c r="E775" s="11"/>
      <c r="G775" s="11"/>
      <c r="I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>
      <c r="A776" s="11"/>
      <c r="B776" s="11"/>
      <c r="D776" s="11"/>
      <c r="E776" s="11"/>
      <c r="G776" s="11"/>
      <c r="I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>
      <c r="A777" s="11"/>
      <c r="B777" s="11"/>
      <c r="D777" s="11"/>
      <c r="E777" s="11"/>
      <c r="G777" s="11"/>
      <c r="I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>
      <c r="A778" s="11"/>
      <c r="B778" s="11"/>
      <c r="D778" s="11"/>
      <c r="E778" s="11"/>
      <c r="G778" s="11"/>
      <c r="I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>
      <c r="A779" s="11"/>
      <c r="B779" s="11"/>
      <c r="D779" s="11"/>
      <c r="E779" s="11"/>
      <c r="G779" s="11"/>
      <c r="I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>
      <c r="A780" s="11"/>
      <c r="B780" s="11"/>
      <c r="D780" s="11"/>
      <c r="E780" s="11"/>
      <c r="G780" s="11"/>
      <c r="I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>
      <c r="A781" s="11"/>
      <c r="B781" s="11"/>
      <c r="D781" s="11"/>
      <c r="E781" s="11"/>
      <c r="G781" s="11"/>
      <c r="I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>
      <c r="A782" s="11"/>
      <c r="B782" s="11"/>
      <c r="D782" s="11"/>
      <c r="E782" s="11"/>
      <c r="G782" s="11"/>
      <c r="I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>
      <c r="A783" s="11"/>
      <c r="B783" s="11"/>
      <c r="D783" s="11"/>
      <c r="E783" s="11"/>
      <c r="G783" s="11"/>
      <c r="I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>
      <c r="A784" s="11"/>
      <c r="B784" s="11"/>
      <c r="D784" s="11"/>
      <c r="E784" s="11"/>
      <c r="G784" s="11"/>
      <c r="I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>
      <c r="A785" s="11"/>
      <c r="B785" s="11"/>
      <c r="D785" s="11"/>
      <c r="E785" s="11"/>
      <c r="G785" s="11"/>
      <c r="I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>
      <c r="A786" s="11"/>
      <c r="B786" s="11"/>
      <c r="D786" s="11"/>
      <c r="E786" s="11"/>
      <c r="G786" s="11"/>
      <c r="I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>
      <c r="A787" s="11"/>
      <c r="B787" s="11"/>
      <c r="D787" s="11"/>
      <c r="E787" s="11"/>
      <c r="G787" s="11"/>
      <c r="I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>
      <c r="A788" s="11"/>
      <c r="B788" s="11"/>
      <c r="D788" s="11"/>
      <c r="E788" s="11"/>
      <c r="G788" s="11"/>
      <c r="I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>
      <c r="A789" s="11"/>
      <c r="B789" s="11"/>
      <c r="D789" s="11"/>
      <c r="E789" s="11"/>
      <c r="G789" s="11"/>
      <c r="I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>
      <c r="A790" s="11"/>
      <c r="B790" s="11"/>
      <c r="D790" s="11"/>
      <c r="E790" s="11"/>
      <c r="G790" s="11"/>
      <c r="I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>
      <c r="A791" s="11"/>
      <c r="B791" s="11"/>
      <c r="D791" s="11"/>
      <c r="E791" s="11"/>
      <c r="G791" s="11"/>
      <c r="I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>
      <c r="A792" s="11"/>
      <c r="B792" s="11"/>
      <c r="D792" s="11"/>
      <c r="E792" s="11"/>
      <c r="G792" s="11"/>
      <c r="I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>
      <c r="A793" s="11"/>
      <c r="B793" s="11"/>
      <c r="D793" s="11"/>
      <c r="E793" s="11"/>
      <c r="G793" s="11"/>
      <c r="I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>
      <c r="A794" s="11"/>
      <c r="B794" s="11"/>
      <c r="D794" s="11"/>
      <c r="E794" s="11"/>
      <c r="G794" s="11"/>
      <c r="I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>
      <c r="A795" s="11"/>
      <c r="B795" s="11"/>
      <c r="D795" s="11"/>
      <c r="E795" s="11"/>
      <c r="G795" s="11"/>
      <c r="I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>
      <c r="A796" s="11"/>
      <c r="B796" s="11"/>
      <c r="D796" s="11"/>
      <c r="E796" s="11"/>
      <c r="G796" s="11"/>
      <c r="I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>
      <c r="A797" s="11"/>
      <c r="B797" s="11"/>
      <c r="D797" s="11"/>
      <c r="E797" s="11"/>
      <c r="G797" s="11"/>
      <c r="I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>
      <c r="A798" s="11"/>
      <c r="B798" s="11"/>
      <c r="D798" s="11"/>
      <c r="E798" s="11"/>
      <c r="G798" s="11"/>
      <c r="I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>
      <c r="A799" s="11"/>
      <c r="B799" s="11"/>
      <c r="D799" s="11"/>
      <c r="E799" s="11"/>
      <c r="G799" s="11"/>
      <c r="I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>
      <c r="A800" s="11"/>
      <c r="B800" s="11"/>
      <c r="D800" s="11"/>
      <c r="E800" s="11"/>
      <c r="G800" s="11"/>
      <c r="I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>
      <c r="A801" s="11"/>
      <c r="B801" s="11"/>
      <c r="D801" s="11"/>
      <c r="E801" s="11"/>
      <c r="G801" s="11"/>
      <c r="I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>
      <c r="A802" s="11"/>
      <c r="B802" s="11"/>
      <c r="D802" s="11"/>
      <c r="E802" s="11"/>
      <c r="G802" s="11"/>
      <c r="I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>
      <c r="A803" s="11"/>
      <c r="B803" s="11"/>
      <c r="D803" s="11"/>
      <c r="E803" s="11"/>
      <c r="G803" s="11"/>
      <c r="I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>
      <c r="A804" s="11"/>
      <c r="B804" s="11"/>
      <c r="D804" s="11"/>
      <c r="E804" s="11"/>
      <c r="G804" s="11"/>
      <c r="I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>
      <c r="A805" s="11"/>
      <c r="B805" s="11"/>
      <c r="D805" s="11"/>
      <c r="E805" s="11"/>
      <c r="G805" s="11"/>
      <c r="I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>
      <c r="A806" s="11"/>
      <c r="B806" s="11"/>
      <c r="D806" s="11"/>
      <c r="E806" s="11"/>
      <c r="G806" s="11"/>
      <c r="I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>
      <c r="A807" s="11"/>
      <c r="B807" s="11"/>
      <c r="D807" s="11"/>
      <c r="E807" s="11"/>
      <c r="G807" s="11"/>
      <c r="I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>
      <c r="A808" s="11"/>
      <c r="B808" s="11"/>
      <c r="D808" s="11"/>
      <c r="E808" s="11"/>
      <c r="G808" s="11"/>
      <c r="I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>
      <c r="A809" s="11"/>
      <c r="B809" s="11"/>
      <c r="D809" s="11"/>
      <c r="E809" s="11"/>
      <c r="G809" s="11"/>
      <c r="I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>
      <c r="A810" s="11"/>
      <c r="B810" s="11"/>
      <c r="D810" s="11"/>
      <c r="E810" s="11"/>
      <c r="G810" s="11"/>
      <c r="I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>
      <c r="A811" s="11"/>
      <c r="B811" s="11"/>
      <c r="D811" s="11"/>
      <c r="E811" s="11"/>
      <c r="G811" s="11"/>
      <c r="I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>
      <c r="A812" s="11"/>
      <c r="B812" s="11"/>
      <c r="D812" s="11"/>
      <c r="E812" s="11"/>
      <c r="G812" s="11"/>
      <c r="I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>
      <c r="A813" s="11"/>
      <c r="B813" s="11"/>
      <c r="D813" s="11"/>
      <c r="E813" s="11"/>
      <c r="G813" s="11"/>
      <c r="I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>
      <c r="A814" s="11"/>
      <c r="B814" s="11"/>
      <c r="D814" s="11"/>
      <c r="E814" s="11"/>
      <c r="G814" s="11"/>
      <c r="I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>
      <c r="A815" s="11"/>
      <c r="B815" s="11"/>
      <c r="D815" s="11"/>
      <c r="E815" s="11"/>
      <c r="G815" s="11"/>
      <c r="I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>
      <c r="A816" s="11"/>
      <c r="B816" s="11"/>
      <c r="D816" s="11"/>
      <c r="E816" s="11"/>
      <c r="G816" s="11"/>
      <c r="I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>
      <c r="A817" s="11"/>
      <c r="B817" s="11"/>
      <c r="D817" s="11"/>
      <c r="E817" s="11"/>
      <c r="G817" s="11"/>
      <c r="I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>
      <c r="A818" s="11"/>
      <c r="B818" s="11"/>
      <c r="D818" s="11"/>
      <c r="E818" s="11"/>
      <c r="G818" s="11"/>
      <c r="I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>
      <c r="A819" s="11"/>
      <c r="B819" s="11"/>
      <c r="D819" s="11"/>
      <c r="E819" s="11"/>
      <c r="G819" s="11"/>
      <c r="I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>
      <c r="A820" s="11"/>
      <c r="B820" s="11"/>
      <c r="D820" s="11"/>
      <c r="E820" s="11"/>
      <c r="G820" s="11"/>
      <c r="I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>
      <c r="A821" s="11"/>
      <c r="B821" s="11"/>
      <c r="D821" s="11"/>
      <c r="E821" s="11"/>
      <c r="G821" s="11"/>
      <c r="I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>
      <c r="A822" s="11"/>
      <c r="B822" s="11"/>
      <c r="D822" s="11"/>
      <c r="E822" s="11"/>
      <c r="G822" s="11"/>
      <c r="I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>
      <c r="A823" s="11"/>
      <c r="B823" s="11"/>
      <c r="D823" s="11"/>
      <c r="E823" s="11"/>
      <c r="G823" s="11"/>
      <c r="I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>
      <c r="A824" s="11"/>
      <c r="B824" s="11"/>
      <c r="D824" s="11"/>
      <c r="E824" s="11"/>
      <c r="G824" s="11"/>
      <c r="I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>
      <c r="A825" s="11"/>
      <c r="B825" s="11"/>
      <c r="D825" s="11"/>
      <c r="E825" s="11"/>
      <c r="G825" s="11"/>
      <c r="I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>
      <c r="A826" s="11"/>
      <c r="B826" s="11"/>
      <c r="D826" s="11"/>
      <c r="E826" s="11"/>
      <c r="G826" s="11"/>
      <c r="I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>
      <c r="A827" s="11"/>
      <c r="B827" s="11"/>
      <c r="D827" s="11"/>
      <c r="E827" s="11"/>
      <c r="G827" s="11"/>
      <c r="I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>
      <c r="A828" s="11"/>
      <c r="B828" s="11"/>
      <c r="D828" s="11"/>
      <c r="E828" s="11"/>
      <c r="G828" s="11"/>
      <c r="I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>
      <c r="A829" s="11"/>
      <c r="B829" s="11"/>
      <c r="D829" s="11"/>
      <c r="E829" s="11"/>
      <c r="G829" s="11"/>
      <c r="I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>
      <c r="A830" s="11"/>
      <c r="B830" s="11"/>
      <c r="D830" s="11"/>
      <c r="E830" s="11"/>
      <c r="G830" s="11"/>
      <c r="I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>
      <c r="A831" s="11"/>
      <c r="B831" s="11"/>
      <c r="D831" s="11"/>
      <c r="E831" s="11"/>
      <c r="G831" s="11"/>
      <c r="I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>
      <c r="A832" s="11"/>
      <c r="B832" s="11"/>
      <c r="D832" s="11"/>
      <c r="E832" s="11"/>
      <c r="G832" s="11"/>
      <c r="I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>
      <c r="A833" s="11"/>
      <c r="B833" s="11"/>
      <c r="D833" s="11"/>
      <c r="E833" s="11"/>
      <c r="G833" s="11"/>
      <c r="I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>
      <c r="A834" s="11"/>
      <c r="B834" s="11"/>
      <c r="D834" s="11"/>
      <c r="E834" s="11"/>
      <c r="G834" s="11"/>
      <c r="I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>
      <c r="A835" s="11"/>
      <c r="B835" s="11"/>
      <c r="D835" s="11"/>
      <c r="E835" s="11"/>
      <c r="G835" s="11"/>
      <c r="I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>
      <c r="A836" s="11"/>
      <c r="B836" s="11"/>
      <c r="D836" s="11"/>
      <c r="E836" s="11"/>
      <c r="G836" s="11"/>
      <c r="I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>
      <c r="A837" s="11"/>
      <c r="B837" s="11"/>
      <c r="D837" s="11"/>
      <c r="E837" s="11"/>
      <c r="G837" s="11"/>
      <c r="I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>
      <c r="A838" s="11"/>
      <c r="B838" s="11"/>
      <c r="D838" s="11"/>
      <c r="E838" s="11"/>
      <c r="G838" s="11"/>
      <c r="I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>
      <c r="A839" s="11"/>
      <c r="B839" s="11"/>
      <c r="D839" s="11"/>
      <c r="E839" s="11"/>
      <c r="G839" s="11"/>
      <c r="I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>
      <c r="A840" s="11"/>
      <c r="B840" s="11"/>
      <c r="D840" s="11"/>
      <c r="E840" s="11"/>
      <c r="G840" s="11"/>
      <c r="I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>
      <c r="A841" s="11"/>
      <c r="B841" s="11"/>
      <c r="D841" s="11"/>
      <c r="E841" s="11"/>
      <c r="G841" s="11"/>
      <c r="I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>
      <c r="A842" s="11"/>
      <c r="B842" s="11"/>
      <c r="D842" s="11"/>
      <c r="E842" s="11"/>
      <c r="G842" s="11"/>
      <c r="I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>
      <c r="A843" s="11"/>
      <c r="B843" s="11"/>
      <c r="D843" s="11"/>
      <c r="E843" s="11"/>
      <c r="G843" s="11"/>
      <c r="I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>
      <c r="A844" s="11"/>
      <c r="B844" s="11"/>
      <c r="D844" s="11"/>
      <c r="E844" s="11"/>
      <c r="G844" s="11"/>
      <c r="I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>
      <c r="A845" s="11"/>
      <c r="B845" s="11"/>
      <c r="D845" s="11"/>
      <c r="E845" s="11"/>
      <c r="G845" s="11"/>
      <c r="I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>
      <c r="A846" s="11"/>
      <c r="B846" s="11"/>
      <c r="D846" s="11"/>
      <c r="E846" s="11"/>
      <c r="G846" s="11"/>
      <c r="I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>
      <c r="A847" s="11"/>
      <c r="B847" s="11"/>
      <c r="D847" s="11"/>
      <c r="E847" s="11"/>
      <c r="G847" s="11"/>
      <c r="I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>
      <c r="A848" s="11"/>
      <c r="B848" s="11"/>
      <c r="D848" s="11"/>
      <c r="E848" s="11"/>
      <c r="G848" s="11"/>
      <c r="I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>
      <c r="A849" s="11"/>
      <c r="B849" s="11"/>
      <c r="D849" s="11"/>
      <c r="E849" s="11"/>
      <c r="G849" s="11"/>
      <c r="I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>
      <c r="A850" s="11"/>
      <c r="B850" s="11"/>
      <c r="D850" s="11"/>
      <c r="E850" s="11"/>
      <c r="G850" s="11"/>
      <c r="I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>
      <c r="A851" s="11"/>
      <c r="B851" s="11"/>
      <c r="D851" s="11"/>
      <c r="E851" s="11"/>
      <c r="G851" s="11"/>
      <c r="I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>
      <c r="A852" s="11"/>
      <c r="B852" s="11"/>
      <c r="D852" s="11"/>
      <c r="E852" s="11"/>
      <c r="G852" s="11"/>
      <c r="I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>
      <c r="A853" s="11"/>
      <c r="B853" s="11"/>
      <c r="D853" s="11"/>
      <c r="E853" s="11"/>
      <c r="G853" s="11"/>
      <c r="I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>
      <c r="A854" s="11"/>
      <c r="B854" s="11"/>
      <c r="D854" s="11"/>
      <c r="E854" s="11"/>
      <c r="G854" s="11"/>
      <c r="I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>
      <c r="A855" s="11"/>
      <c r="B855" s="11"/>
      <c r="D855" s="11"/>
      <c r="E855" s="11"/>
      <c r="G855" s="11"/>
      <c r="I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>
      <c r="A856" s="11"/>
      <c r="B856" s="11"/>
      <c r="D856" s="11"/>
      <c r="E856" s="11"/>
      <c r="G856" s="11"/>
      <c r="I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>
      <c r="A857" s="11"/>
      <c r="B857" s="11"/>
      <c r="D857" s="11"/>
      <c r="E857" s="11"/>
      <c r="G857" s="11"/>
      <c r="I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>
      <c r="A858" s="11"/>
      <c r="B858" s="11"/>
      <c r="D858" s="11"/>
      <c r="E858" s="11"/>
      <c r="G858" s="11"/>
      <c r="I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>
      <c r="A859" s="11"/>
      <c r="B859" s="11"/>
      <c r="D859" s="11"/>
      <c r="E859" s="11"/>
      <c r="G859" s="11"/>
      <c r="I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>
      <c r="A860" s="11"/>
      <c r="B860" s="11"/>
      <c r="D860" s="11"/>
      <c r="E860" s="11"/>
      <c r="G860" s="11"/>
      <c r="I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>
      <c r="A861" s="11"/>
      <c r="B861" s="11"/>
      <c r="D861" s="11"/>
      <c r="E861" s="11"/>
      <c r="G861" s="11"/>
      <c r="I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>
      <c r="A862" s="11"/>
      <c r="B862" s="11"/>
      <c r="D862" s="11"/>
      <c r="E862" s="11"/>
      <c r="G862" s="11"/>
      <c r="I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>
      <c r="A863" s="11"/>
      <c r="B863" s="11"/>
      <c r="D863" s="11"/>
      <c r="E863" s="11"/>
      <c r="G863" s="11"/>
      <c r="I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>
      <c r="A864" s="11"/>
      <c r="B864" s="11"/>
      <c r="D864" s="11"/>
      <c r="E864" s="11"/>
      <c r="G864" s="11"/>
      <c r="I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>
      <c r="A865" s="11"/>
      <c r="B865" s="11"/>
      <c r="D865" s="11"/>
      <c r="E865" s="11"/>
      <c r="G865" s="11"/>
      <c r="I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>
      <c r="A866" s="11"/>
      <c r="B866" s="11"/>
      <c r="D866" s="11"/>
      <c r="E866" s="11"/>
      <c r="G866" s="11"/>
      <c r="I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>
      <c r="A867" s="11"/>
      <c r="B867" s="11"/>
      <c r="D867" s="11"/>
      <c r="E867" s="11"/>
      <c r="G867" s="11"/>
      <c r="I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>
      <c r="A868" s="11"/>
      <c r="B868" s="11"/>
      <c r="D868" s="11"/>
      <c r="E868" s="11"/>
      <c r="G868" s="11"/>
      <c r="I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>
      <c r="A869" s="11"/>
      <c r="B869" s="11"/>
      <c r="D869" s="11"/>
      <c r="E869" s="11"/>
      <c r="G869" s="11"/>
      <c r="I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>
      <c r="A870" s="11"/>
      <c r="B870" s="11"/>
      <c r="D870" s="11"/>
      <c r="E870" s="11"/>
      <c r="G870" s="11"/>
      <c r="I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>
      <c r="A871" s="11"/>
      <c r="B871" s="11"/>
      <c r="D871" s="11"/>
      <c r="E871" s="11"/>
      <c r="G871" s="11"/>
      <c r="I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>
      <c r="A872" s="11"/>
      <c r="B872" s="11"/>
      <c r="D872" s="11"/>
      <c r="E872" s="11"/>
      <c r="G872" s="11"/>
      <c r="I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>
      <c r="A873" s="11"/>
      <c r="B873" s="11"/>
      <c r="D873" s="11"/>
      <c r="E873" s="11"/>
      <c r="G873" s="11"/>
      <c r="I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>
      <c r="A874" s="11"/>
      <c r="B874" s="11"/>
      <c r="D874" s="11"/>
      <c r="E874" s="11"/>
      <c r="G874" s="11"/>
      <c r="I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>
      <c r="A875" s="11"/>
      <c r="B875" s="11"/>
      <c r="D875" s="11"/>
      <c r="E875" s="11"/>
      <c r="G875" s="11"/>
      <c r="I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>
      <c r="A876" s="11"/>
      <c r="B876" s="11"/>
      <c r="D876" s="11"/>
      <c r="E876" s="11"/>
      <c r="G876" s="11"/>
      <c r="I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>
      <c r="A877" s="11"/>
      <c r="B877" s="11"/>
      <c r="D877" s="11"/>
      <c r="E877" s="11"/>
      <c r="G877" s="11"/>
      <c r="I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>
      <c r="A878" s="11"/>
      <c r="B878" s="11"/>
      <c r="D878" s="11"/>
      <c r="E878" s="11"/>
      <c r="G878" s="11"/>
      <c r="I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>
      <c r="A879" s="11"/>
      <c r="B879" s="11"/>
      <c r="D879" s="11"/>
      <c r="E879" s="11"/>
      <c r="G879" s="11"/>
      <c r="I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>
      <c r="A880" s="11"/>
      <c r="B880" s="11"/>
      <c r="D880" s="11"/>
      <c r="E880" s="11"/>
      <c r="G880" s="11"/>
      <c r="I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>
      <c r="A881" s="11"/>
      <c r="B881" s="11"/>
      <c r="D881" s="11"/>
      <c r="E881" s="11"/>
      <c r="G881" s="11"/>
      <c r="I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>
      <c r="A882" s="11"/>
      <c r="B882" s="11"/>
      <c r="D882" s="11"/>
      <c r="E882" s="11"/>
      <c r="G882" s="11"/>
      <c r="I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>
      <c r="A883" s="11"/>
      <c r="B883" s="11"/>
      <c r="D883" s="11"/>
      <c r="E883" s="11"/>
      <c r="G883" s="11"/>
      <c r="I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>
      <c r="A884" s="11"/>
      <c r="B884" s="11"/>
      <c r="D884" s="11"/>
      <c r="E884" s="11"/>
      <c r="G884" s="11"/>
      <c r="I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>
      <c r="A885" s="11"/>
      <c r="B885" s="11"/>
      <c r="D885" s="11"/>
      <c r="E885" s="11"/>
      <c r="G885" s="11"/>
      <c r="I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>
      <c r="A886" s="11"/>
      <c r="B886" s="11"/>
      <c r="D886" s="11"/>
      <c r="E886" s="11"/>
      <c r="G886" s="11"/>
      <c r="I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>
      <c r="A887" s="11"/>
      <c r="B887" s="11"/>
      <c r="D887" s="11"/>
      <c r="E887" s="11"/>
      <c r="G887" s="11"/>
      <c r="I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>
      <c r="A888" s="11"/>
      <c r="B888" s="11"/>
      <c r="D888" s="11"/>
      <c r="E888" s="11"/>
      <c r="G888" s="11"/>
      <c r="I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>
      <c r="A889" s="11"/>
      <c r="B889" s="11"/>
      <c r="D889" s="11"/>
      <c r="E889" s="11"/>
      <c r="G889" s="11"/>
      <c r="I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>
      <c r="A890" s="11"/>
      <c r="B890" s="11"/>
      <c r="D890" s="11"/>
      <c r="E890" s="11"/>
      <c r="G890" s="11"/>
      <c r="I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>
      <c r="A891" s="11"/>
      <c r="B891" s="11"/>
      <c r="D891" s="11"/>
      <c r="E891" s="11"/>
      <c r="G891" s="11"/>
      <c r="I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>
      <c r="A892" s="11"/>
      <c r="B892" s="11"/>
      <c r="D892" s="11"/>
      <c r="E892" s="11"/>
      <c r="G892" s="11"/>
      <c r="I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>
      <c r="A893" s="11"/>
      <c r="B893" s="11"/>
      <c r="D893" s="11"/>
      <c r="E893" s="11"/>
      <c r="G893" s="11"/>
      <c r="I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>
      <c r="A894" s="11"/>
      <c r="B894" s="11"/>
      <c r="D894" s="11"/>
      <c r="E894" s="11"/>
      <c r="G894" s="11"/>
      <c r="I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>
      <c r="A895" s="11"/>
      <c r="B895" s="11"/>
      <c r="D895" s="11"/>
      <c r="E895" s="11"/>
      <c r="G895" s="11"/>
      <c r="I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>
      <c r="A896" s="11"/>
      <c r="B896" s="11"/>
      <c r="D896" s="11"/>
      <c r="E896" s="11"/>
      <c r="G896" s="11"/>
      <c r="I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>
      <c r="A897" s="11"/>
      <c r="B897" s="11"/>
      <c r="D897" s="11"/>
      <c r="E897" s="11"/>
      <c r="G897" s="11"/>
      <c r="I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>
      <c r="A898" s="11"/>
      <c r="B898" s="11"/>
      <c r="D898" s="11"/>
      <c r="E898" s="11"/>
      <c r="G898" s="11"/>
      <c r="I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>
      <c r="A899" s="11"/>
      <c r="B899" s="11"/>
      <c r="D899" s="11"/>
      <c r="E899" s="11"/>
      <c r="G899" s="11"/>
      <c r="I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>
      <c r="A900" s="11"/>
      <c r="B900" s="11"/>
      <c r="D900" s="11"/>
      <c r="E900" s="11"/>
      <c r="G900" s="11"/>
      <c r="I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>
      <c r="A901" s="11"/>
      <c r="B901" s="11"/>
      <c r="D901" s="11"/>
      <c r="E901" s="11"/>
      <c r="G901" s="11"/>
      <c r="I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>
      <c r="A902" s="11"/>
      <c r="B902" s="11"/>
      <c r="D902" s="11"/>
      <c r="E902" s="11"/>
      <c r="G902" s="11"/>
      <c r="I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>
      <c r="A903" s="11"/>
      <c r="B903" s="11"/>
      <c r="D903" s="11"/>
      <c r="E903" s="11"/>
      <c r="G903" s="11"/>
      <c r="I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>
      <c r="A904" s="11"/>
      <c r="B904" s="11"/>
      <c r="D904" s="11"/>
      <c r="E904" s="11"/>
      <c r="G904" s="11"/>
      <c r="I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>
      <c r="A905" s="11"/>
      <c r="B905" s="11"/>
      <c r="D905" s="11"/>
      <c r="E905" s="11"/>
      <c r="G905" s="11"/>
      <c r="I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>
      <c r="A906" s="11"/>
      <c r="B906" s="11"/>
      <c r="D906" s="11"/>
      <c r="E906" s="11"/>
      <c r="G906" s="11"/>
      <c r="I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>
      <c r="A907" s="11"/>
      <c r="B907" s="11"/>
      <c r="D907" s="11"/>
      <c r="E907" s="11"/>
      <c r="G907" s="11"/>
      <c r="I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>
      <c r="A908" s="11"/>
      <c r="B908" s="11"/>
      <c r="D908" s="11"/>
      <c r="E908" s="11"/>
      <c r="G908" s="11"/>
      <c r="I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>
      <c r="A909" s="11"/>
      <c r="B909" s="11"/>
      <c r="D909" s="11"/>
      <c r="E909" s="11"/>
      <c r="G909" s="11"/>
      <c r="I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>
      <c r="A910" s="11"/>
      <c r="B910" s="11"/>
      <c r="D910" s="11"/>
      <c r="E910" s="11"/>
      <c r="G910" s="11"/>
      <c r="I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>
      <c r="A911" s="11"/>
      <c r="B911" s="11"/>
      <c r="D911" s="11"/>
      <c r="E911" s="11"/>
      <c r="G911" s="11"/>
      <c r="I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>
      <c r="A912" s="11"/>
      <c r="B912" s="11"/>
      <c r="D912" s="11"/>
      <c r="E912" s="11"/>
      <c r="G912" s="11"/>
      <c r="I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>
      <c r="A913" s="11"/>
      <c r="B913" s="11"/>
      <c r="D913" s="11"/>
      <c r="E913" s="11"/>
      <c r="G913" s="11"/>
      <c r="I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>
      <c r="A914" s="11"/>
      <c r="B914" s="11"/>
      <c r="D914" s="11"/>
      <c r="E914" s="11"/>
      <c r="G914" s="11"/>
      <c r="I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>
      <c r="A915" s="11"/>
      <c r="B915" s="11"/>
      <c r="D915" s="11"/>
      <c r="E915" s="11"/>
      <c r="G915" s="11"/>
      <c r="I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>
      <c r="A916" s="11"/>
      <c r="B916" s="11"/>
      <c r="D916" s="11"/>
      <c r="E916" s="11"/>
      <c r="G916" s="11"/>
      <c r="I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>
      <c r="A917" s="11"/>
      <c r="B917" s="11"/>
      <c r="D917" s="11"/>
      <c r="E917" s="11"/>
      <c r="G917" s="11"/>
      <c r="I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>
      <c r="A918" s="11"/>
      <c r="B918" s="11"/>
      <c r="D918" s="11"/>
      <c r="E918" s="11"/>
      <c r="G918" s="11"/>
      <c r="I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>
      <c r="A919" s="11"/>
      <c r="B919" s="11"/>
      <c r="D919" s="11"/>
      <c r="E919" s="11"/>
      <c r="G919" s="11"/>
      <c r="I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>
      <c r="A920" s="11"/>
      <c r="B920" s="11"/>
      <c r="D920" s="11"/>
      <c r="E920" s="11"/>
      <c r="G920" s="11"/>
      <c r="I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>
      <c r="A921" s="11"/>
      <c r="B921" s="11"/>
      <c r="D921" s="11"/>
      <c r="E921" s="11"/>
      <c r="G921" s="11"/>
      <c r="I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>
      <c r="A922" s="11"/>
      <c r="B922" s="11"/>
      <c r="D922" s="11"/>
      <c r="E922" s="11"/>
      <c r="G922" s="11"/>
      <c r="I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>
      <c r="A923" s="11"/>
      <c r="B923" s="11"/>
      <c r="D923" s="11"/>
      <c r="E923" s="11"/>
      <c r="G923" s="11"/>
      <c r="I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>
      <c r="A924" s="11"/>
      <c r="B924" s="11"/>
      <c r="D924" s="11"/>
      <c r="E924" s="11"/>
      <c r="G924" s="11"/>
      <c r="I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>
      <c r="A925" s="11"/>
      <c r="B925" s="11"/>
      <c r="D925" s="11"/>
      <c r="E925" s="11"/>
      <c r="G925" s="11"/>
      <c r="I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>
      <c r="A926" s="11"/>
      <c r="B926" s="11"/>
      <c r="D926" s="11"/>
      <c r="E926" s="11"/>
      <c r="G926" s="11"/>
      <c r="I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>
      <c r="A927" s="11"/>
      <c r="B927" s="11"/>
      <c r="D927" s="11"/>
      <c r="E927" s="11"/>
      <c r="G927" s="11"/>
      <c r="I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>
      <c r="A928" s="11"/>
      <c r="B928" s="11"/>
      <c r="D928" s="11"/>
      <c r="E928" s="11"/>
      <c r="G928" s="11"/>
      <c r="I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>
      <c r="A929" s="11"/>
      <c r="B929" s="11"/>
      <c r="D929" s="11"/>
      <c r="E929" s="11"/>
      <c r="G929" s="11"/>
      <c r="I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>
      <c r="A930" s="11"/>
      <c r="B930" s="11"/>
      <c r="D930" s="11"/>
      <c r="E930" s="11"/>
      <c r="G930" s="11"/>
      <c r="I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>
      <c r="A931" s="11"/>
      <c r="B931" s="11"/>
      <c r="D931" s="11"/>
      <c r="E931" s="11"/>
      <c r="G931" s="11"/>
      <c r="I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>
      <c r="A932" s="11"/>
      <c r="B932" s="11"/>
      <c r="D932" s="11"/>
      <c r="E932" s="11"/>
      <c r="G932" s="11"/>
      <c r="I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>
      <c r="A933" s="11"/>
      <c r="B933" s="11"/>
      <c r="D933" s="11"/>
      <c r="E933" s="11"/>
      <c r="G933" s="11"/>
      <c r="I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>
      <c r="A934" s="11"/>
      <c r="B934" s="11"/>
      <c r="D934" s="11"/>
      <c r="E934" s="11"/>
      <c r="G934" s="11"/>
      <c r="I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>
      <c r="A935" s="11"/>
      <c r="B935" s="11"/>
      <c r="D935" s="11"/>
      <c r="E935" s="11"/>
      <c r="G935" s="11"/>
      <c r="I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>
      <c r="A936" s="11"/>
      <c r="B936" s="11"/>
      <c r="D936" s="11"/>
      <c r="E936" s="11"/>
      <c r="G936" s="11"/>
      <c r="I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>
      <c r="A937" s="11"/>
      <c r="B937" s="11"/>
      <c r="D937" s="11"/>
      <c r="E937" s="11"/>
      <c r="G937" s="11"/>
      <c r="I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>
      <c r="A938" s="11"/>
      <c r="B938" s="11"/>
      <c r="D938" s="11"/>
      <c r="E938" s="11"/>
      <c r="G938" s="11"/>
      <c r="I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>
      <c r="A939" s="11"/>
      <c r="B939" s="11"/>
      <c r="D939" s="11"/>
      <c r="E939" s="11"/>
      <c r="G939" s="11"/>
      <c r="I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>
      <c r="A940" s="11"/>
      <c r="B940" s="11"/>
      <c r="D940" s="11"/>
      <c r="E940" s="11"/>
      <c r="G940" s="11"/>
      <c r="I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>
      <c r="A941" s="11"/>
      <c r="B941" s="11"/>
      <c r="D941" s="11"/>
      <c r="E941" s="11"/>
      <c r="G941" s="11"/>
      <c r="I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>
      <c r="A942" s="11"/>
      <c r="B942" s="11"/>
      <c r="D942" s="11"/>
      <c r="E942" s="11"/>
      <c r="G942" s="11"/>
      <c r="I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>
      <c r="A943" s="11"/>
      <c r="B943" s="11"/>
      <c r="D943" s="11"/>
      <c r="E943" s="11"/>
      <c r="G943" s="11"/>
      <c r="I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>
      <c r="A944" s="11"/>
      <c r="B944" s="11"/>
      <c r="D944" s="11"/>
      <c r="E944" s="11"/>
      <c r="G944" s="11"/>
      <c r="I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>
      <c r="A945" s="11"/>
      <c r="B945" s="11"/>
      <c r="D945" s="11"/>
      <c r="E945" s="11"/>
      <c r="G945" s="11"/>
      <c r="I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>
      <c r="A946" s="11"/>
      <c r="B946" s="11"/>
      <c r="D946" s="11"/>
      <c r="E946" s="11"/>
      <c r="G946" s="11"/>
      <c r="I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>
      <c r="A947" s="11"/>
      <c r="B947" s="11"/>
      <c r="D947" s="11"/>
      <c r="E947" s="11"/>
      <c r="G947" s="11"/>
      <c r="I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>
      <c r="A948" s="11"/>
      <c r="B948" s="11"/>
      <c r="D948" s="11"/>
      <c r="E948" s="11"/>
      <c r="G948" s="11"/>
      <c r="I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>
      <c r="A949" s="11"/>
      <c r="B949" s="11"/>
      <c r="D949" s="11"/>
      <c r="E949" s="11"/>
      <c r="G949" s="11"/>
      <c r="I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>
      <c r="A950" s="11"/>
      <c r="B950" s="11"/>
      <c r="D950" s="11"/>
      <c r="E950" s="11"/>
      <c r="G950" s="11"/>
      <c r="I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>
      <c r="A951" s="11"/>
      <c r="B951" s="11"/>
      <c r="D951" s="11"/>
      <c r="E951" s="11"/>
      <c r="G951" s="11"/>
      <c r="I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>
      <c r="A952" s="11"/>
      <c r="B952" s="11"/>
      <c r="D952" s="11"/>
      <c r="E952" s="11"/>
      <c r="G952" s="11"/>
      <c r="I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>
      <c r="A953" s="11"/>
      <c r="B953" s="11"/>
      <c r="D953" s="11"/>
      <c r="E953" s="11"/>
      <c r="G953" s="11"/>
      <c r="I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>
      <c r="A954" s="11"/>
      <c r="B954" s="11"/>
      <c r="D954" s="11"/>
      <c r="E954" s="11"/>
      <c r="G954" s="11"/>
      <c r="I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>
      <c r="A955" s="11"/>
      <c r="B955" s="11"/>
      <c r="D955" s="11"/>
      <c r="E955" s="11"/>
      <c r="G955" s="11"/>
      <c r="I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>
      <c r="A956" s="11"/>
      <c r="B956" s="11"/>
      <c r="D956" s="11"/>
      <c r="E956" s="11"/>
      <c r="G956" s="11"/>
      <c r="I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>
      <c r="A957" s="11"/>
      <c r="B957" s="11"/>
      <c r="D957" s="11"/>
      <c r="E957" s="11"/>
      <c r="G957" s="11"/>
      <c r="I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>
      <c r="A958" s="11"/>
      <c r="B958" s="11"/>
      <c r="D958" s="11"/>
      <c r="E958" s="11"/>
      <c r="G958" s="11"/>
      <c r="I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>
      <c r="A959" s="11"/>
      <c r="B959" s="11"/>
      <c r="D959" s="11"/>
      <c r="E959" s="11"/>
      <c r="G959" s="11"/>
      <c r="I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>
      <c r="A960" s="11"/>
      <c r="B960" s="11"/>
      <c r="D960" s="11"/>
      <c r="E960" s="11"/>
      <c r="G960" s="11"/>
      <c r="I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>
      <c r="A961" s="11"/>
      <c r="B961" s="11"/>
      <c r="D961" s="11"/>
      <c r="E961" s="11"/>
      <c r="G961" s="11"/>
      <c r="I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>
      <c r="A962" s="11"/>
      <c r="B962" s="11"/>
      <c r="D962" s="11"/>
      <c r="E962" s="11"/>
      <c r="G962" s="11"/>
      <c r="I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>
      <c r="A963" s="11"/>
      <c r="B963" s="11"/>
      <c r="D963" s="11"/>
      <c r="E963" s="11"/>
      <c r="G963" s="11"/>
      <c r="I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>
      <c r="A964" s="11"/>
      <c r="B964" s="11"/>
      <c r="D964" s="11"/>
      <c r="E964" s="11"/>
      <c r="G964" s="11"/>
      <c r="I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>
      <c r="A965" s="11"/>
      <c r="B965" s="11"/>
      <c r="D965" s="11"/>
      <c r="E965" s="11"/>
      <c r="G965" s="11"/>
      <c r="I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>
      <c r="A966" s="11"/>
      <c r="B966" s="11"/>
      <c r="D966" s="11"/>
      <c r="E966" s="11"/>
      <c r="G966" s="11"/>
      <c r="I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>
      <c r="A967" s="11"/>
      <c r="B967" s="11"/>
      <c r="D967" s="11"/>
      <c r="E967" s="11"/>
      <c r="G967" s="11"/>
      <c r="I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>
      <c r="A968" s="11"/>
      <c r="B968" s="11"/>
      <c r="D968" s="11"/>
      <c r="E968" s="11"/>
      <c r="G968" s="11"/>
      <c r="I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>
      <c r="A969" s="11"/>
      <c r="B969" s="11"/>
      <c r="D969" s="11"/>
      <c r="E969" s="11"/>
      <c r="G969" s="11"/>
      <c r="I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>
      <c r="A970" s="11"/>
      <c r="B970" s="11"/>
      <c r="D970" s="11"/>
      <c r="E970" s="11"/>
      <c r="G970" s="11"/>
      <c r="I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>
      <c r="A971" s="11"/>
      <c r="B971" s="11"/>
      <c r="D971" s="11"/>
      <c r="E971" s="11"/>
      <c r="G971" s="11"/>
      <c r="I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>
      <c r="A972" s="11"/>
      <c r="B972" s="11"/>
      <c r="D972" s="11"/>
      <c r="E972" s="11"/>
      <c r="G972" s="11"/>
      <c r="I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>
      <c r="A973" s="11"/>
      <c r="B973" s="11"/>
      <c r="D973" s="11"/>
      <c r="E973" s="11"/>
      <c r="G973" s="11"/>
      <c r="I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>
      <c r="A974" s="11"/>
      <c r="B974" s="11"/>
      <c r="D974" s="11"/>
      <c r="E974" s="11"/>
      <c r="G974" s="11"/>
      <c r="I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>
      <c r="A975" s="11"/>
      <c r="B975" s="11"/>
      <c r="D975" s="11"/>
      <c r="E975" s="11"/>
      <c r="G975" s="11"/>
      <c r="I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>
      <c r="A976" s="11"/>
      <c r="B976" s="11"/>
      <c r="D976" s="11"/>
      <c r="E976" s="11"/>
      <c r="G976" s="11"/>
      <c r="I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>
      <c r="A977" s="11"/>
      <c r="B977" s="11"/>
      <c r="D977" s="11"/>
      <c r="E977" s="11"/>
      <c r="G977" s="11"/>
      <c r="I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>
      <c r="A978" s="11"/>
      <c r="B978" s="11"/>
      <c r="D978" s="11"/>
      <c r="E978" s="11"/>
      <c r="G978" s="11"/>
      <c r="I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>
      <c r="A979" s="11"/>
      <c r="B979" s="11"/>
      <c r="D979" s="11"/>
      <c r="E979" s="11"/>
      <c r="G979" s="11"/>
      <c r="I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>
      <c r="A980" s="11"/>
      <c r="B980" s="11"/>
      <c r="D980" s="11"/>
      <c r="E980" s="11"/>
      <c r="G980" s="11"/>
      <c r="I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>
      <c r="A981" s="11"/>
      <c r="B981" s="11"/>
      <c r="D981" s="11"/>
      <c r="E981" s="11"/>
      <c r="G981" s="11"/>
      <c r="I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>
      <c r="A982" s="11"/>
      <c r="B982" s="11"/>
      <c r="D982" s="11"/>
      <c r="E982" s="11"/>
      <c r="G982" s="11"/>
      <c r="I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>
      <c r="A983" s="11"/>
      <c r="B983" s="11"/>
      <c r="D983" s="11"/>
      <c r="E983" s="11"/>
      <c r="G983" s="11"/>
      <c r="I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>
      <c r="A984" s="11"/>
      <c r="B984" s="11"/>
      <c r="D984" s="11"/>
      <c r="E984" s="11"/>
      <c r="G984" s="11"/>
      <c r="I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>
      <c r="A985" s="11"/>
      <c r="B985" s="11"/>
      <c r="D985" s="11"/>
      <c r="E985" s="11"/>
      <c r="G985" s="11"/>
      <c r="I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>
      <c r="A986" s="11"/>
      <c r="B986" s="11"/>
      <c r="D986" s="11"/>
      <c r="E986" s="11"/>
      <c r="G986" s="11"/>
      <c r="I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>
      <c r="A987" s="11"/>
      <c r="B987" s="11"/>
      <c r="D987" s="11"/>
      <c r="E987" s="11"/>
      <c r="G987" s="11"/>
      <c r="I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>
      <c r="A988" s="11"/>
      <c r="B988" s="11"/>
      <c r="D988" s="11"/>
      <c r="E988" s="11"/>
      <c r="G988" s="11"/>
      <c r="I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>
      <c r="A989" s="11"/>
      <c r="B989" s="11"/>
      <c r="D989" s="11"/>
      <c r="E989" s="11"/>
      <c r="G989" s="11"/>
      <c r="I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>
      <c r="A990" s="11"/>
      <c r="B990" s="11"/>
      <c r="D990" s="11"/>
      <c r="E990" s="11"/>
      <c r="G990" s="11"/>
      <c r="I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>
      <c r="A991" s="11"/>
      <c r="B991" s="11"/>
      <c r="D991" s="11"/>
      <c r="E991" s="11"/>
      <c r="G991" s="11"/>
      <c r="I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>
      <c r="A992" s="11"/>
      <c r="B992" s="11"/>
      <c r="D992" s="11"/>
      <c r="E992" s="11"/>
      <c r="G992" s="11"/>
      <c r="I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>
      <c r="A993" s="11"/>
      <c r="B993" s="11"/>
      <c r="D993" s="11"/>
      <c r="E993" s="11"/>
      <c r="G993" s="11"/>
      <c r="I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>
      <c r="A994" s="11"/>
      <c r="B994" s="11"/>
      <c r="D994" s="11"/>
      <c r="E994" s="11"/>
      <c r="G994" s="11"/>
      <c r="I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>
      <c r="A995" s="11"/>
      <c r="B995" s="11"/>
      <c r="D995" s="11"/>
      <c r="E995" s="11"/>
      <c r="G995" s="11"/>
      <c r="I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>
      <c r="A996" s="11"/>
      <c r="B996" s="11"/>
      <c r="D996" s="11"/>
      <c r="E996" s="11"/>
      <c r="G996" s="11"/>
      <c r="I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>
      <c r="A997" s="11"/>
      <c r="B997" s="11"/>
      <c r="D997" s="11"/>
      <c r="E997" s="11"/>
      <c r="G997" s="11"/>
      <c r="I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>
      <c r="A998" s="11"/>
      <c r="B998" s="11"/>
      <c r="D998" s="11"/>
      <c r="E998" s="11"/>
      <c r="G998" s="11"/>
      <c r="I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>
      <c r="A999" s="11"/>
      <c r="B999" s="11"/>
      <c r="D999" s="11"/>
      <c r="E999" s="11"/>
      <c r="G999" s="11"/>
      <c r="I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>
      <c r="A1000" s="11"/>
      <c r="B1000" s="11"/>
      <c r="D1000" s="11"/>
      <c r="E1000" s="11"/>
      <c r="G1000" s="11"/>
      <c r="I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</sheetData>
  <mergeCells count="1">
    <mergeCell ref="M1:U1"/>
  </mergeCells>
  <conditionalFormatting sqref="A2:U1000">
    <cfRule type="notContainsBlanks" dxfId="0" priority="1">
      <formula>LEN(TRIM(A2))&gt;0</formula>
    </cfRule>
  </conditionalFormatting>
  <conditionalFormatting sqref="A1:AD1">
    <cfRule type="notContainsBlanks" dxfId="1" priority="2">
      <formula>LEN(TRIM(A1))&gt;0</formula>
    </cfRule>
  </conditionalFormatting>
  <dataValidations>
    <dataValidation type="list" allowBlank="1" sqref="I2:I1000">
      <formula1>'All Courses'!$G:$G</formula1>
    </dataValidation>
    <dataValidation type="list" allowBlank="1" showInputMessage="1" prompt="Need the course in this format." sqref="A2:A1000">
      <formula1>'All Courses'!$A:$A</formula1>
    </dataValidation>
    <dataValidation type="list" allowBlank="1" sqref="M2:U1000">
      <formula1>'All Courses'!$A:$A</formula1>
    </dataValidation>
    <dataValidation type="list" allowBlank="1" showInputMessage="1" prompt="Its okay if it isnt one of the courses in the dropdown list." sqref="G2:G1000">
      <formula1>'All Courses'!$C:$C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4" max="4" width="33.43"/>
    <col customWidth="1" min="7" max="7" width="22.0"/>
    <col customWidth="1" min="8" max="8" width="19.86"/>
    <col customWidth="1" min="9" max="9" width="62.86"/>
    <col customWidth="1" min="13" max="13" width="64.29"/>
  </cols>
  <sheetData>
    <row r="1" ht="213.0" customHeight="1">
      <c r="A1" s="1" t="s">
        <v>20</v>
      </c>
      <c r="B1" s="1" t="s">
        <v>1</v>
      </c>
      <c r="C1" s="2"/>
      <c r="D1" s="3" t="s">
        <v>2</v>
      </c>
      <c r="E1" s="1" t="s">
        <v>3</v>
      </c>
      <c r="F1" s="4"/>
      <c r="G1" s="1" t="s">
        <v>21</v>
      </c>
      <c r="H1" s="5"/>
      <c r="I1" s="1" t="s">
        <v>22</v>
      </c>
      <c r="J1" s="2"/>
      <c r="K1" s="3" t="s">
        <v>6</v>
      </c>
      <c r="L1" s="3" t="s">
        <v>7</v>
      </c>
      <c r="M1" s="6" t="s">
        <v>23</v>
      </c>
      <c r="N1" s="7"/>
      <c r="O1" s="7"/>
      <c r="P1" s="7"/>
      <c r="Q1" s="7"/>
      <c r="R1" s="7"/>
      <c r="S1" s="7"/>
      <c r="T1" s="7"/>
      <c r="U1" s="8"/>
      <c r="V1" s="2"/>
      <c r="W1" s="2"/>
      <c r="X1" s="2"/>
      <c r="Y1" s="2"/>
      <c r="Z1" s="2"/>
      <c r="AA1" s="2"/>
      <c r="AB1" s="2"/>
      <c r="AC1" s="2"/>
      <c r="AD1" s="2"/>
    </row>
    <row r="2">
      <c r="A2" s="9" t="s">
        <v>24</v>
      </c>
      <c r="B2" s="9">
        <v>7.0</v>
      </c>
      <c r="D2" s="9" t="s">
        <v>9</v>
      </c>
      <c r="E2" s="9">
        <v>0.0</v>
      </c>
      <c r="G2" s="9" t="s">
        <v>25</v>
      </c>
      <c r="H2" s="13"/>
      <c r="I2" s="9" t="s">
        <v>26</v>
      </c>
      <c r="K2" s="9">
        <v>0.0</v>
      </c>
      <c r="L2" s="9">
        <v>1.0</v>
      </c>
      <c r="M2" s="10" t="s">
        <v>27</v>
      </c>
      <c r="N2" s="10" t="s">
        <v>28</v>
      </c>
      <c r="O2" s="11"/>
      <c r="P2" s="11"/>
      <c r="Q2" s="11"/>
      <c r="R2" s="11"/>
      <c r="S2" s="11"/>
      <c r="T2" s="11"/>
      <c r="U2" s="11"/>
    </row>
    <row r="3">
      <c r="A3" s="9" t="s">
        <v>29</v>
      </c>
      <c r="B3" s="9">
        <v>10.0</v>
      </c>
      <c r="D3" s="10" t="s">
        <v>10</v>
      </c>
      <c r="E3" s="9">
        <v>0.0</v>
      </c>
      <c r="G3" s="9" t="s">
        <v>30</v>
      </c>
      <c r="H3" s="13"/>
      <c r="I3" s="9" t="s">
        <v>31</v>
      </c>
      <c r="K3" s="9">
        <v>0.0</v>
      </c>
      <c r="L3" s="9">
        <v>4.0</v>
      </c>
      <c r="M3" s="10" t="s">
        <v>27</v>
      </c>
      <c r="N3" s="10" t="s">
        <v>32</v>
      </c>
      <c r="O3" s="10" t="s">
        <v>28</v>
      </c>
      <c r="P3" s="10" t="s">
        <v>33</v>
      </c>
      <c r="Q3" s="10" t="s">
        <v>34</v>
      </c>
      <c r="R3" s="11"/>
      <c r="S3" s="11"/>
      <c r="T3" s="11"/>
      <c r="U3" s="11"/>
    </row>
    <row r="4">
      <c r="A4" s="9" t="s">
        <v>33</v>
      </c>
      <c r="B4" s="9">
        <v>7.0</v>
      </c>
      <c r="D4" s="10" t="s">
        <v>11</v>
      </c>
      <c r="E4" s="9">
        <v>0.0</v>
      </c>
      <c r="G4" s="9" t="s">
        <v>35</v>
      </c>
      <c r="H4" s="13"/>
      <c r="I4" s="9" t="s">
        <v>36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ht="15.75" customHeight="1">
      <c r="A5" s="9" t="s">
        <v>37</v>
      </c>
      <c r="B5" s="9">
        <v>8.0</v>
      </c>
      <c r="D5" s="10" t="s">
        <v>12</v>
      </c>
      <c r="E5" s="9">
        <v>0.0</v>
      </c>
      <c r="G5" s="9" t="s">
        <v>38</v>
      </c>
      <c r="H5" s="13"/>
      <c r="I5" s="9" t="s">
        <v>39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>
      <c r="A6" s="9" t="s">
        <v>34</v>
      </c>
      <c r="B6" s="9">
        <v>8.0</v>
      </c>
      <c r="D6" s="10" t="s">
        <v>13</v>
      </c>
      <c r="E6" s="9">
        <v>1.0</v>
      </c>
      <c r="G6" s="9" t="s">
        <v>40</v>
      </c>
      <c r="H6" s="13"/>
      <c r="I6" s="9" t="s">
        <v>41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>
      <c r="A7" s="9" t="s">
        <v>27</v>
      </c>
      <c r="B7" s="9">
        <v>8.0</v>
      </c>
      <c r="D7" s="10" t="s">
        <v>14</v>
      </c>
      <c r="E7" s="9">
        <v>1.0</v>
      </c>
      <c r="G7" s="9" t="s">
        <v>42</v>
      </c>
      <c r="H7" s="13"/>
      <c r="I7" s="9" t="s">
        <v>43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>
      <c r="A8" s="9" t="s">
        <v>44</v>
      </c>
      <c r="B8" s="9">
        <v>7.0</v>
      </c>
      <c r="D8" s="10" t="s">
        <v>15</v>
      </c>
      <c r="E8" s="9">
        <v>1.0</v>
      </c>
      <c r="G8" s="9" t="s">
        <v>45</v>
      </c>
      <c r="H8" s="13"/>
      <c r="I8" s="9" t="s">
        <v>46</v>
      </c>
      <c r="K8" s="9">
        <v>1.0</v>
      </c>
      <c r="L8" s="9">
        <v>1.0</v>
      </c>
      <c r="M8" s="9" t="s">
        <v>47</v>
      </c>
      <c r="N8" s="11"/>
      <c r="O8" s="11"/>
      <c r="P8" s="11"/>
      <c r="Q8" s="11"/>
      <c r="R8" s="11"/>
      <c r="S8" s="11"/>
      <c r="T8" s="11"/>
      <c r="U8" s="11"/>
    </row>
    <row r="9">
      <c r="A9" s="9" t="s">
        <v>32</v>
      </c>
      <c r="B9" s="9">
        <v>7.0</v>
      </c>
      <c r="D9" s="10" t="s">
        <v>16</v>
      </c>
      <c r="E9" s="9">
        <v>0.0</v>
      </c>
      <c r="G9" s="9" t="s">
        <v>48</v>
      </c>
      <c r="I9" s="11"/>
      <c r="K9" s="9">
        <v>3.0</v>
      </c>
      <c r="L9" s="9">
        <v>3.0</v>
      </c>
      <c r="M9" s="9" t="s">
        <v>49</v>
      </c>
      <c r="N9" s="11"/>
      <c r="O9" s="11"/>
      <c r="P9" s="11"/>
      <c r="Q9" s="11"/>
      <c r="R9" s="11"/>
      <c r="S9" s="11"/>
      <c r="T9" s="11"/>
      <c r="U9" s="11"/>
    </row>
    <row r="10">
      <c r="A10" s="9" t="s">
        <v>28</v>
      </c>
      <c r="B10" s="9">
        <v>8.0</v>
      </c>
      <c r="D10" s="10" t="s">
        <v>17</v>
      </c>
      <c r="E10" s="9">
        <v>1.0</v>
      </c>
      <c r="G10" s="9" t="s">
        <v>50</v>
      </c>
      <c r="I10" s="11"/>
      <c r="K10" s="9" t="s">
        <v>51</v>
      </c>
      <c r="L10" s="9" t="s">
        <v>52</v>
      </c>
      <c r="M10" s="9" t="s">
        <v>53</v>
      </c>
      <c r="N10" s="11"/>
      <c r="O10" s="11"/>
      <c r="P10" s="11"/>
      <c r="Q10" s="11"/>
      <c r="R10" s="11"/>
      <c r="S10" s="11"/>
      <c r="T10" s="11"/>
      <c r="U10" s="11"/>
    </row>
    <row r="11">
      <c r="A11" s="12" t="s">
        <v>54</v>
      </c>
      <c r="B11" s="9">
        <v>8.0</v>
      </c>
      <c r="D11" s="10" t="s">
        <v>18</v>
      </c>
      <c r="E11" s="9">
        <v>1.0</v>
      </c>
      <c r="G11" s="9" t="s">
        <v>55</v>
      </c>
      <c r="I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>
      <c r="A12" s="9" t="s">
        <v>56</v>
      </c>
      <c r="B12" s="9">
        <v>6.0</v>
      </c>
      <c r="D12" s="9" t="s">
        <v>19</v>
      </c>
      <c r="E12" s="9" t="s">
        <v>57</v>
      </c>
      <c r="G12" s="9" t="s">
        <v>58</v>
      </c>
      <c r="I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>
      <c r="A13" s="9" t="s">
        <v>59</v>
      </c>
      <c r="B13" s="9">
        <v>7.0</v>
      </c>
      <c r="D13" s="11"/>
      <c r="E13" s="11"/>
      <c r="G13" s="9" t="s">
        <v>60</v>
      </c>
      <c r="I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>
      <c r="A14" s="9" t="s">
        <v>61</v>
      </c>
      <c r="B14" s="9">
        <v>8.0</v>
      </c>
      <c r="D14" s="11"/>
      <c r="E14" s="11"/>
      <c r="G14" s="9" t="s">
        <v>62</v>
      </c>
      <c r="I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>
      <c r="A15" s="11"/>
      <c r="B15" s="11"/>
      <c r="D15" s="11"/>
      <c r="E15" s="11"/>
      <c r="G15" s="9" t="s">
        <v>63</v>
      </c>
      <c r="I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>
      <c r="A16" s="11"/>
      <c r="B16" s="11"/>
      <c r="D16" s="11"/>
      <c r="E16" s="11"/>
      <c r="G16" s="9" t="s">
        <v>64</v>
      </c>
      <c r="I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>
      <c r="A17" s="11"/>
      <c r="B17" s="11"/>
      <c r="D17" s="11"/>
      <c r="E17" s="11"/>
      <c r="G17" s="9" t="s">
        <v>65</v>
      </c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>
      <c r="A18" s="11"/>
      <c r="B18" s="11"/>
      <c r="D18" s="11"/>
      <c r="E18" s="11"/>
      <c r="G18" s="9" t="s">
        <v>66</v>
      </c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>
      <c r="A19" s="11"/>
      <c r="B19" s="11"/>
      <c r="D19" s="11"/>
      <c r="E19" s="11"/>
      <c r="G19" s="9" t="s">
        <v>67</v>
      </c>
      <c r="I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>
      <c r="A20" s="11"/>
      <c r="B20" s="11"/>
      <c r="D20" s="11"/>
      <c r="E20" s="11"/>
      <c r="G20" s="9" t="s">
        <v>68</v>
      </c>
      <c r="I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>
      <c r="A21" s="11"/>
      <c r="B21" s="11"/>
      <c r="D21" s="11"/>
      <c r="E21" s="11"/>
      <c r="G21" s="9" t="s">
        <v>69</v>
      </c>
      <c r="I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>
      <c r="A22" s="11"/>
      <c r="B22" s="11"/>
      <c r="D22" s="11"/>
      <c r="E22" s="11"/>
      <c r="G22" s="9" t="s">
        <v>70</v>
      </c>
      <c r="I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>
      <c r="A23" s="11"/>
      <c r="B23" s="11"/>
      <c r="D23" s="11"/>
      <c r="E23" s="11"/>
      <c r="G23" s="9" t="s">
        <v>71</v>
      </c>
      <c r="I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>
      <c r="A24" s="11"/>
      <c r="B24" s="11"/>
      <c r="D24" s="11"/>
      <c r="E24" s="11"/>
      <c r="G24" s="9" t="s">
        <v>72</v>
      </c>
      <c r="I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>
      <c r="A25" s="11"/>
      <c r="B25" s="11"/>
      <c r="D25" s="11"/>
      <c r="E25" s="11"/>
      <c r="G25" s="9" t="s">
        <v>73</v>
      </c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>
      <c r="A26" s="11"/>
      <c r="B26" s="11"/>
      <c r="D26" s="11"/>
      <c r="E26" s="11"/>
      <c r="G26" s="9" t="s">
        <v>74</v>
      </c>
      <c r="I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>
      <c r="A27" s="11"/>
      <c r="B27" s="11"/>
      <c r="D27" s="11"/>
      <c r="E27" s="11"/>
      <c r="G27" s="9" t="s">
        <v>75</v>
      </c>
      <c r="I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>
      <c r="A28" s="11"/>
      <c r="B28" s="11"/>
      <c r="D28" s="11"/>
      <c r="E28" s="11"/>
      <c r="G28" s="9" t="s">
        <v>76</v>
      </c>
      <c r="I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>
      <c r="A29" s="11"/>
      <c r="B29" s="11"/>
      <c r="D29" s="11"/>
      <c r="E29" s="11"/>
      <c r="G29" s="9" t="s">
        <v>77</v>
      </c>
      <c r="I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>
      <c r="A30" s="11"/>
      <c r="B30" s="11"/>
      <c r="D30" s="11"/>
      <c r="E30" s="11"/>
      <c r="G30" s="9" t="s">
        <v>78</v>
      </c>
      <c r="I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>
      <c r="A31" s="11"/>
      <c r="B31" s="11"/>
      <c r="D31" s="11"/>
      <c r="E31" s="11"/>
      <c r="G31" s="9" t="s">
        <v>69</v>
      </c>
      <c r="I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>
      <c r="A32" s="11"/>
      <c r="B32" s="11"/>
      <c r="D32" s="11"/>
      <c r="E32" s="11"/>
      <c r="G32" s="9" t="s">
        <v>79</v>
      </c>
      <c r="I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>
      <c r="A33" s="11"/>
      <c r="B33" s="11"/>
      <c r="D33" s="11"/>
      <c r="E33" s="11"/>
      <c r="G33" s="9" t="s">
        <v>80</v>
      </c>
      <c r="I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>
      <c r="A34" s="11"/>
      <c r="B34" s="11"/>
      <c r="D34" s="11"/>
      <c r="E34" s="11"/>
      <c r="G34" s="9" t="s">
        <v>81</v>
      </c>
      <c r="I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>
      <c r="A35" s="11"/>
      <c r="B35" s="11"/>
      <c r="D35" s="11"/>
      <c r="E35" s="11"/>
      <c r="G35" s="9" t="s">
        <v>82</v>
      </c>
      <c r="I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>
      <c r="A36" s="11"/>
      <c r="B36" s="11"/>
      <c r="D36" s="11"/>
      <c r="E36" s="11"/>
      <c r="G36" s="9" t="s">
        <v>83</v>
      </c>
      <c r="I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>
      <c r="A37" s="11"/>
      <c r="B37" s="11"/>
      <c r="D37" s="11"/>
      <c r="E37" s="11"/>
      <c r="G37" s="9" t="s">
        <v>84</v>
      </c>
      <c r="I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>
      <c r="A38" s="11"/>
      <c r="B38" s="11"/>
      <c r="D38" s="11"/>
      <c r="E38" s="11"/>
      <c r="G38" s="9" t="s">
        <v>85</v>
      </c>
      <c r="I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>
      <c r="A39" s="11"/>
      <c r="B39" s="11"/>
      <c r="D39" s="11"/>
      <c r="E39" s="11"/>
      <c r="G39" s="9" t="s">
        <v>86</v>
      </c>
      <c r="I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>
      <c r="A40" s="11"/>
      <c r="B40" s="11"/>
      <c r="D40" s="11"/>
      <c r="E40" s="11"/>
      <c r="G40" s="9" t="s">
        <v>87</v>
      </c>
      <c r="I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>
      <c r="A41" s="11"/>
      <c r="B41" s="11"/>
      <c r="D41" s="11"/>
      <c r="E41" s="11"/>
      <c r="G41" s="9" t="s">
        <v>88</v>
      </c>
      <c r="I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>
      <c r="A42" s="11"/>
      <c r="B42" s="11"/>
      <c r="D42" s="11"/>
      <c r="E42" s="11"/>
      <c r="G42" s="9" t="s">
        <v>89</v>
      </c>
      <c r="I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>
      <c r="A43" s="11"/>
      <c r="B43" s="11"/>
      <c r="D43" s="11"/>
      <c r="E43" s="11"/>
      <c r="G43" s="9" t="s">
        <v>90</v>
      </c>
      <c r="I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>
      <c r="A44" s="11"/>
      <c r="B44" s="11"/>
      <c r="D44" s="11"/>
      <c r="E44" s="11"/>
      <c r="G44" s="9" t="s">
        <v>91</v>
      </c>
      <c r="I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>
      <c r="A45" s="11"/>
      <c r="B45" s="11"/>
      <c r="D45" s="11"/>
      <c r="E45" s="11"/>
      <c r="G45" s="9" t="s">
        <v>92</v>
      </c>
      <c r="I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>
      <c r="A46" s="11"/>
      <c r="B46" s="11"/>
      <c r="D46" s="11"/>
      <c r="E46" s="11"/>
      <c r="G46" s="9" t="s">
        <v>93</v>
      </c>
      <c r="I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>
      <c r="A47" s="11"/>
      <c r="B47" s="11"/>
      <c r="D47" s="11"/>
      <c r="E47" s="11"/>
      <c r="G47" s="9" t="s">
        <v>94</v>
      </c>
      <c r="I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>
      <c r="A48" s="11"/>
      <c r="B48" s="11"/>
      <c r="D48" s="11"/>
      <c r="E48" s="11"/>
      <c r="G48" s="11"/>
      <c r="I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>
      <c r="A49" s="11"/>
      <c r="B49" s="11"/>
      <c r="D49" s="11"/>
      <c r="E49" s="11"/>
      <c r="G49" s="11"/>
      <c r="I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>
      <c r="A50" s="11"/>
      <c r="B50" s="11"/>
      <c r="D50" s="11"/>
      <c r="E50" s="11"/>
      <c r="G50" s="11"/>
      <c r="I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>
      <c r="A51" s="11"/>
      <c r="B51" s="11"/>
      <c r="D51" s="11"/>
      <c r="E51" s="11"/>
      <c r="G51" s="11"/>
      <c r="I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>
      <c r="A52" s="11"/>
      <c r="B52" s="11"/>
      <c r="D52" s="11"/>
      <c r="E52" s="11"/>
      <c r="G52" s="11"/>
      <c r="I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>
      <c r="A53" s="11"/>
      <c r="B53" s="11"/>
      <c r="D53" s="11"/>
      <c r="E53" s="11"/>
      <c r="G53" s="11"/>
      <c r="I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>
      <c r="A54" s="11"/>
      <c r="B54" s="11"/>
      <c r="D54" s="11"/>
      <c r="E54" s="11"/>
      <c r="G54" s="11"/>
      <c r="I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>
      <c r="A55" s="11"/>
      <c r="B55" s="11"/>
      <c r="D55" s="11"/>
      <c r="E55" s="11"/>
      <c r="G55" s="11"/>
      <c r="I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>
      <c r="A56" s="11"/>
      <c r="B56" s="11"/>
      <c r="D56" s="11"/>
      <c r="E56" s="11"/>
      <c r="G56" s="11"/>
      <c r="I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>
      <c r="A57" s="11"/>
      <c r="B57" s="11"/>
      <c r="D57" s="11"/>
      <c r="E57" s="11"/>
      <c r="G57" s="11"/>
      <c r="I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>
      <c r="A58" s="11"/>
      <c r="B58" s="11"/>
      <c r="D58" s="11"/>
      <c r="E58" s="11"/>
      <c r="G58" s="11"/>
      <c r="I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>
      <c r="A59" s="11"/>
      <c r="B59" s="11"/>
      <c r="D59" s="11"/>
      <c r="E59" s="11"/>
      <c r="G59" s="11"/>
      <c r="I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>
      <c r="A60" s="11"/>
      <c r="B60" s="11"/>
      <c r="D60" s="11"/>
      <c r="E60" s="11"/>
      <c r="G60" s="11"/>
      <c r="I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>
      <c r="A61" s="11"/>
      <c r="B61" s="11"/>
      <c r="D61" s="11"/>
      <c r="E61" s="11"/>
      <c r="G61" s="11"/>
      <c r="I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>
      <c r="A62" s="11"/>
      <c r="B62" s="11"/>
      <c r="D62" s="11"/>
      <c r="E62" s="11"/>
      <c r="G62" s="11"/>
      <c r="I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>
      <c r="A63" s="11"/>
      <c r="B63" s="11"/>
      <c r="D63" s="11"/>
      <c r="E63" s="11"/>
      <c r="G63" s="11"/>
      <c r="I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>
      <c r="A64" s="11"/>
      <c r="B64" s="11"/>
      <c r="D64" s="11"/>
      <c r="E64" s="11"/>
      <c r="G64" s="11"/>
      <c r="I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>
      <c r="A65" s="11"/>
      <c r="B65" s="11"/>
      <c r="D65" s="11"/>
      <c r="E65" s="11"/>
      <c r="G65" s="11"/>
      <c r="I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>
      <c r="A66" s="11"/>
      <c r="B66" s="11"/>
      <c r="D66" s="11"/>
      <c r="E66" s="11"/>
      <c r="G66" s="11"/>
      <c r="I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>
      <c r="A67" s="11"/>
      <c r="B67" s="11"/>
      <c r="D67" s="11"/>
      <c r="E67" s="11"/>
      <c r="G67" s="11"/>
      <c r="I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>
      <c r="A68" s="11"/>
      <c r="B68" s="11"/>
      <c r="D68" s="11"/>
      <c r="E68" s="11"/>
      <c r="G68" s="11"/>
      <c r="I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>
      <c r="A69" s="11"/>
      <c r="B69" s="11"/>
      <c r="D69" s="11"/>
      <c r="E69" s="11"/>
      <c r="G69" s="11"/>
      <c r="I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>
      <c r="A70" s="11"/>
      <c r="B70" s="11"/>
      <c r="D70" s="11"/>
      <c r="E70" s="11"/>
      <c r="G70" s="11"/>
      <c r="I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>
      <c r="A71" s="11"/>
      <c r="B71" s="11"/>
      <c r="D71" s="11"/>
      <c r="E71" s="11"/>
      <c r="G71" s="11"/>
      <c r="I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>
      <c r="A72" s="11"/>
      <c r="B72" s="11"/>
      <c r="D72" s="11"/>
      <c r="E72" s="11"/>
      <c r="G72" s="11"/>
      <c r="I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>
      <c r="A73" s="11"/>
      <c r="B73" s="11"/>
      <c r="D73" s="11"/>
      <c r="E73" s="11"/>
      <c r="G73" s="11"/>
      <c r="I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>
      <c r="A74" s="11"/>
      <c r="B74" s="11"/>
      <c r="D74" s="11"/>
      <c r="E74" s="11"/>
      <c r="G74" s="11"/>
      <c r="I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>
      <c r="A75" s="11"/>
      <c r="B75" s="11"/>
      <c r="D75" s="11"/>
      <c r="E75" s="11"/>
      <c r="G75" s="11"/>
      <c r="I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>
      <c r="A76" s="11"/>
      <c r="B76" s="11"/>
      <c r="D76" s="11"/>
      <c r="E76" s="11"/>
      <c r="G76" s="11"/>
      <c r="I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>
      <c r="A77" s="11"/>
      <c r="B77" s="11"/>
      <c r="D77" s="11"/>
      <c r="E77" s="11"/>
      <c r="G77" s="11"/>
      <c r="I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>
      <c r="A78" s="11"/>
      <c r="B78" s="11"/>
      <c r="D78" s="11"/>
      <c r="E78" s="11"/>
      <c r="G78" s="11"/>
      <c r="I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>
      <c r="A79" s="11"/>
      <c r="B79" s="11"/>
      <c r="D79" s="11"/>
      <c r="E79" s="11"/>
      <c r="G79" s="11"/>
      <c r="I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>
      <c r="A80" s="11"/>
      <c r="B80" s="11"/>
      <c r="D80" s="11"/>
      <c r="E80" s="11"/>
      <c r="G80" s="11"/>
      <c r="I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>
      <c r="A81" s="11"/>
      <c r="B81" s="11"/>
      <c r="D81" s="11"/>
      <c r="E81" s="11"/>
      <c r="G81" s="11"/>
      <c r="I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>
      <c r="A82" s="11"/>
      <c r="B82" s="11"/>
      <c r="D82" s="11"/>
      <c r="E82" s="11"/>
      <c r="G82" s="11"/>
      <c r="I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>
      <c r="A83" s="11"/>
      <c r="B83" s="11"/>
      <c r="D83" s="11"/>
      <c r="E83" s="11"/>
      <c r="G83" s="11"/>
      <c r="I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>
      <c r="A84" s="11"/>
      <c r="B84" s="11"/>
      <c r="D84" s="11"/>
      <c r="E84" s="11"/>
      <c r="G84" s="11"/>
      <c r="I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>
      <c r="A85" s="11"/>
      <c r="B85" s="11"/>
      <c r="D85" s="11"/>
      <c r="E85" s="11"/>
      <c r="G85" s="11"/>
      <c r="I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>
      <c r="A86" s="11"/>
      <c r="B86" s="11"/>
      <c r="D86" s="11"/>
      <c r="E86" s="11"/>
      <c r="G86" s="11"/>
      <c r="I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>
      <c r="A87" s="11"/>
      <c r="B87" s="11"/>
      <c r="D87" s="11"/>
      <c r="E87" s="11"/>
      <c r="G87" s="11"/>
      <c r="I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>
      <c r="A88" s="11"/>
      <c r="B88" s="11"/>
      <c r="D88" s="11"/>
      <c r="E88" s="11"/>
      <c r="G88" s="11"/>
      <c r="I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>
      <c r="A89" s="11"/>
      <c r="B89" s="11"/>
      <c r="D89" s="11"/>
      <c r="E89" s="11"/>
      <c r="G89" s="11"/>
      <c r="I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>
      <c r="A90" s="11"/>
      <c r="B90" s="11"/>
      <c r="D90" s="11"/>
      <c r="E90" s="11"/>
      <c r="G90" s="11"/>
      <c r="I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>
      <c r="A91" s="11"/>
      <c r="B91" s="11"/>
      <c r="D91" s="11"/>
      <c r="E91" s="11"/>
      <c r="G91" s="11"/>
      <c r="I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>
      <c r="A92" s="11"/>
      <c r="B92" s="11"/>
      <c r="D92" s="11"/>
      <c r="E92" s="11"/>
      <c r="G92" s="11"/>
      <c r="I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>
      <c r="A93" s="11"/>
      <c r="B93" s="11"/>
      <c r="D93" s="11"/>
      <c r="E93" s="11"/>
      <c r="G93" s="11"/>
      <c r="I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>
      <c r="A94" s="11"/>
      <c r="B94" s="11"/>
      <c r="D94" s="11"/>
      <c r="E94" s="11"/>
      <c r="G94" s="11"/>
      <c r="I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>
      <c r="A95" s="11"/>
      <c r="B95" s="11"/>
      <c r="D95" s="11"/>
      <c r="E95" s="11"/>
      <c r="G95" s="11"/>
      <c r="I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>
      <c r="A96" s="11"/>
      <c r="B96" s="11"/>
      <c r="D96" s="11"/>
      <c r="E96" s="11"/>
      <c r="G96" s="11"/>
      <c r="I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>
      <c r="A97" s="11"/>
      <c r="B97" s="11"/>
      <c r="D97" s="11"/>
      <c r="E97" s="11"/>
      <c r="G97" s="11"/>
      <c r="I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>
      <c r="A98" s="11"/>
      <c r="B98" s="11"/>
      <c r="D98" s="11"/>
      <c r="E98" s="11"/>
      <c r="G98" s="11"/>
      <c r="I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>
      <c r="A99" s="11"/>
      <c r="B99" s="11"/>
      <c r="D99" s="11"/>
      <c r="E99" s="11"/>
      <c r="G99" s="11"/>
      <c r="I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>
      <c r="A100" s="11"/>
      <c r="B100" s="11"/>
      <c r="D100" s="11"/>
      <c r="E100" s="11"/>
      <c r="G100" s="11"/>
      <c r="I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>
      <c r="A101" s="11"/>
      <c r="B101" s="11"/>
      <c r="D101" s="11"/>
      <c r="E101" s="11"/>
      <c r="G101" s="11"/>
      <c r="I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>
      <c r="A102" s="11"/>
      <c r="B102" s="11"/>
      <c r="D102" s="11"/>
      <c r="E102" s="11"/>
      <c r="G102" s="11"/>
      <c r="I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>
      <c r="A103" s="11"/>
      <c r="B103" s="11"/>
      <c r="D103" s="11"/>
      <c r="E103" s="11"/>
      <c r="G103" s="11"/>
      <c r="I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>
      <c r="A104" s="11"/>
      <c r="B104" s="11"/>
      <c r="D104" s="11"/>
      <c r="E104" s="11"/>
      <c r="G104" s="11"/>
      <c r="I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>
      <c r="A105" s="11"/>
      <c r="B105" s="11"/>
      <c r="D105" s="11"/>
      <c r="E105" s="11"/>
      <c r="G105" s="11"/>
      <c r="I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>
      <c r="A106" s="11"/>
      <c r="B106" s="11"/>
      <c r="D106" s="11"/>
      <c r="E106" s="11"/>
      <c r="G106" s="11"/>
      <c r="I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>
      <c r="A107" s="11"/>
      <c r="B107" s="11"/>
      <c r="D107" s="11"/>
      <c r="E107" s="11"/>
      <c r="G107" s="11"/>
      <c r="I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>
      <c r="A108" s="11"/>
      <c r="B108" s="11"/>
      <c r="D108" s="11"/>
      <c r="E108" s="11"/>
      <c r="G108" s="11"/>
      <c r="I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>
      <c r="A109" s="11"/>
      <c r="B109" s="11"/>
      <c r="D109" s="11"/>
      <c r="E109" s="11"/>
      <c r="G109" s="11"/>
      <c r="I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>
      <c r="A110" s="11"/>
      <c r="B110" s="11"/>
      <c r="D110" s="11"/>
      <c r="E110" s="11"/>
      <c r="G110" s="11"/>
      <c r="I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>
      <c r="A111" s="11"/>
      <c r="B111" s="11"/>
      <c r="D111" s="11"/>
      <c r="E111" s="11"/>
      <c r="G111" s="11"/>
      <c r="I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>
      <c r="A112" s="11"/>
      <c r="B112" s="11"/>
      <c r="D112" s="11"/>
      <c r="E112" s="11"/>
      <c r="G112" s="11"/>
      <c r="I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>
      <c r="A113" s="11"/>
      <c r="B113" s="11"/>
      <c r="D113" s="11"/>
      <c r="E113" s="11"/>
      <c r="G113" s="11"/>
      <c r="I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>
      <c r="A114" s="11"/>
      <c r="B114" s="11"/>
      <c r="D114" s="11"/>
      <c r="E114" s="11"/>
      <c r="G114" s="11"/>
      <c r="I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>
      <c r="A115" s="11"/>
      <c r="B115" s="11"/>
      <c r="D115" s="11"/>
      <c r="E115" s="11"/>
      <c r="G115" s="11"/>
      <c r="I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>
      <c r="A116" s="11"/>
      <c r="B116" s="11"/>
      <c r="D116" s="11"/>
      <c r="E116" s="11"/>
      <c r="G116" s="11"/>
      <c r="I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>
      <c r="A117" s="11"/>
      <c r="B117" s="11"/>
      <c r="D117" s="11"/>
      <c r="E117" s="11"/>
      <c r="G117" s="11"/>
      <c r="I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>
      <c r="A118" s="11"/>
      <c r="B118" s="11"/>
      <c r="D118" s="11"/>
      <c r="E118" s="11"/>
      <c r="G118" s="11"/>
      <c r="I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>
      <c r="A119" s="11"/>
      <c r="B119" s="11"/>
      <c r="D119" s="11"/>
      <c r="E119" s="11"/>
      <c r="G119" s="11"/>
      <c r="I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>
      <c r="A120" s="11"/>
      <c r="B120" s="11"/>
      <c r="D120" s="11"/>
      <c r="E120" s="11"/>
      <c r="G120" s="11"/>
      <c r="I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>
      <c r="A121" s="11"/>
      <c r="B121" s="11"/>
      <c r="D121" s="11"/>
      <c r="E121" s="11"/>
      <c r="G121" s="11"/>
      <c r="I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>
      <c r="A122" s="11"/>
      <c r="B122" s="11"/>
      <c r="D122" s="11"/>
      <c r="E122" s="11"/>
      <c r="G122" s="11"/>
      <c r="I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>
      <c r="A123" s="11"/>
      <c r="B123" s="11"/>
      <c r="D123" s="11"/>
      <c r="E123" s="11"/>
      <c r="G123" s="11"/>
      <c r="I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>
      <c r="A124" s="11"/>
      <c r="B124" s="11"/>
      <c r="D124" s="11"/>
      <c r="E124" s="11"/>
      <c r="G124" s="11"/>
      <c r="I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>
      <c r="A125" s="11"/>
      <c r="B125" s="11"/>
      <c r="D125" s="11"/>
      <c r="E125" s="11"/>
      <c r="G125" s="11"/>
      <c r="I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>
      <c r="A126" s="11"/>
      <c r="B126" s="11"/>
      <c r="D126" s="11"/>
      <c r="E126" s="11"/>
      <c r="G126" s="11"/>
      <c r="I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>
      <c r="A127" s="11"/>
      <c r="B127" s="11"/>
      <c r="D127" s="11"/>
      <c r="E127" s="11"/>
      <c r="G127" s="11"/>
      <c r="I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>
      <c r="A128" s="11"/>
      <c r="B128" s="11"/>
      <c r="D128" s="11"/>
      <c r="E128" s="11"/>
      <c r="G128" s="11"/>
      <c r="I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>
      <c r="A129" s="11"/>
      <c r="B129" s="11"/>
      <c r="D129" s="11"/>
      <c r="E129" s="11"/>
      <c r="G129" s="11"/>
      <c r="I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>
      <c r="A130" s="11"/>
      <c r="B130" s="11"/>
      <c r="D130" s="11"/>
      <c r="E130" s="11"/>
      <c r="G130" s="11"/>
      <c r="I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>
      <c r="A131" s="11"/>
      <c r="B131" s="11"/>
      <c r="D131" s="11"/>
      <c r="E131" s="11"/>
      <c r="G131" s="11"/>
      <c r="I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>
      <c r="A132" s="11"/>
      <c r="B132" s="11"/>
      <c r="D132" s="11"/>
      <c r="E132" s="11"/>
      <c r="G132" s="11"/>
      <c r="I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>
      <c r="A133" s="11"/>
      <c r="B133" s="11"/>
      <c r="D133" s="11"/>
      <c r="E133" s="11"/>
      <c r="G133" s="11"/>
      <c r="I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>
      <c r="A134" s="11"/>
      <c r="B134" s="11"/>
      <c r="D134" s="11"/>
      <c r="E134" s="11"/>
      <c r="G134" s="11"/>
      <c r="I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>
      <c r="A135" s="11"/>
      <c r="B135" s="11"/>
      <c r="D135" s="11"/>
      <c r="E135" s="11"/>
      <c r="G135" s="11"/>
      <c r="I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>
      <c r="A136" s="11"/>
      <c r="B136" s="11"/>
      <c r="D136" s="11"/>
      <c r="E136" s="11"/>
      <c r="G136" s="11"/>
      <c r="I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>
      <c r="A137" s="11"/>
      <c r="B137" s="11"/>
      <c r="D137" s="11"/>
      <c r="E137" s="11"/>
      <c r="G137" s="11"/>
      <c r="I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>
      <c r="A138" s="11"/>
      <c r="B138" s="11"/>
      <c r="D138" s="11"/>
      <c r="E138" s="11"/>
      <c r="G138" s="11"/>
      <c r="I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>
      <c r="A139" s="11"/>
      <c r="B139" s="11"/>
      <c r="D139" s="11"/>
      <c r="E139" s="11"/>
      <c r="G139" s="11"/>
      <c r="I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>
      <c r="A140" s="11"/>
      <c r="B140" s="11"/>
      <c r="D140" s="11"/>
      <c r="E140" s="11"/>
      <c r="G140" s="11"/>
      <c r="I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>
      <c r="A141" s="11"/>
      <c r="B141" s="11"/>
      <c r="D141" s="11"/>
      <c r="E141" s="11"/>
      <c r="G141" s="11"/>
      <c r="I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>
      <c r="A142" s="11"/>
      <c r="B142" s="11"/>
      <c r="D142" s="11"/>
      <c r="E142" s="11"/>
      <c r="G142" s="11"/>
      <c r="I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>
      <c r="A143" s="11"/>
      <c r="B143" s="11"/>
      <c r="D143" s="11"/>
      <c r="E143" s="11"/>
      <c r="G143" s="11"/>
      <c r="I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>
      <c r="A144" s="11"/>
      <c r="B144" s="11"/>
      <c r="D144" s="11"/>
      <c r="E144" s="11"/>
      <c r="G144" s="11"/>
      <c r="I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>
      <c r="A145" s="11"/>
      <c r="B145" s="11"/>
      <c r="D145" s="11"/>
      <c r="E145" s="11"/>
      <c r="G145" s="11"/>
      <c r="I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>
      <c r="A146" s="11"/>
      <c r="B146" s="11"/>
      <c r="D146" s="11"/>
      <c r="E146" s="11"/>
      <c r="G146" s="11"/>
      <c r="I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>
      <c r="A147" s="11"/>
      <c r="B147" s="11"/>
      <c r="D147" s="11"/>
      <c r="E147" s="11"/>
      <c r="G147" s="11"/>
      <c r="I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>
      <c r="A148" s="11"/>
      <c r="B148" s="11"/>
      <c r="D148" s="11"/>
      <c r="E148" s="11"/>
      <c r="G148" s="11"/>
      <c r="I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>
      <c r="A149" s="11"/>
      <c r="B149" s="11"/>
      <c r="D149" s="11"/>
      <c r="E149" s="11"/>
      <c r="G149" s="11"/>
      <c r="I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>
      <c r="A150" s="11"/>
      <c r="B150" s="11"/>
      <c r="D150" s="11"/>
      <c r="E150" s="11"/>
      <c r="G150" s="11"/>
      <c r="I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>
      <c r="A151" s="11"/>
      <c r="B151" s="11"/>
      <c r="D151" s="11"/>
      <c r="E151" s="11"/>
      <c r="G151" s="11"/>
      <c r="I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>
      <c r="A152" s="11"/>
      <c r="B152" s="11"/>
      <c r="D152" s="11"/>
      <c r="E152" s="11"/>
      <c r="G152" s="11"/>
      <c r="I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>
      <c r="A153" s="11"/>
      <c r="B153" s="11"/>
      <c r="D153" s="11"/>
      <c r="E153" s="11"/>
      <c r="G153" s="11"/>
      <c r="I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>
      <c r="A154" s="11"/>
      <c r="B154" s="11"/>
      <c r="D154" s="11"/>
      <c r="E154" s="11"/>
      <c r="G154" s="11"/>
      <c r="I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>
      <c r="A155" s="11"/>
      <c r="B155" s="11"/>
      <c r="D155" s="11"/>
      <c r="E155" s="11"/>
      <c r="G155" s="11"/>
      <c r="I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>
      <c r="A156" s="11"/>
      <c r="B156" s="11"/>
      <c r="D156" s="11"/>
      <c r="E156" s="11"/>
      <c r="G156" s="11"/>
      <c r="I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>
      <c r="A157" s="11"/>
      <c r="B157" s="11"/>
      <c r="D157" s="11"/>
      <c r="E157" s="11"/>
      <c r="G157" s="11"/>
      <c r="I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>
      <c r="A158" s="11"/>
      <c r="B158" s="11"/>
      <c r="D158" s="11"/>
      <c r="E158" s="11"/>
      <c r="G158" s="11"/>
      <c r="I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>
      <c r="A159" s="11"/>
      <c r="B159" s="11"/>
      <c r="D159" s="11"/>
      <c r="E159" s="11"/>
      <c r="G159" s="11"/>
      <c r="I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>
      <c r="A160" s="11"/>
      <c r="B160" s="11"/>
      <c r="D160" s="11"/>
      <c r="E160" s="11"/>
      <c r="G160" s="11"/>
      <c r="I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>
      <c r="A161" s="11"/>
      <c r="B161" s="11"/>
      <c r="D161" s="11"/>
      <c r="E161" s="11"/>
      <c r="G161" s="11"/>
      <c r="I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>
      <c r="A162" s="11"/>
      <c r="B162" s="11"/>
      <c r="D162" s="11"/>
      <c r="E162" s="11"/>
      <c r="G162" s="11"/>
      <c r="I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>
      <c r="A163" s="11"/>
      <c r="B163" s="11"/>
      <c r="D163" s="11"/>
      <c r="E163" s="11"/>
      <c r="G163" s="11"/>
      <c r="I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>
      <c r="A164" s="11"/>
      <c r="B164" s="11"/>
      <c r="D164" s="11"/>
      <c r="E164" s="11"/>
      <c r="G164" s="11"/>
      <c r="I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>
      <c r="A165" s="11"/>
      <c r="B165" s="11"/>
      <c r="D165" s="11"/>
      <c r="E165" s="11"/>
      <c r="G165" s="11"/>
      <c r="I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>
      <c r="A166" s="11"/>
      <c r="B166" s="11"/>
      <c r="D166" s="11"/>
      <c r="E166" s="11"/>
      <c r="G166" s="11"/>
      <c r="I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>
      <c r="A167" s="11"/>
      <c r="B167" s="11"/>
      <c r="D167" s="11"/>
      <c r="E167" s="11"/>
      <c r="G167" s="11"/>
      <c r="I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>
      <c r="A168" s="11"/>
      <c r="B168" s="11"/>
      <c r="D168" s="11"/>
      <c r="E168" s="11"/>
      <c r="G168" s="11"/>
      <c r="I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>
      <c r="A169" s="11"/>
      <c r="B169" s="11"/>
      <c r="D169" s="11"/>
      <c r="E169" s="11"/>
      <c r="G169" s="11"/>
      <c r="I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>
      <c r="A170" s="11"/>
      <c r="B170" s="11"/>
      <c r="D170" s="11"/>
      <c r="E170" s="11"/>
      <c r="G170" s="11"/>
      <c r="I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>
      <c r="A171" s="11"/>
      <c r="B171" s="11"/>
      <c r="D171" s="11"/>
      <c r="E171" s="11"/>
      <c r="G171" s="11"/>
      <c r="I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>
      <c r="A172" s="11"/>
      <c r="B172" s="11"/>
      <c r="D172" s="11"/>
      <c r="E172" s="11"/>
      <c r="G172" s="11"/>
      <c r="I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>
      <c r="A173" s="11"/>
      <c r="B173" s="11"/>
      <c r="D173" s="11"/>
      <c r="E173" s="11"/>
      <c r="G173" s="11"/>
      <c r="I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>
      <c r="A174" s="11"/>
      <c r="B174" s="11"/>
      <c r="D174" s="11"/>
      <c r="E174" s="11"/>
      <c r="G174" s="11"/>
      <c r="I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>
      <c r="A175" s="11"/>
      <c r="B175" s="11"/>
      <c r="D175" s="11"/>
      <c r="E175" s="11"/>
      <c r="G175" s="11"/>
      <c r="I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>
      <c r="A176" s="11"/>
      <c r="B176" s="11"/>
      <c r="D176" s="11"/>
      <c r="E176" s="11"/>
      <c r="G176" s="11"/>
      <c r="I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>
      <c r="A177" s="11"/>
      <c r="B177" s="11"/>
      <c r="D177" s="11"/>
      <c r="E177" s="11"/>
      <c r="G177" s="11"/>
      <c r="I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>
      <c r="A178" s="11"/>
      <c r="B178" s="11"/>
      <c r="D178" s="11"/>
      <c r="E178" s="11"/>
      <c r="G178" s="11"/>
      <c r="I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>
      <c r="A179" s="11"/>
      <c r="B179" s="11"/>
      <c r="D179" s="11"/>
      <c r="E179" s="11"/>
      <c r="G179" s="11"/>
      <c r="I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>
      <c r="A180" s="11"/>
      <c r="B180" s="11"/>
      <c r="D180" s="11"/>
      <c r="E180" s="11"/>
      <c r="G180" s="11"/>
      <c r="I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>
      <c r="A181" s="11"/>
      <c r="B181" s="11"/>
      <c r="D181" s="11"/>
      <c r="E181" s="11"/>
      <c r="G181" s="11"/>
      <c r="I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>
      <c r="A182" s="11"/>
      <c r="B182" s="11"/>
      <c r="D182" s="11"/>
      <c r="E182" s="11"/>
      <c r="G182" s="11"/>
      <c r="I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>
      <c r="A183" s="11"/>
      <c r="B183" s="11"/>
      <c r="D183" s="11"/>
      <c r="E183" s="11"/>
      <c r="G183" s="11"/>
      <c r="I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>
      <c r="A184" s="11"/>
      <c r="B184" s="11"/>
      <c r="D184" s="11"/>
      <c r="E184" s="11"/>
      <c r="G184" s="11"/>
      <c r="I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>
      <c r="A185" s="11"/>
      <c r="B185" s="11"/>
      <c r="D185" s="11"/>
      <c r="E185" s="11"/>
      <c r="G185" s="11"/>
      <c r="I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>
      <c r="A186" s="11"/>
      <c r="B186" s="11"/>
      <c r="D186" s="11"/>
      <c r="E186" s="11"/>
      <c r="G186" s="11"/>
      <c r="I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>
      <c r="A187" s="11"/>
      <c r="B187" s="11"/>
      <c r="D187" s="11"/>
      <c r="E187" s="11"/>
      <c r="G187" s="11"/>
      <c r="I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>
      <c r="A188" s="11"/>
      <c r="B188" s="11"/>
      <c r="D188" s="11"/>
      <c r="E188" s="11"/>
      <c r="G188" s="11"/>
      <c r="I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>
      <c r="A189" s="11"/>
      <c r="B189" s="11"/>
      <c r="D189" s="11"/>
      <c r="E189" s="11"/>
      <c r="G189" s="11"/>
      <c r="I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>
      <c r="A190" s="11"/>
      <c r="B190" s="11"/>
      <c r="D190" s="11"/>
      <c r="E190" s="11"/>
      <c r="G190" s="11"/>
      <c r="I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>
      <c r="A191" s="11"/>
      <c r="B191" s="11"/>
      <c r="D191" s="11"/>
      <c r="E191" s="11"/>
      <c r="G191" s="11"/>
      <c r="I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>
      <c r="A192" s="11"/>
      <c r="B192" s="11"/>
      <c r="D192" s="11"/>
      <c r="E192" s="11"/>
      <c r="G192" s="11"/>
      <c r="I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>
      <c r="A193" s="11"/>
      <c r="B193" s="11"/>
      <c r="D193" s="11"/>
      <c r="E193" s="11"/>
      <c r="G193" s="11"/>
      <c r="I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>
      <c r="A194" s="11"/>
      <c r="B194" s="11"/>
      <c r="D194" s="11"/>
      <c r="E194" s="11"/>
      <c r="G194" s="11"/>
      <c r="I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>
      <c r="A195" s="11"/>
      <c r="B195" s="11"/>
      <c r="D195" s="11"/>
      <c r="E195" s="11"/>
      <c r="G195" s="11"/>
      <c r="I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>
      <c r="A196" s="11"/>
      <c r="B196" s="11"/>
      <c r="D196" s="11"/>
      <c r="E196" s="11"/>
      <c r="G196" s="11"/>
      <c r="I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>
      <c r="A197" s="11"/>
      <c r="B197" s="11"/>
      <c r="D197" s="11"/>
      <c r="E197" s="11"/>
      <c r="G197" s="11"/>
      <c r="I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>
      <c r="A198" s="11"/>
      <c r="B198" s="11"/>
      <c r="D198" s="11"/>
      <c r="E198" s="11"/>
      <c r="G198" s="11"/>
      <c r="I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>
      <c r="A199" s="11"/>
      <c r="B199" s="11"/>
      <c r="D199" s="11"/>
      <c r="E199" s="11"/>
      <c r="G199" s="11"/>
      <c r="I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>
      <c r="A200" s="11"/>
      <c r="B200" s="11"/>
      <c r="D200" s="11"/>
      <c r="E200" s="11"/>
      <c r="G200" s="11"/>
      <c r="I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>
      <c r="A201" s="11"/>
      <c r="B201" s="11"/>
      <c r="D201" s="11"/>
      <c r="E201" s="11"/>
      <c r="G201" s="11"/>
      <c r="I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>
      <c r="A202" s="11"/>
      <c r="B202" s="11"/>
      <c r="D202" s="11"/>
      <c r="E202" s="11"/>
      <c r="G202" s="11"/>
      <c r="I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>
      <c r="A203" s="11"/>
      <c r="B203" s="11"/>
      <c r="D203" s="11"/>
      <c r="E203" s="11"/>
      <c r="G203" s="11"/>
      <c r="I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>
      <c r="A204" s="11"/>
      <c r="B204" s="11"/>
      <c r="D204" s="11"/>
      <c r="E204" s="11"/>
      <c r="G204" s="11"/>
      <c r="I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>
      <c r="A205" s="11"/>
      <c r="B205" s="11"/>
      <c r="D205" s="11"/>
      <c r="E205" s="11"/>
      <c r="G205" s="11"/>
      <c r="I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>
      <c r="A206" s="11"/>
      <c r="B206" s="11"/>
      <c r="D206" s="11"/>
      <c r="E206" s="11"/>
      <c r="G206" s="11"/>
      <c r="I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>
      <c r="A207" s="11"/>
      <c r="B207" s="11"/>
      <c r="D207" s="11"/>
      <c r="E207" s="11"/>
      <c r="G207" s="11"/>
      <c r="I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>
      <c r="A208" s="11"/>
      <c r="B208" s="11"/>
      <c r="D208" s="11"/>
      <c r="E208" s="11"/>
      <c r="G208" s="11"/>
      <c r="I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>
      <c r="A209" s="11"/>
      <c r="B209" s="11"/>
      <c r="D209" s="11"/>
      <c r="E209" s="11"/>
      <c r="G209" s="11"/>
      <c r="I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>
      <c r="A210" s="11"/>
      <c r="B210" s="11"/>
      <c r="D210" s="11"/>
      <c r="E210" s="11"/>
      <c r="G210" s="11"/>
      <c r="I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>
      <c r="A211" s="11"/>
      <c r="B211" s="11"/>
      <c r="D211" s="11"/>
      <c r="E211" s="11"/>
      <c r="G211" s="11"/>
      <c r="I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>
      <c r="A212" s="11"/>
      <c r="B212" s="11"/>
      <c r="D212" s="11"/>
      <c r="E212" s="11"/>
      <c r="G212" s="11"/>
      <c r="I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>
      <c r="A213" s="11"/>
      <c r="B213" s="11"/>
      <c r="D213" s="11"/>
      <c r="E213" s="11"/>
      <c r="G213" s="11"/>
      <c r="I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>
      <c r="A214" s="11"/>
      <c r="B214" s="11"/>
      <c r="D214" s="11"/>
      <c r="E214" s="11"/>
      <c r="G214" s="11"/>
      <c r="I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>
      <c r="A215" s="11"/>
      <c r="B215" s="11"/>
      <c r="D215" s="11"/>
      <c r="E215" s="11"/>
      <c r="G215" s="11"/>
      <c r="I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>
      <c r="A216" s="11"/>
      <c r="B216" s="11"/>
      <c r="D216" s="11"/>
      <c r="E216" s="11"/>
      <c r="G216" s="11"/>
      <c r="I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>
      <c r="A217" s="11"/>
      <c r="B217" s="11"/>
      <c r="D217" s="11"/>
      <c r="E217" s="11"/>
      <c r="G217" s="11"/>
      <c r="I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>
      <c r="A218" s="11"/>
      <c r="B218" s="11"/>
      <c r="D218" s="11"/>
      <c r="E218" s="11"/>
      <c r="G218" s="11"/>
      <c r="I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>
      <c r="A219" s="11"/>
      <c r="B219" s="11"/>
      <c r="D219" s="11"/>
      <c r="E219" s="11"/>
      <c r="G219" s="11"/>
      <c r="I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>
      <c r="A220" s="11"/>
      <c r="B220" s="11"/>
      <c r="D220" s="11"/>
      <c r="E220" s="11"/>
      <c r="G220" s="11"/>
      <c r="I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>
      <c r="A221" s="11"/>
      <c r="B221" s="11"/>
      <c r="D221" s="11"/>
      <c r="E221" s="11"/>
      <c r="G221" s="11"/>
      <c r="I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>
      <c r="A222" s="11"/>
      <c r="B222" s="11"/>
      <c r="D222" s="11"/>
      <c r="E222" s="11"/>
      <c r="G222" s="11"/>
      <c r="I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>
      <c r="A223" s="11"/>
      <c r="B223" s="11"/>
      <c r="D223" s="11"/>
      <c r="E223" s="11"/>
      <c r="G223" s="11"/>
      <c r="I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>
      <c r="A224" s="11"/>
      <c r="B224" s="11"/>
      <c r="D224" s="11"/>
      <c r="E224" s="11"/>
      <c r="G224" s="11"/>
      <c r="I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>
      <c r="A225" s="11"/>
      <c r="B225" s="11"/>
      <c r="D225" s="11"/>
      <c r="E225" s="11"/>
      <c r="G225" s="11"/>
      <c r="I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>
      <c r="A226" s="11"/>
      <c r="B226" s="11"/>
      <c r="D226" s="11"/>
      <c r="E226" s="11"/>
      <c r="G226" s="11"/>
      <c r="I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>
      <c r="A227" s="11"/>
      <c r="B227" s="11"/>
      <c r="D227" s="11"/>
      <c r="E227" s="11"/>
      <c r="G227" s="11"/>
      <c r="I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>
      <c r="A228" s="11"/>
      <c r="B228" s="11"/>
      <c r="D228" s="11"/>
      <c r="E228" s="11"/>
      <c r="G228" s="11"/>
      <c r="I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>
      <c r="A229" s="11"/>
      <c r="B229" s="11"/>
      <c r="D229" s="11"/>
      <c r="E229" s="11"/>
      <c r="G229" s="11"/>
      <c r="I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>
      <c r="A230" s="11"/>
      <c r="B230" s="11"/>
      <c r="D230" s="11"/>
      <c r="E230" s="11"/>
      <c r="G230" s="11"/>
      <c r="I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>
      <c r="A231" s="11"/>
      <c r="B231" s="11"/>
      <c r="D231" s="11"/>
      <c r="E231" s="11"/>
      <c r="G231" s="11"/>
      <c r="I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>
      <c r="A232" s="11"/>
      <c r="B232" s="11"/>
      <c r="D232" s="11"/>
      <c r="E232" s="11"/>
      <c r="G232" s="11"/>
      <c r="I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>
      <c r="A233" s="11"/>
      <c r="B233" s="11"/>
      <c r="D233" s="11"/>
      <c r="E233" s="11"/>
      <c r="G233" s="11"/>
      <c r="I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>
      <c r="A234" s="11"/>
      <c r="B234" s="11"/>
      <c r="D234" s="11"/>
      <c r="E234" s="11"/>
      <c r="G234" s="11"/>
      <c r="I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>
      <c r="A235" s="11"/>
      <c r="B235" s="11"/>
      <c r="D235" s="11"/>
      <c r="E235" s="11"/>
      <c r="G235" s="11"/>
      <c r="I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>
      <c r="A236" s="11"/>
      <c r="B236" s="11"/>
      <c r="D236" s="11"/>
      <c r="E236" s="11"/>
      <c r="G236" s="11"/>
      <c r="I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>
      <c r="A237" s="11"/>
      <c r="B237" s="11"/>
      <c r="D237" s="11"/>
      <c r="E237" s="11"/>
      <c r="G237" s="11"/>
      <c r="I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>
      <c r="A238" s="11"/>
      <c r="B238" s="11"/>
      <c r="D238" s="11"/>
      <c r="E238" s="11"/>
      <c r="G238" s="11"/>
      <c r="I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>
      <c r="A239" s="11"/>
      <c r="B239" s="11"/>
      <c r="D239" s="11"/>
      <c r="E239" s="11"/>
      <c r="G239" s="11"/>
      <c r="I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>
      <c r="A240" s="11"/>
      <c r="B240" s="11"/>
      <c r="D240" s="11"/>
      <c r="E240" s="11"/>
      <c r="G240" s="11"/>
      <c r="I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>
      <c r="A241" s="11"/>
      <c r="B241" s="11"/>
      <c r="D241" s="11"/>
      <c r="E241" s="11"/>
      <c r="G241" s="11"/>
      <c r="I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>
      <c r="A242" s="11"/>
      <c r="B242" s="11"/>
      <c r="D242" s="11"/>
      <c r="E242" s="11"/>
      <c r="G242" s="11"/>
      <c r="I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>
      <c r="A243" s="11"/>
      <c r="B243" s="11"/>
      <c r="D243" s="11"/>
      <c r="E243" s="11"/>
      <c r="G243" s="11"/>
      <c r="I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>
      <c r="A244" s="11"/>
      <c r="B244" s="11"/>
      <c r="D244" s="11"/>
      <c r="E244" s="11"/>
      <c r="G244" s="11"/>
      <c r="I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>
      <c r="A245" s="11"/>
      <c r="B245" s="11"/>
      <c r="D245" s="11"/>
      <c r="E245" s="11"/>
      <c r="G245" s="11"/>
      <c r="I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>
      <c r="A246" s="11"/>
      <c r="B246" s="11"/>
      <c r="D246" s="11"/>
      <c r="E246" s="11"/>
      <c r="G246" s="11"/>
      <c r="I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>
      <c r="A247" s="11"/>
      <c r="B247" s="11"/>
      <c r="D247" s="11"/>
      <c r="E247" s="11"/>
      <c r="G247" s="11"/>
      <c r="I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>
      <c r="A248" s="11"/>
      <c r="B248" s="11"/>
      <c r="D248" s="11"/>
      <c r="E248" s="11"/>
      <c r="G248" s="11"/>
      <c r="I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>
      <c r="A249" s="11"/>
      <c r="B249" s="11"/>
      <c r="D249" s="11"/>
      <c r="E249" s="11"/>
      <c r="G249" s="11"/>
      <c r="I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>
      <c r="A250" s="11"/>
      <c r="B250" s="11"/>
      <c r="D250" s="11"/>
      <c r="E250" s="11"/>
      <c r="G250" s="11"/>
      <c r="I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>
      <c r="A251" s="11"/>
      <c r="B251" s="11"/>
      <c r="D251" s="11"/>
      <c r="E251" s="11"/>
      <c r="G251" s="11"/>
      <c r="I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>
      <c r="A252" s="11"/>
      <c r="B252" s="11"/>
      <c r="D252" s="11"/>
      <c r="E252" s="11"/>
      <c r="G252" s="11"/>
      <c r="I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>
      <c r="A253" s="11"/>
      <c r="B253" s="11"/>
      <c r="D253" s="11"/>
      <c r="E253" s="11"/>
      <c r="G253" s="11"/>
      <c r="I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>
      <c r="A254" s="11"/>
      <c r="B254" s="11"/>
      <c r="D254" s="11"/>
      <c r="E254" s="11"/>
      <c r="G254" s="11"/>
      <c r="I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>
      <c r="A255" s="11"/>
      <c r="B255" s="11"/>
      <c r="D255" s="11"/>
      <c r="E255" s="11"/>
      <c r="G255" s="11"/>
      <c r="I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>
      <c r="A256" s="11"/>
      <c r="B256" s="11"/>
      <c r="D256" s="11"/>
      <c r="E256" s="11"/>
      <c r="G256" s="11"/>
      <c r="I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>
      <c r="A257" s="11"/>
      <c r="B257" s="11"/>
      <c r="D257" s="11"/>
      <c r="E257" s="11"/>
      <c r="G257" s="11"/>
      <c r="I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>
      <c r="A258" s="11"/>
      <c r="B258" s="11"/>
      <c r="D258" s="11"/>
      <c r="E258" s="11"/>
      <c r="G258" s="11"/>
      <c r="I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>
      <c r="A259" s="11"/>
      <c r="B259" s="11"/>
      <c r="D259" s="11"/>
      <c r="E259" s="11"/>
      <c r="G259" s="11"/>
      <c r="I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>
      <c r="A260" s="11"/>
      <c r="B260" s="11"/>
      <c r="D260" s="11"/>
      <c r="E260" s="11"/>
      <c r="G260" s="11"/>
      <c r="I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>
      <c r="A261" s="11"/>
      <c r="B261" s="11"/>
      <c r="D261" s="11"/>
      <c r="E261" s="11"/>
      <c r="G261" s="11"/>
      <c r="I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>
      <c r="A262" s="11"/>
      <c r="B262" s="11"/>
      <c r="D262" s="11"/>
      <c r="E262" s="11"/>
      <c r="G262" s="11"/>
      <c r="I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>
      <c r="A263" s="11"/>
      <c r="B263" s="11"/>
      <c r="D263" s="11"/>
      <c r="E263" s="11"/>
      <c r="G263" s="11"/>
      <c r="I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>
      <c r="A264" s="11"/>
      <c r="B264" s="11"/>
      <c r="D264" s="11"/>
      <c r="E264" s="11"/>
      <c r="G264" s="11"/>
      <c r="I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>
      <c r="A265" s="11"/>
      <c r="B265" s="11"/>
      <c r="D265" s="11"/>
      <c r="E265" s="11"/>
      <c r="G265" s="11"/>
      <c r="I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>
      <c r="A266" s="11"/>
      <c r="B266" s="11"/>
      <c r="D266" s="11"/>
      <c r="E266" s="11"/>
      <c r="G266" s="11"/>
      <c r="I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>
      <c r="A267" s="11"/>
      <c r="B267" s="11"/>
      <c r="D267" s="11"/>
      <c r="E267" s="11"/>
      <c r="G267" s="11"/>
      <c r="I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>
      <c r="A268" s="11"/>
      <c r="B268" s="11"/>
      <c r="D268" s="11"/>
      <c r="E268" s="11"/>
      <c r="G268" s="11"/>
      <c r="I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>
      <c r="A269" s="11"/>
      <c r="B269" s="11"/>
      <c r="D269" s="11"/>
      <c r="E269" s="11"/>
      <c r="G269" s="11"/>
      <c r="I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>
      <c r="A270" s="11"/>
      <c r="B270" s="11"/>
      <c r="D270" s="11"/>
      <c r="E270" s="11"/>
      <c r="G270" s="11"/>
      <c r="I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>
      <c r="A271" s="11"/>
      <c r="B271" s="11"/>
      <c r="D271" s="11"/>
      <c r="E271" s="11"/>
      <c r="G271" s="11"/>
      <c r="I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>
      <c r="A272" s="11"/>
      <c r="B272" s="11"/>
      <c r="D272" s="11"/>
      <c r="E272" s="11"/>
      <c r="G272" s="11"/>
      <c r="I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>
      <c r="A273" s="11"/>
      <c r="B273" s="11"/>
      <c r="D273" s="11"/>
      <c r="E273" s="11"/>
      <c r="G273" s="11"/>
      <c r="I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>
      <c r="A274" s="11"/>
      <c r="B274" s="11"/>
      <c r="D274" s="11"/>
      <c r="E274" s="11"/>
      <c r="G274" s="11"/>
      <c r="I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>
      <c r="A275" s="11"/>
      <c r="B275" s="11"/>
      <c r="D275" s="11"/>
      <c r="E275" s="11"/>
      <c r="G275" s="11"/>
      <c r="I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>
      <c r="A276" s="11"/>
      <c r="B276" s="11"/>
      <c r="D276" s="11"/>
      <c r="E276" s="11"/>
      <c r="G276" s="11"/>
      <c r="I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>
      <c r="A277" s="11"/>
      <c r="B277" s="11"/>
      <c r="D277" s="11"/>
      <c r="E277" s="11"/>
      <c r="G277" s="11"/>
      <c r="I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>
      <c r="A278" s="11"/>
      <c r="B278" s="11"/>
      <c r="D278" s="11"/>
      <c r="E278" s="11"/>
      <c r="G278" s="11"/>
      <c r="I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>
      <c r="A279" s="11"/>
      <c r="B279" s="11"/>
      <c r="D279" s="11"/>
      <c r="E279" s="11"/>
      <c r="G279" s="11"/>
      <c r="I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>
      <c r="A280" s="11"/>
      <c r="B280" s="11"/>
      <c r="D280" s="11"/>
      <c r="E280" s="11"/>
      <c r="G280" s="11"/>
      <c r="I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>
      <c r="A281" s="11"/>
      <c r="B281" s="11"/>
      <c r="D281" s="11"/>
      <c r="E281" s="11"/>
      <c r="G281" s="11"/>
      <c r="I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>
      <c r="A282" s="11"/>
      <c r="B282" s="11"/>
      <c r="D282" s="11"/>
      <c r="E282" s="11"/>
      <c r="G282" s="11"/>
      <c r="I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>
      <c r="A283" s="11"/>
      <c r="B283" s="11"/>
      <c r="D283" s="11"/>
      <c r="E283" s="11"/>
      <c r="G283" s="11"/>
      <c r="I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>
      <c r="A284" s="11"/>
      <c r="B284" s="11"/>
      <c r="D284" s="11"/>
      <c r="E284" s="11"/>
      <c r="G284" s="11"/>
      <c r="I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>
      <c r="A285" s="11"/>
      <c r="B285" s="11"/>
      <c r="D285" s="11"/>
      <c r="E285" s="11"/>
      <c r="G285" s="11"/>
      <c r="I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>
      <c r="A286" s="11"/>
      <c r="B286" s="11"/>
      <c r="D286" s="11"/>
      <c r="E286" s="11"/>
      <c r="G286" s="11"/>
      <c r="I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>
      <c r="A287" s="11"/>
      <c r="B287" s="11"/>
      <c r="D287" s="11"/>
      <c r="E287" s="11"/>
      <c r="G287" s="11"/>
      <c r="I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>
      <c r="A288" s="11"/>
      <c r="B288" s="11"/>
      <c r="D288" s="11"/>
      <c r="E288" s="11"/>
      <c r="G288" s="11"/>
      <c r="I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>
      <c r="A289" s="11"/>
      <c r="B289" s="11"/>
      <c r="D289" s="11"/>
      <c r="E289" s="11"/>
      <c r="G289" s="11"/>
      <c r="I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>
      <c r="A290" s="11"/>
      <c r="B290" s="11"/>
      <c r="D290" s="11"/>
      <c r="E290" s="11"/>
      <c r="G290" s="11"/>
      <c r="I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>
      <c r="A291" s="11"/>
      <c r="B291" s="11"/>
      <c r="D291" s="11"/>
      <c r="E291" s="11"/>
      <c r="G291" s="11"/>
      <c r="I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>
      <c r="A292" s="11"/>
      <c r="B292" s="11"/>
      <c r="D292" s="11"/>
      <c r="E292" s="11"/>
      <c r="G292" s="11"/>
      <c r="I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>
      <c r="A293" s="11"/>
      <c r="B293" s="11"/>
      <c r="D293" s="11"/>
      <c r="E293" s="11"/>
      <c r="G293" s="11"/>
      <c r="I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>
      <c r="A294" s="11"/>
      <c r="B294" s="11"/>
      <c r="D294" s="11"/>
      <c r="E294" s="11"/>
      <c r="G294" s="11"/>
      <c r="I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>
      <c r="A295" s="11"/>
      <c r="B295" s="11"/>
      <c r="D295" s="11"/>
      <c r="E295" s="11"/>
      <c r="G295" s="11"/>
      <c r="I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>
      <c r="A296" s="11"/>
      <c r="B296" s="11"/>
      <c r="D296" s="11"/>
      <c r="E296" s="11"/>
      <c r="G296" s="11"/>
      <c r="I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>
      <c r="A297" s="11"/>
      <c r="B297" s="11"/>
      <c r="D297" s="11"/>
      <c r="E297" s="11"/>
      <c r="G297" s="11"/>
      <c r="I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>
      <c r="A298" s="11"/>
      <c r="B298" s="11"/>
      <c r="D298" s="11"/>
      <c r="E298" s="11"/>
      <c r="G298" s="11"/>
      <c r="I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>
      <c r="A299" s="11"/>
      <c r="B299" s="11"/>
      <c r="D299" s="11"/>
      <c r="E299" s="11"/>
      <c r="G299" s="11"/>
      <c r="I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>
      <c r="A300" s="11"/>
      <c r="B300" s="11"/>
      <c r="D300" s="11"/>
      <c r="E300" s="11"/>
      <c r="G300" s="11"/>
      <c r="I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>
      <c r="A301" s="11"/>
      <c r="B301" s="11"/>
      <c r="D301" s="11"/>
      <c r="E301" s="11"/>
      <c r="G301" s="11"/>
      <c r="I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>
      <c r="A302" s="11"/>
      <c r="B302" s="11"/>
      <c r="D302" s="11"/>
      <c r="E302" s="11"/>
      <c r="G302" s="11"/>
      <c r="I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>
      <c r="A303" s="11"/>
      <c r="B303" s="11"/>
      <c r="D303" s="11"/>
      <c r="E303" s="11"/>
      <c r="G303" s="11"/>
      <c r="I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>
      <c r="A304" s="11"/>
      <c r="B304" s="11"/>
      <c r="D304" s="11"/>
      <c r="E304" s="11"/>
      <c r="G304" s="11"/>
      <c r="I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>
      <c r="A305" s="11"/>
      <c r="B305" s="11"/>
      <c r="D305" s="11"/>
      <c r="E305" s="11"/>
      <c r="G305" s="11"/>
      <c r="I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>
      <c r="A306" s="11"/>
      <c r="B306" s="11"/>
      <c r="D306" s="11"/>
      <c r="E306" s="11"/>
      <c r="G306" s="11"/>
      <c r="I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>
      <c r="A307" s="11"/>
      <c r="B307" s="11"/>
      <c r="D307" s="11"/>
      <c r="E307" s="11"/>
      <c r="G307" s="11"/>
      <c r="I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>
      <c r="A308" s="11"/>
      <c r="B308" s="11"/>
      <c r="D308" s="11"/>
      <c r="E308" s="11"/>
      <c r="G308" s="11"/>
      <c r="I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>
      <c r="A309" s="11"/>
      <c r="B309" s="11"/>
      <c r="D309" s="11"/>
      <c r="E309" s="11"/>
      <c r="G309" s="11"/>
      <c r="I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>
      <c r="A310" s="11"/>
      <c r="B310" s="11"/>
      <c r="D310" s="11"/>
      <c r="E310" s="11"/>
      <c r="G310" s="11"/>
      <c r="I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>
      <c r="A311" s="11"/>
      <c r="B311" s="11"/>
      <c r="D311" s="11"/>
      <c r="E311" s="11"/>
      <c r="G311" s="11"/>
      <c r="I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>
      <c r="A312" s="11"/>
      <c r="B312" s="11"/>
      <c r="D312" s="11"/>
      <c r="E312" s="11"/>
      <c r="G312" s="11"/>
      <c r="I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>
      <c r="A313" s="11"/>
      <c r="B313" s="11"/>
      <c r="D313" s="11"/>
      <c r="E313" s="11"/>
      <c r="G313" s="11"/>
      <c r="I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>
      <c r="A314" s="11"/>
      <c r="B314" s="11"/>
      <c r="D314" s="11"/>
      <c r="E314" s="11"/>
      <c r="G314" s="11"/>
      <c r="I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>
      <c r="A315" s="11"/>
      <c r="B315" s="11"/>
      <c r="D315" s="11"/>
      <c r="E315" s="11"/>
      <c r="G315" s="11"/>
      <c r="I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>
      <c r="A316" s="11"/>
      <c r="B316" s="11"/>
      <c r="D316" s="11"/>
      <c r="E316" s="11"/>
      <c r="G316" s="11"/>
      <c r="I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>
      <c r="A317" s="11"/>
      <c r="B317" s="11"/>
      <c r="D317" s="11"/>
      <c r="E317" s="11"/>
      <c r="G317" s="11"/>
      <c r="I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>
      <c r="A318" s="11"/>
      <c r="B318" s="11"/>
      <c r="D318" s="11"/>
      <c r="E318" s="11"/>
      <c r="G318" s="11"/>
      <c r="I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>
      <c r="A319" s="11"/>
      <c r="B319" s="11"/>
      <c r="D319" s="11"/>
      <c r="E319" s="11"/>
      <c r="G319" s="11"/>
      <c r="I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>
      <c r="A320" s="11"/>
      <c r="B320" s="11"/>
      <c r="D320" s="11"/>
      <c r="E320" s="11"/>
      <c r="G320" s="11"/>
      <c r="I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>
      <c r="A321" s="11"/>
      <c r="B321" s="11"/>
      <c r="D321" s="11"/>
      <c r="E321" s="11"/>
      <c r="G321" s="11"/>
      <c r="I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>
      <c r="A322" s="11"/>
      <c r="B322" s="11"/>
      <c r="D322" s="11"/>
      <c r="E322" s="11"/>
      <c r="G322" s="11"/>
      <c r="I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>
      <c r="A323" s="11"/>
      <c r="B323" s="11"/>
      <c r="D323" s="11"/>
      <c r="E323" s="11"/>
      <c r="G323" s="11"/>
      <c r="I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>
      <c r="A324" s="11"/>
      <c r="B324" s="11"/>
      <c r="D324" s="11"/>
      <c r="E324" s="11"/>
      <c r="G324" s="11"/>
      <c r="I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>
      <c r="A325" s="11"/>
      <c r="B325" s="11"/>
      <c r="D325" s="11"/>
      <c r="E325" s="11"/>
      <c r="G325" s="11"/>
      <c r="I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>
      <c r="A326" s="11"/>
      <c r="B326" s="11"/>
      <c r="D326" s="11"/>
      <c r="E326" s="11"/>
      <c r="G326" s="11"/>
      <c r="I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>
      <c r="A327" s="11"/>
      <c r="B327" s="11"/>
      <c r="D327" s="11"/>
      <c r="E327" s="11"/>
      <c r="G327" s="11"/>
      <c r="I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>
      <c r="A328" s="11"/>
      <c r="B328" s="11"/>
      <c r="D328" s="11"/>
      <c r="E328" s="11"/>
      <c r="G328" s="11"/>
      <c r="I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>
      <c r="A329" s="11"/>
      <c r="B329" s="11"/>
      <c r="D329" s="11"/>
      <c r="E329" s="11"/>
      <c r="G329" s="11"/>
      <c r="I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>
      <c r="A330" s="11"/>
      <c r="B330" s="11"/>
      <c r="D330" s="11"/>
      <c r="E330" s="11"/>
      <c r="G330" s="11"/>
      <c r="I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>
      <c r="A331" s="11"/>
      <c r="B331" s="11"/>
      <c r="D331" s="11"/>
      <c r="E331" s="11"/>
      <c r="G331" s="11"/>
      <c r="I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>
      <c r="A332" s="11"/>
      <c r="B332" s="11"/>
      <c r="D332" s="11"/>
      <c r="E332" s="11"/>
      <c r="G332" s="11"/>
      <c r="I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>
      <c r="A333" s="11"/>
      <c r="B333" s="11"/>
      <c r="D333" s="11"/>
      <c r="E333" s="11"/>
      <c r="G333" s="11"/>
      <c r="I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>
      <c r="A334" s="11"/>
      <c r="B334" s="11"/>
      <c r="D334" s="11"/>
      <c r="E334" s="11"/>
      <c r="G334" s="11"/>
      <c r="I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>
      <c r="A335" s="11"/>
      <c r="B335" s="11"/>
      <c r="D335" s="11"/>
      <c r="E335" s="11"/>
      <c r="G335" s="11"/>
      <c r="I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>
      <c r="A336" s="11"/>
      <c r="B336" s="11"/>
      <c r="D336" s="11"/>
      <c r="E336" s="11"/>
      <c r="G336" s="11"/>
      <c r="I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>
      <c r="A337" s="11"/>
      <c r="B337" s="11"/>
      <c r="D337" s="11"/>
      <c r="E337" s="11"/>
      <c r="G337" s="11"/>
      <c r="I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>
      <c r="A338" s="11"/>
      <c r="B338" s="11"/>
      <c r="D338" s="11"/>
      <c r="E338" s="11"/>
      <c r="G338" s="11"/>
      <c r="I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>
      <c r="A339" s="11"/>
      <c r="B339" s="11"/>
      <c r="D339" s="11"/>
      <c r="E339" s="11"/>
      <c r="G339" s="11"/>
      <c r="I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>
      <c r="A340" s="11"/>
      <c r="B340" s="11"/>
      <c r="D340" s="11"/>
      <c r="E340" s="11"/>
      <c r="G340" s="11"/>
      <c r="I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>
      <c r="A341" s="11"/>
      <c r="B341" s="11"/>
      <c r="D341" s="11"/>
      <c r="E341" s="11"/>
      <c r="G341" s="11"/>
      <c r="I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>
      <c r="A342" s="11"/>
      <c r="B342" s="11"/>
      <c r="D342" s="11"/>
      <c r="E342" s="11"/>
      <c r="G342" s="11"/>
      <c r="I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>
      <c r="A343" s="11"/>
      <c r="B343" s="11"/>
      <c r="D343" s="11"/>
      <c r="E343" s="11"/>
      <c r="G343" s="11"/>
      <c r="I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>
      <c r="A344" s="11"/>
      <c r="B344" s="11"/>
      <c r="D344" s="11"/>
      <c r="E344" s="11"/>
      <c r="G344" s="11"/>
      <c r="I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>
      <c r="A345" s="11"/>
      <c r="B345" s="11"/>
      <c r="D345" s="11"/>
      <c r="E345" s="11"/>
      <c r="G345" s="11"/>
      <c r="I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>
      <c r="A346" s="11"/>
      <c r="B346" s="11"/>
      <c r="D346" s="11"/>
      <c r="E346" s="11"/>
      <c r="G346" s="11"/>
      <c r="I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>
      <c r="A347" s="11"/>
      <c r="B347" s="11"/>
      <c r="D347" s="11"/>
      <c r="E347" s="11"/>
      <c r="G347" s="11"/>
      <c r="I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>
      <c r="A348" s="11"/>
      <c r="B348" s="11"/>
      <c r="D348" s="11"/>
      <c r="E348" s="11"/>
      <c r="G348" s="11"/>
      <c r="I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>
      <c r="A349" s="11"/>
      <c r="B349" s="11"/>
      <c r="D349" s="11"/>
      <c r="E349" s="11"/>
      <c r="G349" s="11"/>
      <c r="I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>
      <c r="A350" s="11"/>
      <c r="B350" s="11"/>
      <c r="D350" s="11"/>
      <c r="E350" s="11"/>
      <c r="G350" s="11"/>
      <c r="I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>
      <c r="A351" s="11"/>
      <c r="B351" s="11"/>
      <c r="D351" s="11"/>
      <c r="E351" s="11"/>
      <c r="G351" s="11"/>
      <c r="I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>
      <c r="A352" s="11"/>
      <c r="B352" s="11"/>
      <c r="D352" s="11"/>
      <c r="E352" s="11"/>
      <c r="G352" s="11"/>
      <c r="I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>
      <c r="A353" s="11"/>
      <c r="B353" s="11"/>
      <c r="D353" s="11"/>
      <c r="E353" s="11"/>
      <c r="G353" s="11"/>
      <c r="I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>
      <c r="A354" s="11"/>
      <c r="B354" s="11"/>
      <c r="D354" s="11"/>
      <c r="E354" s="11"/>
      <c r="G354" s="11"/>
      <c r="I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>
      <c r="A355" s="11"/>
      <c r="B355" s="11"/>
      <c r="D355" s="11"/>
      <c r="E355" s="11"/>
      <c r="G355" s="11"/>
      <c r="I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>
      <c r="A356" s="11"/>
      <c r="B356" s="11"/>
      <c r="D356" s="11"/>
      <c r="E356" s="11"/>
      <c r="G356" s="11"/>
      <c r="I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>
      <c r="A357" s="11"/>
      <c r="B357" s="11"/>
      <c r="D357" s="11"/>
      <c r="E357" s="11"/>
      <c r="G357" s="11"/>
      <c r="I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>
      <c r="A358" s="11"/>
      <c r="B358" s="11"/>
      <c r="D358" s="11"/>
      <c r="E358" s="11"/>
      <c r="G358" s="11"/>
      <c r="I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>
      <c r="A359" s="11"/>
      <c r="B359" s="11"/>
      <c r="D359" s="11"/>
      <c r="E359" s="11"/>
      <c r="G359" s="11"/>
      <c r="I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>
      <c r="A360" s="11"/>
      <c r="B360" s="11"/>
      <c r="D360" s="11"/>
      <c r="E360" s="11"/>
      <c r="G360" s="11"/>
      <c r="I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>
      <c r="A361" s="11"/>
      <c r="B361" s="11"/>
      <c r="D361" s="11"/>
      <c r="E361" s="11"/>
      <c r="G361" s="11"/>
      <c r="I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>
      <c r="A362" s="11"/>
      <c r="B362" s="11"/>
      <c r="D362" s="11"/>
      <c r="E362" s="11"/>
      <c r="G362" s="11"/>
      <c r="I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>
      <c r="A363" s="11"/>
      <c r="B363" s="11"/>
      <c r="D363" s="11"/>
      <c r="E363" s="11"/>
      <c r="G363" s="11"/>
      <c r="I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>
      <c r="A364" s="11"/>
      <c r="B364" s="11"/>
      <c r="D364" s="11"/>
      <c r="E364" s="11"/>
      <c r="G364" s="11"/>
      <c r="I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>
      <c r="A365" s="11"/>
      <c r="B365" s="11"/>
      <c r="D365" s="11"/>
      <c r="E365" s="11"/>
      <c r="G365" s="11"/>
      <c r="I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>
      <c r="A366" s="11"/>
      <c r="B366" s="11"/>
      <c r="D366" s="11"/>
      <c r="E366" s="11"/>
      <c r="G366" s="11"/>
      <c r="I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>
      <c r="A367" s="11"/>
      <c r="B367" s="11"/>
      <c r="D367" s="11"/>
      <c r="E367" s="11"/>
      <c r="G367" s="11"/>
      <c r="I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>
      <c r="A368" s="11"/>
      <c r="B368" s="11"/>
      <c r="D368" s="11"/>
      <c r="E368" s="11"/>
      <c r="G368" s="11"/>
      <c r="I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>
      <c r="A369" s="11"/>
      <c r="B369" s="11"/>
      <c r="D369" s="11"/>
      <c r="E369" s="11"/>
      <c r="G369" s="11"/>
      <c r="I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>
      <c r="A370" s="11"/>
      <c r="B370" s="11"/>
      <c r="D370" s="11"/>
      <c r="E370" s="11"/>
      <c r="G370" s="11"/>
      <c r="I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>
      <c r="A371" s="11"/>
      <c r="B371" s="11"/>
      <c r="D371" s="11"/>
      <c r="E371" s="11"/>
      <c r="G371" s="11"/>
      <c r="I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>
      <c r="A372" s="11"/>
      <c r="B372" s="11"/>
      <c r="D372" s="11"/>
      <c r="E372" s="11"/>
      <c r="G372" s="11"/>
      <c r="I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>
      <c r="A373" s="11"/>
      <c r="B373" s="11"/>
      <c r="D373" s="11"/>
      <c r="E373" s="11"/>
      <c r="G373" s="11"/>
      <c r="I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>
      <c r="A374" s="11"/>
      <c r="B374" s="11"/>
      <c r="D374" s="11"/>
      <c r="E374" s="11"/>
      <c r="G374" s="11"/>
      <c r="I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>
      <c r="A375" s="11"/>
      <c r="B375" s="11"/>
      <c r="D375" s="11"/>
      <c r="E375" s="11"/>
      <c r="G375" s="11"/>
      <c r="I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>
      <c r="A376" s="11"/>
      <c r="B376" s="11"/>
      <c r="D376" s="11"/>
      <c r="E376" s="11"/>
      <c r="G376" s="11"/>
      <c r="I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>
      <c r="A377" s="11"/>
      <c r="B377" s="11"/>
      <c r="D377" s="11"/>
      <c r="E377" s="11"/>
      <c r="G377" s="11"/>
      <c r="I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>
      <c r="A378" s="11"/>
      <c r="B378" s="11"/>
      <c r="D378" s="11"/>
      <c r="E378" s="11"/>
      <c r="G378" s="11"/>
      <c r="I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>
      <c r="A379" s="11"/>
      <c r="B379" s="11"/>
      <c r="D379" s="11"/>
      <c r="E379" s="11"/>
      <c r="G379" s="11"/>
      <c r="I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>
      <c r="A380" s="11"/>
      <c r="B380" s="11"/>
      <c r="D380" s="11"/>
      <c r="E380" s="11"/>
      <c r="G380" s="11"/>
      <c r="I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>
      <c r="A381" s="11"/>
      <c r="B381" s="11"/>
      <c r="D381" s="11"/>
      <c r="E381" s="11"/>
      <c r="G381" s="11"/>
      <c r="I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>
      <c r="A382" s="11"/>
      <c r="B382" s="11"/>
      <c r="D382" s="11"/>
      <c r="E382" s="11"/>
      <c r="G382" s="11"/>
      <c r="I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>
      <c r="A383" s="11"/>
      <c r="B383" s="11"/>
      <c r="D383" s="11"/>
      <c r="E383" s="11"/>
      <c r="G383" s="11"/>
      <c r="I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>
      <c r="A384" s="11"/>
      <c r="B384" s="11"/>
      <c r="D384" s="11"/>
      <c r="E384" s="11"/>
      <c r="G384" s="11"/>
      <c r="I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>
      <c r="A385" s="11"/>
      <c r="B385" s="11"/>
      <c r="D385" s="11"/>
      <c r="E385" s="11"/>
      <c r="G385" s="11"/>
      <c r="I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>
      <c r="A386" s="11"/>
      <c r="B386" s="11"/>
      <c r="D386" s="11"/>
      <c r="E386" s="11"/>
      <c r="G386" s="11"/>
      <c r="I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>
      <c r="A387" s="11"/>
      <c r="B387" s="11"/>
      <c r="D387" s="11"/>
      <c r="E387" s="11"/>
      <c r="G387" s="11"/>
      <c r="I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>
      <c r="A388" s="11"/>
      <c r="B388" s="11"/>
      <c r="D388" s="11"/>
      <c r="E388" s="11"/>
      <c r="G388" s="11"/>
      <c r="I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>
      <c r="A389" s="11"/>
      <c r="B389" s="11"/>
      <c r="D389" s="11"/>
      <c r="E389" s="11"/>
      <c r="G389" s="11"/>
      <c r="I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>
      <c r="A390" s="11"/>
      <c r="B390" s="11"/>
      <c r="D390" s="11"/>
      <c r="E390" s="11"/>
      <c r="G390" s="11"/>
      <c r="I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>
      <c r="A391" s="11"/>
      <c r="B391" s="11"/>
      <c r="D391" s="11"/>
      <c r="E391" s="11"/>
      <c r="G391" s="11"/>
      <c r="I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>
      <c r="A392" s="11"/>
      <c r="B392" s="11"/>
      <c r="D392" s="11"/>
      <c r="E392" s="11"/>
      <c r="G392" s="11"/>
      <c r="I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>
      <c r="A393" s="11"/>
      <c r="B393" s="11"/>
      <c r="D393" s="11"/>
      <c r="E393" s="11"/>
      <c r="G393" s="11"/>
      <c r="I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>
      <c r="A394" s="11"/>
      <c r="B394" s="11"/>
      <c r="D394" s="11"/>
      <c r="E394" s="11"/>
      <c r="G394" s="11"/>
      <c r="I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>
      <c r="A395" s="11"/>
      <c r="B395" s="11"/>
      <c r="D395" s="11"/>
      <c r="E395" s="11"/>
      <c r="G395" s="11"/>
      <c r="I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>
      <c r="A396" s="11"/>
      <c r="B396" s="11"/>
      <c r="D396" s="11"/>
      <c r="E396" s="11"/>
      <c r="G396" s="11"/>
      <c r="I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>
      <c r="A397" s="11"/>
      <c r="B397" s="11"/>
      <c r="D397" s="11"/>
      <c r="E397" s="11"/>
      <c r="G397" s="11"/>
      <c r="I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>
      <c r="A398" s="11"/>
      <c r="B398" s="11"/>
      <c r="D398" s="11"/>
      <c r="E398" s="11"/>
      <c r="G398" s="11"/>
      <c r="I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>
      <c r="A399" s="11"/>
      <c r="B399" s="11"/>
      <c r="D399" s="11"/>
      <c r="E399" s="11"/>
      <c r="G399" s="11"/>
      <c r="I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>
      <c r="A400" s="11"/>
      <c r="B400" s="11"/>
      <c r="D400" s="11"/>
      <c r="E400" s="11"/>
      <c r="G400" s="11"/>
      <c r="I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>
      <c r="A401" s="11"/>
      <c r="B401" s="11"/>
      <c r="D401" s="11"/>
      <c r="E401" s="11"/>
      <c r="G401" s="11"/>
      <c r="I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>
      <c r="A402" s="11"/>
      <c r="B402" s="11"/>
      <c r="D402" s="11"/>
      <c r="E402" s="11"/>
      <c r="G402" s="11"/>
      <c r="I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>
      <c r="A403" s="11"/>
      <c r="B403" s="11"/>
      <c r="D403" s="11"/>
      <c r="E403" s="11"/>
      <c r="G403" s="11"/>
      <c r="I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>
      <c r="A404" s="11"/>
      <c r="B404" s="11"/>
      <c r="D404" s="11"/>
      <c r="E404" s="11"/>
      <c r="G404" s="11"/>
      <c r="I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>
      <c r="A405" s="11"/>
      <c r="B405" s="11"/>
      <c r="D405" s="11"/>
      <c r="E405" s="11"/>
      <c r="G405" s="11"/>
      <c r="I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>
      <c r="A406" s="11"/>
      <c r="B406" s="11"/>
      <c r="D406" s="11"/>
      <c r="E406" s="11"/>
      <c r="G406" s="11"/>
      <c r="I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>
      <c r="A407" s="11"/>
      <c r="B407" s="11"/>
      <c r="D407" s="11"/>
      <c r="E407" s="11"/>
      <c r="G407" s="11"/>
      <c r="I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>
      <c r="A408" s="11"/>
      <c r="B408" s="11"/>
      <c r="D408" s="11"/>
      <c r="E408" s="11"/>
      <c r="G408" s="11"/>
      <c r="I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>
      <c r="A409" s="11"/>
      <c r="B409" s="11"/>
      <c r="D409" s="11"/>
      <c r="E409" s="11"/>
      <c r="G409" s="11"/>
      <c r="I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>
      <c r="A410" s="11"/>
      <c r="B410" s="11"/>
      <c r="D410" s="11"/>
      <c r="E410" s="11"/>
      <c r="G410" s="11"/>
      <c r="I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>
      <c r="A411" s="11"/>
      <c r="B411" s="11"/>
      <c r="D411" s="11"/>
      <c r="E411" s="11"/>
      <c r="G411" s="11"/>
      <c r="I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>
      <c r="A412" s="11"/>
      <c r="B412" s="11"/>
      <c r="D412" s="11"/>
      <c r="E412" s="11"/>
      <c r="G412" s="11"/>
      <c r="I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>
      <c r="A413" s="11"/>
      <c r="B413" s="11"/>
      <c r="D413" s="11"/>
      <c r="E413" s="11"/>
      <c r="G413" s="11"/>
      <c r="I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>
      <c r="A414" s="11"/>
      <c r="B414" s="11"/>
      <c r="D414" s="11"/>
      <c r="E414" s="11"/>
      <c r="G414" s="11"/>
      <c r="I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>
      <c r="A415" s="11"/>
      <c r="B415" s="11"/>
      <c r="D415" s="11"/>
      <c r="E415" s="11"/>
      <c r="G415" s="11"/>
      <c r="I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>
      <c r="A416" s="11"/>
      <c r="B416" s="11"/>
      <c r="D416" s="11"/>
      <c r="E416" s="11"/>
      <c r="G416" s="11"/>
      <c r="I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>
      <c r="A417" s="11"/>
      <c r="B417" s="11"/>
      <c r="D417" s="11"/>
      <c r="E417" s="11"/>
      <c r="G417" s="11"/>
      <c r="I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>
      <c r="A418" s="11"/>
      <c r="B418" s="11"/>
      <c r="D418" s="11"/>
      <c r="E418" s="11"/>
      <c r="G418" s="11"/>
      <c r="I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>
      <c r="A419" s="11"/>
      <c r="B419" s="11"/>
      <c r="D419" s="11"/>
      <c r="E419" s="11"/>
      <c r="G419" s="11"/>
      <c r="I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>
      <c r="A420" s="11"/>
      <c r="B420" s="11"/>
      <c r="D420" s="11"/>
      <c r="E420" s="11"/>
      <c r="G420" s="11"/>
      <c r="I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>
      <c r="A421" s="11"/>
      <c r="B421" s="11"/>
      <c r="D421" s="11"/>
      <c r="E421" s="11"/>
      <c r="G421" s="11"/>
      <c r="I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>
      <c r="A422" s="11"/>
      <c r="B422" s="11"/>
      <c r="D422" s="11"/>
      <c r="E422" s="11"/>
      <c r="G422" s="11"/>
      <c r="I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>
      <c r="A423" s="11"/>
      <c r="B423" s="11"/>
      <c r="D423" s="11"/>
      <c r="E423" s="11"/>
      <c r="G423" s="11"/>
      <c r="I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>
      <c r="A424" s="11"/>
      <c r="B424" s="11"/>
      <c r="D424" s="11"/>
      <c r="E424" s="11"/>
      <c r="G424" s="11"/>
      <c r="I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>
      <c r="A425" s="11"/>
      <c r="B425" s="11"/>
      <c r="D425" s="11"/>
      <c r="E425" s="11"/>
      <c r="G425" s="11"/>
      <c r="I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>
      <c r="A426" s="11"/>
      <c r="B426" s="11"/>
      <c r="D426" s="11"/>
      <c r="E426" s="11"/>
      <c r="G426" s="11"/>
      <c r="I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>
      <c r="A427" s="11"/>
      <c r="B427" s="11"/>
      <c r="D427" s="11"/>
      <c r="E427" s="11"/>
      <c r="G427" s="11"/>
      <c r="I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>
      <c r="A428" s="11"/>
      <c r="B428" s="11"/>
      <c r="D428" s="11"/>
      <c r="E428" s="11"/>
      <c r="G428" s="11"/>
      <c r="I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>
      <c r="A429" s="11"/>
      <c r="B429" s="11"/>
      <c r="D429" s="11"/>
      <c r="E429" s="11"/>
      <c r="G429" s="11"/>
      <c r="I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>
      <c r="A430" s="11"/>
      <c r="B430" s="11"/>
      <c r="D430" s="11"/>
      <c r="E430" s="11"/>
      <c r="G430" s="11"/>
      <c r="I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>
      <c r="A431" s="11"/>
      <c r="B431" s="11"/>
      <c r="D431" s="11"/>
      <c r="E431" s="11"/>
      <c r="G431" s="11"/>
      <c r="I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>
      <c r="A432" s="11"/>
      <c r="B432" s="11"/>
      <c r="D432" s="11"/>
      <c r="E432" s="11"/>
      <c r="G432" s="11"/>
      <c r="I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>
      <c r="A433" s="11"/>
      <c r="B433" s="11"/>
      <c r="D433" s="11"/>
      <c r="E433" s="11"/>
      <c r="G433" s="11"/>
      <c r="I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>
      <c r="A434" s="11"/>
      <c r="B434" s="11"/>
      <c r="D434" s="11"/>
      <c r="E434" s="11"/>
      <c r="G434" s="11"/>
      <c r="I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>
      <c r="A435" s="11"/>
      <c r="B435" s="11"/>
      <c r="D435" s="11"/>
      <c r="E435" s="11"/>
      <c r="G435" s="11"/>
      <c r="I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>
      <c r="A436" s="11"/>
      <c r="B436" s="11"/>
      <c r="D436" s="11"/>
      <c r="E436" s="11"/>
      <c r="G436" s="11"/>
      <c r="I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>
      <c r="A437" s="11"/>
      <c r="B437" s="11"/>
      <c r="D437" s="11"/>
      <c r="E437" s="11"/>
      <c r="G437" s="11"/>
      <c r="I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>
      <c r="A438" s="11"/>
      <c r="B438" s="11"/>
      <c r="D438" s="11"/>
      <c r="E438" s="11"/>
      <c r="G438" s="11"/>
      <c r="I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>
      <c r="A439" s="11"/>
      <c r="B439" s="11"/>
      <c r="D439" s="11"/>
      <c r="E439" s="11"/>
      <c r="G439" s="11"/>
      <c r="I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>
      <c r="A440" s="11"/>
      <c r="B440" s="11"/>
      <c r="D440" s="11"/>
      <c r="E440" s="11"/>
      <c r="G440" s="11"/>
      <c r="I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>
      <c r="A441" s="11"/>
      <c r="B441" s="11"/>
      <c r="D441" s="11"/>
      <c r="E441" s="11"/>
      <c r="G441" s="11"/>
      <c r="I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>
      <c r="A442" s="11"/>
      <c r="B442" s="11"/>
      <c r="D442" s="11"/>
      <c r="E442" s="11"/>
      <c r="G442" s="11"/>
      <c r="I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>
      <c r="A443" s="11"/>
      <c r="B443" s="11"/>
      <c r="D443" s="11"/>
      <c r="E443" s="11"/>
      <c r="G443" s="11"/>
      <c r="I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>
      <c r="A444" s="11"/>
      <c r="B444" s="11"/>
      <c r="D444" s="11"/>
      <c r="E444" s="11"/>
      <c r="G444" s="11"/>
      <c r="I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>
      <c r="A445" s="11"/>
      <c r="B445" s="11"/>
      <c r="D445" s="11"/>
      <c r="E445" s="11"/>
      <c r="G445" s="11"/>
      <c r="I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>
      <c r="A446" s="11"/>
      <c r="B446" s="11"/>
      <c r="D446" s="11"/>
      <c r="E446" s="11"/>
      <c r="G446" s="11"/>
      <c r="I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>
      <c r="A447" s="11"/>
      <c r="B447" s="11"/>
      <c r="D447" s="11"/>
      <c r="E447" s="11"/>
      <c r="G447" s="11"/>
      <c r="I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>
      <c r="A448" s="11"/>
      <c r="B448" s="11"/>
      <c r="D448" s="11"/>
      <c r="E448" s="11"/>
      <c r="G448" s="11"/>
      <c r="I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>
      <c r="A449" s="11"/>
      <c r="B449" s="11"/>
      <c r="D449" s="11"/>
      <c r="E449" s="11"/>
      <c r="G449" s="11"/>
      <c r="I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>
      <c r="A450" s="11"/>
      <c r="B450" s="11"/>
      <c r="D450" s="11"/>
      <c r="E450" s="11"/>
      <c r="G450" s="11"/>
      <c r="I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>
      <c r="A451" s="11"/>
      <c r="B451" s="11"/>
      <c r="D451" s="11"/>
      <c r="E451" s="11"/>
      <c r="G451" s="11"/>
      <c r="I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>
      <c r="A452" s="11"/>
      <c r="B452" s="11"/>
      <c r="D452" s="11"/>
      <c r="E452" s="11"/>
      <c r="G452" s="11"/>
      <c r="I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>
      <c r="A453" s="11"/>
      <c r="B453" s="11"/>
      <c r="D453" s="11"/>
      <c r="E453" s="11"/>
      <c r="G453" s="11"/>
      <c r="I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>
      <c r="A454" s="11"/>
      <c r="B454" s="11"/>
      <c r="D454" s="11"/>
      <c r="E454" s="11"/>
      <c r="G454" s="11"/>
      <c r="I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>
      <c r="A455" s="11"/>
      <c r="B455" s="11"/>
      <c r="D455" s="11"/>
      <c r="E455" s="11"/>
      <c r="G455" s="11"/>
      <c r="I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>
      <c r="A456" s="11"/>
      <c r="B456" s="11"/>
      <c r="D456" s="11"/>
      <c r="E456" s="11"/>
      <c r="G456" s="11"/>
      <c r="I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>
      <c r="A457" s="11"/>
      <c r="B457" s="11"/>
      <c r="D457" s="11"/>
      <c r="E457" s="11"/>
      <c r="G457" s="11"/>
      <c r="I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>
      <c r="A458" s="11"/>
      <c r="B458" s="11"/>
      <c r="D458" s="11"/>
      <c r="E458" s="11"/>
      <c r="G458" s="11"/>
      <c r="I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>
      <c r="A459" s="11"/>
      <c r="B459" s="11"/>
      <c r="D459" s="11"/>
      <c r="E459" s="11"/>
      <c r="G459" s="11"/>
      <c r="I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>
      <c r="A460" s="11"/>
      <c r="B460" s="11"/>
      <c r="D460" s="11"/>
      <c r="E460" s="11"/>
      <c r="G460" s="11"/>
      <c r="I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>
      <c r="A461" s="11"/>
      <c r="B461" s="11"/>
      <c r="D461" s="11"/>
      <c r="E461" s="11"/>
      <c r="G461" s="11"/>
      <c r="I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>
      <c r="A462" s="11"/>
      <c r="B462" s="11"/>
      <c r="D462" s="11"/>
      <c r="E462" s="11"/>
      <c r="G462" s="11"/>
      <c r="I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>
      <c r="A463" s="11"/>
      <c r="B463" s="11"/>
      <c r="D463" s="11"/>
      <c r="E463" s="11"/>
      <c r="G463" s="11"/>
      <c r="I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>
      <c r="A464" s="11"/>
      <c r="B464" s="11"/>
      <c r="D464" s="11"/>
      <c r="E464" s="11"/>
      <c r="G464" s="11"/>
      <c r="I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>
      <c r="A465" s="11"/>
      <c r="B465" s="11"/>
      <c r="D465" s="11"/>
      <c r="E465" s="11"/>
      <c r="G465" s="11"/>
      <c r="I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>
      <c r="A466" s="11"/>
      <c r="B466" s="11"/>
      <c r="D466" s="11"/>
      <c r="E466" s="11"/>
      <c r="G466" s="11"/>
      <c r="I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>
      <c r="A467" s="11"/>
      <c r="B467" s="11"/>
      <c r="D467" s="11"/>
      <c r="E467" s="11"/>
      <c r="G467" s="11"/>
      <c r="I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>
      <c r="A468" s="11"/>
      <c r="B468" s="11"/>
      <c r="D468" s="11"/>
      <c r="E468" s="11"/>
      <c r="G468" s="11"/>
      <c r="I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>
      <c r="A469" s="11"/>
      <c r="B469" s="11"/>
      <c r="D469" s="11"/>
      <c r="E469" s="11"/>
      <c r="G469" s="11"/>
      <c r="I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>
      <c r="A470" s="11"/>
      <c r="B470" s="11"/>
      <c r="D470" s="11"/>
      <c r="E470" s="11"/>
      <c r="G470" s="11"/>
      <c r="I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>
      <c r="A471" s="11"/>
      <c r="B471" s="11"/>
      <c r="D471" s="11"/>
      <c r="E471" s="11"/>
      <c r="G471" s="11"/>
      <c r="I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>
      <c r="A472" s="11"/>
      <c r="B472" s="11"/>
      <c r="D472" s="11"/>
      <c r="E472" s="11"/>
      <c r="G472" s="11"/>
      <c r="I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>
      <c r="A473" s="11"/>
      <c r="B473" s="11"/>
      <c r="D473" s="11"/>
      <c r="E473" s="11"/>
      <c r="G473" s="11"/>
      <c r="I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>
      <c r="A474" s="11"/>
      <c r="B474" s="11"/>
      <c r="D474" s="11"/>
      <c r="E474" s="11"/>
      <c r="G474" s="11"/>
      <c r="I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>
      <c r="A475" s="11"/>
      <c r="B475" s="11"/>
      <c r="D475" s="11"/>
      <c r="E475" s="11"/>
      <c r="G475" s="11"/>
      <c r="I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>
      <c r="A476" s="11"/>
      <c r="B476" s="11"/>
      <c r="D476" s="11"/>
      <c r="E476" s="11"/>
      <c r="G476" s="11"/>
      <c r="I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>
      <c r="A477" s="11"/>
      <c r="B477" s="11"/>
      <c r="D477" s="11"/>
      <c r="E477" s="11"/>
      <c r="G477" s="11"/>
      <c r="I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>
      <c r="A478" s="11"/>
      <c r="B478" s="11"/>
      <c r="D478" s="11"/>
      <c r="E478" s="11"/>
      <c r="G478" s="11"/>
      <c r="I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>
      <c r="A479" s="11"/>
      <c r="B479" s="11"/>
      <c r="D479" s="11"/>
      <c r="E479" s="11"/>
      <c r="G479" s="11"/>
      <c r="I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>
      <c r="A480" s="11"/>
      <c r="B480" s="11"/>
      <c r="D480" s="11"/>
      <c r="E480" s="11"/>
      <c r="G480" s="11"/>
      <c r="I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>
      <c r="A481" s="11"/>
      <c r="B481" s="11"/>
      <c r="D481" s="11"/>
      <c r="E481" s="11"/>
      <c r="G481" s="11"/>
      <c r="I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>
      <c r="A482" s="11"/>
      <c r="B482" s="11"/>
      <c r="D482" s="11"/>
      <c r="E482" s="11"/>
      <c r="G482" s="11"/>
      <c r="I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>
      <c r="A483" s="11"/>
      <c r="B483" s="11"/>
      <c r="D483" s="11"/>
      <c r="E483" s="11"/>
      <c r="G483" s="11"/>
      <c r="I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>
      <c r="A484" s="11"/>
      <c r="B484" s="11"/>
      <c r="D484" s="11"/>
      <c r="E484" s="11"/>
      <c r="G484" s="11"/>
      <c r="I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>
      <c r="A485" s="11"/>
      <c r="B485" s="11"/>
      <c r="D485" s="11"/>
      <c r="E485" s="11"/>
      <c r="G485" s="11"/>
      <c r="I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>
      <c r="A486" s="11"/>
      <c r="B486" s="11"/>
      <c r="D486" s="11"/>
      <c r="E486" s="11"/>
      <c r="G486" s="11"/>
      <c r="I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>
      <c r="A487" s="11"/>
      <c r="B487" s="11"/>
      <c r="D487" s="11"/>
      <c r="E487" s="11"/>
      <c r="G487" s="11"/>
      <c r="I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>
      <c r="A488" s="11"/>
      <c r="B488" s="11"/>
      <c r="D488" s="11"/>
      <c r="E488" s="11"/>
      <c r="G488" s="11"/>
      <c r="I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>
      <c r="A489" s="11"/>
      <c r="B489" s="11"/>
      <c r="D489" s="11"/>
      <c r="E489" s="11"/>
      <c r="G489" s="11"/>
      <c r="I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>
      <c r="A490" s="11"/>
      <c r="B490" s="11"/>
      <c r="D490" s="11"/>
      <c r="E490" s="11"/>
      <c r="G490" s="11"/>
      <c r="I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>
      <c r="A491" s="11"/>
      <c r="B491" s="11"/>
      <c r="D491" s="11"/>
      <c r="E491" s="11"/>
      <c r="G491" s="11"/>
      <c r="I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>
      <c r="A492" s="11"/>
      <c r="B492" s="11"/>
      <c r="D492" s="11"/>
      <c r="E492" s="11"/>
      <c r="G492" s="11"/>
      <c r="I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>
      <c r="A493" s="11"/>
      <c r="B493" s="11"/>
      <c r="D493" s="11"/>
      <c r="E493" s="11"/>
      <c r="G493" s="11"/>
      <c r="I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>
      <c r="A494" s="11"/>
      <c r="B494" s="11"/>
      <c r="D494" s="11"/>
      <c r="E494" s="11"/>
      <c r="G494" s="11"/>
      <c r="I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>
      <c r="A495" s="11"/>
      <c r="B495" s="11"/>
      <c r="D495" s="11"/>
      <c r="E495" s="11"/>
      <c r="G495" s="11"/>
      <c r="I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>
      <c r="A496" s="11"/>
      <c r="B496" s="11"/>
      <c r="D496" s="11"/>
      <c r="E496" s="11"/>
      <c r="G496" s="11"/>
      <c r="I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>
      <c r="A497" s="11"/>
      <c r="B497" s="11"/>
      <c r="D497" s="11"/>
      <c r="E497" s="11"/>
      <c r="G497" s="11"/>
      <c r="I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>
      <c r="A498" s="11"/>
      <c r="B498" s="11"/>
      <c r="D498" s="11"/>
      <c r="E498" s="11"/>
      <c r="G498" s="11"/>
      <c r="I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>
      <c r="A499" s="11"/>
      <c r="B499" s="11"/>
      <c r="D499" s="11"/>
      <c r="E499" s="11"/>
      <c r="G499" s="11"/>
      <c r="I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>
      <c r="A500" s="11"/>
      <c r="B500" s="11"/>
      <c r="D500" s="11"/>
      <c r="E500" s="11"/>
      <c r="G500" s="11"/>
      <c r="I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>
      <c r="A501" s="11"/>
      <c r="B501" s="11"/>
      <c r="D501" s="11"/>
      <c r="E501" s="11"/>
      <c r="G501" s="11"/>
      <c r="I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>
      <c r="A502" s="11"/>
      <c r="B502" s="11"/>
      <c r="D502" s="11"/>
      <c r="E502" s="11"/>
      <c r="G502" s="11"/>
      <c r="I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>
      <c r="A503" s="11"/>
      <c r="B503" s="11"/>
      <c r="D503" s="11"/>
      <c r="E503" s="11"/>
      <c r="G503" s="11"/>
      <c r="I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>
      <c r="A504" s="11"/>
      <c r="B504" s="11"/>
      <c r="D504" s="11"/>
      <c r="E504" s="11"/>
      <c r="G504" s="11"/>
      <c r="I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>
      <c r="A505" s="11"/>
      <c r="B505" s="11"/>
      <c r="D505" s="11"/>
      <c r="E505" s="11"/>
      <c r="G505" s="11"/>
      <c r="I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>
      <c r="A506" s="11"/>
      <c r="B506" s="11"/>
      <c r="D506" s="11"/>
      <c r="E506" s="11"/>
      <c r="G506" s="11"/>
      <c r="I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>
      <c r="A507" s="11"/>
      <c r="B507" s="11"/>
      <c r="D507" s="11"/>
      <c r="E507" s="11"/>
      <c r="G507" s="11"/>
      <c r="I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>
      <c r="A508" s="11"/>
      <c r="B508" s="11"/>
      <c r="D508" s="11"/>
      <c r="E508" s="11"/>
      <c r="G508" s="11"/>
      <c r="I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>
      <c r="A509" s="11"/>
      <c r="B509" s="11"/>
      <c r="D509" s="11"/>
      <c r="E509" s="11"/>
      <c r="G509" s="11"/>
      <c r="I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>
      <c r="A510" s="11"/>
      <c r="B510" s="11"/>
      <c r="D510" s="11"/>
      <c r="E510" s="11"/>
      <c r="G510" s="11"/>
      <c r="I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>
      <c r="A511" s="11"/>
      <c r="B511" s="11"/>
      <c r="D511" s="11"/>
      <c r="E511" s="11"/>
      <c r="G511" s="11"/>
      <c r="I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>
      <c r="A512" s="11"/>
      <c r="B512" s="11"/>
      <c r="D512" s="11"/>
      <c r="E512" s="11"/>
      <c r="G512" s="11"/>
      <c r="I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>
      <c r="A513" s="11"/>
      <c r="B513" s="11"/>
      <c r="D513" s="11"/>
      <c r="E513" s="11"/>
      <c r="G513" s="11"/>
      <c r="I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>
      <c r="A514" s="11"/>
      <c r="B514" s="11"/>
      <c r="D514" s="11"/>
      <c r="E514" s="11"/>
      <c r="G514" s="11"/>
      <c r="I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>
      <c r="A515" s="11"/>
      <c r="B515" s="11"/>
      <c r="D515" s="11"/>
      <c r="E515" s="11"/>
      <c r="G515" s="11"/>
      <c r="I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>
      <c r="A516" s="11"/>
      <c r="B516" s="11"/>
      <c r="D516" s="11"/>
      <c r="E516" s="11"/>
      <c r="G516" s="11"/>
      <c r="I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>
      <c r="A517" s="11"/>
      <c r="B517" s="11"/>
      <c r="D517" s="11"/>
      <c r="E517" s="11"/>
      <c r="G517" s="11"/>
      <c r="I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>
      <c r="A518" s="11"/>
      <c r="B518" s="11"/>
      <c r="D518" s="11"/>
      <c r="E518" s="11"/>
      <c r="G518" s="11"/>
      <c r="I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>
      <c r="A519" s="11"/>
      <c r="B519" s="11"/>
      <c r="D519" s="11"/>
      <c r="E519" s="11"/>
      <c r="G519" s="11"/>
      <c r="I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>
      <c r="A520" s="11"/>
      <c r="B520" s="11"/>
      <c r="D520" s="11"/>
      <c r="E520" s="11"/>
      <c r="G520" s="11"/>
      <c r="I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>
      <c r="A521" s="11"/>
      <c r="B521" s="11"/>
      <c r="D521" s="11"/>
      <c r="E521" s="11"/>
      <c r="G521" s="11"/>
      <c r="I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>
      <c r="A522" s="11"/>
      <c r="B522" s="11"/>
      <c r="D522" s="11"/>
      <c r="E522" s="11"/>
      <c r="G522" s="11"/>
      <c r="I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>
      <c r="A523" s="11"/>
      <c r="B523" s="11"/>
      <c r="D523" s="11"/>
      <c r="E523" s="11"/>
      <c r="G523" s="11"/>
      <c r="I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>
      <c r="A524" s="11"/>
      <c r="B524" s="11"/>
      <c r="D524" s="11"/>
      <c r="E524" s="11"/>
      <c r="G524" s="11"/>
      <c r="I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>
      <c r="A525" s="11"/>
      <c r="B525" s="11"/>
      <c r="D525" s="11"/>
      <c r="E525" s="11"/>
      <c r="G525" s="11"/>
      <c r="I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>
      <c r="A526" s="11"/>
      <c r="B526" s="11"/>
      <c r="D526" s="11"/>
      <c r="E526" s="11"/>
      <c r="G526" s="11"/>
      <c r="I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>
      <c r="A527" s="11"/>
      <c r="B527" s="11"/>
      <c r="D527" s="11"/>
      <c r="E527" s="11"/>
      <c r="G527" s="11"/>
      <c r="I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>
      <c r="A528" s="11"/>
      <c r="B528" s="11"/>
      <c r="D528" s="11"/>
      <c r="E528" s="11"/>
      <c r="G528" s="11"/>
      <c r="I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>
      <c r="A529" s="11"/>
      <c r="B529" s="11"/>
      <c r="D529" s="11"/>
      <c r="E529" s="11"/>
      <c r="G529" s="11"/>
      <c r="I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>
      <c r="A530" s="11"/>
      <c r="B530" s="11"/>
      <c r="D530" s="11"/>
      <c r="E530" s="11"/>
      <c r="G530" s="11"/>
      <c r="I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>
      <c r="A531" s="11"/>
      <c r="B531" s="11"/>
      <c r="D531" s="11"/>
      <c r="E531" s="11"/>
      <c r="G531" s="11"/>
      <c r="I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>
      <c r="A532" s="11"/>
      <c r="B532" s="11"/>
      <c r="D532" s="11"/>
      <c r="E532" s="11"/>
      <c r="G532" s="11"/>
      <c r="I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>
      <c r="A533" s="11"/>
      <c r="B533" s="11"/>
      <c r="D533" s="11"/>
      <c r="E533" s="11"/>
      <c r="G533" s="11"/>
      <c r="I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>
      <c r="A534" s="11"/>
      <c r="B534" s="11"/>
      <c r="D534" s="11"/>
      <c r="E534" s="11"/>
      <c r="G534" s="11"/>
      <c r="I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>
      <c r="A535" s="11"/>
      <c r="B535" s="11"/>
      <c r="D535" s="11"/>
      <c r="E535" s="11"/>
      <c r="G535" s="11"/>
      <c r="I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>
      <c r="A536" s="11"/>
      <c r="B536" s="11"/>
      <c r="D536" s="11"/>
      <c r="E536" s="11"/>
      <c r="G536" s="11"/>
      <c r="I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>
      <c r="A537" s="11"/>
      <c r="B537" s="11"/>
      <c r="D537" s="11"/>
      <c r="E537" s="11"/>
      <c r="G537" s="11"/>
      <c r="I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>
      <c r="A538" s="11"/>
      <c r="B538" s="11"/>
      <c r="D538" s="11"/>
      <c r="E538" s="11"/>
      <c r="G538" s="11"/>
      <c r="I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>
      <c r="A539" s="11"/>
      <c r="B539" s="11"/>
      <c r="D539" s="11"/>
      <c r="E539" s="11"/>
      <c r="G539" s="11"/>
      <c r="I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>
      <c r="A540" s="11"/>
      <c r="B540" s="11"/>
      <c r="D540" s="11"/>
      <c r="E540" s="11"/>
      <c r="G540" s="11"/>
      <c r="I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>
      <c r="A541" s="11"/>
      <c r="B541" s="11"/>
      <c r="D541" s="11"/>
      <c r="E541" s="11"/>
      <c r="G541" s="11"/>
      <c r="I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>
      <c r="A542" s="11"/>
      <c r="B542" s="11"/>
      <c r="D542" s="11"/>
      <c r="E542" s="11"/>
      <c r="G542" s="11"/>
      <c r="I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>
      <c r="A543" s="11"/>
      <c r="B543" s="11"/>
      <c r="D543" s="11"/>
      <c r="E543" s="11"/>
      <c r="G543" s="11"/>
      <c r="I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>
      <c r="A544" s="11"/>
      <c r="B544" s="11"/>
      <c r="D544" s="11"/>
      <c r="E544" s="11"/>
      <c r="G544" s="11"/>
      <c r="I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>
      <c r="A545" s="11"/>
      <c r="B545" s="11"/>
      <c r="D545" s="11"/>
      <c r="E545" s="11"/>
      <c r="G545" s="11"/>
      <c r="I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>
      <c r="A546" s="11"/>
      <c r="B546" s="11"/>
      <c r="D546" s="11"/>
      <c r="E546" s="11"/>
      <c r="G546" s="11"/>
      <c r="I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>
      <c r="A547" s="11"/>
      <c r="B547" s="11"/>
      <c r="D547" s="11"/>
      <c r="E547" s="11"/>
      <c r="G547" s="11"/>
      <c r="I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>
      <c r="A548" s="11"/>
      <c r="B548" s="11"/>
      <c r="D548" s="11"/>
      <c r="E548" s="11"/>
      <c r="G548" s="11"/>
      <c r="I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>
      <c r="A549" s="11"/>
      <c r="B549" s="11"/>
      <c r="D549" s="11"/>
      <c r="E549" s="11"/>
      <c r="G549" s="11"/>
      <c r="I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>
      <c r="A550" s="11"/>
      <c r="B550" s="11"/>
      <c r="D550" s="11"/>
      <c r="E550" s="11"/>
      <c r="G550" s="11"/>
      <c r="I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>
      <c r="A551" s="11"/>
      <c r="B551" s="11"/>
      <c r="D551" s="11"/>
      <c r="E551" s="11"/>
      <c r="G551" s="11"/>
      <c r="I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>
      <c r="A552" s="11"/>
      <c r="B552" s="11"/>
      <c r="D552" s="11"/>
      <c r="E552" s="11"/>
      <c r="G552" s="11"/>
      <c r="I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>
      <c r="A553" s="11"/>
      <c r="B553" s="11"/>
      <c r="D553" s="11"/>
      <c r="E553" s="11"/>
      <c r="G553" s="11"/>
      <c r="I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>
      <c r="A554" s="11"/>
      <c r="B554" s="11"/>
      <c r="D554" s="11"/>
      <c r="E554" s="11"/>
      <c r="G554" s="11"/>
      <c r="I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>
      <c r="A555" s="11"/>
      <c r="B555" s="11"/>
      <c r="D555" s="11"/>
      <c r="E555" s="11"/>
      <c r="G555" s="11"/>
      <c r="I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>
      <c r="A556" s="11"/>
      <c r="B556" s="11"/>
      <c r="D556" s="11"/>
      <c r="E556" s="11"/>
      <c r="G556" s="11"/>
      <c r="I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>
      <c r="A557" s="11"/>
      <c r="B557" s="11"/>
      <c r="D557" s="11"/>
      <c r="E557" s="11"/>
      <c r="G557" s="11"/>
      <c r="I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>
      <c r="A558" s="11"/>
      <c r="B558" s="11"/>
      <c r="D558" s="11"/>
      <c r="E558" s="11"/>
      <c r="G558" s="11"/>
      <c r="I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>
      <c r="A559" s="11"/>
      <c r="B559" s="11"/>
      <c r="D559" s="11"/>
      <c r="E559" s="11"/>
      <c r="G559" s="11"/>
      <c r="I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>
      <c r="A560" s="11"/>
      <c r="B560" s="11"/>
      <c r="D560" s="11"/>
      <c r="E560" s="11"/>
      <c r="G560" s="11"/>
      <c r="I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>
      <c r="A561" s="11"/>
      <c r="B561" s="11"/>
      <c r="D561" s="11"/>
      <c r="E561" s="11"/>
      <c r="G561" s="11"/>
      <c r="I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>
      <c r="A562" s="11"/>
      <c r="B562" s="11"/>
      <c r="D562" s="11"/>
      <c r="E562" s="11"/>
      <c r="G562" s="11"/>
      <c r="I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>
      <c r="A563" s="11"/>
      <c r="B563" s="11"/>
      <c r="D563" s="11"/>
      <c r="E563" s="11"/>
      <c r="G563" s="11"/>
      <c r="I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>
      <c r="A564" s="11"/>
      <c r="B564" s="11"/>
      <c r="D564" s="11"/>
      <c r="E564" s="11"/>
      <c r="G564" s="11"/>
      <c r="I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>
      <c r="A565" s="11"/>
      <c r="B565" s="11"/>
      <c r="D565" s="11"/>
      <c r="E565" s="11"/>
      <c r="G565" s="11"/>
      <c r="I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>
      <c r="A566" s="11"/>
      <c r="B566" s="11"/>
      <c r="D566" s="11"/>
      <c r="E566" s="11"/>
      <c r="G566" s="11"/>
      <c r="I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>
      <c r="A567" s="11"/>
      <c r="B567" s="11"/>
      <c r="D567" s="11"/>
      <c r="E567" s="11"/>
      <c r="G567" s="11"/>
      <c r="I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>
      <c r="A568" s="11"/>
      <c r="B568" s="11"/>
      <c r="D568" s="11"/>
      <c r="E568" s="11"/>
      <c r="G568" s="11"/>
      <c r="I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>
      <c r="A569" s="11"/>
      <c r="B569" s="11"/>
      <c r="D569" s="11"/>
      <c r="E569" s="11"/>
      <c r="G569" s="11"/>
      <c r="I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>
      <c r="A570" s="11"/>
      <c r="B570" s="11"/>
      <c r="D570" s="11"/>
      <c r="E570" s="11"/>
      <c r="G570" s="11"/>
      <c r="I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>
      <c r="A571" s="11"/>
      <c r="B571" s="11"/>
      <c r="D571" s="11"/>
      <c r="E571" s="11"/>
      <c r="G571" s="11"/>
      <c r="I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>
      <c r="A572" s="11"/>
      <c r="B572" s="11"/>
      <c r="D572" s="11"/>
      <c r="E572" s="11"/>
      <c r="G572" s="11"/>
      <c r="I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>
      <c r="A573" s="11"/>
      <c r="B573" s="11"/>
      <c r="D573" s="11"/>
      <c r="E573" s="11"/>
      <c r="G573" s="11"/>
      <c r="I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>
      <c r="A574" s="11"/>
      <c r="B574" s="11"/>
      <c r="D574" s="11"/>
      <c r="E574" s="11"/>
      <c r="G574" s="11"/>
      <c r="I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>
      <c r="A575" s="11"/>
      <c r="B575" s="11"/>
      <c r="D575" s="11"/>
      <c r="E575" s="11"/>
      <c r="G575" s="11"/>
      <c r="I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>
      <c r="A576" s="11"/>
      <c r="B576" s="11"/>
      <c r="D576" s="11"/>
      <c r="E576" s="11"/>
      <c r="G576" s="11"/>
      <c r="I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>
      <c r="A577" s="11"/>
      <c r="B577" s="11"/>
      <c r="D577" s="11"/>
      <c r="E577" s="11"/>
      <c r="G577" s="11"/>
      <c r="I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>
      <c r="A578" s="11"/>
      <c r="B578" s="11"/>
      <c r="D578" s="11"/>
      <c r="E578" s="11"/>
      <c r="G578" s="11"/>
      <c r="I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>
      <c r="A579" s="11"/>
      <c r="B579" s="11"/>
      <c r="D579" s="11"/>
      <c r="E579" s="11"/>
      <c r="G579" s="11"/>
      <c r="I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>
      <c r="A580" s="11"/>
      <c r="B580" s="11"/>
      <c r="D580" s="11"/>
      <c r="E580" s="11"/>
      <c r="G580" s="11"/>
      <c r="I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>
      <c r="A581" s="11"/>
      <c r="B581" s="11"/>
      <c r="D581" s="11"/>
      <c r="E581" s="11"/>
      <c r="G581" s="11"/>
      <c r="I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>
      <c r="A582" s="11"/>
      <c r="B582" s="11"/>
      <c r="D582" s="11"/>
      <c r="E582" s="11"/>
      <c r="G582" s="11"/>
      <c r="I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>
      <c r="A583" s="11"/>
      <c r="B583" s="11"/>
      <c r="D583" s="11"/>
      <c r="E583" s="11"/>
      <c r="G583" s="11"/>
      <c r="I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>
      <c r="A584" s="11"/>
      <c r="B584" s="11"/>
      <c r="D584" s="11"/>
      <c r="E584" s="11"/>
      <c r="G584" s="11"/>
      <c r="I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>
      <c r="A585" s="11"/>
      <c r="B585" s="11"/>
      <c r="D585" s="11"/>
      <c r="E585" s="11"/>
      <c r="G585" s="11"/>
      <c r="I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>
      <c r="A586" s="11"/>
      <c r="B586" s="11"/>
      <c r="D586" s="11"/>
      <c r="E586" s="11"/>
      <c r="G586" s="11"/>
      <c r="I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>
      <c r="A587" s="11"/>
      <c r="B587" s="11"/>
      <c r="D587" s="11"/>
      <c r="E587" s="11"/>
      <c r="G587" s="11"/>
      <c r="I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>
      <c r="A588" s="11"/>
      <c r="B588" s="11"/>
      <c r="D588" s="11"/>
      <c r="E588" s="11"/>
      <c r="G588" s="11"/>
      <c r="I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>
      <c r="A589" s="11"/>
      <c r="B589" s="11"/>
      <c r="D589" s="11"/>
      <c r="E589" s="11"/>
      <c r="G589" s="11"/>
      <c r="I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>
      <c r="A590" s="11"/>
      <c r="B590" s="11"/>
      <c r="D590" s="11"/>
      <c r="E590" s="11"/>
      <c r="G590" s="11"/>
      <c r="I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>
      <c r="A591" s="11"/>
      <c r="B591" s="11"/>
      <c r="D591" s="11"/>
      <c r="E591" s="11"/>
      <c r="G591" s="11"/>
      <c r="I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>
      <c r="A592" s="11"/>
      <c r="B592" s="11"/>
      <c r="D592" s="11"/>
      <c r="E592" s="11"/>
      <c r="G592" s="11"/>
      <c r="I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>
      <c r="A593" s="11"/>
      <c r="B593" s="11"/>
      <c r="D593" s="11"/>
      <c r="E593" s="11"/>
      <c r="G593" s="11"/>
      <c r="I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>
      <c r="A594" s="11"/>
      <c r="B594" s="11"/>
      <c r="D594" s="11"/>
      <c r="E594" s="11"/>
      <c r="G594" s="11"/>
      <c r="I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>
      <c r="A595" s="11"/>
      <c r="B595" s="11"/>
      <c r="D595" s="11"/>
      <c r="E595" s="11"/>
      <c r="G595" s="11"/>
      <c r="I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>
      <c r="A596" s="11"/>
      <c r="B596" s="11"/>
      <c r="D596" s="11"/>
      <c r="E596" s="11"/>
      <c r="G596" s="11"/>
      <c r="I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>
      <c r="A597" s="11"/>
      <c r="B597" s="11"/>
      <c r="D597" s="11"/>
      <c r="E597" s="11"/>
      <c r="G597" s="11"/>
      <c r="I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>
      <c r="A598" s="11"/>
      <c r="B598" s="11"/>
      <c r="D598" s="11"/>
      <c r="E598" s="11"/>
      <c r="G598" s="11"/>
      <c r="I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>
      <c r="A599" s="11"/>
      <c r="B599" s="11"/>
      <c r="D599" s="11"/>
      <c r="E599" s="11"/>
      <c r="G599" s="11"/>
      <c r="I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>
      <c r="A600" s="11"/>
      <c r="B600" s="11"/>
      <c r="D600" s="11"/>
      <c r="E600" s="11"/>
      <c r="G600" s="11"/>
      <c r="I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>
      <c r="A601" s="11"/>
      <c r="B601" s="11"/>
      <c r="D601" s="11"/>
      <c r="E601" s="11"/>
      <c r="G601" s="11"/>
      <c r="I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>
      <c r="A602" s="11"/>
      <c r="B602" s="11"/>
      <c r="D602" s="11"/>
      <c r="E602" s="11"/>
      <c r="G602" s="11"/>
      <c r="I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>
      <c r="A603" s="11"/>
      <c r="B603" s="11"/>
      <c r="D603" s="11"/>
      <c r="E603" s="11"/>
      <c r="G603" s="11"/>
      <c r="I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>
      <c r="A604" s="11"/>
      <c r="B604" s="11"/>
      <c r="D604" s="11"/>
      <c r="E604" s="11"/>
      <c r="G604" s="11"/>
      <c r="I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>
      <c r="A605" s="11"/>
      <c r="B605" s="11"/>
      <c r="D605" s="11"/>
      <c r="E605" s="11"/>
      <c r="G605" s="11"/>
      <c r="I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>
      <c r="A606" s="11"/>
      <c r="B606" s="11"/>
      <c r="D606" s="11"/>
      <c r="E606" s="11"/>
      <c r="G606" s="11"/>
      <c r="I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>
      <c r="A607" s="11"/>
      <c r="B607" s="11"/>
      <c r="D607" s="11"/>
      <c r="E607" s="11"/>
      <c r="G607" s="11"/>
      <c r="I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>
      <c r="A608" s="11"/>
      <c r="B608" s="11"/>
      <c r="D608" s="11"/>
      <c r="E608" s="11"/>
      <c r="G608" s="11"/>
      <c r="I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>
      <c r="A609" s="11"/>
      <c r="B609" s="11"/>
      <c r="D609" s="11"/>
      <c r="E609" s="11"/>
      <c r="G609" s="11"/>
      <c r="I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>
      <c r="A610" s="11"/>
      <c r="B610" s="11"/>
      <c r="D610" s="11"/>
      <c r="E610" s="11"/>
      <c r="G610" s="11"/>
      <c r="I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>
      <c r="A611" s="11"/>
      <c r="B611" s="11"/>
      <c r="D611" s="11"/>
      <c r="E611" s="11"/>
      <c r="G611" s="11"/>
      <c r="I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>
      <c r="A612" s="11"/>
      <c r="B612" s="11"/>
      <c r="D612" s="11"/>
      <c r="E612" s="11"/>
      <c r="G612" s="11"/>
      <c r="I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>
      <c r="A613" s="11"/>
      <c r="B613" s="11"/>
      <c r="D613" s="11"/>
      <c r="E613" s="11"/>
      <c r="G613" s="11"/>
      <c r="I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>
      <c r="A614" s="11"/>
      <c r="B614" s="11"/>
      <c r="D614" s="11"/>
      <c r="E614" s="11"/>
      <c r="G614" s="11"/>
      <c r="I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>
      <c r="A615" s="11"/>
      <c r="B615" s="11"/>
      <c r="D615" s="11"/>
      <c r="E615" s="11"/>
      <c r="G615" s="11"/>
      <c r="I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>
      <c r="A616" s="11"/>
      <c r="B616" s="11"/>
      <c r="D616" s="11"/>
      <c r="E616" s="11"/>
      <c r="G616" s="11"/>
      <c r="I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>
      <c r="A617" s="11"/>
      <c r="B617" s="11"/>
      <c r="D617" s="11"/>
      <c r="E617" s="11"/>
      <c r="G617" s="11"/>
      <c r="I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>
      <c r="A618" s="11"/>
      <c r="B618" s="11"/>
      <c r="D618" s="11"/>
      <c r="E618" s="11"/>
      <c r="G618" s="11"/>
      <c r="I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>
      <c r="A619" s="11"/>
      <c r="B619" s="11"/>
      <c r="D619" s="11"/>
      <c r="E619" s="11"/>
      <c r="G619" s="11"/>
      <c r="I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>
      <c r="A620" s="11"/>
      <c r="B620" s="11"/>
      <c r="D620" s="11"/>
      <c r="E620" s="11"/>
      <c r="G620" s="11"/>
      <c r="I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>
      <c r="A621" s="11"/>
      <c r="B621" s="11"/>
      <c r="D621" s="11"/>
      <c r="E621" s="11"/>
      <c r="G621" s="11"/>
      <c r="I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>
      <c r="A622" s="11"/>
      <c r="B622" s="11"/>
      <c r="D622" s="11"/>
      <c r="E622" s="11"/>
      <c r="G622" s="11"/>
      <c r="I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>
      <c r="A623" s="11"/>
      <c r="B623" s="11"/>
      <c r="D623" s="11"/>
      <c r="E623" s="11"/>
      <c r="G623" s="11"/>
      <c r="I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>
      <c r="A624" s="11"/>
      <c r="B624" s="11"/>
      <c r="D624" s="11"/>
      <c r="E624" s="11"/>
      <c r="G624" s="11"/>
      <c r="I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>
      <c r="A625" s="11"/>
      <c r="B625" s="11"/>
      <c r="D625" s="11"/>
      <c r="E625" s="11"/>
      <c r="G625" s="11"/>
      <c r="I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>
      <c r="A626" s="11"/>
      <c r="B626" s="11"/>
      <c r="D626" s="11"/>
      <c r="E626" s="11"/>
      <c r="G626" s="11"/>
      <c r="I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>
      <c r="A627" s="11"/>
      <c r="B627" s="11"/>
      <c r="D627" s="11"/>
      <c r="E627" s="11"/>
      <c r="G627" s="11"/>
      <c r="I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>
      <c r="A628" s="11"/>
      <c r="B628" s="11"/>
      <c r="D628" s="11"/>
      <c r="E628" s="11"/>
      <c r="G628" s="11"/>
      <c r="I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>
      <c r="A629" s="11"/>
      <c r="B629" s="11"/>
      <c r="D629" s="11"/>
      <c r="E629" s="11"/>
      <c r="G629" s="11"/>
      <c r="I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>
      <c r="A630" s="11"/>
      <c r="B630" s="11"/>
      <c r="D630" s="11"/>
      <c r="E630" s="11"/>
      <c r="G630" s="11"/>
      <c r="I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>
      <c r="A631" s="11"/>
      <c r="B631" s="11"/>
      <c r="D631" s="11"/>
      <c r="E631" s="11"/>
      <c r="G631" s="11"/>
      <c r="I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>
      <c r="A632" s="11"/>
      <c r="B632" s="11"/>
      <c r="D632" s="11"/>
      <c r="E632" s="11"/>
      <c r="G632" s="11"/>
      <c r="I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>
      <c r="A633" s="11"/>
      <c r="B633" s="11"/>
      <c r="D633" s="11"/>
      <c r="E633" s="11"/>
      <c r="G633" s="11"/>
      <c r="I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>
      <c r="A634" s="11"/>
      <c r="B634" s="11"/>
      <c r="D634" s="11"/>
      <c r="E634" s="11"/>
      <c r="G634" s="11"/>
      <c r="I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>
      <c r="A635" s="11"/>
      <c r="B635" s="11"/>
      <c r="D635" s="11"/>
      <c r="E635" s="11"/>
      <c r="G635" s="11"/>
      <c r="I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>
      <c r="A636" s="11"/>
      <c r="B636" s="11"/>
      <c r="D636" s="11"/>
      <c r="E636" s="11"/>
      <c r="G636" s="11"/>
      <c r="I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>
      <c r="A637" s="11"/>
      <c r="B637" s="11"/>
      <c r="D637" s="11"/>
      <c r="E637" s="11"/>
      <c r="G637" s="11"/>
      <c r="I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>
      <c r="A638" s="11"/>
      <c r="B638" s="11"/>
      <c r="D638" s="11"/>
      <c r="E638" s="11"/>
      <c r="G638" s="11"/>
      <c r="I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>
      <c r="A639" s="11"/>
      <c r="B639" s="11"/>
      <c r="D639" s="11"/>
      <c r="E639" s="11"/>
      <c r="G639" s="11"/>
      <c r="I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>
      <c r="A640" s="11"/>
      <c r="B640" s="11"/>
      <c r="D640" s="11"/>
      <c r="E640" s="11"/>
      <c r="G640" s="11"/>
      <c r="I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>
      <c r="A641" s="11"/>
      <c r="B641" s="11"/>
      <c r="D641" s="11"/>
      <c r="E641" s="11"/>
      <c r="G641" s="11"/>
      <c r="I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>
      <c r="A642" s="11"/>
      <c r="B642" s="11"/>
      <c r="D642" s="11"/>
      <c r="E642" s="11"/>
      <c r="G642" s="11"/>
      <c r="I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>
      <c r="A643" s="11"/>
      <c r="B643" s="11"/>
      <c r="D643" s="11"/>
      <c r="E643" s="11"/>
      <c r="G643" s="11"/>
      <c r="I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>
      <c r="A644" s="11"/>
      <c r="B644" s="11"/>
      <c r="D644" s="11"/>
      <c r="E644" s="11"/>
      <c r="G644" s="11"/>
      <c r="I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>
      <c r="A645" s="11"/>
      <c r="B645" s="11"/>
      <c r="D645" s="11"/>
      <c r="E645" s="11"/>
      <c r="G645" s="11"/>
      <c r="I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>
      <c r="A646" s="11"/>
      <c r="B646" s="11"/>
      <c r="D646" s="11"/>
      <c r="E646" s="11"/>
      <c r="G646" s="11"/>
      <c r="I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>
      <c r="A647" s="11"/>
      <c r="B647" s="11"/>
      <c r="D647" s="11"/>
      <c r="E647" s="11"/>
      <c r="G647" s="11"/>
      <c r="I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>
      <c r="A648" s="11"/>
      <c r="B648" s="11"/>
      <c r="D648" s="11"/>
      <c r="E648" s="11"/>
      <c r="G648" s="11"/>
      <c r="I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>
      <c r="A649" s="11"/>
      <c r="B649" s="11"/>
      <c r="D649" s="11"/>
      <c r="E649" s="11"/>
      <c r="G649" s="11"/>
      <c r="I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>
      <c r="A650" s="11"/>
      <c r="B650" s="11"/>
      <c r="D650" s="11"/>
      <c r="E650" s="11"/>
      <c r="G650" s="11"/>
      <c r="I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>
      <c r="A651" s="11"/>
      <c r="B651" s="11"/>
      <c r="D651" s="11"/>
      <c r="E651" s="11"/>
      <c r="G651" s="11"/>
      <c r="I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>
      <c r="A652" s="11"/>
      <c r="B652" s="11"/>
      <c r="D652" s="11"/>
      <c r="E652" s="11"/>
      <c r="G652" s="11"/>
      <c r="I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>
      <c r="A653" s="11"/>
      <c r="B653" s="11"/>
      <c r="D653" s="11"/>
      <c r="E653" s="11"/>
      <c r="G653" s="11"/>
      <c r="I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>
      <c r="A654" s="11"/>
      <c r="B654" s="11"/>
      <c r="D654" s="11"/>
      <c r="E654" s="11"/>
      <c r="G654" s="11"/>
      <c r="I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>
      <c r="A655" s="11"/>
      <c r="B655" s="11"/>
      <c r="D655" s="11"/>
      <c r="E655" s="11"/>
      <c r="G655" s="11"/>
      <c r="I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>
      <c r="A656" s="11"/>
      <c r="B656" s="11"/>
      <c r="D656" s="11"/>
      <c r="E656" s="11"/>
      <c r="G656" s="11"/>
      <c r="I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>
      <c r="A657" s="11"/>
      <c r="B657" s="11"/>
      <c r="D657" s="11"/>
      <c r="E657" s="11"/>
      <c r="G657" s="11"/>
      <c r="I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>
      <c r="A658" s="11"/>
      <c r="B658" s="11"/>
      <c r="D658" s="11"/>
      <c r="E658" s="11"/>
      <c r="G658" s="11"/>
      <c r="I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>
      <c r="A659" s="11"/>
      <c r="B659" s="11"/>
      <c r="D659" s="11"/>
      <c r="E659" s="11"/>
      <c r="G659" s="11"/>
      <c r="I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>
      <c r="A660" s="11"/>
      <c r="B660" s="11"/>
      <c r="D660" s="11"/>
      <c r="E660" s="11"/>
      <c r="G660" s="11"/>
      <c r="I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>
      <c r="A661" s="11"/>
      <c r="B661" s="11"/>
      <c r="D661" s="11"/>
      <c r="E661" s="11"/>
      <c r="G661" s="11"/>
      <c r="I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>
      <c r="A662" s="11"/>
      <c r="B662" s="11"/>
      <c r="D662" s="11"/>
      <c r="E662" s="11"/>
      <c r="G662" s="11"/>
      <c r="I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>
      <c r="A663" s="11"/>
      <c r="B663" s="11"/>
      <c r="D663" s="11"/>
      <c r="E663" s="11"/>
      <c r="G663" s="11"/>
      <c r="I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>
      <c r="A664" s="11"/>
      <c r="B664" s="11"/>
      <c r="D664" s="11"/>
      <c r="E664" s="11"/>
      <c r="G664" s="11"/>
      <c r="I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>
      <c r="A665" s="11"/>
      <c r="B665" s="11"/>
      <c r="D665" s="11"/>
      <c r="E665" s="11"/>
      <c r="G665" s="11"/>
      <c r="I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>
      <c r="A666" s="11"/>
      <c r="B666" s="11"/>
      <c r="D666" s="11"/>
      <c r="E666" s="11"/>
      <c r="G666" s="11"/>
      <c r="I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>
      <c r="A667" s="11"/>
      <c r="B667" s="11"/>
      <c r="D667" s="11"/>
      <c r="E667" s="11"/>
      <c r="G667" s="11"/>
      <c r="I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>
      <c r="A668" s="11"/>
      <c r="B668" s="11"/>
      <c r="D668" s="11"/>
      <c r="E668" s="11"/>
      <c r="G668" s="11"/>
      <c r="I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>
      <c r="A669" s="11"/>
      <c r="B669" s="11"/>
      <c r="D669" s="11"/>
      <c r="E669" s="11"/>
      <c r="G669" s="11"/>
      <c r="I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>
      <c r="A670" s="11"/>
      <c r="B670" s="11"/>
      <c r="D670" s="11"/>
      <c r="E670" s="11"/>
      <c r="G670" s="11"/>
      <c r="I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>
      <c r="A671" s="11"/>
      <c r="B671" s="11"/>
      <c r="D671" s="11"/>
      <c r="E671" s="11"/>
      <c r="G671" s="11"/>
      <c r="I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>
      <c r="A672" s="11"/>
      <c r="B672" s="11"/>
      <c r="D672" s="11"/>
      <c r="E672" s="11"/>
      <c r="G672" s="11"/>
      <c r="I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>
      <c r="A673" s="11"/>
      <c r="B673" s="11"/>
      <c r="D673" s="11"/>
      <c r="E673" s="11"/>
      <c r="G673" s="11"/>
      <c r="I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>
      <c r="A674" s="11"/>
      <c r="B674" s="11"/>
      <c r="D674" s="11"/>
      <c r="E674" s="11"/>
      <c r="G674" s="11"/>
      <c r="I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>
      <c r="A675" s="11"/>
      <c r="B675" s="11"/>
      <c r="D675" s="11"/>
      <c r="E675" s="11"/>
      <c r="G675" s="11"/>
      <c r="I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>
      <c r="A676" s="11"/>
      <c r="B676" s="11"/>
      <c r="D676" s="11"/>
      <c r="E676" s="11"/>
      <c r="G676" s="11"/>
      <c r="I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>
      <c r="A677" s="11"/>
      <c r="B677" s="11"/>
      <c r="D677" s="11"/>
      <c r="E677" s="11"/>
      <c r="G677" s="11"/>
      <c r="I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>
      <c r="A678" s="11"/>
      <c r="B678" s="11"/>
      <c r="D678" s="11"/>
      <c r="E678" s="11"/>
      <c r="G678" s="11"/>
      <c r="I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>
      <c r="A679" s="11"/>
      <c r="B679" s="11"/>
      <c r="D679" s="11"/>
      <c r="E679" s="11"/>
      <c r="G679" s="11"/>
      <c r="I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>
      <c r="A680" s="11"/>
      <c r="B680" s="11"/>
      <c r="D680" s="11"/>
      <c r="E680" s="11"/>
      <c r="G680" s="11"/>
      <c r="I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>
      <c r="A681" s="11"/>
      <c r="B681" s="11"/>
      <c r="D681" s="11"/>
      <c r="E681" s="11"/>
      <c r="G681" s="11"/>
      <c r="I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>
      <c r="A682" s="11"/>
      <c r="B682" s="11"/>
      <c r="D682" s="11"/>
      <c r="E682" s="11"/>
      <c r="G682" s="11"/>
      <c r="I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>
      <c r="A683" s="11"/>
      <c r="B683" s="11"/>
      <c r="D683" s="11"/>
      <c r="E683" s="11"/>
      <c r="G683" s="11"/>
      <c r="I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>
      <c r="A684" s="11"/>
      <c r="B684" s="11"/>
      <c r="D684" s="11"/>
      <c r="E684" s="11"/>
      <c r="G684" s="11"/>
      <c r="I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>
      <c r="A685" s="11"/>
      <c r="B685" s="11"/>
      <c r="D685" s="11"/>
      <c r="E685" s="11"/>
      <c r="G685" s="11"/>
      <c r="I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>
      <c r="A686" s="11"/>
      <c r="B686" s="11"/>
      <c r="D686" s="11"/>
      <c r="E686" s="11"/>
      <c r="G686" s="11"/>
      <c r="I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>
      <c r="A687" s="11"/>
      <c r="B687" s="11"/>
      <c r="D687" s="11"/>
      <c r="E687" s="11"/>
      <c r="G687" s="11"/>
      <c r="I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>
      <c r="A688" s="11"/>
      <c r="B688" s="11"/>
      <c r="D688" s="11"/>
      <c r="E688" s="11"/>
      <c r="G688" s="11"/>
      <c r="I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>
      <c r="A689" s="11"/>
      <c r="B689" s="11"/>
      <c r="D689" s="11"/>
      <c r="E689" s="11"/>
      <c r="G689" s="11"/>
      <c r="I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>
      <c r="A690" s="11"/>
      <c r="B690" s="11"/>
      <c r="D690" s="11"/>
      <c r="E690" s="11"/>
      <c r="G690" s="11"/>
      <c r="I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>
      <c r="A691" s="11"/>
      <c r="B691" s="11"/>
      <c r="D691" s="11"/>
      <c r="E691" s="11"/>
      <c r="G691" s="11"/>
      <c r="I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>
      <c r="A692" s="11"/>
      <c r="B692" s="11"/>
      <c r="D692" s="11"/>
      <c r="E692" s="11"/>
      <c r="G692" s="11"/>
      <c r="I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>
      <c r="A693" s="11"/>
      <c r="B693" s="11"/>
      <c r="D693" s="11"/>
      <c r="E693" s="11"/>
      <c r="G693" s="11"/>
      <c r="I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>
      <c r="A694" s="11"/>
      <c r="B694" s="11"/>
      <c r="D694" s="11"/>
      <c r="E694" s="11"/>
      <c r="G694" s="11"/>
      <c r="I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>
      <c r="A695" s="11"/>
      <c r="B695" s="11"/>
      <c r="D695" s="11"/>
      <c r="E695" s="11"/>
      <c r="G695" s="11"/>
      <c r="I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>
      <c r="A696" s="11"/>
      <c r="B696" s="11"/>
      <c r="D696" s="11"/>
      <c r="E696" s="11"/>
      <c r="G696" s="11"/>
      <c r="I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>
      <c r="A697" s="11"/>
      <c r="B697" s="11"/>
      <c r="D697" s="11"/>
      <c r="E697" s="11"/>
      <c r="G697" s="11"/>
      <c r="I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>
      <c r="A698" s="11"/>
      <c r="B698" s="11"/>
      <c r="D698" s="11"/>
      <c r="E698" s="11"/>
      <c r="G698" s="11"/>
      <c r="I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>
      <c r="A699" s="11"/>
      <c r="B699" s="11"/>
      <c r="D699" s="11"/>
      <c r="E699" s="11"/>
      <c r="G699" s="11"/>
      <c r="I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>
      <c r="A700" s="11"/>
      <c r="B700" s="11"/>
      <c r="D700" s="11"/>
      <c r="E700" s="11"/>
      <c r="G700" s="11"/>
      <c r="I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>
      <c r="A701" s="11"/>
      <c r="B701" s="11"/>
      <c r="D701" s="11"/>
      <c r="E701" s="11"/>
      <c r="G701" s="11"/>
      <c r="I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>
      <c r="A702" s="11"/>
      <c r="B702" s="11"/>
      <c r="D702" s="11"/>
      <c r="E702" s="11"/>
      <c r="G702" s="11"/>
      <c r="I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>
      <c r="A703" s="11"/>
      <c r="B703" s="11"/>
      <c r="D703" s="11"/>
      <c r="E703" s="11"/>
      <c r="G703" s="11"/>
      <c r="I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>
      <c r="A704" s="11"/>
      <c r="B704" s="11"/>
      <c r="D704" s="11"/>
      <c r="E704" s="11"/>
      <c r="G704" s="11"/>
      <c r="I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>
      <c r="A705" s="11"/>
      <c r="B705" s="11"/>
      <c r="D705" s="11"/>
      <c r="E705" s="11"/>
      <c r="G705" s="11"/>
      <c r="I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>
      <c r="A706" s="11"/>
      <c r="B706" s="11"/>
      <c r="D706" s="11"/>
      <c r="E706" s="11"/>
      <c r="G706" s="11"/>
      <c r="I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>
      <c r="A707" s="11"/>
      <c r="B707" s="11"/>
      <c r="D707" s="11"/>
      <c r="E707" s="11"/>
      <c r="G707" s="11"/>
      <c r="I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>
      <c r="A708" s="11"/>
      <c r="B708" s="11"/>
      <c r="D708" s="11"/>
      <c r="E708" s="11"/>
      <c r="G708" s="11"/>
      <c r="I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>
      <c r="A709" s="11"/>
      <c r="B709" s="11"/>
      <c r="D709" s="11"/>
      <c r="E709" s="11"/>
      <c r="G709" s="11"/>
      <c r="I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>
      <c r="A710" s="11"/>
      <c r="B710" s="11"/>
      <c r="D710" s="11"/>
      <c r="E710" s="11"/>
      <c r="G710" s="11"/>
      <c r="I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>
      <c r="A711" s="11"/>
      <c r="B711" s="11"/>
      <c r="D711" s="11"/>
      <c r="E711" s="11"/>
      <c r="G711" s="11"/>
      <c r="I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>
      <c r="A712" s="11"/>
      <c r="B712" s="11"/>
      <c r="D712" s="11"/>
      <c r="E712" s="11"/>
      <c r="G712" s="11"/>
      <c r="I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>
      <c r="A713" s="11"/>
      <c r="B713" s="11"/>
      <c r="D713" s="11"/>
      <c r="E713" s="11"/>
      <c r="G713" s="11"/>
      <c r="I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>
      <c r="A714" s="11"/>
      <c r="B714" s="11"/>
      <c r="D714" s="11"/>
      <c r="E714" s="11"/>
      <c r="G714" s="11"/>
      <c r="I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>
      <c r="A715" s="11"/>
      <c r="B715" s="11"/>
      <c r="D715" s="11"/>
      <c r="E715" s="11"/>
      <c r="G715" s="11"/>
      <c r="I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>
      <c r="A716" s="11"/>
      <c r="B716" s="11"/>
      <c r="D716" s="11"/>
      <c r="E716" s="11"/>
      <c r="G716" s="11"/>
      <c r="I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>
      <c r="A717" s="11"/>
      <c r="B717" s="11"/>
      <c r="D717" s="11"/>
      <c r="E717" s="11"/>
      <c r="G717" s="11"/>
      <c r="I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>
      <c r="A718" s="11"/>
      <c r="B718" s="11"/>
      <c r="D718" s="11"/>
      <c r="E718" s="11"/>
      <c r="G718" s="11"/>
      <c r="I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>
      <c r="A719" s="11"/>
      <c r="B719" s="11"/>
      <c r="D719" s="11"/>
      <c r="E719" s="11"/>
      <c r="G719" s="11"/>
      <c r="I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>
      <c r="A720" s="11"/>
      <c r="B720" s="11"/>
      <c r="D720" s="11"/>
      <c r="E720" s="11"/>
      <c r="G720" s="11"/>
      <c r="I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>
      <c r="A721" s="11"/>
      <c r="B721" s="11"/>
      <c r="D721" s="11"/>
      <c r="E721" s="11"/>
      <c r="G721" s="11"/>
      <c r="I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>
      <c r="A722" s="11"/>
      <c r="B722" s="11"/>
      <c r="D722" s="11"/>
      <c r="E722" s="11"/>
      <c r="G722" s="11"/>
      <c r="I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>
      <c r="A723" s="11"/>
      <c r="B723" s="11"/>
      <c r="D723" s="11"/>
      <c r="E723" s="11"/>
      <c r="G723" s="11"/>
      <c r="I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>
      <c r="A724" s="11"/>
      <c r="B724" s="11"/>
      <c r="D724" s="11"/>
      <c r="E724" s="11"/>
      <c r="G724" s="11"/>
      <c r="I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>
      <c r="A725" s="11"/>
      <c r="B725" s="11"/>
      <c r="D725" s="11"/>
      <c r="E725" s="11"/>
      <c r="G725" s="11"/>
      <c r="I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>
      <c r="A726" s="11"/>
      <c r="B726" s="11"/>
      <c r="D726" s="11"/>
      <c r="E726" s="11"/>
      <c r="G726" s="11"/>
      <c r="I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>
      <c r="A727" s="11"/>
      <c r="B727" s="11"/>
      <c r="D727" s="11"/>
      <c r="E727" s="11"/>
      <c r="G727" s="11"/>
      <c r="I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>
      <c r="A728" s="11"/>
      <c r="B728" s="11"/>
      <c r="D728" s="11"/>
      <c r="E728" s="11"/>
      <c r="G728" s="11"/>
      <c r="I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>
      <c r="A729" s="11"/>
      <c r="B729" s="11"/>
      <c r="D729" s="11"/>
      <c r="E729" s="11"/>
      <c r="G729" s="11"/>
      <c r="I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>
      <c r="A730" s="11"/>
      <c r="B730" s="11"/>
      <c r="D730" s="11"/>
      <c r="E730" s="11"/>
      <c r="G730" s="11"/>
      <c r="I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>
      <c r="A731" s="11"/>
      <c r="B731" s="11"/>
      <c r="D731" s="11"/>
      <c r="E731" s="11"/>
      <c r="G731" s="11"/>
      <c r="I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>
      <c r="A732" s="11"/>
      <c r="B732" s="11"/>
      <c r="D732" s="11"/>
      <c r="E732" s="11"/>
      <c r="G732" s="11"/>
      <c r="I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>
      <c r="A733" s="11"/>
      <c r="B733" s="11"/>
      <c r="D733" s="11"/>
      <c r="E733" s="11"/>
      <c r="G733" s="11"/>
      <c r="I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>
      <c r="A734" s="11"/>
      <c r="B734" s="11"/>
      <c r="D734" s="11"/>
      <c r="E734" s="11"/>
      <c r="G734" s="11"/>
      <c r="I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>
      <c r="A735" s="11"/>
      <c r="B735" s="11"/>
      <c r="D735" s="11"/>
      <c r="E735" s="11"/>
      <c r="G735" s="11"/>
      <c r="I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>
      <c r="A736" s="11"/>
      <c r="B736" s="11"/>
      <c r="D736" s="11"/>
      <c r="E736" s="11"/>
      <c r="G736" s="11"/>
      <c r="I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>
      <c r="A737" s="11"/>
      <c r="B737" s="11"/>
      <c r="D737" s="11"/>
      <c r="E737" s="11"/>
      <c r="G737" s="11"/>
      <c r="I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>
      <c r="A738" s="11"/>
      <c r="B738" s="11"/>
      <c r="D738" s="11"/>
      <c r="E738" s="11"/>
      <c r="G738" s="11"/>
      <c r="I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>
      <c r="A739" s="11"/>
      <c r="B739" s="11"/>
      <c r="D739" s="11"/>
      <c r="E739" s="11"/>
      <c r="G739" s="11"/>
      <c r="I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>
      <c r="A740" s="11"/>
      <c r="B740" s="11"/>
      <c r="D740" s="11"/>
      <c r="E740" s="11"/>
      <c r="G740" s="11"/>
      <c r="I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>
      <c r="A741" s="11"/>
      <c r="B741" s="11"/>
      <c r="D741" s="11"/>
      <c r="E741" s="11"/>
      <c r="G741" s="11"/>
      <c r="I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>
      <c r="A742" s="11"/>
      <c r="B742" s="11"/>
      <c r="D742" s="11"/>
      <c r="E742" s="11"/>
      <c r="G742" s="11"/>
      <c r="I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>
      <c r="A743" s="11"/>
      <c r="B743" s="11"/>
      <c r="D743" s="11"/>
      <c r="E743" s="11"/>
      <c r="G743" s="11"/>
      <c r="I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>
      <c r="A744" s="11"/>
      <c r="B744" s="11"/>
      <c r="D744" s="11"/>
      <c r="E744" s="11"/>
      <c r="G744" s="11"/>
      <c r="I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>
      <c r="A745" s="11"/>
      <c r="B745" s="11"/>
      <c r="D745" s="11"/>
      <c r="E745" s="11"/>
      <c r="G745" s="11"/>
      <c r="I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>
      <c r="A746" s="11"/>
      <c r="B746" s="11"/>
      <c r="D746" s="11"/>
      <c r="E746" s="11"/>
      <c r="G746" s="11"/>
      <c r="I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>
      <c r="A747" s="11"/>
      <c r="B747" s="11"/>
      <c r="D747" s="11"/>
      <c r="E747" s="11"/>
      <c r="G747" s="11"/>
      <c r="I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>
      <c r="A748" s="11"/>
      <c r="B748" s="11"/>
      <c r="D748" s="11"/>
      <c r="E748" s="11"/>
      <c r="G748" s="11"/>
      <c r="I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>
      <c r="A749" s="11"/>
      <c r="B749" s="11"/>
      <c r="D749" s="11"/>
      <c r="E749" s="11"/>
      <c r="G749" s="11"/>
      <c r="I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>
      <c r="A750" s="11"/>
      <c r="B750" s="11"/>
      <c r="D750" s="11"/>
      <c r="E750" s="11"/>
      <c r="G750" s="11"/>
      <c r="I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>
      <c r="A751" s="11"/>
      <c r="B751" s="11"/>
      <c r="D751" s="11"/>
      <c r="E751" s="11"/>
      <c r="G751" s="11"/>
      <c r="I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>
      <c r="A752" s="11"/>
      <c r="B752" s="11"/>
      <c r="D752" s="11"/>
      <c r="E752" s="11"/>
      <c r="G752" s="11"/>
      <c r="I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>
      <c r="A753" s="11"/>
      <c r="B753" s="11"/>
      <c r="D753" s="11"/>
      <c r="E753" s="11"/>
      <c r="G753" s="11"/>
      <c r="I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>
      <c r="A754" s="11"/>
      <c r="B754" s="11"/>
      <c r="D754" s="11"/>
      <c r="E754" s="11"/>
      <c r="G754" s="11"/>
      <c r="I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>
      <c r="A755" s="11"/>
      <c r="B755" s="11"/>
      <c r="D755" s="11"/>
      <c r="E755" s="11"/>
      <c r="G755" s="11"/>
      <c r="I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>
      <c r="A756" s="11"/>
      <c r="B756" s="11"/>
      <c r="D756" s="11"/>
      <c r="E756" s="11"/>
      <c r="G756" s="11"/>
      <c r="I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>
      <c r="A757" s="11"/>
      <c r="B757" s="11"/>
      <c r="D757" s="11"/>
      <c r="E757" s="11"/>
      <c r="G757" s="11"/>
      <c r="I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>
      <c r="A758" s="11"/>
      <c r="B758" s="11"/>
      <c r="D758" s="11"/>
      <c r="E758" s="11"/>
      <c r="G758" s="11"/>
      <c r="I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>
      <c r="A759" s="11"/>
      <c r="B759" s="11"/>
      <c r="D759" s="11"/>
      <c r="E759" s="11"/>
      <c r="G759" s="11"/>
      <c r="I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>
      <c r="A760" s="11"/>
      <c r="B760" s="11"/>
      <c r="D760" s="11"/>
      <c r="E760" s="11"/>
      <c r="G760" s="11"/>
      <c r="I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>
      <c r="A761" s="11"/>
      <c r="B761" s="11"/>
      <c r="D761" s="11"/>
      <c r="E761" s="11"/>
      <c r="G761" s="11"/>
      <c r="I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>
      <c r="A762" s="11"/>
      <c r="B762" s="11"/>
      <c r="D762" s="11"/>
      <c r="E762" s="11"/>
      <c r="G762" s="11"/>
      <c r="I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>
      <c r="A763" s="11"/>
      <c r="B763" s="11"/>
      <c r="D763" s="11"/>
      <c r="E763" s="11"/>
      <c r="G763" s="11"/>
      <c r="I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>
      <c r="A764" s="11"/>
      <c r="B764" s="11"/>
      <c r="D764" s="11"/>
      <c r="E764" s="11"/>
      <c r="G764" s="11"/>
      <c r="I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>
      <c r="A765" s="11"/>
      <c r="B765" s="11"/>
      <c r="D765" s="11"/>
      <c r="E765" s="11"/>
      <c r="G765" s="11"/>
      <c r="I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>
      <c r="A766" s="11"/>
      <c r="B766" s="11"/>
      <c r="D766" s="11"/>
      <c r="E766" s="11"/>
      <c r="G766" s="11"/>
      <c r="I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>
      <c r="A767" s="11"/>
      <c r="B767" s="11"/>
      <c r="D767" s="11"/>
      <c r="E767" s="11"/>
      <c r="G767" s="11"/>
      <c r="I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>
      <c r="A768" s="11"/>
      <c r="B768" s="11"/>
      <c r="D768" s="11"/>
      <c r="E768" s="11"/>
      <c r="G768" s="11"/>
      <c r="I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>
      <c r="A769" s="11"/>
      <c r="B769" s="11"/>
      <c r="D769" s="11"/>
      <c r="E769" s="11"/>
      <c r="G769" s="11"/>
      <c r="I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>
      <c r="A770" s="11"/>
      <c r="B770" s="11"/>
      <c r="D770" s="11"/>
      <c r="E770" s="11"/>
      <c r="G770" s="11"/>
      <c r="I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>
      <c r="A771" s="11"/>
      <c r="B771" s="11"/>
      <c r="D771" s="11"/>
      <c r="E771" s="11"/>
      <c r="G771" s="11"/>
      <c r="I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>
      <c r="A772" s="11"/>
      <c r="B772" s="11"/>
      <c r="D772" s="11"/>
      <c r="E772" s="11"/>
      <c r="G772" s="11"/>
      <c r="I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>
      <c r="A773" s="11"/>
      <c r="B773" s="11"/>
      <c r="D773" s="11"/>
      <c r="E773" s="11"/>
      <c r="G773" s="11"/>
      <c r="I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>
      <c r="A774" s="11"/>
      <c r="B774" s="11"/>
      <c r="D774" s="11"/>
      <c r="E774" s="11"/>
      <c r="G774" s="11"/>
      <c r="I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>
      <c r="A775" s="11"/>
      <c r="B775" s="11"/>
      <c r="D775" s="11"/>
      <c r="E775" s="11"/>
      <c r="G775" s="11"/>
      <c r="I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>
      <c r="A776" s="11"/>
      <c r="B776" s="11"/>
      <c r="D776" s="11"/>
      <c r="E776" s="11"/>
      <c r="G776" s="11"/>
      <c r="I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>
      <c r="A777" s="11"/>
      <c r="B777" s="11"/>
      <c r="D777" s="11"/>
      <c r="E777" s="11"/>
      <c r="G777" s="11"/>
      <c r="I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>
      <c r="A778" s="11"/>
      <c r="B778" s="11"/>
      <c r="D778" s="11"/>
      <c r="E778" s="11"/>
      <c r="G778" s="11"/>
      <c r="I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>
      <c r="A779" s="11"/>
      <c r="B779" s="11"/>
      <c r="D779" s="11"/>
      <c r="E779" s="11"/>
      <c r="G779" s="11"/>
      <c r="I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>
      <c r="A780" s="11"/>
      <c r="B780" s="11"/>
      <c r="D780" s="11"/>
      <c r="E780" s="11"/>
      <c r="G780" s="11"/>
      <c r="I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>
      <c r="A781" s="11"/>
      <c r="B781" s="11"/>
      <c r="D781" s="11"/>
      <c r="E781" s="11"/>
      <c r="G781" s="11"/>
      <c r="I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>
      <c r="A782" s="11"/>
      <c r="B782" s="11"/>
      <c r="D782" s="11"/>
      <c r="E782" s="11"/>
      <c r="G782" s="11"/>
      <c r="I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>
      <c r="A783" s="11"/>
      <c r="B783" s="11"/>
      <c r="D783" s="11"/>
      <c r="E783" s="11"/>
      <c r="G783" s="11"/>
      <c r="I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>
      <c r="A784" s="11"/>
      <c r="B784" s="11"/>
      <c r="D784" s="11"/>
      <c r="E784" s="11"/>
      <c r="G784" s="11"/>
      <c r="I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>
      <c r="A785" s="11"/>
      <c r="B785" s="11"/>
      <c r="D785" s="11"/>
      <c r="E785" s="11"/>
      <c r="G785" s="11"/>
      <c r="I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>
      <c r="A786" s="11"/>
      <c r="B786" s="11"/>
      <c r="D786" s="11"/>
      <c r="E786" s="11"/>
      <c r="G786" s="11"/>
      <c r="I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>
      <c r="A787" s="11"/>
      <c r="B787" s="11"/>
      <c r="D787" s="11"/>
      <c r="E787" s="11"/>
      <c r="G787" s="11"/>
      <c r="I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>
      <c r="A788" s="11"/>
      <c r="B788" s="11"/>
      <c r="D788" s="11"/>
      <c r="E788" s="11"/>
      <c r="G788" s="11"/>
      <c r="I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>
      <c r="A789" s="11"/>
      <c r="B789" s="11"/>
      <c r="D789" s="11"/>
      <c r="E789" s="11"/>
      <c r="G789" s="11"/>
      <c r="I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>
      <c r="A790" s="11"/>
      <c r="B790" s="11"/>
      <c r="D790" s="11"/>
      <c r="E790" s="11"/>
      <c r="G790" s="11"/>
      <c r="I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>
      <c r="A791" s="11"/>
      <c r="B791" s="11"/>
      <c r="D791" s="11"/>
      <c r="E791" s="11"/>
      <c r="G791" s="11"/>
      <c r="I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>
      <c r="A792" s="11"/>
      <c r="B792" s="11"/>
      <c r="D792" s="11"/>
      <c r="E792" s="11"/>
      <c r="G792" s="11"/>
      <c r="I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>
      <c r="A793" s="11"/>
      <c r="B793" s="11"/>
      <c r="D793" s="11"/>
      <c r="E793" s="11"/>
      <c r="G793" s="11"/>
      <c r="I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>
      <c r="A794" s="11"/>
      <c r="B794" s="11"/>
      <c r="D794" s="11"/>
      <c r="E794" s="11"/>
      <c r="G794" s="11"/>
      <c r="I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>
      <c r="A795" s="11"/>
      <c r="B795" s="11"/>
      <c r="D795" s="11"/>
      <c r="E795" s="11"/>
      <c r="G795" s="11"/>
      <c r="I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>
      <c r="A796" s="11"/>
      <c r="B796" s="11"/>
      <c r="D796" s="11"/>
      <c r="E796" s="11"/>
      <c r="G796" s="11"/>
      <c r="I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>
      <c r="A797" s="11"/>
      <c r="B797" s="11"/>
      <c r="D797" s="11"/>
      <c r="E797" s="11"/>
      <c r="G797" s="11"/>
      <c r="I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>
      <c r="A798" s="11"/>
      <c r="B798" s="11"/>
      <c r="D798" s="11"/>
      <c r="E798" s="11"/>
      <c r="G798" s="11"/>
      <c r="I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>
      <c r="A799" s="11"/>
      <c r="B799" s="11"/>
      <c r="D799" s="11"/>
      <c r="E799" s="11"/>
      <c r="G799" s="11"/>
      <c r="I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>
      <c r="A800" s="11"/>
      <c r="B800" s="11"/>
      <c r="D800" s="11"/>
      <c r="E800" s="11"/>
      <c r="G800" s="11"/>
      <c r="I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>
      <c r="A801" s="11"/>
      <c r="B801" s="11"/>
      <c r="D801" s="11"/>
      <c r="E801" s="11"/>
      <c r="G801" s="11"/>
      <c r="I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>
      <c r="A802" s="11"/>
      <c r="B802" s="11"/>
      <c r="D802" s="11"/>
      <c r="E802" s="11"/>
      <c r="G802" s="11"/>
      <c r="I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>
      <c r="A803" s="11"/>
      <c r="B803" s="11"/>
      <c r="D803" s="11"/>
      <c r="E803" s="11"/>
      <c r="G803" s="11"/>
      <c r="I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>
      <c r="A804" s="11"/>
      <c r="B804" s="11"/>
      <c r="D804" s="11"/>
      <c r="E804" s="11"/>
      <c r="G804" s="11"/>
      <c r="I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>
      <c r="A805" s="11"/>
      <c r="B805" s="11"/>
      <c r="D805" s="11"/>
      <c r="E805" s="11"/>
      <c r="G805" s="11"/>
      <c r="I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>
      <c r="A806" s="11"/>
      <c r="B806" s="11"/>
      <c r="D806" s="11"/>
      <c r="E806" s="11"/>
      <c r="G806" s="11"/>
      <c r="I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>
      <c r="A807" s="11"/>
      <c r="B807" s="11"/>
      <c r="D807" s="11"/>
      <c r="E807" s="11"/>
      <c r="G807" s="11"/>
      <c r="I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>
      <c r="A808" s="11"/>
      <c r="B808" s="11"/>
      <c r="D808" s="11"/>
      <c r="E808" s="11"/>
      <c r="G808" s="11"/>
      <c r="I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>
      <c r="A809" s="11"/>
      <c r="B809" s="11"/>
      <c r="D809" s="11"/>
      <c r="E809" s="11"/>
      <c r="G809" s="11"/>
      <c r="I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>
      <c r="A810" s="11"/>
      <c r="B810" s="11"/>
      <c r="D810" s="11"/>
      <c r="E810" s="11"/>
      <c r="G810" s="11"/>
      <c r="I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>
      <c r="A811" s="11"/>
      <c r="B811" s="11"/>
      <c r="D811" s="11"/>
      <c r="E811" s="11"/>
      <c r="G811" s="11"/>
      <c r="I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>
      <c r="A812" s="11"/>
      <c r="B812" s="11"/>
      <c r="D812" s="11"/>
      <c r="E812" s="11"/>
      <c r="G812" s="11"/>
      <c r="I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>
      <c r="A813" s="11"/>
      <c r="B813" s="11"/>
      <c r="D813" s="11"/>
      <c r="E813" s="11"/>
      <c r="G813" s="11"/>
      <c r="I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>
      <c r="A814" s="11"/>
      <c r="B814" s="11"/>
      <c r="D814" s="11"/>
      <c r="E814" s="11"/>
      <c r="G814" s="11"/>
      <c r="I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>
      <c r="A815" s="11"/>
      <c r="B815" s="11"/>
      <c r="D815" s="11"/>
      <c r="E815" s="11"/>
      <c r="G815" s="11"/>
      <c r="I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>
      <c r="A816" s="11"/>
      <c r="B816" s="11"/>
      <c r="D816" s="11"/>
      <c r="E816" s="11"/>
      <c r="G816" s="11"/>
      <c r="I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>
      <c r="A817" s="11"/>
      <c r="B817" s="11"/>
      <c r="D817" s="11"/>
      <c r="E817" s="11"/>
      <c r="G817" s="11"/>
      <c r="I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>
      <c r="A818" s="11"/>
      <c r="B818" s="11"/>
      <c r="D818" s="11"/>
      <c r="E818" s="11"/>
      <c r="G818" s="11"/>
      <c r="I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>
      <c r="A819" s="11"/>
      <c r="B819" s="11"/>
      <c r="D819" s="11"/>
      <c r="E819" s="11"/>
      <c r="G819" s="11"/>
      <c r="I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>
      <c r="A820" s="11"/>
      <c r="B820" s="11"/>
      <c r="D820" s="11"/>
      <c r="E820" s="11"/>
      <c r="G820" s="11"/>
      <c r="I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>
      <c r="A821" s="11"/>
      <c r="B821" s="11"/>
      <c r="D821" s="11"/>
      <c r="E821" s="11"/>
      <c r="G821" s="11"/>
      <c r="I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>
      <c r="A822" s="11"/>
      <c r="B822" s="11"/>
      <c r="D822" s="11"/>
      <c r="E822" s="11"/>
      <c r="G822" s="11"/>
      <c r="I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>
      <c r="A823" s="11"/>
      <c r="B823" s="11"/>
      <c r="D823" s="11"/>
      <c r="E823" s="11"/>
      <c r="G823" s="11"/>
      <c r="I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>
      <c r="A824" s="11"/>
      <c r="B824" s="11"/>
      <c r="D824" s="11"/>
      <c r="E824" s="11"/>
      <c r="G824" s="11"/>
      <c r="I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>
      <c r="A825" s="11"/>
      <c r="B825" s="11"/>
      <c r="D825" s="11"/>
      <c r="E825" s="11"/>
      <c r="G825" s="11"/>
      <c r="I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>
      <c r="A826" s="11"/>
      <c r="B826" s="11"/>
      <c r="D826" s="11"/>
      <c r="E826" s="11"/>
      <c r="G826" s="11"/>
      <c r="I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>
      <c r="A827" s="11"/>
      <c r="B827" s="11"/>
      <c r="D827" s="11"/>
      <c r="E827" s="11"/>
      <c r="G827" s="11"/>
      <c r="I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>
      <c r="A828" s="11"/>
      <c r="B828" s="11"/>
      <c r="D828" s="11"/>
      <c r="E828" s="11"/>
      <c r="G828" s="11"/>
      <c r="I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>
      <c r="A829" s="11"/>
      <c r="B829" s="11"/>
      <c r="D829" s="11"/>
      <c r="E829" s="11"/>
      <c r="G829" s="11"/>
      <c r="I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>
      <c r="A830" s="11"/>
      <c r="B830" s="11"/>
      <c r="D830" s="11"/>
      <c r="E830" s="11"/>
      <c r="G830" s="11"/>
      <c r="I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>
      <c r="A831" s="11"/>
      <c r="B831" s="11"/>
      <c r="D831" s="11"/>
      <c r="E831" s="11"/>
      <c r="G831" s="11"/>
      <c r="I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>
      <c r="A832" s="11"/>
      <c r="B832" s="11"/>
      <c r="D832" s="11"/>
      <c r="E832" s="11"/>
      <c r="G832" s="11"/>
      <c r="I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>
      <c r="A833" s="11"/>
      <c r="B833" s="11"/>
      <c r="D833" s="11"/>
      <c r="E833" s="11"/>
      <c r="G833" s="11"/>
      <c r="I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>
      <c r="A834" s="11"/>
      <c r="B834" s="11"/>
      <c r="D834" s="11"/>
      <c r="E834" s="11"/>
      <c r="G834" s="11"/>
      <c r="I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>
      <c r="A835" s="11"/>
      <c r="B835" s="11"/>
      <c r="D835" s="11"/>
      <c r="E835" s="11"/>
      <c r="G835" s="11"/>
      <c r="I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>
      <c r="A836" s="11"/>
      <c r="B836" s="11"/>
      <c r="D836" s="11"/>
      <c r="E836" s="11"/>
      <c r="G836" s="11"/>
      <c r="I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>
      <c r="A837" s="11"/>
      <c r="B837" s="11"/>
      <c r="D837" s="11"/>
      <c r="E837" s="11"/>
      <c r="G837" s="11"/>
      <c r="I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>
      <c r="A838" s="11"/>
      <c r="B838" s="11"/>
      <c r="D838" s="11"/>
      <c r="E838" s="11"/>
      <c r="G838" s="11"/>
      <c r="I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>
      <c r="A839" s="11"/>
      <c r="B839" s="11"/>
      <c r="D839" s="11"/>
      <c r="E839" s="11"/>
      <c r="G839" s="11"/>
      <c r="I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>
      <c r="A840" s="11"/>
      <c r="B840" s="11"/>
      <c r="D840" s="11"/>
      <c r="E840" s="11"/>
      <c r="G840" s="11"/>
      <c r="I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>
      <c r="A841" s="11"/>
      <c r="B841" s="11"/>
      <c r="D841" s="11"/>
      <c r="E841" s="11"/>
      <c r="G841" s="11"/>
      <c r="I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>
      <c r="A842" s="11"/>
      <c r="B842" s="11"/>
      <c r="D842" s="11"/>
      <c r="E842" s="11"/>
      <c r="G842" s="11"/>
      <c r="I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>
      <c r="A843" s="11"/>
      <c r="B843" s="11"/>
      <c r="D843" s="11"/>
      <c r="E843" s="11"/>
      <c r="G843" s="11"/>
      <c r="I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>
      <c r="A844" s="11"/>
      <c r="B844" s="11"/>
      <c r="D844" s="11"/>
      <c r="E844" s="11"/>
      <c r="G844" s="11"/>
      <c r="I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>
      <c r="A845" s="11"/>
      <c r="B845" s="11"/>
      <c r="D845" s="11"/>
      <c r="E845" s="11"/>
      <c r="G845" s="11"/>
      <c r="I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>
      <c r="A846" s="11"/>
      <c r="B846" s="11"/>
      <c r="D846" s="11"/>
      <c r="E846" s="11"/>
      <c r="G846" s="11"/>
      <c r="I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>
      <c r="A847" s="11"/>
      <c r="B847" s="11"/>
      <c r="D847" s="11"/>
      <c r="E847" s="11"/>
      <c r="G847" s="11"/>
      <c r="I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>
      <c r="A848" s="11"/>
      <c r="B848" s="11"/>
      <c r="D848" s="11"/>
      <c r="E848" s="11"/>
      <c r="G848" s="11"/>
      <c r="I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>
      <c r="A849" s="11"/>
      <c r="B849" s="11"/>
      <c r="D849" s="11"/>
      <c r="E849" s="11"/>
      <c r="G849" s="11"/>
      <c r="I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>
      <c r="A850" s="11"/>
      <c r="B850" s="11"/>
      <c r="D850" s="11"/>
      <c r="E850" s="11"/>
      <c r="G850" s="11"/>
      <c r="I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>
      <c r="A851" s="11"/>
      <c r="B851" s="11"/>
      <c r="D851" s="11"/>
      <c r="E851" s="11"/>
      <c r="G851" s="11"/>
      <c r="I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>
      <c r="A852" s="11"/>
      <c r="B852" s="11"/>
      <c r="D852" s="11"/>
      <c r="E852" s="11"/>
      <c r="G852" s="11"/>
      <c r="I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>
      <c r="A853" s="11"/>
      <c r="B853" s="11"/>
      <c r="D853" s="11"/>
      <c r="E853" s="11"/>
      <c r="G853" s="11"/>
      <c r="I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>
      <c r="A854" s="11"/>
      <c r="B854" s="11"/>
      <c r="D854" s="11"/>
      <c r="E854" s="11"/>
      <c r="G854" s="11"/>
      <c r="I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>
      <c r="A855" s="11"/>
      <c r="B855" s="11"/>
      <c r="D855" s="11"/>
      <c r="E855" s="11"/>
      <c r="G855" s="11"/>
      <c r="I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>
      <c r="A856" s="11"/>
      <c r="B856" s="11"/>
      <c r="D856" s="11"/>
      <c r="E856" s="11"/>
      <c r="G856" s="11"/>
      <c r="I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>
      <c r="A857" s="11"/>
      <c r="B857" s="11"/>
      <c r="D857" s="11"/>
      <c r="E857" s="11"/>
      <c r="G857" s="11"/>
      <c r="I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>
      <c r="A858" s="11"/>
      <c r="B858" s="11"/>
      <c r="D858" s="11"/>
      <c r="E858" s="11"/>
      <c r="G858" s="11"/>
      <c r="I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>
      <c r="A859" s="11"/>
      <c r="B859" s="11"/>
      <c r="D859" s="11"/>
      <c r="E859" s="11"/>
      <c r="G859" s="11"/>
      <c r="I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>
      <c r="A860" s="11"/>
      <c r="B860" s="11"/>
      <c r="D860" s="11"/>
      <c r="E860" s="11"/>
      <c r="G860" s="11"/>
      <c r="I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>
      <c r="A861" s="11"/>
      <c r="B861" s="11"/>
      <c r="D861" s="11"/>
      <c r="E861" s="11"/>
      <c r="G861" s="11"/>
      <c r="I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>
      <c r="A862" s="11"/>
      <c r="B862" s="11"/>
      <c r="D862" s="11"/>
      <c r="E862" s="11"/>
      <c r="G862" s="11"/>
      <c r="I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>
      <c r="A863" s="11"/>
      <c r="B863" s="11"/>
      <c r="D863" s="11"/>
      <c r="E863" s="11"/>
      <c r="G863" s="11"/>
      <c r="I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>
      <c r="A864" s="11"/>
      <c r="B864" s="11"/>
      <c r="D864" s="11"/>
      <c r="E864" s="11"/>
      <c r="G864" s="11"/>
      <c r="I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>
      <c r="A865" s="11"/>
      <c r="B865" s="11"/>
      <c r="D865" s="11"/>
      <c r="E865" s="11"/>
      <c r="G865" s="11"/>
      <c r="I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>
      <c r="A866" s="11"/>
      <c r="B866" s="11"/>
      <c r="D866" s="11"/>
      <c r="E866" s="11"/>
      <c r="G866" s="11"/>
      <c r="I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>
      <c r="A867" s="11"/>
      <c r="B867" s="11"/>
      <c r="D867" s="11"/>
      <c r="E867" s="11"/>
      <c r="G867" s="11"/>
      <c r="I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>
      <c r="A868" s="11"/>
      <c r="B868" s="11"/>
      <c r="D868" s="11"/>
      <c r="E868" s="11"/>
      <c r="G868" s="11"/>
      <c r="I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>
      <c r="A869" s="11"/>
      <c r="B869" s="11"/>
      <c r="D869" s="11"/>
      <c r="E869" s="11"/>
      <c r="G869" s="11"/>
      <c r="I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>
      <c r="A870" s="11"/>
      <c r="B870" s="11"/>
      <c r="D870" s="11"/>
      <c r="E870" s="11"/>
      <c r="G870" s="11"/>
      <c r="I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>
      <c r="A871" s="11"/>
      <c r="B871" s="11"/>
      <c r="D871" s="11"/>
      <c r="E871" s="11"/>
      <c r="G871" s="11"/>
      <c r="I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>
      <c r="A872" s="11"/>
      <c r="B872" s="11"/>
      <c r="D872" s="11"/>
      <c r="E872" s="11"/>
      <c r="G872" s="11"/>
      <c r="I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>
      <c r="A873" s="11"/>
      <c r="B873" s="11"/>
      <c r="D873" s="11"/>
      <c r="E873" s="11"/>
      <c r="G873" s="11"/>
      <c r="I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>
      <c r="A874" s="11"/>
      <c r="B874" s="11"/>
      <c r="D874" s="11"/>
      <c r="E874" s="11"/>
      <c r="G874" s="11"/>
      <c r="I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>
      <c r="A875" s="11"/>
      <c r="B875" s="11"/>
      <c r="D875" s="11"/>
      <c r="E875" s="11"/>
      <c r="G875" s="11"/>
      <c r="I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>
      <c r="A876" s="11"/>
      <c r="B876" s="11"/>
      <c r="D876" s="11"/>
      <c r="E876" s="11"/>
      <c r="G876" s="11"/>
      <c r="I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>
      <c r="A877" s="11"/>
      <c r="B877" s="11"/>
      <c r="D877" s="11"/>
      <c r="E877" s="11"/>
      <c r="G877" s="11"/>
      <c r="I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>
      <c r="A878" s="11"/>
      <c r="B878" s="11"/>
      <c r="D878" s="11"/>
      <c r="E878" s="11"/>
      <c r="G878" s="11"/>
      <c r="I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>
      <c r="A879" s="11"/>
      <c r="B879" s="11"/>
      <c r="D879" s="11"/>
      <c r="E879" s="11"/>
      <c r="G879" s="11"/>
      <c r="I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>
      <c r="A880" s="11"/>
      <c r="B880" s="11"/>
      <c r="D880" s="11"/>
      <c r="E880" s="11"/>
      <c r="G880" s="11"/>
      <c r="I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>
      <c r="A881" s="11"/>
      <c r="B881" s="11"/>
      <c r="D881" s="11"/>
      <c r="E881" s="11"/>
      <c r="G881" s="11"/>
      <c r="I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>
      <c r="A882" s="11"/>
      <c r="B882" s="11"/>
      <c r="D882" s="11"/>
      <c r="E882" s="11"/>
      <c r="G882" s="11"/>
      <c r="I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>
      <c r="A883" s="11"/>
      <c r="B883" s="11"/>
      <c r="D883" s="11"/>
      <c r="E883" s="11"/>
      <c r="G883" s="11"/>
      <c r="I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>
      <c r="A884" s="11"/>
      <c r="B884" s="11"/>
      <c r="D884" s="11"/>
      <c r="E884" s="11"/>
      <c r="G884" s="11"/>
      <c r="I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>
      <c r="A885" s="11"/>
      <c r="B885" s="11"/>
      <c r="D885" s="11"/>
      <c r="E885" s="11"/>
      <c r="G885" s="11"/>
      <c r="I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>
      <c r="A886" s="11"/>
      <c r="B886" s="11"/>
      <c r="D886" s="11"/>
      <c r="E886" s="11"/>
      <c r="G886" s="11"/>
      <c r="I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>
      <c r="A887" s="11"/>
      <c r="B887" s="11"/>
      <c r="D887" s="11"/>
      <c r="E887" s="11"/>
      <c r="G887" s="11"/>
      <c r="I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>
      <c r="A888" s="11"/>
      <c r="B888" s="11"/>
      <c r="D888" s="11"/>
      <c r="E888" s="11"/>
      <c r="G888" s="11"/>
      <c r="I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>
      <c r="A889" s="11"/>
      <c r="B889" s="11"/>
      <c r="D889" s="11"/>
      <c r="E889" s="11"/>
      <c r="G889" s="11"/>
      <c r="I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>
      <c r="A890" s="11"/>
      <c r="B890" s="11"/>
      <c r="D890" s="11"/>
      <c r="E890" s="11"/>
      <c r="G890" s="11"/>
      <c r="I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>
      <c r="A891" s="11"/>
      <c r="B891" s="11"/>
      <c r="D891" s="11"/>
      <c r="E891" s="11"/>
      <c r="G891" s="11"/>
      <c r="I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>
      <c r="A892" s="11"/>
      <c r="B892" s="11"/>
      <c r="D892" s="11"/>
      <c r="E892" s="11"/>
      <c r="G892" s="11"/>
      <c r="I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>
      <c r="A893" s="11"/>
      <c r="B893" s="11"/>
      <c r="D893" s="11"/>
      <c r="E893" s="11"/>
      <c r="G893" s="11"/>
      <c r="I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>
      <c r="A894" s="11"/>
      <c r="B894" s="11"/>
      <c r="D894" s="11"/>
      <c r="E894" s="11"/>
      <c r="G894" s="11"/>
      <c r="I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>
      <c r="A895" s="11"/>
      <c r="B895" s="11"/>
      <c r="D895" s="11"/>
      <c r="E895" s="11"/>
      <c r="G895" s="11"/>
      <c r="I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>
      <c r="A896" s="11"/>
      <c r="B896" s="11"/>
      <c r="D896" s="11"/>
      <c r="E896" s="11"/>
      <c r="G896" s="11"/>
      <c r="I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>
      <c r="A897" s="11"/>
      <c r="B897" s="11"/>
      <c r="D897" s="11"/>
      <c r="E897" s="11"/>
      <c r="G897" s="11"/>
      <c r="I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>
      <c r="A898" s="11"/>
      <c r="B898" s="11"/>
      <c r="D898" s="11"/>
      <c r="E898" s="11"/>
      <c r="G898" s="11"/>
      <c r="I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>
      <c r="A899" s="11"/>
      <c r="B899" s="11"/>
      <c r="D899" s="11"/>
      <c r="E899" s="11"/>
      <c r="G899" s="11"/>
      <c r="I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>
      <c r="A900" s="11"/>
      <c r="B900" s="11"/>
      <c r="D900" s="11"/>
      <c r="E900" s="11"/>
      <c r="G900" s="11"/>
      <c r="I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>
      <c r="A901" s="11"/>
      <c r="B901" s="11"/>
      <c r="D901" s="11"/>
      <c r="E901" s="11"/>
      <c r="G901" s="11"/>
      <c r="I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>
      <c r="A902" s="11"/>
      <c r="B902" s="11"/>
      <c r="D902" s="11"/>
      <c r="E902" s="11"/>
      <c r="G902" s="11"/>
      <c r="I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>
      <c r="A903" s="11"/>
      <c r="B903" s="11"/>
      <c r="D903" s="11"/>
      <c r="E903" s="11"/>
      <c r="G903" s="11"/>
      <c r="I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>
      <c r="A904" s="11"/>
      <c r="B904" s="11"/>
      <c r="D904" s="11"/>
      <c r="E904" s="11"/>
      <c r="G904" s="11"/>
      <c r="I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>
      <c r="A905" s="11"/>
      <c r="B905" s="11"/>
      <c r="D905" s="11"/>
      <c r="E905" s="11"/>
      <c r="G905" s="11"/>
      <c r="I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>
      <c r="A906" s="11"/>
      <c r="B906" s="11"/>
      <c r="D906" s="11"/>
      <c r="E906" s="11"/>
      <c r="G906" s="11"/>
      <c r="I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>
      <c r="A907" s="11"/>
      <c r="B907" s="11"/>
      <c r="D907" s="11"/>
      <c r="E907" s="11"/>
      <c r="G907" s="11"/>
      <c r="I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>
      <c r="A908" s="11"/>
      <c r="B908" s="11"/>
      <c r="D908" s="11"/>
      <c r="E908" s="11"/>
      <c r="G908" s="11"/>
      <c r="I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>
      <c r="A909" s="11"/>
      <c r="B909" s="11"/>
      <c r="D909" s="11"/>
      <c r="E909" s="11"/>
      <c r="G909" s="11"/>
      <c r="I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>
      <c r="A910" s="11"/>
      <c r="B910" s="11"/>
      <c r="D910" s="11"/>
      <c r="E910" s="11"/>
      <c r="G910" s="11"/>
      <c r="I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>
      <c r="A911" s="11"/>
      <c r="B911" s="11"/>
      <c r="D911" s="11"/>
      <c r="E911" s="11"/>
      <c r="G911" s="11"/>
      <c r="I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>
      <c r="A912" s="11"/>
      <c r="B912" s="11"/>
      <c r="D912" s="11"/>
      <c r="E912" s="11"/>
      <c r="G912" s="11"/>
      <c r="I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>
      <c r="A913" s="11"/>
      <c r="B913" s="11"/>
      <c r="D913" s="11"/>
      <c r="E913" s="11"/>
      <c r="G913" s="11"/>
      <c r="I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>
      <c r="A914" s="11"/>
      <c r="B914" s="11"/>
      <c r="D914" s="11"/>
      <c r="E914" s="11"/>
      <c r="G914" s="11"/>
      <c r="I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>
      <c r="A915" s="11"/>
      <c r="B915" s="11"/>
      <c r="D915" s="11"/>
      <c r="E915" s="11"/>
      <c r="G915" s="11"/>
      <c r="I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>
      <c r="A916" s="11"/>
      <c r="B916" s="11"/>
      <c r="D916" s="11"/>
      <c r="E916" s="11"/>
      <c r="G916" s="11"/>
      <c r="I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>
      <c r="A917" s="11"/>
      <c r="B917" s="11"/>
      <c r="D917" s="11"/>
      <c r="E917" s="11"/>
      <c r="G917" s="11"/>
      <c r="I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>
      <c r="A918" s="11"/>
      <c r="B918" s="11"/>
      <c r="D918" s="11"/>
      <c r="E918" s="11"/>
      <c r="G918" s="11"/>
      <c r="I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>
      <c r="A919" s="11"/>
      <c r="B919" s="11"/>
      <c r="D919" s="11"/>
      <c r="E919" s="11"/>
      <c r="G919" s="11"/>
      <c r="I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>
      <c r="A920" s="11"/>
      <c r="B920" s="11"/>
      <c r="D920" s="11"/>
      <c r="E920" s="11"/>
      <c r="G920" s="11"/>
      <c r="I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>
      <c r="A921" s="11"/>
      <c r="B921" s="11"/>
      <c r="D921" s="11"/>
      <c r="E921" s="11"/>
      <c r="G921" s="11"/>
      <c r="I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>
      <c r="A922" s="11"/>
      <c r="B922" s="11"/>
      <c r="D922" s="11"/>
      <c r="E922" s="11"/>
      <c r="G922" s="11"/>
      <c r="I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>
      <c r="A923" s="11"/>
      <c r="B923" s="11"/>
      <c r="D923" s="11"/>
      <c r="E923" s="11"/>
      <c r="G923" s="11"/>
      <c r="I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>
      <c r="A924" s="11"/>
      <c r="B924" s="11"/>
      <c r="D924" s="11"/>
      <c r="E924" s="11"/>
      <c r="G924" s="11"/>
      <c r="I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>
      <c r="A925" s="11"/>
      <c r="B925" s="11"/>
      <c r="D925" s="11"/>
      <c r="E925" s="11"/>
      <c r="G925" s="11"/>
      <c r="I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>
      <c r="A926" s="11"/>
      <c r="B926" s="11"/>
      <c r="D926" s="11"/>
      <c r="E926" s="11"/>
      <c r="G926" s="11"/>
      <c r="I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>
      <c r="A927" s="11"/>
      <c r="B927" s="11"/>
      <c r="D927" s="11"/>
      <c r="E927" s="11"/>
      <c r="G927" s="11"/>
      <c r="I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>
      <c r="A928" s="11"/>
      <c r="B928" s="11"/>
      <c r="D928" s="11"/>
      <c r="E928" s="11"/>
      <c r="G928" s="11"/>
      <c r="I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>
      <c r="A929" s="11"/>
      <c r="B929" s="11"/>
      <c r="D929" s="11"/>
      <c r="E929" s="11"/>
      <c r="G929" s="11"/>
      <c r="I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>
      <c r="A930" s="11"/>
      <c r="B930" s="11"/>
      <c r="D930" s="11"/>
      <c r="E930" s="11"/>
      <c r="G930" s="11"/>
      <c r="I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>
      <c r="A931" s="11"/>
      <c r="B931" s="11"/>
      <c r="D931" s="11"/>
      <c r="E931" s="11"/>
      <c r="G931" s="11"/>
      <c r="I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>
      <c r="A932" s="11"/>
      <c r="B932" s="11"/>
      <c r="D932" s="11"/>
      <c r="E932" s="11"/>
      <c r="G932" s="11"/>
      <c r="I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>
      <c r="A933" s="11"/>
      <c r="B933" s="11"/>
      <c r="D933" s="11"/>
      <c r="E933" s="11"/>
      <c r="G933" s="11"/>
      <c r="I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>
      <c r="A934" s="11"/>
      <c r="B934" s="11"/>
      <c r="D934" s="11"/>
      <c r="E934" s="11"/>
      <c r="G934" s="11"/>
      <c r="I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>
      <c r="A935" s="11"/>
      <c r="B935" s="11"/>
      <c r="D935" s="11"/>
      <c r="E935" s="11"/>
      <c r="G935" s="11"/>
      <c r="I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>
      <c r="A936" s="11"/>
      <c r="B936" s="11"/>
      <c r="D936" s="11"/>
      <c r="E936" s="11"/>
      <c r="G936" s="11"/>
      <c r="I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>
      <c r="A937" s="11"/>
      <c r="B937" s="11"/>
      <c r="D937" s="11"/>
      <c r="E937" s="11"/>
      <c r="G937" s="11"/>
      <c r="I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>
      <c r="A938" s="11"/>
      <c r="B938" s="11"/>
      <c r="D938" s="11"/>
      <c r="E938" s="11"/>
      <c r="G938" s="11"/>
      <c r="I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>
      <c r="A939" s="11"/>
      <c r="B939" s="11"/>
      <c r="D939" s="11"/>
      <c r="E939" s="11"/>
      <c r="G939" s="11"/>
      <c r="I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>
      <c r="A940" s="11"/>
      <c r="B940" s="11"/>
      <c r="D940" s="11"/>
      <c r="E940" s="11"/>
      <c r="G940" s="11"/>
      <c r="I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>
      <c r="A941" s="11"/>
      <c r="B941" s="11"/>
      <c r="D941" s="11"/>
      <c r="E941" s="11"/>
      <c r="G941" s="11"/>
      <c r="I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>
      <c r="A942" s="11"/>
      <c r="B942" s="11"/>
      <c r="D942" s="11"/>
      <c r="E942" s="11"/>
      <c r="G942" s="11"/>
      <c r="I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>
      <c r="A943" s="11"/>
      <c r="B943" s="11"/>
      <c r="D943" s="11"/>
      <c r="E943" s="11"/>
      <c r="G943" s="11"/>
      <c r="I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>
      <c r="A944" s="11"/>
      <c r="B944" s="11"/>
      <c r="D944" s="11"/>
      <c r="E944" s="11"/>
      <c r="G944" s="11"/>
      <c r="I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>
      <c r="A945" s="11"/>
      <c r="B945" s="11"/>
      <c r="D945" s="11"/>
      <c r="E945" s="11"/>
      <c r="G945" s="11"/>
      <c r="I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>
      <c r="A946" s="11"/>
      <c r="B946" s="11"/>
      <c r="D946" s="11"/>
      <c r="E946" s="11"/>
      <c r="G946" s="11"/>
      <c r="I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>
      <c r="A947" s="11"/>
      <c r="B947" s="11"/>
      <c r="D947" s="11"/>
      <c r="E947" s="11"/>
      <c r="G947" s="11"/>
      <c r="I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>
      <c r="A948" s="11"/>
      <c r="B948" s="11"/>
      <c r="D948" s="11"/>
      <c r="E948" s="11"/>
      <c r="G948" s="11"/>
      <c r="I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>
      <c r="A949" s="11"/>
      <c r="B949" s="11"/>
      <c r="D949" s="11"/>
      <c r="E949" s="11"/>
      <c r="G949" s="11"/>
      <c r="I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>
      <c r="A950" s="11"/>
      <c r="B950" s="11"/>
      <c r="D950" s="11"/>
      <c r="E950" s="11"/>
      <c r="G950" s="11"/>
      <c r="I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>
      <c r="A951" s="11"/>
      <c r="B951" s="11"/>
      <c r="D951" s="11"/>
      <c r="E951" s="11"/>
      <c r="G951" s="11"/>
      <c r="I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>
      <c r="A952" s="11"/>
      <c r="B952" s="11"/>
      <c r="D952" s="11"/>
      <c r="E952" s="11"/>
      <c r="G952" s="11"/>
      <c r="I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>
      <c r="A953" s="11"/>
      <c r="B953" s="11"/>
      <c r="D953" s="11"/>
      <c r="E953" s="11"/>
      <c r="G953" s="11"/>
      <c r="I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>
      <c r="A954" s="11"/>
      <c r="B954" s="11"/>
      <c r="D954" s="11"/>
      <c r="E954" s="11"/>
      <c r="G954" s="11"/>
      <c r="I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>
      <c r="A955" s="11"/>
      <c r="B955" s="11"/>
      <c r="D955" s="11"/>
      <c r="E955" s="11"/>
      <c r="G955" s="11"/>
      <c r="I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>
      <c r="A956" s="11"/>
      <c r="B956" s="11"/>
      <c r="D956" s="11"/>
      <c r="E956" s="11"/>
      <c r="G956" s="11"/>
      <c r="I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>
      <c r="A957" s="11"/>
      <c r="B957" s="11"/>
      <c r="D957" s="11"/>
      <c r="E957" s="11"/>
      <c r="G957" s="11"/>
      <c r="I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>
      <c r="A958" s="11"/>
      <c r="B958" s="11"/>
      <c r="D958" s="11"/>
      <c r="E958" s="11"/>
      <c r="G958" s="11"/>
      <c r="I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>
      <c r="A959" s="11"/>
      <c r="B959" s="11"/>
      <c r="D959" s="11"/>
      <c r="E959" s="11"/>
      <c r="G959" s="11"/>
      <c r="I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>
      <c r="A960" s="11"/>
      <c r="B960" s="11"/>
      <c r="D960" s="11"/>
      <c r="E960" s="11"/>
      <c r="G960" s="11"/>
      <c r="I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>
      <c r="A961" s="11"/>
      <c r="B961" s="11"/>
      <c r="D961" s="11"/>
      <c r="E961" s="11"/>
      <c r="G961" s="11"/>
      <c r="I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>
      <c r="A962" s="11"/>
      <c r="B962" s="11"/>
      <c r="D962" s="11"/>
      <c r="E962" s="11"/>
      <c r="G962" s="11"/>
      <c r="I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>
      <c r="A963" s="11"/>
      <c r="B963" s="11"/>
      <c r="D963" s="11"/>
      <c r="E963" s="11"/>
      <c r="G963" s="11"/>
      <c r="I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>
      <c r="A964" s="11"/>
      <c r="B964" s="11"/>
      <c r="D964" s="11"/>
      <c r="E964" s="11"/>
      <c r="G964" s="11"/>
      <c r="I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>
      <c r="A965" s="11"/>
      <c r="B965" s="11"/>
      <c r="D965" s="11"/>
      <c r="E965" s="11"/>
      <c r="G965" s="11"/>
      <c r="I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>
      <c r="A966" s="11"/>
      <c r="B966" s="11"/>
      <c r="D966" s="11"/>
      <c r="E966" s="11"/>
      <c r="G966" s="11"/>
      <c r="I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>
      <c r="A967" s="11"/>
      <c r="B967" s="11"/>
      <c r="D967" s="11"/>
      <c r="E967" s="11"/>
      <c r="G967" s="11"/>
      <c r="I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>
      <c r="A968" s="11"/>
      <c r="B968" s="11"/>
      <c r="D968" s="11"/>
      <c r="E968" s="11"/>
      <c r="G968" s="11"/>
      <c r="I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>
      <c r="A969" s="11"/>
      <c r="B969" s="11"/>
      <c r="D969" s="11"/>
      <c r="E969" s="11"/>
      <c r="G969" s="11"/>
      <c r="I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>
      <c r="A970" s="11"/>
      <c r="B970" s="11"/>
      <c r="D970" s="11"/>
      <c r="E970" s="11"/>
      <c r="G970" s="11"/>
      <c r="I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>
      <c r="A971" s="11"/>
      <c r="B971" s="11"/>
      <c r="D971" s="11"/>
      <c r="E971" s="11"/>
      <c r="G971" s="11"/>
      <c r="I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>
      <c r="A972" s="11"/>
      <c r="B972" s="11"/>
      <c r="D972" s="11"/>
      <c r="E972" s="11"/>
      <c r="G972" s="11"/>
      <c r="I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>
      <c r="A973" s="11"/>
      <c r="B973" s="11"/>
      <c r="D973" s="11"/>
      <c r="E973" s="11"/>
      <c r="G973" s="11"/>
      <c r="I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>
      <c r="A974" s="11"/>
      <c r="B974" s="11"/>
      <c r="D974" s="11"/>
      <c r="E974" s="11"/>
      <c r="G974" s="11"/>
      <c r="I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>
      <c r="A975" s="11"/>
      <c r="B975" s="11"/>
      <c r="D975" s="11"/>
      <c r="E975" s="11"/>
      <c r="G975" s="11"/>
      <c r="I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>
      <c r="A976" s="11"/>
      <c r="B976" s="11"/>
      <c r="D976" s="11"/>
      <c r="E976" s="11"/>
      <c r="G976" s="11"/>
      <c r="I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>
      <c r="A977" s="11"/>
      <c r="B977" s="11"/>
      <c r="D977" s="11"/>
      <c r="E977" s="11"/>
      <c r="G977" s="11"/>
      <c r="I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>
      <c r="A978" s="11"/>
      <c r="B978" s="11"/>
      <c r="D978" s="11"/>
      <c r="E978" s="11"/>
      <c r="G978" s="11"/>
      <c r="I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>
      <c r="A979" s="11"/>
      <c r="B979" s="11"/>
      <c r="D979" s="11"/>
      <c r="E979" s="11"/>
      <c r="G979" s="11"/>
      <c r="I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>
      <c r="A980" s="11"/>
      <c r="B980" s="11"/>
      <c r="D980" s="11"/>
      <c r="E980" s="11"/>
      <c r="G980" s="11"/>
      <c r="I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>
      <c r="A981" s="11"/>
      <c r="B981" s="11"/>
      <c r="D981" s="11"/>
      <c r="E981" s="11"/>
      <c r="G981" s="11"/>
      <c r="I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>
      <c r="A982" s="11"/>
      <c r="B982" s="11"/>
      <c r="D982" s="11"/>
      <c r="E982" s="11"/>
      <c r="G982" s="11"/>
      <c r="I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>
      <c r="A983" s="11"/>
      <c r="B983" s="11"/>
      <c r="D983" s="11"/>
      <c r="E983" s="11"/>
      <c r="G983" s="11"/>
      <c r="I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>
      <c r="A984" s="11"/>
      <c r="B984" s="11"/>
      <c r="D984" s="11"/>
      <c r="E984" s="11"/>
      <c r="G984" s="11"/>
      <c r="I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>
      <c r="A985" s="11"/>
      <c r="B985" s="11"/>
      <c r="D985" s="11"/>
      <c r="E985" s="11"/>
      <c r="G985" s="11"/>
      <c r="I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>
      <c r="A986" s="11"/>
      <c r="B986" s="11"/>
      <c r="D986" s="11"/>
      <c r="E986" s="11"/>
      <c r="G986" s="11"/>
      <c r="I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>
      <c r="A987" s="11"/>
      <c r="B987" s="11"/>
      <c r="D987" s="11"/>
      <c r="E987" s="11"/>
      <c r="G987" s="11"/>
      <c r="I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>
      <c r="A988" s="11"/>
      <c r="B988" s="11"/>
      <c r="D988" s="11"/>
      <c r="E988" s="11"/>
      <c r="G988" s="11"/>
      <c r="I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>
      <c r="A989" s="11"/>
      <c r="B989" s="11"/>
      <c r="D989" s="11"/>
      <c r="E989" s="11"/>
      <c r="G989" s="11"/>
      <c r="I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>
      <c r="A990" s="11"/>
      <c r="B990" s="11"/>
      <c r="D990" s="11"/>
      <c r="E990" s="11"/>
      <c r="G990" s="11"/>
      <c r="I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>
      <c r="A991" s="11"/>
      <c r="B991" s="11"/>
      <c r="D991" s="11"/>
      <c r="E991" s="11"/>
      <c r="G991" s="11"/>
      <c r="I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>
      <c r="A992" s="11"/>
      <c r="B992" s="11"/>
      <c r="D992" s="11"/>
      <c r="E992" s="11"/>
      <c r="G992" s="11"/>
      <c r="I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>
      <c r="A993" s="11"/>
      <c r="B993" s="11"/>
      <c r="D993" s="11"/>
      <c r="E993" s="11"/>
      <c r="G993" s="11"/>
      <c r="I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>
      <c r="A994" s="11"/>
      <c r="B994" s="11"/>
      <c r="D994" s="11"/>
      <c r="E994" s="11"/>
      <c r="G994" s="11"/>
      <c r="I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>
      <c r="A995" s="11"/>
      <c r="B995" s="11"/>
      <c r="D995" s="11"/>
      <c r="E995" s="11"/>
      <c r="G995" s="11"/>
      <c r="I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>
      <c r="A996" s="11"/>
      <c r="B996" s="11"/>
      <c r="D996" s="11"/>
      <c r="E996" s="11"/>
      <c r="G996" s="11"/>
      <c r="I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>
      <c r="A997" s="11"/>
      <c r="B997" s="11"/>
      <c r="D997" s="11"/>
      <c r="E997" s="11"/>
      <c r="G997" s="11"/>
      <c r="I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>
      <c r="A998" s="11"/>
      <c r="B998" s="11"/>
      <c r="D998" s="11"/>
      <c r="E998" s="11"/>
      <c r="G998" s="11"/>
      <c r="I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>
      <c r="A999" s="11"/>
      <c r="B999" s="11"/>
      <c r="D999" s="11"/>
      <c r="E999" s="11"/>
      <c r="G999" s="11"/>
      <c r="I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>
      <c r="A1000" s="11"/>
      <c r="B1000" s="11"/>
      <c r="D1000" s="11"/>
      <c r="E1000" s="11"/>
      <c r="G1000" s="11"/>
      <c r="I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</sheetData>
  <mergeCells count="1">
    <mergeCell ref="M1:U1"/>
  </mergeCells>
  <conditionalFormatting sqref="A2:U1000">
    <cfRule type="notContainsBlanks" dxfId="0" priority="1">
      <formula>LEN(TRIM(A2))&gt;0</formula>
    </cfRule>
  </conditionalFormatting>
  <conditionalFormatting sqref="A1:AD1">
    <cfRule type="notContainsBlanks" dxfId="1" priority="2">
      <formula>LEN(TRIM(A1))&gt;0</formula>
    </cfRule>
  </conditionalFormatting>
  <dataValidations>
    <dataValidation type="list" allowBlank="1" sqref="I2:I1000">
      <formula1>'All Courses'!$G:$G</formula1>
    </dataValidation>
    <dataValidation type="list" allowBlank="1" showInputMessage="1" prompt="Need the course in this format." sqref="A2:A1000">
      <formula1>'All Courses'!$A:$A</formula1>
    </dataValidation>
    <dataValidation type="list" allowBlank="1" sqref="M2:U1000">
      <formula1>'All Courses'!$A:$A</formula1>
    </dataValidation>
    <dataValidation type="list" allowBlank="1" showInputMessage="1" prompt="Its okay if it isnt one of the courses in the dropdown list." sqref="G2:G1000">
      <formula1>'All Courses'!$C:$C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4" max="4" width="33.43"/>
    <col customWidth="1" min="7" max="7" width="22.0"/>
    <col customWidth="1" min="8" max="8" width="19.86"/>
    <col customWidth="1" min="9" max="9" width="62.86"/>
    <col customWidth="1" min="13" max="13" width="64.29"/>
  </cols>
  <sheetData>
    <row r="1">
      <c r="A1" s="1" t="s">
        <v>95</v>
      </c>
      <c r="B1" s="1" t="s">
        <v>1</v>
      </c>
      <c r="C1" s="2"/>
      <c r="D1" s="3" t="s">
        <v>96</v>
      </c>
      <c r="E1" s="1" t="s">
        <v>3</v>
      </c>
      <c r="F1" s="4"/>
      <c r="G1" s="1" t="s">
        <v>97</v>
      </c>
      <c r="H1" s="5"/>
      <c r="I1" s="1" t="s">
        <v>98</v>
      </c>
      <c r="J1" s="2"/>
      <c r="K1" s="3" t="s">
        <v>6</v>
      </c>
      <c r="L1" s="3" t="s">
        <v>7</v>
      </c>
      <c r="M1" s="6" t="s">
        <v>99</v>
      </c>
      <c r="N1" s="7"/>
      <c r="O1" s="7"/>
      <c r="P1" s="7"/>
      <c r="Q1" s="7"/>
      <c r="R1" s="7"/>
      <c r="S1" s="7"/>
      <c r="T1" s="7"/>
      <c r="U1" s="8"/>
      <c r="V1" s="2"/>
      <c r="W1" s="2"/>
      <c r="X1" s="2"/>
      <c r="Y1" s="2"/>
      <c r="Z1" s="2"/>
      <c r="AA1" s="2"/>
      <c r="AB1" s="2"/>
      <c r="AC1" s="2"/>
      <c r="AD1" s="2"/>
    </row>
    <row r="2">
      <c r="A2" s="9"/>
      <c r="B2" s="9"/>
      <c r="D2" s="9" t="s">
        <v>100</v>
      </c>
      <c r="E2" s="9">
        <v>0.0</v>
      </c>
      <c r="G2" s="9"/>
      <c r="I2" s="9"/>
      <c r="K2" s="9"/>
      <c r="L2" s="9"/>
      <c r="M2" s="10"/>
      <c r="N2" s="10"/>
      <c r="O2" s="11"/>
      <c r="P2" s="11"/>
      <c r="Q2" s="11"/>
      <c r="R2" s="11"/>
      <c r="S2" s="11"/>
      <c r="T2" s="11"/>
      <c r="U2" s="11"/>
    </row>
    <row r="3">
      <c r="A3" s="9"/>
      <c r="B3" s="9"/>
      <c r="D3" s="10" t="s">
        <v>101</v>
      </c>
      <c r="E3" s="9">
        <v>0.0</v>
      </c>
      <c r="G3" s="9"/>
      <c r="I3" s="9"/>
      <c r="K3" s="9"/>
      <c r="L3" s="9"/>
      <c r="M3" s="10"/>
      <c r="N3" s="10"/>
      <c r="O3" s="10"/>
      <c r="P3" s="10"/>
      <c r="Q3" s="10"/>
      <c r="R3" s="11"/>
      <c r="S3" s="11"/>
      <c r="T3" s="11"/>
      <c r="U3" s="11"/>
    </row>
    <row r="4">
      <c r="A4" s="9"/>
      <c r="B4" s="9"/>
      <c r="D4" s="10" t="s">
        <v>102</v>
      </c>
      <c r="E4" s="9">
        <v>0.0</v>
      </c>
      <c r="G4" s="9"/>
      <c r="I4" s="9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ht="16.5" customHeight="1">
      <c r="A5" s="9"/>
      <c r="B5" s="9"/>
      <c r="D5" s="10" t="s">
        <v>12</v>
      </c>
      <c r="E5" s="9">
        <v>0.0</v>
      </c>
      <c r="G5" s="9"/>
      <c r="I5" s="9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>
      <c r="A6" s="9"/>
      <c r="B6" s="9"/>
      <c r="D6" s="10" t="s">
        <v>103</v>
      </c>
      <c r="E6" s="9">
        <v>0.0</v>
      </c>
      <c r="G6" s="9"/>
      <c r="I6" s="9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>
      <c r="A7" s="9"/>
      <c r="B7" s="9"/>
      <c r="D7" s="10" t="s">
        <v>104</v>
      </c>
      <c r="E7" s="9">
        <v>0.0</v>
      </c>
      <c r="G7" s="9"/>
      <c r="I7" s="9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>
      <c r="A8" s="9"/>
      <c r="B8" s="9"/>
      <c r="D8" s="10" t="s">
        <v>105</v>
      </c>
      <c r="E8" s="9">
        <v>0.0</v>
      </c>
      <c r="G8" s="9"/>
      <c r="I8" s="9"/>
      <c r="K8" s="9"/>
      <c r="L8" s="9"/>
      <c r="M8" s="9"/>
      <c r="N8" s="11"/>
      <c r="O8" s="11"/>
      <c r="P8" s="11"/>
      <c r="Q8" s="11"/>
      <c r="R8" s="11"/>
      <c r="S8" s="11"/>
      <c r="T8" s="11"/>
      <c r="U8" s="11"/>
    </row>
    <row r="9">
      <c r="A9" s="9"/>
      <c r="B9" s="9"/>
      <c r="D9" s="10" t="s">
        <v>106</v>
      </c>
      <c r="E9" s="9">
        <v>0.0</v>
      </c>
      <c r="G9" s="9"/>
      <c r="I9" s="11"/>
      <c r="K9" s="9"/>
      <c r="L9" s="9"/>
      <c r="M9" s="9"/>
      <c r="N9" s="11"/>
      <c r="O9" s="11"/>
      <c r="P9" s="11"/>
      <c r="Q9" s="11"/>
      <c r="R9" s="11"/>
      <c r="S9" s="11"/>
      <c r="T9" s="11"/>
      <c r="U9" s="11"/>
    </row>
    <row r="10">
      <c r="A10" s="9"/>
      <c r="B10" s="9"/>
      <c r="D10" s="10" t="s">
        <v>107</v>
      </c>
      <c r="E10" s="9">
        <v>0.0</v>
      </c>
      <c r="G10" s="9"/>
      <c r="I10" s="11"/>
      <c r="K10" s="9"/>
      <c r="L10" s="9"/>
      <c r="M10" s="9"/>
      <c r="N10" s="11"/>
      <c r="O10" s="11"/>
      <c r="P10" s="11"/>
      <c r="Q10" s="11"/>
      <c r="R10" s="11"/>
      <c r="S10" s="11"/>
      <c r="T10" s="11"/>
      <c r="U10" s="11"/>
    </row>
    <row r="11">
      <c r="A11" s="12"/>
      <c r="B11" s="9"/>
      <c r="D11" s="9" t="s">
        <v>19</v>
      </c>
      <c r="E11" s="9"/>
      <c r="G11" s="9"/>
      <c r="I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>
      <c r="A12" s="9"/>
      <c r="B12" s="9"/>
      <c r="D12" s="11"/>
      <c r="E12" s="11"/>
      <c r="G12" s="9"/>
      <c r="I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>
      <c r="A13" s="9"/>
      <c r="B13" s="9"/>
      <c r="D13" s="11"/>
      <c r="E13" s="11"/>
      <c r="G13" s="9"/>
      <c r="I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>
      <c r="A14" s="9"/>
      <c r="B14" s="9"/>
      <c r="D14" s="11"/>
      <c r="E14" s="11"/>
      <c r="G14" s="9"/>
      <c r="I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>
      <c r="A15" s="11"/>
      <c r="B15" s="11"/>
      <c r="D15" s="11"/>
      <c r="E15" s="11"/>
      <c r="G15" s="9"/>
      <c r="I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>
      <c r="A16" s="11"/>
      <c r="B16" s="11"/>
      <c r="D16" s="11"/>
      <c r="E16" s="11"/>
      <c r="G16" s="9"/>
      <c r="I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>
      <c r="A17" s="11"/>
      <c r="B17" s="11"/>
      <c r="D17" s="11"/>
      <c r="E17" s="11"/>
      <c r="G17" s="9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>
      <c r="A18" s="11"/>
      <c r="B18" s="11"/>
      <c r="D18" s="11"/>
      <c r="E18" s="11"/>
      <c r="G18" s="9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>
      <c r="A19" s="11"/>
      <c r="B19" s="11"/>
      <c r="D19" s="11"/>
      <c r="E19" s="11"/>
      <c r="G19" s="9"/>
      <c r="I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>
      <c r="A20" s="11"/>
      <c r="B20" s="11"/>
      <c r="D20" s="11"/>
      <c r="E20" s="11"/>
      <c r="G20" s="9"/>
      <c r="I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>
      <c r="A21" s="11"/>
      <c r="B21" s="11"/>
      <c r="D21" s="11"/>
      <c r="E21" s="11"/>
      <c r="G21" s="9"/>
      <c r="I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>
      <c r="A22" s="11"/>
      <c r="B22" s="11"/>
      <c r="D22" s="11"/>
      <c r="E22" s="11"/>
      <c r="G22" s="9"/>
      <c r="I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>
      <c r="A23" s="11"/>
      <c r="B23" s="11"/>
      <c r="D23" s="11"/>
      <c r="E23" s="11"/>
      <c r="G23" s="9"/>
      <c r="I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>
      <c r="A24" s="11"/>
      <c r="B24" s="11"/>
      <c r="D24" s="11"/>
      <c r="E24" s="11"/>
      <c r="G24" s="9"/>
      <c r="I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>
      <c r="A25" s="11"/>
      <c r="B25" s="11"/>
      <c r="D25" s="11"/>
      <c r="E25" s="11"/>
      <c r="G25" s="9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>
      <c r="A26" s="11"/>
      <c r="B26" s="11"/>
      <c r="D26" s="11"/>
      <c r="E26" s="11"/>
      <c r="G26" s="9"/>
      <c r="I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>
      <c r="A27" s="11"/>
      <c r="B27" s="11"/>
      <c r="D27" s="11"/>
      <c r="E27" s="11"/>
      <c r="G27" s="9"/>
      <c r="I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>
      <c r="A28" s="11"/>
      <c r="B28" s="11"/>
      <c r="D28" s="11"/>
      <c r="E28" s="11"/>
      <c r="G28" s="9"/>
      <c r="I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>
      <c r="A29" s="11"/>
      <c r="B29" s="11"/>
      <c r="D29" s="11"/>
      <c r="E29" s="11"/>
      <c r="G29" s="9"/>
      <c r="I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>
      <c r="A30" s="11"/>
      <c r="B30" s="11"/>
      <c r="D30" s="11"/>
      <c r="E30" s="11"/>
      <c r="G30" s="9"/>
      <c r="I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>
      <c r="A31" s="11"/>
      <c r="B31" s="11"/>
      <c r="D31" s="11"/>
      <c r="E31" s="11"/>
      <c r="G31" s="9"/>
      <c r="I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>
      <c r="A32" s="11"/>
      <c r="B32" s="11"/>
      <c r="D32" s="11"/>
      <c r="E32" s="11"/>
      <c r="G32" s="9"/>
      <c r="I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>
      <c r="A33" s="11"/>
      <c r="B33" s="11"/>
      <c r="D33" s="11"/>
      <c r="E33" s="11"/>
      <c r="G33" s="9"/>
      <c r="I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>
      <c r="A34" s="11"/>
      <c r="B34" s="11"/>
      <c r="D34" s="11"/>
      <c r="E34" s="11"/>
      <c r="G34" s="9"/>
      <c r="I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>
      <c r="A35" s="11"/>
      <c r="B35" s="11"/>
      <c r="D35" s="11"/>
      <c r="E35" s="11"/>
      <c r="G35" s="9"/>
      <c r="I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>
      <c r="A36" s="11"/>
      <c r="B36" s="11"/>
      <c r="D36" s="11"/>
      <c r="E36" s="11"/>
      <c r="G36" s="9"/>
      <c r="I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>
      <c r="A37" s="11"/>
      <c r="B37" s="11"/>
      <c r="D37" s="11"/>
      <c r="E37" s="11"/>
      <c r="G37" s="9"/>
      <c r="I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>
      <c r="A38" s="11"/>
      <c r="B38" s="11"/>
      <c r="D38" s="11"/>
      <c r="E38" s="11"/>
      <c r="G38" s="9"/>
      <c r="I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>
      <c r="A39" s="11"/>
      <c r="B39" s="11"/>
      <c r="D39" s="11"/>
      <c r="E39" s="11"/>
      <c r="G39" s="9"/>
      <c r="I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>
      <c r="A40" s="11"/>
      <c r="B40" s="11"/>
      <c r="D40" s="11"/>
      <c r="E40" s="11"/>
      <c r="G40" s="9"/>
      <c r="I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>
      <c r="A41" s="11"/>
      <c r="B41" s="11"/>
      <c r="D41" s="11"/>
      <c r="E41" s="11"/>
      <c r="G41" s="9"/>
      <c r="I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>
      <c r="A42" s="11"/>
      <c r="B42" s="11"/>
      <c r="D42" s="11"/>
      <c r="E42" s="11"/>
      <c r="G42" s="9"/>
      <c r="I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>
      <c r="A43" s="11"/>
      <c r="B43" s="11"/>
      <c r="D43" s="11"/>
      <c r="E43" s="11"/>
      <c r="G43" s="9"/>
      <c r="I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>
      <c r="A44" s="11"/>
      <c r="B44" s="11"/>
      <c r="D44" s="11"/>
      <c r="E44" s="11"/>
      <c r="G44" s="9"/>
      <c r="I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>
      <c r="A45" s="11"/>
      <c r="B45" s="11"/>
      <c r="D45" s="11"/>
      <c r="E45" s="11"/>
      <c r="G45" s="9"/>
      <c r="I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>
      <c r="A46" s="11"/>
      <c r="B46" s="11"/>
      <c r="D46" s="11"/>
      <c r="E46" s="11"/>
      <c r="G46" s="9"/>
      <c r="I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>
      <c r="A47" s="11"/>
      <c r="B47" s="11"/>
      <c r="D47" s="11"/>
      <c r="E47" s="11"/>
      <c r="G47" s="9"/>
      <c r="I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>
      <c r="A48" s="11"/>
      <c r="B48" s="11"/>
      <c r="D48" s="11"/>
      <c r="E48" s="11"/>
      <c r="G48" s="11"/>
      <c r="I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>
      <c r="A49" s="11"/>
      <c r="B49" s="11"/>
      <c r="D49" s="11"/>
      <c r="E49" s="11"/>
      <c r="G49" s="11"/>
      <c r="I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>
      <c r="A50" s="11"/>
      <c r="B50" s="11"/>
      <c r="D50" s="11"/>
      <c r="E50" s="11"/>
      <c r="G50" s="11"/>
      <c r="I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>
      <c r="A51" s="11"/>
      <c r="B51" s="11"/>
      <c r="D51" s="11"/>
      <c r="E51" s="11"/>
      <c r="G51" s="11"/>
      <c r="I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>
      <c r="A52" s="11"/>
      <c r="B52" s="11"/>
      <c r="D52" s="11"/>
      <c r="E52" s="11"/>
      <c r="G52" s="11"/>
      <c r="I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>
      <c r="A53" s="11"/>
      <c r="B53" s="11"/>
      <c r="D53" s="11"/>
      <c r="E53" s="11"/>
      <c r="G53" s="11"/>
      <c r="I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>
      <c r="A54" s="11"/>
      <c r="B54" s="11"/>
      <c r="D54" s="11"/>
      <c r="E54" s="11"/>
      <c r="G54" s="11"/>
      <c r="I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>
      <c r="A55" s="11"/>
      <c r="B55" s="11"/>
      <c r="D55" s="11"/>
      <c r="E55" s="11"/>
      <c r="G55" s="11"/>
      <c r="I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>
      <c r="A56" s="11"/>
      <c r="B56" s="11"/>
      <c r="D56" s="11"/>
      <c r="E56" s="11"/>
      <c r="G56" s="11"/>
      <c r="I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>
      <c r="A57" s="11"/>
      <c r="B57" s="11"/>
      <c r="D57" s="11"/>
      <c r="E57" s="11"/>
      <c r="G57" s="11"/>
      <c r="I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>
      <c r="A58" s="11"/>
      <c r="B58" s="11"/>
      <c r="D58" s="11"/>
      <c r="E58" s="11"/>
      <c r="G58" s="11"/>
      <c r="I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>
      <c r="A59" s="11"/>
      <c r="B59" s="11"/>
      <c r="D59" s="11"/>
      <c r="E59" s="11"/>
      <c r="G59" s="11"/>
      <c r="I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>
      <c r="A60" s="11"/>
      <c r="B60" s="11"/>
      <c r="D60" s="11"/>
      <c r="E60" s="11"/>
      <c r="G60" s="11"/>
      <c r="I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>
      <c r="A61" s="11"/>
      <c r="B61" s="11"/>
      <c r="D61" s="11"/>
      <c r="E61" s="11"/>
      <c r="G61" s="11"/>
      <c r="I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>
      <c r="A62" s="11"/>
      <c r="B62" s="11"/>
      <c r="D62" s="11"/>
      <c r="E62" s="11"/>
      <c r="G62" s="11"/>
      <c r="I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>
      <c r="A63" s="11"/>
      <c r="B63" s="11"/>
      <c r="D63" s="11"/>
      <c r="E63" s="11"/>
      <c r="G63" s="11"/>
      <c r="I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>
      <c r="A64" s="11"/>
      <c r="B64" s="11"/>
      <c r="D64" s="11"/>
      <c r="E64" s="11"/>
      <c r="G64" s="11"/>
      <c r="I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>
      <c r="A65" s="11"/>
      <c r="B65" s="11"/>
      <c r="D65" s="11"/>
      <c r="E65" s="11"/>
      <c r="G65" s="11"/>
      <c r="I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>
      <c r="A66" s="11"/>
      <c r="B66" s="11"/>
      <c r="D66" s="11"/>
      <c r="E66" s="11"/>
      <c r="G66" s="11"/>
      <c r="I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>
      <c r="A67" s="11"/>
      <c r="B67" s="11"/>
      <c r="D67" s="11"/>
      <c r="E67" s="11"/>
      <c r="G67" s="11"/>
      <c r="I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>
      <c r="A68" s="11"/>
      <c r="B68" s="11"/>
      <c r="D68" s="11"/>
      <c r="E68" s="11"/>
      <c r="G68" s="11"/>
      <c r="I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>
      <c r="A69" s="11"/>
      <c r="B69" s="11"/>
      <c r="D69" s="11"/>
      <c r="E69" s="11"/>
      <c r="G69" s="11"/>
      <c r="I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>
      <c r="A70" s="11"/>
      <c r="B70" s="11"/>
      <c r="D70" s="11"/>
      <c r="E70" s="11"/>
      <c r="G70" s="11"/>
      <c r="I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>
      <c r="A71" s="11"/>
      <c r="B71" s="11"/>
      <c r="D71" s="11"/>
      <c r="E71" s="11"/>
      <c r="G71" s="11"/>
      <c r="I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>
      <c r="A72" s="11"/>
      <c r="B72" s="11"/>
      <c r="D72" s="11"/>
      <c r="E72" s="11"/>
      <c r="G72" s="11"/>
      <c r="I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>
      <c r="A73" s="11"/>
      <c r="B73" s="11"/>
      <c r="D73" s="11"/>
      <c r="E73" s="11"/>
      <c r="G73" s="11"/>
      <c r="I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>
      <c r="A74" s="11"/>
      <c r="B74" s="11"/>
      <c r="D74" s="11"/>
      <c r="E74" s="11"/>
      <c r="G74" s="11"/>
      <c r="I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>
      <c r="A75" s="11"/>
      <c r="B75" s="11"/>
      <c r="D75" s="11"/>
      <c r="E75" s="11"/>
      <c r="G75" s="11"/>
      <c r="I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>
      <c r="A76" s="11"/>
      <c r="B76" s="11"/>
      <c r="D76" s="11"/>
      <c r="E76" s="11"/>
      <c r="G76" s="11"/>
      <c r="I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>
      <c r="A77" s="11"/>
      <c r="B77" s="11"/>
      <c r="D77" s="11"/>
      <c r="E77" s="11"/>
      <c r="G77" s="11"/>
      <c r="I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>
      <c r="A78" s="11"/>
      <c r="B78" s="11"/>
      <c r="D78" s="11"/>
      <c r="E78" s="11"/>
      <c r="G78" s="11"/>
      <c r="I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>
      <c r="A79" s="11"/>
      <c r="B79" s="11"/>
      <c r="D79" s="11"/>
      <c r="E79" s="11"/>
      <c r="G79" s="11"/>
      <c r="I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>
      <c r="A80" s="11"/>
      <c r="B80" s="11"/>
      <c r="D80" s="11"/>
      <c r="E80" s="11"/>
      <c r="G80" s="11"/>
      <c r="I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>
      <c r="A81" s="11"/>
      <c r="B81" s="11"/>
      <c r="D81" s="11"/>
      <c r="E81" s="11"/>
      <c r="G81" s="11"/>
      <c r="I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>
      <c r="A82" s="11"/>
      <c r="B82" s="11"/>
      <c r="D82" s="11"/>
      <c r="E82" s="11"/>
      <c r="G82" s="11"/>
      <c r="I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>
      <c r="A83" s="11"/>
      <c r="B83" s="11"/>
      <c r="D83" s="11"/>
      <c r="E83" s="11"/>
      <c r="G83" s="11"/>
      <c r="I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>
      <c r="A84" s="11"/>
      <c r="B84" s="11"/>
      <c r="D84" s="11"/>
      <c r="E84" s="11"/>
      <c r="G84" s="11"/>
      <c r="I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>
      <c r="A85" s="11"/>
      <c r="B85" s="11"/>
      <c r="D85" s="11"/>
      <c r="E85" s="11"/>
      <c r="G85" s="11"/>
      <c r="I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>
      <c r="A86" s="11"/>
      <c r="B86" s="11"/>
      <c r="D86" s="11"/>
      <c r="E86" s="11"/>
      <c r="G86" s="11"/>
      <c r="I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>
      <c r="A87" s="11"/>
      <c r="B87" s="11"/>
      <c r="D87" s="11"/>
      <c r="E87" s="11"/>
      <c r="G87" s="11"/>
      <c r="I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>
      <c r="A88" s="11"/>
      <c r="B88" s="11"/>
      <c r="D88" s="11"/>
      <c r="E88" s="11"/>
      <c r="G88" s="11"/>
      <c r="I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>
      <c r="A89" s="11"/>
      <c r="B89" s="11"/>
      <c r="D89" s="11"/>
      <c r="E89" s="11"/>
      <c r="G89" s="11"/>
      <c r="I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>
      <c r="A90" s="11"/>
      <c r="B90" s="11"/>
      <c r="D90" s="11"/>
      <c r="E90" s="11"/>
      <c r="G90" s="11"/>
      <c r="I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>
      <c r="A91" s="11"/>
      <c r="B91" s="11"/>
      <c r="D91" s="11"/>
      <c r="E91" s="11"/>
      <c r="G91" s="11"/>
      <c r="I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>
      <c r="A92" s="11"/>
      <c r="B92" s="11"/>
      <c r="D92" s="11"/>
      <c r="E92" s="11"/>
      <c r="G92" s="11"/>
      <c r="I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>
      <c r="A93" s="11"/>
      <c r="B93" s="11"/>
      <c r="D93" s="11"/>
      <c r="E93" s="11"/>
      <c r="G93" s="11"/>
      <c r="I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>
      <c r="A94" s="11"/>
      <c r="B94" s="11"/>
      <c r="D94" s="11"/>
      <c r="E94" s="11"/>
      <c r="G94" s="11"/>
      <c r="I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>
      <c r="A95" s="11"/>
      <c r="B95" s="11"/>
      <c r="D95" s="11"/>
      <c r="E95" s="11"/>
      <c r="G95" s="11"/>
      <c r="I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>
      <c r="A96" s="11"/>
      <c r="B96" s="11"/>
      <c r="D96" s="11"/>
      <c r="E96" s="11"/>
      <c r="G96" s="11"/>
      <c r="I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>
      <c r="A97" s="11"/>
      <c r="B97" s="11"/>
      <c r="D97" s="11"/>
      <c r="E97" s="11"/>
      <c r="G97" s="11"/>
      <c r="I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>
      <c r="A98" s="11"/>
      <c r="B98" s="11"/>
      <c r="D98" s="11"/>
      <c r="E98" s="11"/>
      <c r="G98" s="11"/>
      <c r="I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>
      <c r="A99" s="11"/>
      <c r="B99" s="11"/>
      <c r="D99" s="11"/>
      <c r="E99" s="11"/>
      <c r="G99" s="11"/>
      <c r="I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>
      <c r="A100" s="11"/>
      <c r="B100" s="11"/>
      <c r="D100" s="11"/>
      <c r="E100" s="11"/>
      <c r="G100" s="11"/>
      <c r="I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>
      <c r="A101" s="11"/>
      <c r="B101" s="11"/>
      <c r="D101" s="11"/>
      <c r="E101" s="11"/>
      <c r="G101" s="11"/>
      <c r="I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>
      <c r="A102" s="11"/>
      <c r="B102" s="11"/>
      <c r="D102" s="11"/>
      <c r="E102" s="11"/>
      <c r="G102" s="11"/>
      <c r="I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>
      <c r="A103" s="11"/>
      <c r="B103" s="11"/>
      <c r="D103" s="11"/>
      <c r="E103" s="11"/>
      <c r="G103" s="11"/>
      <c r="I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>
      <c r="A104" s="11"/>
      <c r="B104" s="11"/>
      <c r="D104" s="11"/>
      <c r="E104" s="11"/>
      <c r="G104" s="11"/>
      <c r="I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>
      <c r="A105" s="11"/>
      <c r="B105" s="11"/>
      <c r="D105" s="11"/>
      <c r="E105" s="11"/>
      <c r="G105" s="11"/>
      <c r="I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>
      <c r="A106" s="11"/>
      <c r="B106" s="11"/>
      <c r="D106" s="11"/>
      <c r="E106" s="11"/>
      <c r="G106" s="11"/>
      <c r="I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>
      <c r="A107" s="11"/>
      <c r="B107" s="11"/>
      <c r="D107" s="11"/>
      <c r="E107" s="11"/>
      <c r="G107" s="11"/>
      <c r="I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>
      <c r="A108" s="11"/>
      <c r="B108" s="11"/>
      <c r="D108" s="11"/>
      <c r="E108" s="11"/>
      <c r="G108" s="11"/>
      <c r="I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>
      <c r="A109" s="11"/>
      <c r="B109" s="11"/>
      <c r="D109" s="11"/>
      <c r="E109" s="11"/>
      <c r="G109" s="11"/>
      <c r="I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>
      <c r="A110" s="11"/>
      <c r="B110" s="11"/>
      <c r="D110" s="11"/>
      <c r="E110" s="11"/>
      <c r="G110" s="11"/>
      <c r="I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>
      <c r="A111" s="11"/>
      <c r="B111" s="11"/>
      <c r="D111" s="11"/>
      <c r="E111" s="11"/>
      <c r="G111" s="11"/>
      <c r="I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>
      <c r="A112" s="11"/>
      <c r="B112" s="11"/>
      <c r="D112" s="11"/>
      <c r="E112" s="11"/>
      <c r="G112" s="11"/>
      <c r="I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>
      <c r="A113" s="11"/>
      <c r="B113" s="11"/>
      <c r="D113" s="11"/>
      <c r="E113" s="11"/>
      <c r="G113" s="11"/>
      <c r="I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>
      <c r="A114" s="11"/>
      <c r="B114" s="11"/>
      <c r="D114" s="11"/>
      <c r="E114" s="11"/>
      <c r="G114" s="11"/>
      <c r="I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>
      <c r="A115" s="11"/>
      <c r="B115" s="11"/>
      <c r="D115" s="11"/>
      <c r="E115" s="11"/>
      <c r="G115" s="11"/>
      <c r="I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>
      <c r="A116" s="11"/>
      <c r="B116" s="11"/>
      <c r="D116" s="11"/>
      <c r="E116" s="11"/>
      <c r="G116" s="11"/>
      <c r="I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>
      <c r="A117" s="11"/>
      <c r="B117" s="11"/>
      <c r="D117" s="11"/>
      <c r="E117" s="11"/>
      <c r="G117" s="11"/>
      <c r="I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>
      <c r="A118" s="11"/>
      <c r="B118" s="11"/>
      <c r="D118" s="11"/>
      <c r="E118" s="11"/>
      <c r="G118" s="11"/>
      <c r="I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>
      <c r="A119" s="11"/>
      <c r="B119" s="11"/>
      <c r="D119" s="11"/>
      <c r="E119" s="11"/>
      <c r="G119" s="11"/>
      <c r="I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>
      <c r="A120" s="11"/>
      <c r="B120" s="11"/>
      <c r="D120" s="11"/>
      <c r="E120" s="11"/>
      <c r="G120" s="11"/>
      <c r="I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>
      <c r="A121" s="11"/>
      <c r="B121" s="11"/>
      <c r="D121" s="11"/>
      <c r="E121" s="11"/>
      <c r="G121" s="11"/>
      <c r="I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>
      <c r="A122" s="11"/>
      <c r="B122" s="11"/>
      <c r="D122" s="11"/>
      <c r="E122" s="11"/>
      <c r="G122" s="11"/>
      <c r="I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>
      <c r="A123" s="11"/>
      <c r="B123" s="11"/>
      <c r="D123" s="11"/>
      <c r="E123" s="11"/>
      <c r="G123" s="11"/>
      <c r="I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>
      <c r="A124" s="11"/>
      <c r="B124" s="11"/>
      <c r="D124" s="11"/>
      <c r="E124" s="11"/>
      <c r="G124" s="11"/>
      <c r="I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>
      <c r="A125" s="11"/>
      <c r="B125" s="11"/>
      <c r="D125" s="11"/>
      <c r="E125" s="11"/>
      <c r="G125" s="11"/>
      <c r="I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>
      <c r="A126" s="11"/>
      <c r="B126" s="11"/>
      <c r="D126" s="11"/>
      <c r="E126" s="11"/>
      <c r="G126" s="11"/>
      <c r="I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>
      <c r="A127" s="11"/>
      <c r="B127" s="11"/>
      <c r="D127" s="11"/>
      <c r="E127" s="11"/>
      <c r="G127" s="11"/>
      <c r="I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>
      <c r="A128" s="11"/>
      <c r="B128" s="11"/>
      <c r="D128" s="11"/>
      <c r="E128" s="11"/>
      <c r="G128" s="11"/>
      <c r="I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>
      <c r="A129" s="11"/>
      <c r="B129" s="11"/>
      <c r="D129" s="11"/>
      <c r="E129" s="11"/>
      <c r="G129" s="11"/>
      <c r="I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>
      <c r="A130" s="11"/>
      <c r="B130" s="11"/>
      <c r="D130" s="11"/>
      <c r="E130" s="11"/>
      <c r="G130" s="11"/>
      <c r="I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>
      <c r="A131" s="11"/>
      <c r="B131" s="11"/>
      <c r="D131" s="11"/>
      <c r="E131" s="11"/>
      <c r="G131" s="11"/>
      <c r="I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>
      <c r="A132" s="11"/>
      <c r="B132" s="11"/>
      <c r="D132" s="11"/>
      <c r="E132" s="11"/>
      <c r="G132" s="11"/>
      <c r="I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>
      <c r="A133" s="11"/>
      <c r="B133" s="11"/>
      <c r="D133" s="11"/>
      <c r="E133" s="11"/>
      <c r="G133" s="11"/>
      <c r="I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>
      <c r="A134" s="11"/>
      <c r="B134" s="11"/>
      <c r="D134" s="11"/>
      <c r="E134" s="11"/>
      <c r="G134" s="11"/>
      <c r="I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>
      <c r="A135" s="11"/>
      <c r="B135" s="11"/>
      <c r="D135" s="11"/>
      <c r="E135" s="11"/>
      <c r="G135" s="11"/>
      <c r="I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>
      <c r="A136" s="11"/>
      <c r="B136" s="11"/>
      <c r="D136" s="11"/>
      <c r="E136" s="11"/>
      <c r="G136" s="11"/>
      <c r="I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>
      <c r="A137" s="11"/>
      <c r="B137" s="11"/>
      <c r="D137" s="11"/>
      <c r="E137" s="11"/>
      <c r="G137" s="11"/>
      <c r="I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>
      <c r="A138" s="11"/>
      <c r="B138" s="11"/>
      <c r="D138" s="11"/>
      <c r="E138" s="11"/>
      <c r="G138" s="11"/>
      <c r="I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>
      <c r="A139" s="11"/>
      <c r="B139" s="11"/>
      <c r="D139" s="11"/>
      <c r="E139" s="11"/>
      <c r="G139" s="11"/>
      <c r="I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>
      <c r="A140" s="11"/>
      <c r="B140" s="11"/>
      <c r="D140" s="11"/>
      <c r="E140" s="11"/>
      <c r="G140" s="11"/>
      <c r="I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>
      <c r="A141" s="11"/>
      <c r="B141" s="11"/>
      <c r="D141" s="11"/>
      <c r="E141" s="11"/>
      <c r="G141" s="11"/>
      <c r="I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>
      <c r="A142" s="11"/>
      <c r="B142" s="11"/>
      <c r="D142" s="11"/>
      <c r="E142" s="11"/>
      <c r="G142" s="11"/>
      <c r="I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>
      <c r="A143" s="11"/>
      <c r="B143" s="11"/>
      <c r="D143" s="11"/>
      <c r="E143" s="11"/>
      <c r="G143" s="11"/>
      <c r="I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>
      <c r="A144" s="11"/>
      <c r="B144" s="11"/>
      <c r="D144" s="11"/>
      <c r="E144" s="11"/>
      <c r="G144" s="11"/>
      <c r="I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>
      <c r="A145" s="11"/>
      <c r="B145" s="11"/>
      <c r="D145" s="11"/>
      <c r="E145" s="11"/>
      <c r="G145" s="11"/>
      <c r="I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>
      <c r="A146" s="11"/>
      <c r="B146" s="11"/>
      <c r="D146" s="11"/>
      <c r="E146" s="11"/>
      <c r="G146" s="11"/>
      <c r="I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>
      <c r="A147" s="11"/>
      <c r="B147" s="11"/>
      <c r="D147" s="11"/>
      <c r="E147" s="11"/>
      <c r="G147" s="11"/>
      <c r="I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>
      <c r="A148" s="11"/>
      <c r="B148" s="11"/>
      <c r="D148" s="11"/>
      <c r="E148" s="11"/>
      <c r="G148" s="11"/>
      <c r="I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>
      <c r="A149" s="11"/>
      <c r="B149" s="11"/>
      <c r="D149" s="11"/>
      <c r="E149" s="11"/>
      <c r="G149" s="11"/>
      <c r="I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>
      <c r="A150" s="11"/>
      <c r="B150" s="11"/>
      <c r="D150" s="11"/>
      <c r="E150" s="11"/>
      <c r="G150" s="11"/>
      <c r="I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>
      <c r="A151" s="11"/>
      <c r="B151" s="11"/>
      <c r="D151" s="11"/>
      <c r="E151" s="11"/>
      <c r="G151" s="11"/>
      <c r="I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>
      <c r="A152" s="11"/>
      <c r="B152" s="11"/>
      <c r="D152" s="11"/>
      <c r="E152" s="11"/>
      <c r="G152" s="11"/>
      <c r="I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>
      <c r="A153" s="11"/>
      <c r="B153" s="11"/>
      <c r="D153" s="11"/>
      <c r="E153" s="11"/>
      <c r="G153" s="11"/>
      <c r="I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>
      <c r="A154" s="11"/>
      <c r="B154" s="11"/>
      <c r="D154" s="11"/>
      <c r="E154" s="11"/>
      <c r="G154" s="11"/>
      <c r="I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>
      <c r="A155" s="11"/>
      <c r="B155" s="11"/>
      <c r="D155" s="11"/>
      <c r="E155" s="11"/>
      <c r="G155" s="11"/>
      <c r="I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>
      <c r="A156" s="11"/>
      <c r="B156" s="11"/>
      <c r="D156" s="11"/>
      <c r="E156" s="11"/>
      <c r="G156" s="11"/>
      <c r="I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>
      <c r="A157" s="11"/>
      <c r="B157" s="11"/>
      <c r="D157" s="11"/>
      <c r="E157" s="11"/>
      <c r="G157" s="11"/>
      <c r="I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>
      <c r="A158" s="11"/>
      <c r="B158" s="11"/>
      <c r="D158" s="11"/>
      <c r="E158" s="11"/>
      <c r="G158" s="11"/>
      <c r="I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>
      <c r="A159" s="11"/>
      <c r="B159" s="11"/>
      <c r="D159" s="11"/>
      <c r="E159" s="11"/>
      <c r="G159" s="11"/>
      <c r="I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>
      <c r="A160" s="11"/>
      <c r="B160" s="11"/>
      <c r="D160" s="11"/>
      <c r="E160" s="11"/>
      <c r="G160" s="11"/>
      <c r="I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>
      <c r="A161" s="11"/>
      <c r="B161" s="11"/>
      <c r="D161" s="11"/>
      <c r="E161" s="11"/>
      <c r="G161" s="11"/>
      <c r="I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>
      <c r="A162" s="11"/>
      <c r="B162" s="11"/>
      <c r="D162" s="11"/>
      <c r="E162" s="11"/>
      <c r="G162" s="11"/>
      <c r="I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>
      <c r="A163" s="11"/>
      <c r="B163" s="11"/>
      <c r="D163" s="11"/>
      <c r="E163" s="11"/>
      <c r="G163" s="11"/>
      <c r="I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>
      <c r="A164" s="11"/>
      <c r="B164" s="11"/>
      <c r="D164" s="11"/>
      <c r="E164" s="11"/>
      <c r="G164" s="11"/>
      <c r="I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>
      <c r="A165" s="11"/>
      <c r="B165" s="11"/>
      <c r="D165" s="11"/>
      <c r="E165" s="11"/>
      <c r="G165" s="11"/>
      <c r="I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>
      <c r="A166" s="11"/>
      <c r="B166" s="11"/>
      <c r="D166" s="11"/>
      <c r="E166" s="11"/>
      <c r="G166" s="11"/>
      <c r="I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>
      <c r="A167" s="11"/>
      <c r="B167" s="11"/>
      <c r="D167" s="11"/>
      <c r="E167" s="11"/>
      <c r="G167" s="11"/>
      <c r="I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>
      <c r="A168" s="11"/>
      <c r="B168" s="11"/>
      <c r="D168" s="11"/>
      <c r="E168" s="11"/>
      <c r="G168" s="11"/>
      <c r="I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>
      <c r="A169" s="11"/>
      <c r="B169" s="11"/>
      <c r="D169" s="11"/>
      <c r="E169" s="11"/>
      <c r="G169" s="11"/>
      <c r="I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>
      <c r="A170" s="11"/>
      <c r="B170" s="11"/>
      <c r="D170" s="11"/>
      <c r="E170" s="11"/>
      <c r="G170" s="11"/>
      <c r="I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>
      <c r="A171" s="11"/>
      <c r="B171" s="11"/>
      <c r="D171" s="11"/>
      <c r="E171" s="11"/>
      <c r="G171" s="11"/>
      <c r="I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>
      <c r="A172" s="11"/>
      <c r="B172" s="11"/>
      <c r="D172" s="11"/>
      <c r="E172" s="11"/>
      <c r="G172" s="11"/>
      <c r="I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>
      <c r="A173" s="11"/>
      <c r="B173" s="11"/>
      <c r="D173" s="11"/>
      <c r="E173" s="11"/>
      <c r="G173" s="11"/>
      <c r="I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>
      <c r="A174" s="11"/>
      <c r="B174" s="11"/>
      <c r="D174" s="11"/>
      <c r="E174" s="11"/>
      <c r="G174" s="11"/>
      <c r="I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>
      <c r="A175" s="11"/>
      <c r="B175" s="11"/>
      <c r="D175" s="11"/>
      <c r="E175" s="11"/>
      <c r="G175" s="11"/>
      <c r="I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>
      <c r="A176" s="11"/>
      <c r="B176" s="11"/>
      <c r="D176" s="11"/>
      <c r="E176" s="11"/>
      <c r="G176" s="11"/>
      <c r="I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>
      <c r="A177" s="11"/>
      <c r="B177" s="11"/>
      <c r="D177" s="11"/>
      <c r="E177" s="11"/>
      <c r="G177" s="11"/>
      <c r="I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>
      <c r="A178" s="11"/>
      <c r="B178" s="11"/>
      <c r="D178" s="11"/>
      <c r="E178" s="11"/>
      <c r="G178" s="11"/>
      <c r="I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>
      <c r="A179" s="11"/>
      <c r="B179" s="11"/>
      <c r="D179" s="11"/>
      <c r="E179" s="11"/>
      <c r="G179" s="11"/>
      <c r="I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>
      <c r="A180" s="11"/>
      <c r="B180" s="11"/>
      <c r="D180" s="11"/>
      <c r="E180" s="11"/>
      <c r="G180" s="11"/>
      <c r="I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>
      <c r="A181" s="11"/>
      <c r="B181" s="11"/>
      <c r="D181" s="11"/>
      <c r="E181" s="11"/>
      <c r="G181" s="11"/>
      <c r="I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>
      <c r="A182" s="11"/>
      <c r="B182" s="11"/>
      <c r="D182" s="11"/>
      <c r="E182" s="11"/>
      <c r="G182" s="11"/>
      <c r="I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>
      <c r="A183" s="11"/>
      <c r="B183" s="11"/>
      <c r="D183" s="11"/>
      <c r="E183" s="11"/>
      <c r="G183" s="11"/>
      <c r="I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>
      <c r="A184" s="11"/>
      <c r="B184" s="11"/>
      <c r="D184" s="11"/>
      <c r="E184" s="11"/>
      <c r="G184" s="11"/>
      <c r="I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>
      <c r="A185" s="11"/>
      <c r="B185" s="11"/>
      <c r="D185" s="11"/>
      <c r="E185" s="11"/>
      <c r="G185" s="11"/>
      <c r="I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>
      <c r="A186" s="11"/>
      <c r="B186" s="11"/>
      <c r="D186" s="11"/>
      <c r="E186" s="11"/>
      <c r="G186" s="11"/>
      <c r="I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>
      <c r="A187" s="11"/>
      <c r="B187" s="11"/>
      <c r="D187" s="11"/>
      <c r="E187" s="11"/>
      <c r="G187" s="11"/>
      <c r="I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>
      <c r="A188" s="11"/>
      <c r="B188" s="11"/>
      <c r="D188" s="11"/>
      <c r="E188" s="11"/>
      <c r="G188" s="11"/>
      <c r="I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>
      <c r="A189" s="11"/>
      <c r="B189" s="11"/>
      <c r="D189" s="11"/>
      <c r="E189" s="11"/>
      <c r="G189" s="11"/>
      <c r="I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>
      <c r="A190" s="11"/>
      <c r="B190" s="11"/>
      <c r="D190" s="11"/>
      <c r="E190" s="11"/>
      <c r="G190" s="11"/>
      <c r="I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>
      <c r="A191" s="11"/>
      <c r="B191" s="11"/>
      <c r="D191" s="11"/>
      <c r="E191" s="11"/>
      <c r="G191" s="11"/>
      <c r="I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>
      <c r="A192" s="11"/>
      <c r="B192" s="11"/>
      <c r="D192" s="11"/>
      <c r="E192" s="11"/>
      <c r="G192" s="11"/>
      <c r="I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>
      <c r="A193" s="11"/>
      <c r="B193" s="11"/>
      <c r="D193" s="11"/>
      <c r="E193" s="11"/>
      <c r="G193" s="11"/>
      <c r="I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>
      <c r="A194" s="11"/>
      <c r="B194" s="11"/>
      <c r="D194" s="11"/>
      <c r="E194" s="11"/>
      <c r="G194" s="11"/>
      <c r="I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>
      <c r="A195" s="11"/>
      <c r="B195" s="11"/>
      <c r="D195" s="11"/>
      <c r="E195" s="11"/>
      <c r="G195" s="11"/>
      <c r="I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>
      <c r="A196" s="11"/>
      <c r="B196" s="11"/>
      <c r="D196" s="11"/>
      <c r="E196" s="11"/>
      <c r="G196" s="11"/>
      <c r="I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>
      <c r="A197" s="11"/>
      <c r="B197" s="11"/>
      <c r="D197" s="11"/>
      <c r="E197" s="11"/>
      <c r="G197" s="11"/>
      <c r="I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>
      <c r="A198" s="11"/>
      <c r="B198" s="11"/>
      <c r="D198" s="11"/>
      <c r="E198" s="11"/>
      <c r="G198" s="11"/>
      <c r="I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>
      <c r="A199" s="11"/>
      <c r="B199" s="11"/>
      <c r="D199" s="11"/>
      <c r="E199" s="11"/>
      <c r="G199" s="11"/>
      <c r="I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>
      <c r="A200" s="11"/>
      <c r="B200" s="11"/>
      <c r="D200" s="11"/>
      <c r="E200" s="11"/>
      <c r="G200" s="11"/>
      <c r="I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>
      <c r="A201" s="11"/>
      <c r="B201" s="11"/>
      <c r="D201" s="11"/>
      <c r="E201" s="11"/>
      <c r="G201" s="11"/>
      <c r="I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>
      <c r="A202" s="11"/>
      <c r="B202" s="11"/>
      <c r="D202" s="11"/>
      <c r="E202" s="11"/>
      <c r="G202" s="11"/>
      <c r="I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>
      <c r="A203" s="11"/>
      <c r="B203" s="11"/>
      <c r="D203" s="11"/>
      <c r="E203" s="11"/>
      <c r="G203" s="11"/>
      <c r="I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>
      <c r="A204" s="11"/>
      <c r="B204" s="11"/>
      <c r="D204" s="11"/>
      <c r="E204" s="11"/>
      <c r="G204" s="11"/>
      <c r="I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>
      <c r="A205" s="11"/>
      <c r="B205" s="11"/>
      <c r="D205" s="11"/>
      <c r="E205" s="11"/>
      <c r="G205" s="11"/>
      <c r="I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>
      <c r="A206" s="11"/>
      <c r="B206" s="11"/>
      <c r="D206" s="11"/>
      <c r="E206" s="11"/>
      <c r="G206" s="11"/>
      <c r="I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>
      <c r="A207" s="11"/>
      <c r="B207" s="11"/>
      <c r="D207" s="11"/>
      <c r="E207" s="11"/>
      <c r="G207" s="11"/>
      <c r="I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>
      <c r="A208" s="11"/>
      <c r="B208" s="11"/>
      <c r="D208" s="11"/>
      <c r="E208" s="11"/>
      <c r="G208" s="11"/>
      <c r="I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>
      <c r="A209" s="11"/>
      <c r="B209" s="11"/>
      <c r="D209" s="11"/>
      <c r="E209" s="11"/>
      <c r="G209" s="11"/>
      <c r="I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>
      <c r="A210" s="11"/>
      <c r="B210" s="11"/>
      <c r="D210" s="11"/>
      <c r="E210" s="11"/>
      <c r="G210" s="11"/>
      <c r="I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>
      <c r="A211" s="11"/>
      <c r="B211" s="11"/>
      <c r="D211" s="11"/>
      <c r="E211" s="11"/>
      <c r="G211" s="11"/>
      <c r="I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>
      <c r="A212" s="11"/>
      <c r="B212" s="11"/>
      <c r="D212" s="11"/>
      <c r="E212" s="11"/>
      <c r="G212" s="11"/>
      <c r="I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>
      <c r="A213" s="11"/>
      <c r="B213" s="11"/>
      <c r="D213" s="11"/>
      <c r="E213" s="11"/>
      <c r="G213" s="11"/>
      <c r="I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>
      <c r="A214" s="11"/>
      <c r="B214" s="11"/>
      <c r="D214" s="11"/>
      <c r="E214" s="11"/>
      <c r="G214" s="11"/>
      <c r="I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>
      <c r="A215" s="11"/>
      <c r="B215" s="11"/>
      <c r="D215" s="11"/>
      <c r="E215" s="11"/>
      <c r="G215" s="11"/>
      <c r="I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>
      <c r="A216" s="11"/>
      <c r="B216" s="11"/>
      <c r="D216" s="11"/>
      <c r="E216" s="11"/>
      <c r="G216" s="11"/>
      <c r="I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>
      <c r="A217" s="11"/>
      <c r="B217" s="11"/>
      <c r="D217" s="11"/>
      <c r="E217" s="11"/>
      <c r="G217" s="11"/>
      <c r="I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>
      <c r="A218" s="11"/>
      <c r="B218" s="11"/>
      <c r="D218" s="11"/>
      <c r="E218" s="11"/>
      <c r="G218" s="11"/>
      <c r="I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>
      <c r="A219" s="11"/>
      <c r="B219" s="11"/>
      <c r="D219" s="11"/>
      <c r="E219" s="11"/>
      <c r="G219" s="11"/>
      <c r="I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>
      <c r="A220" s="11"/>
      <c r="B220" s="11"/>
      <c r="D220" s="11"/>
      <c r="E220" s="11"/>
      <c r="G220" s="11"/>
      <c r="I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>
      <c r="A221" s="11"/>
      <c r="B221" s="11"/>
      <c r="D221" s="11"/>
      <c r="E221" s="11"/>
      <c r="G221" s="11"/>
      <c r="I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>
      <c r="A222" s="11"/>
      <c r="B222" s="11"/>
      <c r="D222" s="11"/>
      <c r="E222" s="11"/>
      <c r="G222" s="11"/>
      <c r="I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>
      <c r="A223" s="11"/>
      <c r="B223" s="11"/>
      <c r="D223" s="11"/>
      <c r="E223" s="11"/>
      <c r="G223" s="11"/>
      <c r="I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>
      <c r="A224" s="11"/>
      <c r="B224" s="11"/>
      <c r="D224" s="11"/>
      <c r="E224" s="11"/>
      <c r="G224" s="11"/>
      <c r="I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>
      <c r="A225" s="11"/>
      <c r="B225" s="11"/>
      <c r="D225" s="11"/>
      <c r="E225" s="11"/>
      <c r="G225" s="11"/>
      <c r="I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>
      <c r="A226" s="11"/>
      <c r="B226" s="11"/>
      <c r="D226" s="11"/>
      <c r="E226" s="11"/>
      <c r="G226" s="11"/>
      <c r="I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>
      <c r="A227" s="11"/>
      <c r="B227" s="11"/>
      <c r="D227" s="11"/>
      <c r="E227" s="11"/>
      <c r="G227" s="11"/>
      <c r="I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>
      <c r="A228" s="11"/>
      <c r="B228" s="11"/>
      <c r="D228" s="11"/>
      <c r="E228" s="11"/>
      <c r="G228" s="11"/>
      <c r="I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>
      <c r="A229" s="11"/>
      <c r="B229" s="11"/>
      <c r="D229" s="11"/>
      <c r="E229" s="11"/>
      <c r="G229" s="11"/>
      <c r="I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>
      <c r="A230" s="11"/>
      <c r="B230" s="11"/>
      <c r="D230" s="11"/>
      <c r="E230" s="11"/>
      <c r="G230" s="11"/>
      <c r="I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>
      <c r="A231" s="11"/>
      <c r="B231" s="11"/>
      <c r="D231" s="11"/>
      <c r="E231" s="11"/>
      <c r="G231" s="11"/>
      <c r="I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>
      <c r="A232" s="11"/>
      <c r="B232" s="11"/>
      <c r="D232" s="11"/>
      <c r="E232" s="11"/>
      <c r="G232" s="11"/>
      <c r="I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>
      <c r="A233" s="11"/>
      <c r="B233" s="11"/>
      <c r="D233" s="11"/>
      <c r="E233" s="11"/>
      <c r="G233" s="11"/>
      <c r="I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>
      <c r="A234" s="11"/>
      <c r="B234" s="11"/>
      <c r="D234" s="11"/>
      <c r="E234" s="11"/>
      <c r="G234" s="11"/>
      <c r="I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>
      <c r="A235" s="11"/>
      <c r="B235" s="11"/>
      <c r="D235" s="11"/>
      <c r="E235" s="11"/>
      <c r="G235" s="11"/>
      <c r="I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>
      <c r="A236" s="11"/>
      <c r="B236" s="11"/>
      <c r="D236" s="11"/>
      <c r="E236" s="11"/>
      <c r="G236" s="11"/>
      <c r="I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>
      <c r="A237" s="11"/>
      <c r="B237" s="11"/>
      <c r="D237" s="11"/>
      <c r="E237" s="11"/>
      <c r="G237" s="11"/>
      <c r="I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>
      <c r="A238" s="11"/>
      <c r="B238" s="11"/>
      <c r="D238" s="11"/>
      <c r="E238" s="11"/>
      <c r="G238" s="11"/>
      <c r="I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>
      <c r="A239" s="11"/>
      <c r="B239" s="11"/>
      <c r="D239" s="11"/>
      <c r="E239" s="11"/>
      <c r="G239" s="11"/>
      <c r="I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>
      <c r="A240" s="11"/>
      <c r="B240" s="11"/>
      <c r="D240" s="11"/>
      <c r="E240" s="11"/>
      <c r="G240" s="11"/>
      <c r="I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>
      <c r="A241" s="11"/>
      <c r="B241" s="11"/>
      <c r="D241" s="11"/>
      <c r="E241" s="11"/>
      <c r="G241" s="11"/>
      <c r="I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>
      <c r="A242" s="11"/>
      <c r="B242" s="11"/>
      <c r="D242" s="11"/>
      <c r="E242" s="11"/>
      <c r="G242" s="11"/>
      <c r="I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>
      <c r="A243" s="11"/>
      <c r="B243" s="11"/>
      <c r="D243" s="11"/>
      <c r="E243" s="11"/>
      <c r="G243" s="11"/>
      <c r="I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>
      <c r="A244" s="11"/>
      <c r="B244" s="11"/>
      <c r="D244" s="11"/>
      <c r="E244" s="11"/>
      <c r="G244" s="11"/>
      <c r="I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>
      <c r="A245" s="11"/>
      <c r="B245" s="11"/>
      <c r="D245" s="11"/>
      <c r="E245" s="11"/>
      <c r="G245" s="11"/>
      <c r="I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>
      <c r="A246" s="11"/>
      <c r="B246" s="11"/>
      <c r="D246" s="11"/>
      <c r="E246" s="11"/>
      <c r="G246" s="11"/>
      <c r="I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>
      <c r="A247" s="11"/>
      <c r="B247" s="11"/>
      <c r="D247" s="11"/>
      <c r="E247" s="11"/>
      <c r="G247" s="11"/>
      <c r="I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>
      <c r="A248" s="11"/>
      <c r="B248" s="11"/>
      <c r="D248" s="11"/>
      <c r="E248" s="11"/>
      <c r="G248" s="11"/>
      <c r="I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>
      <c r="A249" s="11"/>
      <c r="B249" s="11"/>
      <c r="D249" s="11"/>
      <c r="E249" s="11"/>
      <c r="G249" s="11"/>
      <c r="I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>
      <c r="A250" s="11"/>
      <c r="B250" s="11"/>
      <c r="D250" s="11"/>
      <c r="E250" s="11"/>
      <c r="G250" s="11"/>
      <c r="I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>
      <c r="A251" s="11"/>
      <c r="B251" s="11"/>
      <c r="D251" s="11"/>
      <c r="E251" s="11"/>
      <c r="G251" s="11"/>
      <c r="I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>
      <c r="A252" s="11"/>
      <c r="B252" s="11"/>
      <c r="D252" s="11"/>
      <c r="E252" s="11"/>
      <c r="G252" s="11"/>
      <c r="I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>
      <c r="A253" s="11"/>
      <c r="B253" s="11"/>
      <c r="D253" s="11"/>
      <c r="E253" s="11"/>
      <c r="G253" s="11"/>
      <c r="I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>
      <c r="A254" s="11"/>
      <c r="B254" s="11"/>
      <c r="D254" s="11"/>
      <c r="E254" s="11"/>
      <c r="G254" s="11"/>
      <c r="I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>
      <c r="A255" s="11"/>
      <c r="B255" s="11"/>
      <c r="D255" s="11"/>
      <c r="E255" s="11"/>
      <c r="G255" s="11"/>
      <c r="I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>
      <c r="A256" s="11"/>
      <c r="B256" s="11"/>
      <c r="D256" s="11"/>
      <c r="E256" s="11"/>
      <c r="G256" s="11"/>
      <c r="I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>
      <c r="A257" s="11"/>
      <c r="B257" s="11"/>
      <c r="D257" s="11"/>
      <c r="E257" s="11"/>
      <c r="G257" s="11"/>
      <c r="I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>
      <c r="A258" s="11"/>
      <c r="B258" s="11"/>
      <c r="D258" s="11"/>
      <c r="E258" s="11"/>
      <c r="G258" s="11"/>
      <c r="I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>
      <c r="A259" s="11"/>
      <c r="B259" s="11"/>
      <c r="D259" s="11"/>
      <c r="E259" s="11"/>
      <c r="G259" s="11"/>
      <c r="I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>
      <c r="A260" s="11"/>
      <c r="B260" s="11"/>
      <c r="D260" s="11"/>
      <c r="E260" s="11"/>
      <c r="G260" s="11"/>
      <c r="I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>
      <c r="A261" s="11"/>
      <c r="B261" s="11"/>
      <c r="D261" s="11"/>
      <c r="E261" s="11"/>
      <c r="G261" s="11"/>
      <c r="I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>
      <c r="A262" s="11"/>
      <c r="B262" s="11"/>
      <c r="D262" s="11"/>
      <c r="E262" s="11"/>
      <c r="G262" s="11"/>
      <c r="I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>
      <c r="A263" s="11"/>
      <c r="B263" s="11"/>
      <c r="D263" s="11"/>
      <c r="E263" s="11"/>
      <c r="G263" s="11"/>
      <c r="I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>
      <c r="A264" s="11"/>
      <c r="B264" s="11"/>
      <c r="D264" s="11"/>
      <c r="E264" s="11"/>
      <c r="G264" s="11"/>
      <c r="I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>
      <c r="A265" s="11"/>
      <c r="B265" s="11"/>
      <c r="D265" s="11"/>
      <c r="E265" s="11"/>
      <c r="G265" s="11"/>
      <c r="I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>
      <c r="A266" s="11"/>
      <c r="B266" s="11"/>
      <c r="D266" s="11"/>
      <c r="E266" s="11"/>
      <c r="G266" s="11"/>
      <c r="I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>
      <c r="A267" s="11"/>
      <c r="B267" s="11"/>
      <c r="D267" s="11"/>
      <c r="E267" s="11"/>
      <c r="G267" s="11"/>
      <c r="I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>
      <c r="A268" s="11"/>
      <c r="B268" s="11"/>
      <c r="D268" s="11"/>
      <c r="E268" s="11"/>
      <c r="G268" s="11"/>
      <c r="I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>
      <c r="A269" s="11"/>
      <c r="B269" s="11"/>
      <c r="D269" s="11"/>
      <c r="E269" s="11"/>
      <c r="G269" s="11"/>
      <c r="I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>
      <c r="A270" s="11"/>
      <c r="B270" s="11"/>
      <c r="D270" s="11"/>
      <c r="E270" s="11"/>
      <c r="G270" s="11"/>
      <c r="I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>
      <c r="A271" s="11"/>
      <c r="B271" s="11"/>
      <c r="D271" s="11"/>
      <c r="E271" s="11"/>
      <c r="G271" s="11"/>
      <c r="I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>
      <c r="A272" s="11"/>
      <c r="B272" s="11"/>
      <c r="D272" s="11"/>
      <c r="E272" s="11"/>
      <c r="G272" s="11"/>
      <c r="I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>
      <c r="A273" s="11"/>
      <c r="B273" s="11"/>
      <c r="D273" s="11"/>
      <c r="E273" s="11"/>
      <c r="G273" s="11"/>
      <c r="I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>
      <c r="A274" s="11"/>
      <c r="B274" s="11"/>
      <c r="D274" s="11"/>
      <c r="E274" s="11"/>
      <c r="G274" s="11"/>
      <c r="I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>
      <c r="A275" s="11"/>
      <c r="B275" s="11"/>
      <c r="D275" s="11"/>
      <c r="E275" s="11"/>
      <c r="G275" s="11"/>
      <c r="I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>
      <c r="A276" s="11"/>
      <c r="B276" s="11"/>
      <c r="D276" s="11"/>
      <c r="E276" s="11"/>
      <c r="G276" s="11"/>
      <c r="I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>
      <c r="A277" s="11"/>
      <c r="B277" s="11"/>
      <c r="D277" s="11"/>
      <c r="E277" s="11"/>
      <c r="G277" s="11"/>
      <c r="I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>
      <c r="A278" s="11"/>
      <c r="B278" s="11"/>
      <c r="D278" s="11"/>
      <c r="E278" s="11"/>
      <c r="G278" s="11"/>
      <c r="I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>
      <c r="A279" s="11"/>
      <c r="B279" s="11"/>
      <c r="D279" s="11"/>
      <c r="E279" s="11"/>
      <c r="G279" s="11"/>
      <c r="I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>
      <c r="A280" s="11"/>
      <c r="B280" s="11"/>
      <c r="D280" s="11"/>
      <c r="E280" s="11"/>
      <c r="G280" s="11"/>
      <c r="I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>
      <c r="A281" s="11"/>
      <c r="B281" s="11"/>
      <c r="D281" s="11"/>
      <c r="E281" s="11"/>
      <c r="G281" s="11"/>
      <c r="I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>
      <c r="A282" s="11"/>
      <c r="B282" s="11"/>
      <c r="D282" s="11"/>
      <c r="E282" s="11"/>
      <c r="G282" s="11"/>
      <c r="I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>
      <c r="A283" s="11"/>
      <c r="B283" s="11"/>
      <c r="D283" s="11"/>
      <c r="E283" s="11"/>
      <c r="G283" s="11"/>
      <c r="I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>
      <c r="A284" s="11"/>
      <c r="B284" s="11"/>
      <c r="D284" s="11"/>
      <c r="E284" s="11"/>
      <c r="G284" s="11"/>
      <c r="I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>
      <c r="A285" s="11"/>
      <c r="B285" s="11"/>
      <c r="D285" s="11"/>
      <c r="E285" s="11"/>
      <c r="G285" s="11"/>
      <c r="I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>
      <c r="A286" s="11"/>
      <c r="B286" s="11"/>
      <c r="D286" s="11"/>
      <c r="E286" s="11"/>
      <c r="G286" s="11"/>
      <c r="I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>
      <c r="A287" s="11"/>
      <c r="B287" s="11"/>
      <c r="D287" s="11"/>
      <c r="E287" s="11"/>
      <c r="G287" s="11"/>
      <c r="I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>
      <c r="A288" s="11"/>
      <c r="B288" s="11"/>
      <c r="D288" s="11"/>
      <c r="E288" s="11"/>
      <c r="G288" s="11"/>
      <c r="I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>
      <c r="A289" s="11"/>
      <c r="B289" s="11"/>
      <c r="D289" s="11"/>
      <c r="E289" s="11"/>
      <c r="G289" s="11"/>
      <c r="I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>
      <c r="A290" s="11"/>
      <c r="B290" s="11"/>
      <c r="D290" s="11"/>
      <c r="E290" s="11"/>
      <c r="G290" s="11"/>
      <c r="I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>
      <c r="A291" s="11"/>
      <c r="B291" s="11"/>
      <c r="D291" s="11"/>
      <c r="E291" s="11"/>
      <c r="G291" s="11"/>
      <c r="I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>
      <c r="A292" s="11"/>
      <c r="B292" s="11"/>
      <c r="D292" s="11"/>
      <c r="E292" s="11"/>
      <c r="G292" s="11"/>
      <c r="I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>
      <c r="A293" s="11"/>
      <c r="B293" s="11"/>
      <c r="D293" s="11"/>
      <c r="E293" s="11"/>
      <c r="G293" s="11"/>
      <c r="I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>
      <c r="A294" s="11"/>
      <c r="B294" s="11"/>
      <c r="D294" s="11"/>
      <c r="E294" s="11"/>
      <c r="G294" s="11"/>
      <c r="I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>
      <c r="A295" s="11"/>
      <c r="B295" s="11"/>
      <c r="D295" s="11"/>
      <c r="E295" s="11"/>
      <c r="G295" s="11"/>
      <c r="I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>
      <c r="A296" s="11"/>
      <c r="B296" s="11"/>
      <c r="D296" s="11"/>
      <c r="E296" s="11"/>
      <c r="G296" s="11"/>
      <c r="I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>
      <c r="A297" s="11"/>
      <c r="B297" s="11"/>
      <c r="D297" s="11"/>
      <c r="E297" s="11"/>
      <c r="G297" s="11"/>
      <c r="I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>
      <c r="A298" s="11"/>
      <c r="B298" s="11"/>
      <c r="D298" s="11"/>
      <c r="E298" s="11"/>
      <c r="G298" s="11"/>
      <c r="I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>
      <c r="A299" s="11"/>
      <c r="B299" s="11"/>
      <c r="D299" s="11"/>
      <c r="E299" s="11"/>
      <c r="G299" s="11"/>
      <c r="I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>
      <c r="A300" s="11"/>
      <c r="B300" s="11"/>
      <c r="D300" s="11"/>
      <c r="E300" s="11"/>
      <c r="G300" s="11"/>
      <c r="I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>
      <c r="A301" s="11"/>
      <c r="B301" s="11"/>
      <c r="D301" s="11"/>
      <c r="E301" s="11"/>
      <c r="G301" s="11"/>
      <c r="I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>
      <c r="A302" s="11"/>
      <c r="B302" s="11"/>
      <c r="D302" s="11"/>
      <c r="E302" s="11"/>
      <c r="G302" s="11"/>
      <c r="I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>
      <c r="A303" s="11"/>
      <c r="B303" s="11"/>
      <c r="D303" s="11"/>
      <c r="E303" s="11"/>
      <c r="G303" s="11"/>
      <c r="I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>
      <c r="A304" s="11"/>
      <c r="B304" s="11"/>
      <c r="D304" s="11"/>
      <c r="E304" s="11"/>
      <c r="G304" s="11"/>
      <c r="I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>
      <c r="A305" s="11"/>
      <c r="B305" s="11"/>
      <c r="D305" s="11"/>
      <c r="E305" s="11"/>
      <c r="G305" s="11"/>
      <c r="I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>
      <c r="A306" s="11"/>
      <c r="B306" s="11"/>
      <c r="D306" s="11"/>
      <c r="E306" s="11"/>
      <c r="G306" s="11"/>
      <c r="I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>
      <c r="A307" s="11"/>
      <c r="B307" s="11"/>
      <c r="D307" s="11"/>
      <c r="E307" s="11"/>
      <c r="G307" s="11"/>
      <c r="I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>
      <c r="A308" s="11"/>
      <c r="B308" s="11"/>
      <c r="D308" s="11"/>
      <c r="E308" s="11"/>
      <c r="G308" s="11"/>
      <c r="I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>
      <c r="A309" s="11"/>
      <c r="B309" s="11"/>
      <c r="D309" s="11"/>
      <c r="E309" s="11"/>
      <c r="G309" s="11"/>
      <c r="I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>
      <c r="A310" s="11"/>
      <c r="B310" s="11"/>
      <c r="D310" s="11"/>
      <c r="E310" s="11"/>
      <c r="G310" s="11"/>
      <c r="I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>
      <c r="A311" s="11"/>
      <c r="B311" s="11"/>
      <c r="D311" s="11"/>
      <c r="E311" s="11"/>
      <c r="G311" s="11"/>
      <c r="I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>
      <c r="A312" s="11"/>
      <c r="B312" s="11"/>
      <c r="D312" s="11"/>
      <c r="E312" s="11"/>
      <c r="G312" s="11"/>
      <c r="I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>
      <c r="A313" s="11"/>
      <c r="B313" s="11"/>
      <c r="D313" s="11"/>
      <c r="E313" s="11"/>
      <c r="G313" s="11"/>
      <c r="I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>
      <c r="A314" s="11"/>
      <c r="B314" s="11"/>
      <c r="D314" s="11"/>
      <c r="E314" s="11"/>
      <c r="G314" s="11"/>
      <c r="I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>
      <c r="A315" s="11"/>
      <c r="B315" s="11"/>
      <c r="D315" s="11"/>
      <c r="E315" s="11"/>
      <c r="G315" s="11"/>
      <c r="I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>
      <c r="A316" s="11"/>
      <c r="B316" s="11"/>
      <c r="D316" s="11"/>
      <c r="E316" s="11"/>
      <c r="G316" s="11"/>
      <c r="I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>
      <c r="A317" s="11"/>
      <c r="B317" s="11"/>
      <c r="D317" s="11"/>
      <c r="E317" s="11"/>
      <c r="G317" s="11"/>
      <c r="I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>
      <c r="A318" s="11"/>
      <c r="B318" s="11"/>
      <c r="D318" s="11"/>
      <c r="E318" s="11"/>
      <c r="G318" s="11"/>
      <c r="I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>
      <c r="A319" s="11"/>
      <c r="B319" s="11"/>
      <c r="D319" s="11"/>
      <c r="E319" s="11"/>
      <c r="G319" s="11"/>
      <c r="I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>
      <c r="A320" s="11"/>
      <c r="B320" s="11"/>
      <c r="D320" s="11"/>
      <c r="E320" s="11"/>
      <c r="G320" s="11"/>
      <c r="I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>
      <c r="A321" s="11"/>
      <c r="B321" s="11"/>
      <c r="D321" s="11"/>
      <c r="E321" s="11"/>
      <c r="G321" s="11"/>
      <c r="I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>
      <c r="A322" s="11"/>
      <c r="B322" s="11"/>
      <c r="D322" s="11"/>
      <c r="E322" s="11"/>
      <c r="G322" s="11"/>
      <c r="I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>
      <c r="A323" s="11"/>
      <c r="B323" s="11"/>
      <c r="D323" s="11"/>
      <c r="E323" s="11"/>
      <c r="G323" s="11"/>
      <c r="I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>
      <c r="A324" s="11"/>
      <c r="B324" s="11"/>
      <c r="D324" s="11"/>
      <c r="E324" s="11"/>
      <c r="G324" s="11"/>
      <c r="I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>
      <c r="A325" s="11"/>
      <c r="B325" s="11"/>
      <c r="D325" s="11"/>
      <c r="E325" s="11"/>
      <c r="G325" s="11"/>
      <c r="I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>
      <c r="A326" s="11"/>
      <c r="B326" s="11"/>
      <c r="D326" s="11"/>
      <c r="E326" s="11"/>
      <c r="G326" s="11"/>
      <c r="I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>
      <c r="A327" s="11"/>
      <c r="B327" s="11"/>
      <c r="D327" s="11"/>
      <c r="E327" s="11"/>
      <c r="G327" s="11"/>
      <c r="I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>
      <c r="A328" s="11"/>
      <c r="B328" s="11"/>
      <c r="D328" s="11"/>
      <c r="E328" s="11"/>
      <c r="G328" s="11"/>
      <c r="I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>
      <c r="A329" s="11"/>
      <c r="B329" s="11"/>
      <c r="D329" s="11"/>
      <c r="E329" s="11"/>
      <c r="G329" s="11"/>
      <c r="I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>
      <c r="A330" s="11"/>
      <c r="B330" s="11"/>
      <c r="D330" s="11"/>
      <c r="E330" s="11"/>
      <c r="G330" s="11"/>
      <c r="I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>
      <c r="A331" s="11"/>
      <c r="B331" s="11"/>
      <c r="D331" s="11"/>
      <c r="E331" s="11"/>
      <c r="G331" s="11"/>
      <c r="I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>
      <c r="A332" s="11"/>
      <c r="B332" s="11"/>
      <c r="D332" s="11"/>
      <c r="E332" s="11"/>
      <c r="G332" s="11"/>
      <c r="I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>
      <c r="A333" s="11"/>
      <c r="B333" s="11"/>
      <c r="D333" s="11"/>
      <c r="E333" s="11"/>
      <c r="G333" s="11"/>
      <c r="I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>
      <c r="A334" s="11"/>
      <c r="B334" s="11"/>
      <c r="D334" s="11"/>
      <c r="E334" s="11"/>
      <c r="G334" s="11"/>
      <c r="I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>
      <c r="A335" s="11"/>
      <c r="B335" s="11"/>
      <c r="D335" s="11"/>
      <c r="E335" s="11"/>
      <c r="G335" s="11"/>
      <c r="I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>
      <c r="A336" s="11"/>
      <c r="B336" s="11"/>
      <c r="D336" s="11"/>
      <c r="E336" s="11"/>
      <c r="G336" s="11"/>
      <c r="I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>
      <c r="A337" s="11"/>
      <c r="B337" s="11"/>
      <c r="D337" s="11"/>
      <c r="E337" s="11"/>
      <c r="G337" s="11"/>
      <c r="I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>
      <c r="A338" s="11"/>
      <c r="B338" s="11"/>
      <c r="D338" s="11"/>
      <c r="E338" s="11"/>
      <c r="G338" s="11"/>
      <c r="I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>
      <c r="A339" s="11"/>
      <c r="B339" s="11"/>
      <c r="D339" s="11"/>
      <c r="E339" s="11"/>
      <c r="G339" s="11"/>
      <c r="I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>
      <c r="A340" s="11"/>
      <c r="B340" s="11"/>
      <c r="D340" s="11"/>
      <c r="E340" s="11"/>
      <c r="G340" s="11"/>
      <c r="I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>
      <c r="A341" s="11"/>
      <c r="B341" s="11"/>
      <c r="D341" s="11"/>
      <c r="E341" s="11"/>
      <c r="G341" s="11"/>
      <c r="I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>
      <c r="A342" s="11"/>
      <c r="B342" s="11"/>
      <c r="D342" s="11"/>
      <c r="E342" s="11"/>
      <c r="G342" s="11"/>
      <c r="I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>
      <c r="A343" s="11"/>
      <c r="B343" s="11"/>
      <c r="D343" s="11"/>
      <c r="E343" s="11"/>
      <c r="G343" s="11"/>
      <c r="I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>
      <c r="A344" s="11"/>
      <c r="B344" s="11"/>
      <c r="D344" s="11"/>
      <c r="E344" s="11"/>
      <c r="G344" s="11"/>
      <c r="I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>
      <c r="A345" s="11"/>
      <c r="B345" s="11"/>
      <c r="D345" s="11"/>
      <c r="E345" s="11"/>
      <c r="G345" s="11"/>
      <c r="I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>
      <c r="A346" s="11"/>
      <c r="B346" s="11"/>
      <c r="D346" s="11"/>
      <c r="E346" s="11"/>
      <c r="G346" s="11"/>
      <c r="I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>
      <c r="A347" s="11"/>
      <c r="B347" s="11"/>
      <c r="D347" s="11"/>
      <c r="E347" s="11"/>
      <c r="G347" s="11"/>
      <c r="I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>
      <c r="A348" s="11"/>
      <c r="B348" s="11"/>
      <c r="D348" s="11"/>
      <c r="E348" s="11"/>
      <c r="G348" s="11"/>
      <c r="I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>
      <c r="A349" s="11"/>
      <c r="B349" s="11"/>
      <c r="D349" s="11"/>
      <c r="E349" s="11"/>
      <c r="G349" s="11"/>
      <c r="I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>
      <c r="A350" s="11"/>
      <c r="B350" s="11"/>
      <c r="D350" s="11"/>
      <c r="E350" s="11"/>
      <c r="G350" s="11"/>
      <c r="I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>
      <c r="A351" s="11"/>
      <c r="B351" s="11"/>
      <c r="D351" s="11"/>
      <c r="E351" s="11"/>
      <c r="G351" s="11"/>
      <c r="I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>
      <c r="A352" s="11"/>
      <c r="B352" s="11"/>
      <c r="D352" s="11"/>
      <c r="E352" s="11"/>
      <c r="G352" s="11"/>
      <c r="I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>
      <c r="A353" s="11"/>
      <c r="B353" s="11"/>
      <c r="D353" s="11"/>
      <c r="E353" s="11"/>
      <c r="G353" s="11"/>
      <c r="I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>
      <c r="A354" s="11"/>
      <c r="B354" s="11"/>
      <c r="D354" s="11"/>
      <c r="E354" s="11"/>
      <c r="G354" s="11"/>
      <c r="I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>
      <c r="A355" s="11"/>
      <c r="B355" s="11"/>
      <c r="D355" s="11"/>
      <c r="E355" s="11"/>
      <c r="G355" s="11"/>
      <c r="I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>
      <c r="A356" s="11"/>
      <c r="B356" s="11"/>
      <c r="D356" s="11"/>
      <c r="E356" s="11"/>
      <c r="G356" s="11"/>
      <c r="I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>
      <c r="A357" s="11"/>
      <c r="B357" s="11"/>
      <c r="D357" s="11"/>
      <c r="E357" s="11"/>
      <c r="G357" s="11"/>
      <c r="I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>
      <c r="A358" s="11"/>
      <c r="B358" s="11"/>
      <c r="D358" s="11"/>
      <c r="E358" s="11"/>
      <c r="G358" s="11"/>
      <c r="I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>
      <c r="A359" s="11"/>
      <c r="B359" s="11"/>
      <c r="D359" s="11"/>
      <c r="E359" s="11"/>
      <c r="G359" s="11"/>
      <c r="I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>
      <c r="A360" s="11"/>
      <c r="B360" s="11"/>
      <c r="D360" s="11"/>
      <c r="E360" s="11"/>
      <c r="G360" s="11"/>
      <c r="I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>
      <c r="A361" s="11"/>
      <c r="B361" s="11"/>
      <c r="D361" s="11"/>
      <c r="E361" s="11"/>
      <c r="G361" s="11"/>
      <c r="I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>
      <c r="A362" s="11"/>
      <c r="B362" s="11"/>
      <c r="D362" s="11"/>
      <c r="E362" s="11"/>
      <c r="G362" s="11"/>
      <c r="I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>
      <c r="A363" s="11"/>
      <c r="B363" s="11"/>
      <c r="D363" s="11"/>
      <c r="E363" s="11"/>
      <c r="G363" s="11"/>
      <c r="I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>
      <c r="A364" s="11"/>
      <c r="B364" s="11"/>
      <c r="D364" s="11"/>
      <c r="E364" s="11"/>
      <c r="G364" s="11"/>
      <c r="I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>
      <c r="A365" s="11"/>
      <c r="B365" s="11"/>
      <c r="D365" s="11"/>
      <c r="E365" s="11"/>
      <c r="G365" s="11"/>
      <c r="I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>
      <c r="A366" s="11"/>
      <c r="B366" s="11"/>
      <c r="D366" s="11"/>
      <c r="E366" s="11"/>
      <c r="G366" s="11"/>
      <c r="I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>
      <c r="A367" s="11"/>
      <c r="B367" s="11"/>
      <c r="D367" s="11"/>
      <c r="E367" s="11"/>
      <c r="G367" s="11"/>
      <c r="I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>
      <c r="A368" s="11"/>
      <c r="B368" s="11"/>
      <c r="D368" s="11"/>
      <c r="E368" s="11"/>
      <c r="G368" s="11"/>
      <c r="I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>
      <c r="A369" s="11"/>
      <c r="B369" s="11"/>
      <c r="D369" s="11"/>
      <c r="E369" s="11"/>
      <c r="G369" s="11"/>
      <c r="I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>
      <c r="A370" s="11"/>
      <c r="B370" s="11"/>
      <c r="D370" s="11"/>
      <c r="E370" s="11"/>
      <c r="G370" s="11"/>
      <c r="I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>
      <c r="A371" s="11"/>
      <c r="B371" s="11"/>
      <c r="D371" s="11"/>
      <c r="E371" s="11"/>
      <c r="G371" s="11"/>
      <c r="I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>
      <c r="A372" s="11"/>
      <c r="B372" s="11"/>
      <c r="D372" s="11"/>
      <c r="E372" s="11"/>
      <c r="G372" s="11"/>
      <c r="I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>
      <c r="A373" s="11"/>
      <c r="B373" s="11"/>
      <c r="D373" s="11"/>
      <c r="E373" s="11"/>
      <c r="G373" s="11"/>
      <c r="I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>
      <c r="A374" s="11"/>
      <c r="B374" s="11"/>
      <c r="D374" s="11"/>
      <c r="E374" s="11"/>
      <c r="G374" s="11"/>
      <c r="I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>
      <c r="A375" s="11"/>
      <c r="B375" s="11"/>
      <c r="D375" s="11"/>
      <c r="E375" s="11"/>
      <c r="G375" s="11"/>
      <c r="I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>
      <c r="A376" s="11"/>
      <c r="B376" s="11"/>
      <c r="D376" s="11"/>
      <c r="E376" s="11"/>
      <c r="G376" s="11"/>
      <c r="I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>
      <c r="A377" s="11"/>
      <c r="B377" s="11"/>
      <c r="D377" s="11"/>
      <c r="E377" s="11"/>
      <c r="G377" s="11"/>
      <c r="I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>
      <c r="A378" s="11"/>
      <c r="B378" s="11"/>
      <c r="D378" s="11"/>
      <c r="E378" s="11"/>
      <c r="G378" s="11"/>
      <c r="I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>
      <c r="A379" s="11"/>
      <c r="B379" s="11"/>
      <c r="D379" s="11"/>
      <c r="E379" s="11"/>
      <c r="G379" s="11"/>
      <c r="I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>
      <c r="A380" s="11"/>
      <c r="B380" s="11"/>
      <c r="D380" s="11"/>
      <c r="E380" s="11"/>
      <c r="G380" s="11"/>
      <c r="I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>
      <c r="A381" s="11"/>
      <c r="B381" s="11"/>
      <c r="D381" s="11"/>
      <c r="E381" s="11"/>
      <c r="G381" s="11"/>
      <c r="I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>
      <c r="A382" s="11"/>
      <c r="B382" s="11"/>
      <c r="D382" s="11"/>
      <c r="E382" s="11"/>
      <c r="G382" s="11"/>
      <c r="I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>
      <c r="A383" s="11"/>
      <c r="B383" s="11"/>
      <c r="D383" s="11"/>
      <c r="E383" s="11"/>
      <c r="G383" s="11"/>
      <c r="I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>
      <c r="A384" s="11"/>
      <c r="B384" s="11"/>
      <c r="D384" s="11"/>
      <c r="E384" s="11"/>
      <c r="G384" s="11"/>
      <c r="I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>
      <c r="A385" s="11"/>
      <c r="B385" s="11"/>
      <c r="D385" s="11"/>
      <c r="E385" s="11"/>
      <c r="G385" s="11"/>
      <c r="I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>
      <c r="A386" s="11"/>
      <c r="B386" s="11"/>
      <c r="D386" s="11"/>
      <c r="E386" s="11"/>
      <c r="G386" s="11"/>
      <c r="I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>
      <c r="A387" s="11"/>
      <c r="B387" s="11"/>
      <c r="D387" s="11"/>
      <c r="E387" s="11"/>
      <c r="G387" s="11"/>
      <c r="I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>
      <c r="A388" s="11"/>
      <c r="B388" s="11"/>
      <c r="D388" s="11"/>
      <c r="E388" s="11"/>
      <c r="G388" s="11"/>
      <c r="I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>
      <c r="A389" s="11"/>
      <c r="B389" s="11"/>
      <c r="D389" s="11"/>
      <c r="E389" s="11"/>
      <c r="G389" s="11"/>
      <c r="I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>
      <c r="A390" s="11"/>
      <c r="B390" s="11"/>
      <c r="D390" s="11"/>
      <c r="E390" s="11"/>
      <c r="G390" s="11"/>
      <c r="I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>
      <c r="A391" s="11"/>
      <c r="B391" s="11"/>
      <c r="D391" s="11"/>
      <c r="E391" s="11"/>
      <c r="G391" s="11"/>
      <c r="I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>
      <c r="A392" s="11"/>
      <c r="B392" s="11"/>
      <c r="D392" s="11"/>
      <c r="E392" s="11"/>
      <c r="G392" s="11"/>
      <c r="I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>
      <c r="A393" s="11"/>
      <c r="B393" s="11"/>
      <c r="D393" s="11"/>
      <c r="E393" s="11"/>
      <c r="G393" s="11"/>
      <c r="I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>
      <c r="A394" s="11"/>
      <c r="B394" s="11"/>
      <c r="D394" s="11"/>
      <c r="E394" s="11"/>
      <c r="G394" s="11"/>
      <c r="I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>
      <c r="A395" s="11"/>
      <c r="B395" s="11"/>
      <c r="D395" s="11"/>
      <c r="E395" s="11"/>
      <c r="G395" s="11"/>
      <c r="I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>
      <c r="A396" s="11"/>
      <c r="B396" s="11"/>
      <c r="D396" s="11"/>
      <c r="E396" s="11"/>
      <c r="G396" s="11"/>
      <c r="I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>
      <c r="A397" s="11"/>
      <c r="B397" s="11"/>
      <c r="D397" s="11"/>
      <c r="E397" s="11"/>
      <c r="G397" s="11"/>
      <c r="I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>
      <c r="A398" s="11"/>
      <c r="B398" s="11"/>
      <c r="D398" s="11"/>
      <c r="E398" s="11"/>
      <c r="G398" s="11"/>
      <c r="I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>
      <c r="A399" s="11"/>
      <c r="B399" s="11"/>
      <c r="D399" s="11"/>
      <c r="E399" s="11"/>
      <c r="G399" s="11"/>
      <c r="I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>
      <c r="A400" s="11"/>
      <c r="B400" s="11"/>
      <c r="D400" s="11"/>
      <c r="E400" s="11"/>
      <c r="G400" s="11"/>
      <c r="I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>
      <c r="A401" s="11"/>
      <c r="B401" s="11"/>
      <c r="D401" s="11"/>
      <c r="E401" s="11"/>
      <c r="G401" s="11"/>
      <c r="I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>
      <c r="A402" s="11"/>
      <c r="B402" s="11"/>
      <c r="D402" s="11"/>
      <c r="E402" s="11"/>
      <c r="G402" s="11"/>
      <c r="I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>
      <c r="A403" s="11"/>
      <c r="B403" s="11"/>
      <c r="D403" s="11"/>
      <c r="E403" s="11"/>
      <c r="G403" s="11"/>
      <c r="I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>
      <c r="A404" s="11"/>
      <c r="B404" s="11"/>
      <c r="D404" s="11"/>
      <c r="E404" s="11"/>
      <c r="G404" s="11"/>
      <c r="I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>
      <c r="A405" s="11"/>
      <c r="B405" s="11"/>
      <c r="D405" s="11"/>
      <c r="E405" s="11"/>
      <c r="G405" s="11"/>
      <c r="I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>
      <c r="A406" s="11"/>
      <c r="B406" s="11"/>
      <c r="D406" s="11"/>
      <c r="E406" s="11"/>
      <c r="G406" s="11"/>
      <c r="I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>
      <c r="A407" s="11"/>
      <c r="B407" s="11"/>
      <c r="D407" s="11"/>
      <c r="E407" s="11"/>
      <c r="G407" s="11"/>
      <c r="I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>
      <c r="A408" s="11"/>
      <c r="B408" s="11"/>
      <c r="D408" s="11"/>
      <c r="E408" s="11"/>
      <c r="G408" s="11"/>
      <c r="I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>
      <c r="A409" s="11"/>
      <c r="B409" s="11"/>
      <c r="D409" s="11"/>
      <c r="E409" s="11"/>
      <c r="G409" s="11"/>
      <c r="I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>
      <c r="A410" s="11"/>
      <c r="B410" s="11"/>
      <c r="D410" s="11"/>
      <c r="E410" s="11"/>
      <c r="G410" s="11"/>
      <c r="I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>
      <c r="A411" s="11"/>
      <c r="B411" s="11"/>
      <c r="D411" s="11"/>
      <c r="E411" s="11"/>
      <c r="G411" s="11"/>
      <c r="I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>
      <c r="A412" s="11"/>
      <c r="B412" s="11"/>
      <c r="D412" s="11"/>
      <c r="E412" s="11"/>
      <c r="G412" s="11"/>
      <c r="I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>
      <c r="A413" s="11"/>
      <c r="B413" s="11"/>
      <c r="D413" s="11"/>
      <c r="E413" s="11"/>
      <c r="G413" s="11"/>
      <c r="I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>
      <c r="A414" s="11"/>
      <c r="B414" s="11"/>
      <c r="D414" s="11"/>
      <c r="E414" s="11"/>
      <c r="G414" s="11"/>
      <c r="I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>
      <c r="A415" s="11"/>
      <c r="B415" s="11"/>
      <c r="D415" s="11"/>
      <c r="E415" s="11"/>
      <c r="G415" s="11"/>
      <c r="I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>
      <c r="A416" s="11"/>
      <c r="B416" s="11"/>
      <c r="D416" s="11"/>
      <c r="E416" s="11"/>
      <c r="G416" s="11"/>
      <c r="I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>
      <c r="A417" s="11"/>
      <c r="B417" s="11"/>
      <c r="D417" s="11"/>
      <c r="E417" s="11"/>
      <c r="G417" s="11"/>
      <c r="I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>
      <c r="A418" s="11"/>
      <c r="B418" s="11"/>
      <c r="D418" s="11"/>
      <c r="E418" s="11"/>
      <c r="G418" s="11"/>
      <c r="I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>
      <c r="A419" s="11"/>
      <c r="B419" s="11"/>
      <c r="D419" s="11"/>
      <c r="E419" s="11"/>
      <c r="G419" s="11"/>
      <c r="I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>
      <c r="A420" s="11"/>
      <c r="B420" s="11"/>
      <c r="D420" s="11"/>
      <c r="E420" s="11"/>
      <c r="G420" s="11"/>
      <c r="I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>
      <c r="A421" s="11"/>
      <c r="B421" s="11"/>
      <c r="D421" s="11"/>
      <c r="E421" s="11"/>
      <c r="G421" s="11"/>
      <c r="I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>
      <c r="A422" s="11"/>
      <c r="B422" s="11"/>
      <c r="D422" s="11"/>
      <c r="E422" s="11"/>
      <c r="G422" s="11"/>
      <c r="I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>
      <c r="A423" s="11"/>
      <c r="B423" s="11"/>
      <c r="D423" s="11"/>
      <c r="E423" s="11"/>
      <c r="G423" s="11"/>
      <c r="I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>
      <c r="A424" s="11"/>
      <c r="B424" s="11"/>
      <c r="D424" s="11"/>
      <c r="E424" s="11"/>
      <c r="G424" s="11"/>
      <c r="I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>
      <c r="A425" s="11"/>
      <c r="B425" s="11"/>
      <c r="D425" s="11"/>
      <c r="E425" s="11"/>
      <c r="G425" s="11"/>
      <c r="I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>
      <c r="A426" s="11"/>
      <c r="B426" s="11"/>
      <c r="D426" s="11"/>
      <c r="E426" s="11"/>
      <c r="G426" s="11"/>
      <c r="I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>
      <c r="A427" s="11"/>
      <c r="B427" s="11"/>
      <c r="D427" s="11"/>
      <c r="E427" s="11"/>
      <c r="G427" s="11"/>
      <c r="I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>
      <c r="A428" s="11"/>
      <c r="B428" s="11"/>
      <c r="D428" s="11"/>
      <c r="E428" s="11"/>
      <c r="G428" s="11"/>
      <c r="I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>
      <c r="A429" s="11"/>
      <c r="B429" s="11"/>
      <c r="D429" s="11"/>
      <c r="E429" s="11"/>
      <c r="G429" s="11"/>
      <c r="I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>
      <c r="A430" s="11"/>
      <c r="B430" s="11"/>
      <c r="D430" s="11"/>
      <c r="E430" s="11"/>
      <c r="G430" s="11"/>
      <c r="I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>
      <c r="A431" s="11"/>
      <c r="B431" s="11"/>
      <c r="D431" s="11"/>
      <c r="E431" s="11"/>
      <c r="G431" s="11"/>
      <c r="I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>
      <c r="A432" s="11"/>
      <c r="B432" s="11"/>
      <c r="D432" s="11"/>
      <c r="E432" s="11"/>
      <c r="G432" s="11"/>
      <c r="I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>
      <c r="A433" s="11"/>
      <c r="B433" s="11"/>
      <c r="D433" s="11"/>
      <c r="E433" s="11"/>
      <c r="G433" s="11"/>
      <c r="I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>
      <c r="A434" s="11"/>
      <c r="B434" s="11"/>
      <c r="D434" s="11"/>
      <c r="E434" s="11"/>
      <c r="G434" s="11"/>
      <c r="I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>
      <c r="A435" s="11"/>
      <c r="B435" s="11"/>
      <c r="D435" s="11"/>
      <c r="E435" s="11"/>
      <c r="G435" s="11"/>
      <c r="I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>
      <c r="A436" s="11"/>
      <c r="B436" s="11"/>
      <c r="D436" s="11"/>
      <c r="E436" s="11"/>
      <c r="G436" s="11"/>
      <c r="I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>
      <c r="A437" s="11"/>
      <c r="B437" s="11"/>
      <c r="D437" s="11"/>
      <c r="E437" s="11"/>
      <c r="G437" s="11"/>
      <c r="I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>
      <c r="A438" s="11"/>
      <c r="B438" s="11"/>
      <c r="D438" s="11"/>
      <c r="E438" s="11"/>
      <c r="G438" s="11"/>
      <c r="I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>
      <c r="A439" s="11"/>
      <c r="B439" s="11"/>
      <c r="D439" s="11"/>
      <c r="E439" s="11"/>
      <c r="G439" s="11"/>
      <c r="I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>
      <c r="A440" s="11"/>
      <c r="B440" s="11"/>
      <c r="D440" s="11"/>
      <c r="E440" s="11"/>
      <c r="G440" s="11"/>
      <c r="I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>
      <c r="A441" s="11"/>
      <c r="B441" s="11"/>
      <c r="D441" s="11"/>
      <c r="E441" s="11"/>
      <c r="G441" s="11"/>
      <c r="I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>
      <c r="A442" s="11"/>
      <c r="B442" s="11"/>
      <c r="D442" s="11"/>
      <c r="E442" s="11"/>
      <c r="G442" s="11"/>
      <c r="I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>
      <c r="A443" s="11"/>
      <c r="B443" s="11"/>
      <c r="D443" s="11"/>
      <c r="E443" s="11"/>
      <c r="G443" s="11"/>
      <c r="I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>
      <c r="A444" s="11"/>
      <c r="B444" s="11"/>
      <c r="D444" s="11"/>
      <c r="E444" s="11"/>
      <c r="G444" s="11"/>
      <c r="I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>
      <c r="A445" s="11"/>
      <c r="B445" s="11"/>
      <c r="D445" s="11"/>
      <c r="E445" s="11"/>
      <c r="G445" s="11"/>
      <c r="I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>
      <c r="A446" s="11"/>
      <c r="B446" s="11"/>
      <c r="D446" s="11"/>
      <c r="E446" s="11"/>
      <c r="G446" s="11"/>
      <c r="I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>
      <c r="A447" s="11"/>
      <c r="B447" s="11"/>
      <c r="D447" s="11"/>
      <c r="E447" s="11"/>
      <c r="G447" s="11"/>
      <c r="I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>
      <c r="A448" s="11"/>
      <c r="B448" s="11"/>
      <c r="D448" s="11"/>
      <c r="E448" s="11"/>
      <c r="G448" s="11"/>
      <c r="I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>
      <c r="A449" s="11"/>
      <c r="B449" s="11"/>
      <c r="D449" s="11"/>
      <c r="E449" s="11"/>
      <c r="G449" s="11"/>
      <c r="I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>
      <c r="A450" s="11"/>
      <c r="B450" s="11"/>
      <c r="D450" s="11"/>
      <c r="E450" s="11"/>
      <c r="G450" s="11"/>
      <c r="I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>
      <c r="A451" s="11"/>
      <c r="B451" s="11"/>
      <c r="D451" s="11"/>
      <c r="E451" s="11"/>
      <c r="G451" s="11"/>
      <c r="I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>
      <c r="A452" s="11"/>
      <c r="B452" s="11"/>
      <c r="D452" s="11"/>
      <c r="E452" s="11"/>
      <c r="G452" s="11"/>
      <c r="I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>
      <c r="A453" s="11"/>
      <c r="B453" s="11"/>
      <c r="D453" s="11"/>
      <c r="E453" s="11"/>
      <c r="G453" s="11"/>
      <c r="I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>
      <c r="A454" s="11"/>
      <c r="B454" s="11"/>
      <c r="D454" s="11"/>
      <c r="E454" s="11"/>
      <c r="G454" s="11"/>
      <c r="I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>
      <c r="A455" s="11"/>
      <c r="B455" s="11"/>
      <c r="D455" s="11"/>
      <c r="E455" s="11"/>
      <c r="G455" s="11"/>
      <c r="I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>
      <c r="A456" s="11"/>
      <c r="B456" s="11"/>
      <c r="D456" s="11"/>
      <c r="E456" s="11"/>
      <c r="G456" s="11"/>
      <c r="I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>
      <c r="A457" s="11"/>
      <c r="B457" s="11"/>
      <c r="D457" s="11"/>
      <c r="E457" s="11"/>
      <c r="G457" s="11"/>
      <c r="I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>
      <c r="A458" s="11"/>
      <c r="B458" s="11"/>
      <c r="D458" s="11"/>
      <c r="E458" s="11"/>
      <c r="G458" s="11"/>
      <c r="I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>
      <c r="A459" s="11"/>
      <c r="B459" s="11"/>
      <c r="D459" s="11"/>
      <c r="E459" s="11"/>
      <c r="G459" s="11"/>
      <c r="I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>
      <c r="A460" s="11"/>
      <c r="B460" s="11"/>
      <c r="D460" s="11"/>
      <c r="E460" s="11"/>
      <c r="G460" s="11"/>
      <c r="I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>
      <c r="A461" s="11"/>
      <c r="B461" s="11"/>
      <c r="D461" s="11"/>
      <c r="E461" s="11"/>
      <c r="G461" s="11"/>
      <c r="I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>
      <c r="A462" s="11"/>
      <c r="B462" s="11"/>
      <c r="D462" s="11"/>
      <c r="E462" s="11"/>
      <c r="G462" s="11"/>
      <c r="I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>
      <c r="A463" s="11"/>
      <c r="B463" s="11"/>
      <c r="D463" s="11"/>
      <c r="E463" s="11"/>
      <c r="G463" s="11"/>
      <c r="I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>
      <c r="A464" s="11"/>
      <c r="B464" s="11"/>
      <c r="D464" s="11"/>
      <c r="E464" s="11"/>
      <c r="G464" s="11"/>
      <c r="I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>
      <c r="A465" s="11"/>
      <c r="B465" s="11"/>
      <c r="D465" s="11"/>
      <c r="E465" s="11"/>
      <c r="G465" s="11"/>
      <c r="I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>
      <c r="A466" s="11"/>
      <c r="B466" s="11"/>
      <c r="D466" s="11"/>
      <c r="E466" s="11"/>
      <c r="G466" s="11"/>
      <c r="I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>
      <c r="A467" s="11"/>
      <c r="B467" s="11"/>
      <c r="D467" s="11"/>
      <c r="E467" s="11"/>
      <c r="G467" s="11"/>
      <c r="I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>
      <c r="A468" s="11"/>
      <c r="B468" s="11"/>
      <c r="D468" s="11"/>
      <c r="E468" s="11"/>
      <c r="G468" s="11"/>
      <c r="I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>
      <c r="A469" s="11"/>
      <c r="B469" s="11"/>
      <c r="D469" s="11"/>
      <c r="E469" s="11"/>
      <c r="G469" s="11"/>
      <c r="I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>
      <c r="A470" s="11"/>
      <c r="B470" s="11"/>
      <c r="D470" s="11"/>
      <c r="E470" s="11"/>
      <c r="G470" s="11"/>
      <c r="I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>
      <c r="A471" s="11"/>
      <c r="B471" s="11"/>
      <c r="D471" s="11"/>
      <c r="E471" s="11"/>
      <c r="G471" s="11"/>
      <c r="I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>
      <c r="A472" s="11"/>
      <c r="B472" s="11"/>
      <c r="D472" s="11"/>
      <c r="E472" s="11"/>
      <c r="G472" s="11"/>
      <c r="I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>
      <c r="A473" s="11"/>
      <c r="B473" s="11"/>
      <c r="D473" s="11"/>
      <c r="E473" s="11"/>
      <c r="G473" s="11"/>
      <c r="I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>
      <c r="A474" s="11"/>
      <c r="B474" s="11"/>
      <c r="D474" s="11"/>
      <c r="E474" s="11"/>
      <c r="G474" s="11"/>
      <c r="I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>
      <c r="A475" s="11"/>
      <c r="B475" s="11"/>
      <c r="D475" s="11"/>
      <c r="E475" s="11"/>
      <c r="G475" s="11"/>
      <c r="I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>
      <c r="A476" s="11"/>
      <c r="B476" s="11"/>
      <c r="D476" s="11"/>
      <c r="E476" s="11"/>
      <c r="G476" s="11"/>
      <c r="I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>
      <c r="A477" s="11"/>
      <c r="B477" s="11"/>
      <c r="D477" s="11"/>
      <c r="E477" s="11"/>
      <c r="G477" s="11"/>
      <c r="I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>
      <c r="A478" s="11"/>
      <c r="B478" s="11"/>
      <c r="D478" s="11"/>
      <c r="E478" s="11"/>
      <c r="G478" s="11"/>
      <c r="I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>
      <c r="A479" s="11"/>
      <c r="B479" s="11"/>
      <c r="D479" s="11"/>
      <c r="E479" s="11"/>
      <c r="G479" s="11"/>
      <c r="I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>
      <c r="A480" s="11"/>
      <c r="B480" s="11"/>
      <c r="D480" s="11"/>
      <c r="E480" s="11"/>
      <c r="G480" s="11"/>
      <c r="I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>
      <c r="A481" s="11"/>
      <c r="B481" s="11"/>
      <c r="D481" s="11"/>
      <c r="E481" s="11"/>
      <c r="G481" s="11"/>
      <c r="I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>
      <c r="A482" s="11"/>
      <c r="B482" s="11"/>
      <c r="D482" s="11"/>
      <c r="E482" s="11"/>
      <c r="G482" s="11"/>
      <c r="I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>
      <c r="A483" s="11"/>
      <c r="B483" s="11"/>
      <c r="D483" s="11"/>
      <c r="E483" s="11"/>
      <c r="G483" s="11"/>
      <c r="I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>
      <c r="A484" s="11"/>
      <c r="B484" s="11"/>
      <c r="D484" s="11"/>
      <c r="E484" s="11"/>
      <c r="G484" s="11"/>
      <c r="I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>
      <c r="A485" s="11"/>
      <c r="B485" s="11"/>
      <c r="D485" s="11"/>
      <c r="E485" s="11"/>
      <c r="G485" s="11"/>
      <c r="I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>
      <c r="A486" s="11"/>
      <c r="B486" s="11"/>
      <c r="D486" s="11"/>
      <c r="E486" s="11"/>
      <c r="G486" s="11"/>
      <c r="I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>
      <c r="A487" s="11"/>
      <c r="B487" s="11"/>
      <c r="D487" s="11"/>
      <c r="E487" s="11"/>
      <c r="G487" s="11"/>
      <c r="I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>
      <c r="A488" s="11"/>
      <c r="B488" s="11"/>
      <c r="D488" s="11"/>
      <c r="E488" s="11"/>
      <c r="G488" s="11"/>
      <c r="I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>
      <c r="A489" s="11"/>
      <c r="B489" s="11"/>
      <c r="D489" s="11"/>
      <c r="E489" s="11"/>
      <c r="G489" s="11"/>
      <c r="I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>
      <c r="A490" s="11"/>
      <c r="B490" s="11"/>
      <c r="D490" s="11"/>
      <c r="E490" s="11"/>
      <c r="G490" s="11"/>
      <c r="I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>
      <c r="A491" s="11"/>
      <c r="B491" s="11"/>
      <c r="D491" s="11"/>
      <c r="E491" s="11"/>
      <c r="G491" s="11"/>
      <c r="I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>
      <c r="A492" s="11"/>
      <c r="B492" s="11"/>
      <c r="D492" s="11"/>
      <c r="E492" s="11"/>
      <c r="G492" s="11"/>
      <c r="I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>
      <c r="A493" s="11"/>
      <c r="B493" s="11"/>
      <c r="D493" s="11"/>
      <c r="E493" s="11"/>
      <c r="G493" s="11"/>
      <c r="I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>
      <c r="A494" s="11"/>
      <c r="B494" s="11"/>
      <c r="D494" s="11"/>
      <c r="E494" s="11"/>
      <c r="G494" s="11"/>
      <c r="I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>
      <c r="A495" s="11"/>
      <c r="B495" s="11"/>
      <c r="D495" s="11"/>
      <c r="E495" s="11"/>
      <c r="G495" s="11"/>
      <c r="I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>
      <c r="A496" s="11"/>
      <c r="B496" s="11"/>
      <c r="D496" s="11"/>
      <c r="E496" s="11"/>
      <c r="G496" s="11"/>
      <c r="I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>
      <c r="A497" s="11"/>
      <c r="B497" s="11"/>
      <c r="D497" s="11"/>
      <c r="E497" s="11"/>
      <c r="G497" s="11"/>
      <c r="I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>
      <c r="A498" s="11"/>
      <c r="B498" s="11"/>
      <c r="D498" s="11"/>
      <c r="E498" s="11"/>
      <c r="G498" s="11"/>
      <c r="I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>
      <c r="A499" s="11"/>
      <c r="B499" s="11"/>
      <c r="D499" s="11"/>
      <c r="E499" s="11"/>
      <c r="G499" s="11"/>
      <c r="I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>
      <c r="A500" s="11"/>
      <c r="B500" s="11"/>
      <c r="D500" s="11"/>
      <c r="E500" s="11"/>
      <c r="G500" s="11"/>
      <c r="I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>
      <c r="A501" s="11"/>
      <c r="B501" s="11"/>
      <c r="D501" s="11"/>
      <c r="E501" s="11"/>
      <c r="G501" s="11"/>
      <c r="I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>
      <c r="A502" s="11"/>
      <c r="B502" s="11"/>
      <c r="D502" s="11"/>
      <c r="E502" s="11"/>
      <c r="G502" s="11"/>
      <c r="I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>
      <c r="A503" s="11"/>
      <c r="B503" s="11"/>
      <c r="D503" s="11"/>
      <c r="E503" s="11"/>
      <c r="G503" s="11"/>
      <c r="I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>
      <c r="A504" s="11"/>
      <c r="B504" s="11"/>
      <c r="D504" s="11"/>
      <c r="E504" s="11"/>
      <c r="G504" s="11"/>
      <c r="I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>
      <c r="A505" s="11"/>
      <c r="B505" s="11"/>
      <c r="D505" s="11"/>
      <c r="E505" s="11"/>
      <c r="G505" s="11"/>
      <c r="I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>
      <c r="A506" s="11"/>
      <c r="B506" s="11"/>
      <c r="D506" s="11"/>
      <c r="E506" s="11"/>
      <c r="G506" s="11"/>
      <c r="I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>
      <c r="A507" s="11"/>
      <c r="B507" s="11"/>
      <c r="D507" s="11"/>
      <c r="E507" s="11"/>
      <c r="G507" s="11"/>
      <c r="I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>
      <c r="A508" s="11"/>
      <c r="B508" s="11"/>
      <c r="D508" s="11"/>
      <c r="E508" s="11"/>
      <c r="G508" s="11"/>
      <c r="I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>
      <c r="A509" s="11"/>
      <c r="B509" s="11"/>
      <c r="D509" s="11"/>
      <c r="E509" s="11"/>
      <c r="G509" s="11"/>
      <c r="I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>
      <c r="A510" s="11"/>
      <c r="B510" s="11"/>
      <c r="D510" s="11"/>
      <c r="E510" s="11"/>
      <c r="G510" s="11"/>
      <c r="I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>
      <c r="A511" s="11"/>
      <c r="B511" s="11"/>
      <c r="D511" s="11"/>
      <c r="E511" s="11"/>
      <c r="G511" s="11"/>
      <c r="I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>
      <c r="A512" s="11"/>
      <c r="B512" s="11"/>
      <c r="D512" s="11"/>
      <c r="E512" s="11"/>
      <c r="G512" s="11"/>
      <c r="I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>
      <c r="A513" s="11"/>
      <c r="B513" s="11"/>
      <c r="D513" s="11"/>
      <c r="E513" s="11"/>
      <c r="G513" s="11"/>
      <c r="I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>
      <c r="A514" s="11"/>
      <c r="B514" s="11"/>
      <c r="D514" s="11"/>
      <c r="E514" s="11"/>
      <c r="G514" s="11"/>
      <c r="I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>
      <c r="A515" s="11"/>
      <c r="B515" s="11"/>
      <c r="D515" s="11"/>
      <c r="E515" s="11"/>
      <c r="G515" s="11"/>
      <c r="I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>
      <c r="A516" s="11"/>
      <c r="B516" s="11"/>
      <c r="D516" s="11"/>
      <c r="E516" s="11"/>
      <c r="G516" s="11"/>
      <c r="I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>
      <c r="A517" s="11"/>
      <c r="B517" s="11"/>
      <c r="D517" s="11"/>
      <c r="E517" s="11"/>
      <c r="G517" s="11"/>
      <c r="I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>
      <c r="A518" s="11"/>
      <c r="B518" s="11"/>
      <c r="D518" s="11"/>
      <c r="E518" s="11"/>
      <c r="G518" s="11"/>
      <c r="I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>
      <c r="A519" s="11"/>
      <c r="B519" s="11"/>
      <c r="D519" s="11"/>
      <c r="E519" s="11"/>
      <c r="G519" s="11"/>
      <c r="I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>
      <c r="A520" s="11"/>
      <c r="B520" s="11"/>
      <c r="D520" s="11"/>
      <c r="E520" s="11"/>
      <c r="G520" s="11"/>
      <c r="I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>
      <c r="A521" s="11"/>
      <c r="B521" s="11"/>
      <c r="D521" s="11"/>
      <c r="E521" s="11"/>
      <c r="G521" s="11"/>
      <c r="I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>
      <c r="A522" s="11"/>
      <c r="B522" s="11"/>
      <c r="D522" s="11"/>
      <c r="E522" s="11"/>
      <c r="G522" s="11"/>
      <c r="I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>
      <c r="A523" s="11"/>
      <c r="B523" s="11"/>
      <c r="D523" s="11"/>
      <c r="E523" s="11"/>
      <c r="G523" s="11"/>
      <c r="I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>
      <c r="A524" s="11"/>
      <c r="B524" s="11"/>
      <c r="D524" s="11"/>
      <c r="E524" s="11"/>
      <c r="G524" s="11"/>
      <c r="I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>
      <c r="A525" s="11"/>
      <c r="B525" s="11"/>
      <c r="D525" s="11"/>
      <c r="E525" s="11"/>
      <c r="G525" s="11"/>
      <c r="I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>
      <c r="A526" s="11"/>
      <c r="B526" s="11"/>
      <c r="D526" s="11"/>
      <c r="E526" s="11"/>
      <c r="G526" s="11"/>
      <c r="I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>
      <c r="A527" s="11"/>
      <c r="B527" s="11"/>
      <c r="D527" s="11"/>
      <c r="E527" s="11"/>
      <c r="G527" s="11"/>
      <c r="I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>
      <c r="A528" s="11"/>
      <c r="B528" s="11"/>
      <c r="D528" s="11"/>
      <c r="E528" s="11"/>
      <c r="G528" s="11"/>
      <c r="I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>
      <c r="A529" s="11"/>
      <c r="B529" s="11"/>
      <c r="D529" s="11"/>
      <c r="E529" s="11"/>
      <c r="G529" s="11"/>
      <c r="I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>
      <c r="A530" s="11"/>
      <c r="B530" s="11"/>
      <c r="D530" s="11"/>
      <c r="E530" s="11"/>
      <c r="G530" s="11"/>
      <c r="I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>
      <c r="A531" s="11"/>
      <c r="B531" s="11"/>
      <c r="D531" s="11"/>
      <c r="E531" s="11"/>
      <c r="G531" s="11"/>
      <c r="I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>
      <c r="A532" s="11"/>
      <c r="B532" s="11"/>
      <c r="D532" s="11"/>
      <c r="E532" s="11"/>
      <c r="G532" s="11"/>
      <c r="I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>
      <c r="A533" s="11"/>
      <c r="B533" s="11"/>
      <c r="D533" s="11"/>
      <c r="E533" s="11"/>
      <c r="G533" s="11"/>
      <c r="I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>
      <c r="A534" s="11"/>
      <c r="B534" s="11"/>
      <c r="D534" s="11"/>
      <c r="E534" s="11"/>
      <c r="G534" s="11"/>
      <c r="I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>
      <c r="A535" s="11"/>
      <c r="B535" s="11"/>
      <c r="D535" s="11"/>
      <c r="E535" s="11"/>
      <c r="G535" s="11"/>
      <c r="I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>
      <c r="A536" s="11"/>
      <c r="B536" s="11"/>
      <c r="D536" s="11"/>
      <c r="E536" s="11"/>
      <c r="G536" s="11"/>
      <c r="I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>
      <c r="A537" s="11"/>
      <c r="B537" s="11"/>
      <c r="D537" s="11"/>
      <c r="E537" s="11"/>
      <c r="G537" s="11"/>
      <c r="I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>
      <c r="A538" s="11"/>
      <c r="B538" s="11"/>
      <c r="D538" s="11"/>
      <c r="E538" s="11"/>
      <c r="G538" s="11"/>
      <c r="I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>
      <c r="A539" s="11"/>
      <c r="B539" s="11"/>
      <c r="D539" s="11"/>
      <c r="E539" s="11"/>
      <c r="G539" s="11"/>
      <c r="I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>
      <c r="A540" s="11"/>
      <c r="B540" s="11"/>
      <c r="D540" s="11"/>
      <c r="E540" s="11"/>
      <c r="G540" s="11"/>
      <c r="I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>
      <c r="A541" s="11"/>
      <c r="B541" s="11"/>
      <c r="D541" s="11"/>
      <c r="E541" s="11"/>
      <c r="G541" s="11"/>
      <c r="I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>
      <c r="A542" s="11"/>
      <c r="B542" s="11"/>
      <c r="D542" s="11"/>
      <c r="E542" s="11"/>
      <c r="G542" s="11"/>
      <c r="I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>
      <c r="A543" s="11"/>
      <c r="B543" s="11"/>
      <c r="D543" s="11"/>
      <c r="E543" s="11"/>
      <c r="G543" s="11"/>
      <c r="I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>
      <c r="A544" s="11"/>
      <c r="B544" s="11"/>
      <c r="D544" s="11"/>
      <c r="E544" s="11"/>
      <c r="G544" s="11"/>
      <c r="I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>
      <c r="A545" s="11"/>
      <c r="B545" s="11"/>
      <c r="D545" s="11"/>
      <c r="E545" s="11"/>
      <c r="G545" s="11"/>
      <c r="I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>
      <c r="A546" s="11"/>
      <c r="B546" s="11"/>
      <c r="D546" s="11"/>
      <c r="E546" s="11"/>
      <c r="G546" s="11"/>
      <c r="I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>
      <c r="A547" s="11"/>
      <c r="B547" s="11"/>
      <c r="D547" s="11"/>
      <c r="E547" s="11"/>
      <c r="G547" s="11"/>
      <c r="I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>
      <c r="A548" s="11"/>
      <c r="B548" s="11"/>
      <c r="D548" s="11"/>
      <c r="E548" s="11"/>
      <c r="G548" s="11"/>
      <c r="I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>
      <c r="A549" s="11"/>
      <c r="B549" s="11"/>
      <c r="D549" s="11"/>
      <c r="E549" s="11"/>
      <c r="G549" s="11"/>
      <c r="I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>
      <c r="A550" s="11"/>
      <c r="B550" s="11"/>
      <c r="D550" s="11"/>
      <c r="E550" s="11"/>
      <c r="G550" s="11"/>
      <c r="I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>
      <c r="A551" s="11"/>
      <c r="B551" s="11"/>
      <c r="D551" s="11"/>
      <c r="E551" s="11"/>
      <c r="G551" s="11"/>
      <c r="I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>
      <c r="A552" s="11"/>
      <c r="B552" s="11"/>
      <c r="D552" s="11"/>
      <c r="E552" s="11"/>
      <c r="G552" s="11"/>
      <c r="I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>
      <c r="A553" s="11"/>
      <c r="B553" s="11"/>
      <c r="D553" s="11"/>
      <c r="E553" s="11"/>
      <c r="G553" s="11"/>
      <c r="I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>
      <c r="A554" s="11"/>
      <c r="B554" s="11"/>
      <c r="D554" s="11"/>
      <c r="E554" s="11"/>
      <c r="G554" s="11"/>
      <c r="I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>
      <c r="A555" s="11"/>
      <c r="B555" s="11"/>
      <c r="D555" s="11"/>
      <c r="E555" s="11"/>
      <c r="G555" s="11"/>
      <c r="I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>
      <c r="A556" s="11"/>
      <c r="B556" s="11"/>
      <c r="D556" s="11"/>
      <c r="E556" s="11"/>
      <c r="G556" s="11"/>
      <c r="I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>
      <c r="A557" s="11"/>
      <c r="B557" s="11"/>
      <c r="D557" s="11"/>
      <c r="E557" s="11"/>
      <c r="G557" s="11"/>
      <c r="I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>
      <c r="A558" s="11"/>
      <c r="B558" s="11"/>
      <c r="D558" s="11"/>
      <c r="E558" s="11"/>
      <c r="G558" s="11"/>
      <c r="I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>
      <c r="A559" s="11"/>
      <c r="B559" s="11"/>
      <c r="D559" s="11"/>
      <c r="E559" s="11"/>
      <c r="G559" s="11"/>
      <c r="I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>
      <c r="A560" s="11"/>
      <c r="B560" s="11"/>
      <c r="D560" s="11"/>
      <c r="E560" s="11"/>
      <c r="G560" s="11"/>
      <c r="I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>
      <c r="A561" s="11"/>
      <c r="B561" s="11"/>
      <c r="D561" s="11"/>
      <c r="E561" s="11"/>
      <c r="G561" s="11"/>
      <c r="I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>
      <c r="A562" s="11"/>
      <c r="B562" s="11"/>
      <c r="D562" s="11"/>
      <c r="E562" s="11"/>
      <c r="G562" s="11"/>
      <c r="I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>
      <c r="A563" s="11"/>
      <c r="B563" s="11"/>
      <c r="D563" s="11"/>
      <c r="E563" s="11"/>
      <c r="G563" s="11"/>
      <c r="I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>
      <c r="A564" s="11"/>
      <c r="B564" s="11"/>
      <c r="D564" s="11"/>
      <c r="E564" s="11"/>
      <c r="G564" s="11"/>
      <c r="I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>
      <c r="A565" s="11"/>
      <c r="B565" s="11"/>
      <c r="D565" s="11"/>
      <c r="E565" s="11"/>
      <c r="G565" s="11"/>
      <c r="I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>
      <c r="A566" s="11"/>
      <c r="B566" s="11"/>
      <c r="D566" s="11"/>
      <c r="E566" s="11"/>
      <c r="G566" s="11"/>
      <c r="I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>
      <c r="A567" s="11"/>
      <c r="B567" s="11"/>
      <c r="D567" s="11"/>
      <c r="E567" s="11"/>
      <c r="G567" s="11"/>
      <c r="I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>
      <c r="A568" s="11"/>
      <c r="B568" s="11"/>
      <c r="D568" s="11"/>
      <c r="E568" s="11"/>
      <c r="G568" s="11"/>
      <c r="I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>
      <c r="A569" s="11"/>
      <c r="B569" s="11"/>
      <c r="D569" s="11"/>
      <c r="E569" s="11"/>
      <c r="G569" s="11"/>
      <c r="I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>
      <c r="A570" s="11"/>
      <c r="B570" s="11"/>
      <c r="D570" s="11"/>
      <c r="E570" s="11"/>
      <c r="G570" s="11"/>
      <c r="I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>
      <c r="A571" s="11"/>
      <c r="B571" s="11"/>
      <c r="D571" s="11"/>
      <c r="E571" s="11"/>
      <c r="G571" s="11"/>
      <c r="I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>
      <c r="A572" s="11"/>
      <c r="B572" s="11"/>
      <c r="D572" s="11"/>
      <c r="E572" s="11"/>
      <c r="G572" s="11"/>
      <c r="I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>
      <c r="A573" s="11"/>
      <c r="B573" s="11"/>
      <c r="D573" s="11"/>
      <c r="E573" s="11"/>
      <c r="G573" s="11"/>
      <c r="I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>
      <c r="A574" s="11"/>
      <c r="B574" s="11"/>
      <c r="D574" s="11"/>
      <c r="E574" s="11"/>
      <c r="G574" s="11"/>
      <c r="I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>
      <c r="A575" s="11"/>
      <c r="B575" s="11"/>
      <c r="D575" s="11"/>
      <c r="E575" s="11"/>
      <c r="G575" s="11"/>
      <c r="I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>
      <c r="A576" s="11"/>
      <c r="B576" s="11"/>
      <c r="D576" s="11"/>
      <c r="E576" s="11"/>
      <c r="G576" s="11"/>
      <c r="I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>
      <c r="A577" s="11"/>
      <c r="B577" s="11"/>
      <c r="D577" s="11"/>
      <c r="E577" s="11"/>
      <c r="G577" s="11"/>
      <c r="I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>
      <c r="A578" s="11"/>
      <c r="B578" s="11"/>
      <c r="D578" s="11"/>
      <c r="E578" s="11"/>
      <c r="G578" s="11"/>
      <c r="I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>
      <c r="A579" s="11"/>
      <c r="B579" s="11"/>
      <c r="D579" s="11"/>
      <c r="E579" s="11"/>
      <c r="G579" s="11"/>
      <c r="I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>
      <c r="A580" s="11"/>
      <c r="B580" s="11"/>
      <c r="D580" s="11"/>
      <c r="E580" s="11"/>
      <c r="G580" s="11"/>
      <c r="I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>
      <c r="A581" s="11"/>
      <c r="B581" s="11"/>
      <c r="D581" s="11"/>
      <c r="E581" s="11"/>
      <c r="G581" s="11"/>
      <c r="I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>
      <c r="A582" s="11"/>
      <c r="B582" s="11"/>
      <c r="D582" s="11"/>
      <c r="E582" s="11"/>
      <c r="G582" s="11"/>
      <c r="I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>
      <c r="A583" s="11"/>
      <c r="B583" s="11"/>
      <c r="D583" s="11"/>
      <c r="E583" s="11"/>
      <c r="G583" s="11"/>
      <c r="I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>
      <c r="A584" s="11"/>
      <c r="B584" s="11"/>
      <c r="D584" s="11"/>
      <c r="E584" s="11"/>
      <c r="G584" s="11"/>
      <c r="I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>
      <c r="A585" s="11"/>
      <c r="B585" s="11"/>
      <c r="D585" s="11"/>
      <c r="E585" s="11"/>
      <c r="G585" s="11"/>
      <c r="I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>
      <c r="A586" s="11"/>
      <c r="B586" s="11"/>
      <c r="D586" s="11"/>
      <c r="E586" s="11"/>
      <c r="G586" s="11"/>
      <c r="I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>
      <c r="A587" s="11"/>
      <c r="B587" s="11"/>
      <c r="D587" s="11"/>
      <c r="E587" s="11"/>
      <c r="G587" s="11"/>
      <c r="I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>
      <c r="A588" s="11"/>
      <c r="B588" s="11"/>
      <c r="D588" s="11"/>
      <c r="E588" s="11"/>
      <c r="G588" s="11"/>
      <c r="I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>
      <c r="A589" s="11"/>
      <c r="B589" s="11"/>
      <c r="D589" s="11"/>
      <c r="E589" s="11"/>
      <c r="G589" s="11"/>
      <c r="I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>
      <c r="A590" s="11"/>
      <c r="B590" s="11"/>
      <c r="D590" s="11"/>
      <c r="E590" s="11"/>
      <c r="G590" s="11"/>
      <c r="I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>
      <c r="A591" s="11"/>
      <c r="B591" s="11"/>
      <c r="D591" s="11"/>
      <c r="E591" s="11"/>
      <c r="G591" s="11"/>
      <c r="I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>
      <c r="A592" s="11"/>
      <c r="B592" s="11"/>
      <c r="D592" s="11"/>
      <c r="E592" s="11"/>
      <c r="G592" s="11"/>
      <c r="I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>
      <c r="A593" s="11"/>
      <c r="B593" s="11"/>
      <c r="D593" s="11"/>
      <c r="E593" s="11"/>
      <c r="G593" s="11"/>
      <c r="I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>
      <c r="A594" s="11"/>
      <c r="B594" s="11"/>
      <c r="D594" s="11"/>
      <c r="E594" s="11"/>
      <c r="G594" s="11"/>
      <c r="I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>
      <c r="A595" s="11"/>
      <c r="B595" s="11"/>
      <c r="D595" s="11"/>
      <c r="E595" s="11"/>
      <c r="G595" s="11"/>
      <c r="I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>
      <c r="A596" s="11"/>
      <c r="B596" s="11"/>
      <c r="D596" s="11"/>
      <c r="E596" s="11"/>
      <c r="G596" s="11"/>
      <c r="I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>
      <c r="A597" s="11"/>
      <c r="B597" s="11"/>
      <c r="D597" s="11"/>
      <c r="E597" s="11"/>
      <c r="G597" s="11"/>
      <c r="I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>
      <c r="A598" s="11"/>
      <c r="B598" s="11"/>
      <c r="D598" s="11"/>
      <c r="E598" s="11"/>
      <c r="G598" s="11"/>
      <c r="I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>
      <c r="A599" s="11"/>
      <c r="B599" s="11"/>
      <c r="D599" s="11"/>
      <c r="E599" s="11"/>
      <c r="G599" s="11"/>
      <c r="I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>
      <c r="A600" s="11"/>
      <c r="B600" s="11"/>
      <c r="D600" s="11"/>
      <c r="E600" s="11"/>
      <c r="G600" s="11"/>
      <c r="I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>
      <c r="A601" s="11"/>
      <c r="B601" s="11"/>
      <c r="D601" s="11"/>
      <c r="E601" s="11"/>
      <c r="G601" s="11"/>
      <c r="I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>
      <c r="A602" s="11"/>
      <c r="B602" s="11"/>
      <c r="D602" s="11"/>
      <c r="E602" s="11"/>
      <c r="G602" s="11"/>
      <c r="I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>
      <c r="A603" s="11"/>
      <c r="B603" s="11"/>
      <c r="D603" s="11"/>
      <c r="E603" s="11"/>
      <c r="G603" s="11"/>
      <c r="I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>
      <c r="A604" s="11"/>
      <c r="B604" s="11"/>
      <c r="D604" s="11"/>
      <c r="E604" s="11"/>
      <c r="G604" s="11"/>
      <c r="I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>
      <c r="A605" s="11"/>
      <c r="B605" s="11"/>
      <c r="D605" s="11"/>
      <c r="E605" s="11"/>
      <c r="G605" s="11"/>
      <c r="I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>
      <c r="A606" s="11"/>
      <c r="B606" s="11"/>
      <c r="D606" s="11"/>
      <c r="E606" s="11"/>
      <c r="G606" s="11"/>
      <c r="I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>
      <c r="A607" s="11"/>
      <c r="B607" s="11"/>
      <c r="D607" s="11"/>
      <c r="E607" s="11"/>
      <c r="G607" s="11"/>
      <c r="I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>
      <c r="A608" s="11"/>
      <c r="B608" s="11"/>
      <c r="D608" s="11"/>
      <c r="E608" s="11"/>
      <c r="G608" s="11"/>
      <c r="I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>
      <c r="A609" s="11"/>
      <c r="B609" s="11"/>
      <c r="D609" s="11"/>
      <c r="E609" s="11"/>
      <c r="G609" s="11"/>
      <c r="I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>
      <c r="A610" s="11"/>
      <c r="B610" s="11"/>
      <c r="D610" s="11"/>
      <c r="E610" s="11"/>
      <c r="G610" s="11"/>
      <c r="I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>
      <c r="A611" s="11"/>
      <c r="B611" s="11"/>
      <c r="D611" s="11"/>
      <c r="E611" s="11"/>
      <c r="G611" s="11"/>
      <c r="I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>
      <c r="A612" s="11"/>
      <c r="B612" s="11"/>
      <c r="D612" s="11"/>
      <c r="E612" s="11"/>
      <c r="G612" s="11"/>
      <c r="I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>
      <c r="A613" s="11"/>
      <c r="B613" s="11"/>
      <c r="D613" s="11"/>
      <c r="E613" s="11"/>
      <c r="G613" s="11"/>
      <c r="I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>
      <c r="A614" s="11"/>
      <c r="B614" s="11"/>
      <c r="D614" s="11"/>
      <c r="E614" s="11"/>
      <c r="G614" s="11"/>
      <c r="I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>
      <c r="A615" s="11"/>
      <c r="B615" s="11"/>
      <c r="D615" s="11"/>
      <c r="E615" s="11"/>
      <c r="G615" s="11"/>
      <c r="I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>
      <c r="A616" s="11"/>
      <c r="B616" s="11"/>
      <c r="D616" s="11"/>
      <c r="E616" s="11"/>
      <c r="G616" s="11"/>
      <c r="I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>
      <c r="A617" s="11"/>
      <c r="B617" s="11"/>
      <c r="D617" s="11"/>
      <c r="E617" s="11"/>
      <c r="G617" s="11"/>
      <c r="I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>
      <c r="A618" s="11"/>
      <c r="B618" s="11"/>
      <c r="D618" s="11"/>
      <c r="E618" s="11"/>
      <c r="G618" s="11"/>
      <c r="I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>
      <c r="A619" s="11"/>
      <c r="B619" s="11"/>
      <c r="D619" s="11"/>
      <c r="E619" s="11"/>
      <c r="G619" s="11"/>
      <c r="I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>
      <c r="A620" s="11"/>
      <c r="B620" s="11"/>
      <c r="D620" s="11"/>
      <c r="E620" s="11"/>
      <c r="G620" s="11"/>
      <c r="I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>
      <c r="A621" s="11"/>
      <c r="B621" s="11"/>
      <c r="D621" s="11"/>
      <c r="E621" s="11"/>
      <c r="G621" s="11"/>
      <c r="I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>
      <c r="A622" s="11"/>
      <c r="B622" s="11"/>
      <c r="D622" s="11"/>
      <c r="E622" s="11"/>
      <c r="G622" s="11"/>
      <c r="I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>
      <c r="A623" s="11"/>
      <c r="B623" s="11"/>
      <c r="D623" s="11"/>
      <c r="E623" s="11"/>
      <c r="G623" s="11"/>
      <c r="I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>
      <c r="A624" s="11"/>
      <c r="B624" s="11"/>
      <c r="D624" s="11"/>
      <c r="E624" s="11"/>
      <c r="G624" s="11"/>
      <c r="I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>
      <c r="A625" s="11"/>
      <c r="B625" s="11"/>
      <c r="D625" s="11"/>
      <c r="E625" s="11"/>
      <c r="G625" s="11"/>
      <c r="I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>
      <c r="A626" s="11"/>
      <c r="B626" s="11"/>
      <c r="D626" s="11"/>
      <c r="E626" s="11"/>
      <c r="G626" s="11"/>
      <c r="I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>
      <c r="A627" s="11"/>
      <c r="B627" s="11"/>
      <c r="D627" s="11"/>
      <c r="E627" s="11"/>
      <c r="G627" s="11"/>
      <c r="I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>
      <c r="A628" s="11"/>
      <c r="B628" s="11"/>
      <c r="D628" s="11"/>
      <c r="E628" s="11"/>
      <c r="G628" s="11"/>
      <c r="I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>
      <c r="A629" s="11"/>
      <c r="B629" s="11"/>
      <c r="D629" s="11"/>
      <c r="E629" s="11"/>
      <c r="G629" s="11"/>
      <c r="I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>
      <c r="A630" s="11"/>
      <c r="B630" s="11"/>
      <c r="D630" s="11"/>
      <c r="E630" s="11"/>
      <c r="G630" s="11"/>
      <c r="I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>
      <c r="A631" s="11"/>
      <c r="B631" s="11"/>
      <c r="D631" s="11"/>
      <c r="E631" s="11"/>
      <c r="G631" s="11"/>
      <c r="I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>
      <c r="A632" s="11"/>
      <c r="B632" s="11"/>
      <c r="D632" s="11"/>
      <c r="E632" s="11"/>
      <c r="G632" s="11"/>
      <c r="I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>
      <c r="A633" s="11"/>
      <c r="B633" s="11"/>
      <c r="D633" s="11"/>
      <c r="E633" s="11"/>
      <c r="G633" s="11"/>
      <c r="I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>
      <c r="A634" s="11"/>
      <c r="B634" s="11"/>
      <c r="D634" s="11"/>
      <c r="E634" s="11"/>
      <c r="G634" s="11"/>
      <c r="I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>
      <c r="A635" s="11"/>
      <c r="B635" s="11"/>
      <c r="D635" s="11"/>
      <c r="E635" s="11"/>
      <c r="G635" s="11"/>
      <c r="I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>
      <c r="A636" s="11"/>
      <c r="B636" s="11"/>
      <c r="D636" s="11"/>
      <c r="E636" s="11"/>
      <c r="G636" s="11"/>
      <c r="I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>
      <c r="A637" s="11"/>
      <c r="B637" s="11"/>
      <c r="D637" s="11"/>
      <c r="E637" s="11"/>
      <c r="G637" s="11"/>
      <c r="I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>
      <c r="A638" s="11"/>
      <c r="B638" s="11"/>
      <c r="D638" s="11"/>
      <c r="E638" s="11"/>
      <c r="G638" s="11"/>
      <c r="I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>
      <c r="A639" s="11"/>
      <c r="B639" s="11"/>
      <c r="D639" s="11"/>
      <c r="E639" s="11"/>
      <c r="G639" s="11"/>
      <c r="I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>
      <c r="A640" s="11"/>
      <c r="B640" s="11"/>
      <c r="D640" s="11"/>
      <c r="E640" s="11"/>
      <c r="G640" s="11"/>
      <c r="I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>
      <c r="A641" s="11"/>
      <c r="B641" s="11"/>
      <c r="D641" s="11"/>
      <c r="E641" s="11"/>
      <c r="G641" s="11"/>
      <c r="I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>
      <c r="A642" s="11"/>
      <c r="B642" s="11"/>
      <c r="D642" s="11"/>
      <c r="E642" s="11"/>
      <c r="G642" s="11"/>
      <c r="I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>
      <c r="A643" s="11"/>
      <c r="B643" s="11"/>
      <c r="D643" s="11"/>
      <c r="E643" s="11"/>
      <c r="G643" s="11"/>
      <c r="I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>
      <c r="A644" s="11"/>
      <c r="B644" s="11"/>
      <c r="D644" s="11"/>
      <c r="E644" s="11"/>
      <c r="G644" s="11"/>
      <c r="I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>
      <c r="A645" s="11"/>
      <c r="B645" s="11"/>
      <c r="D645" s="11"/>
      <c r="E645" s="11"/>
      <c r="G645" s="11"/>
      <c r="I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>
      <c r="A646" s="11"/>
      <c r="B646" s="11"/>
      <c r="D646" s="11"/>
      <c r="E646" s="11"/>
      <c r="G646" s="11"/>
      <c r="I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>
      <c r="A647" s="11"/>
      <c r="B647" s="11"/>
      <c r="D647" s="11"/>
      <c r="E647" s="11"/>
      <c r="G647" s="11"/>
      <c r="I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>
      <c r="A648" s="11"/>
      <c r="B648" s="11"/>
      <c r="D648" s="11"/>
      <c r="E648" s="11"/>
      <c r="G648" s="11"/>
      <c r="I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>
      <c r="A649" s="11"/>
      <c r="B649" s="11"/>
      <c r="D649" s="11"/>
      <c r="E649" s="11"/>
      <c r="G649" s="11"/>
      <c r="I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>
      <c r="A650" s="11"/>
      <c r="B650" s="11"/>
      <c r="D650" s="11"/>
      <c r="E650" s="11"/>
      <c r="G650" s="11"/>
      <c r="I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>
      <c r="A651" s="11"/>
      <c r="B651" s="11"/>
      <c r="D651" s="11"/>
      <c r="E651" s="11"/>
      <c r="G651" s="11"/>
      <c r="I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>
      <c r="A652" s="11"/>
      <c r="B652" s="11"/>
      <c r="D652" s="11"/>
      <c r="E652" s="11"/>
      <c r="G652" s="11"/>
      <c r="I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>
      <c r="A653" s="11"/>
      <c r="B653" s="11"/>
      <c r="D653" s="11"/>
      <c r="E653" s="11"/>
      <c r="G653" s="11"/>
      <c r="I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>
      <c r="A654" s="11"/>
      <c r="B654" s="11"/>
      <c r="D654" s="11"/>
      <c r="E654" s="11"/>
      <c r="G654" s="11"/>
      <c r="I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>
      <c r="A655" s="11"/>
      <c r="B655" s="11"/>
      <c r="D655" s="11"/>
      <c r="E655" s="11"/>
      <c r="G655" s="11"/>
      <c r="I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>
      <c r="A656" s="11"/>
      <c r="B656" s="11"/>
      <c r="D656" s="11"/>
      <c r="E656" s="11"/>
      <c r="G656" s="11"/>
      <c r="I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>
      <c r="A657" s="11"/>
      <c r="B657" s="11"/>
      <c r="D657" s="11"/>
      <c r="E657" s="11"/>
      <c r="G657" s="11"/>
      <c r="I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>
      <c r="A658" s="11"/>
      <c r="B658" s="11"/>
      <c r="D658" s="11"/>
      <c r="E658" s="11"/>
      <c r="G658" s="11"/>
      <c r="I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>
      <c r="A659" s="11"/>
      <c r="B659" s="11"/>
      <c r="D659" s="11"/>
      <c r="E659" s="11"/>
      <c r="G659" s="11"/>
      <c r="I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>
      <c r="A660" s="11"/>
      <c r="B660" s="11"/>
      <c r="D660" s="11"/>
      <c r="E660" s="11"/>
      <c r="G660" s="11"/>
      <c r="I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>
      <c r="A661" s="11"/>
      <c r="B661" s="11"/>
      <c r="D661" s="11"/>
      <c r="E661" s="11"/>
      <c r="G661" s="11"/>
      <c r="I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>
      <c r="A662" s="11"/>
      <c r="B662" s="11"/>
      <c r="D662" s="11"/>
      <c r="E662" s="11"/>
      <c r="G662" s="11"/>
      <c r="I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>
      <c r="A663" s="11"/>
      <c r="B663" s="11"/>
      <c r="D663" s="11"/>
      <c r="E663" s="11"/>
      <c r="G663" s="11"/>
      <c r="I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>
      <c r="A664" s="11"/>
      <c r="B664" s="11"/>
      <c r="D664" s="11"/>
      <c r="E664" s="11"/>
      <c r="G664" s="11"/>
      <c r="I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>
      <c r="A665" s="11"/>
      <c r="B665" s="11"/>
      <c r="D665" s="11"/>
      <c r="E665" s="11"/>
      <c r="G665" s="11"/>
      <c r="I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>
      <c r="A666" s="11"/>
      <c r="B666" s="11"/>
      <c r="D666" s="11"/>
      <c r="E666" s="11"/>
      <c r="G666" s="11"/>
      <c r="I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>
      <c r="A667" s="11"/>
      <c r="B667" s="11"/>
      <c r="D667" s="11"/>
      <c r="E667" s="11"/>
      <c r="G667" s="11"/>
      <c r="I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>
      <c r="A668" s="11"/>
      <c r="B668" s="11"/>
      <c r="D668" s="11"/>
      <c r="E668" s="11"/>
      <c r="G668" s="11"/>
      <c r="I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>
      <c r="A669" s="11"/>
      <c r="B669" s="11"/>
      <c r="D669" s="11"/>
      <c r="E669" s="11"/>
      <c r="G669" s="11"/>
      <c r="I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>
      <c r="A670" s="11"/>
      <c r="B670" s="11"/>
      <c r="D670" s="11"/>
      <c r="E670" s="11"/>
      <c r="G670" s="11"/>
      <c r="I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>
      <c r="A671" s="11"/>
      <c r="B671" s="11"/>
      <c r="D671" s="11"/>
      <c r="E671" s="11"/>
      <c r="G671" s="11"/>
      <c r="I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>
      <c r="A672" s="11"/>
      <c r="B672" s="11"/>
      <c r="D672" s="11"/>
      <c r="E672" s="11"/>
      <c r="G672" s="11"/>
      <c r="I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>
      <c r="A673" s="11"/>
      <c r="B673" s="11"/>
      <c r="D673" s="11"/>
      <c r="E673" s="11"/>
      <c r="G673" s="11"/>
      <c r="I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>
      <c r="A674" s="11"/>
      <c r="B674" s="11"/>
      <c r="D674" s="11"/>
      <c r="E674" s="11"/>
      <c r="G674" s="11"/>
      <c r="I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>
      <c r="A675" s="11"/>
      <c r="B675" s="11"/>
      <c r="D675" s="11"/>
      <c r="E675" s="11"/>
      <c r="G675" s="11"/>
      <c r="I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>
      <c r="A676" s="11"/>
      <c r="B676" s="11"/>
      <c r="D676" s="11"/>
      <c r="E676" s="11"/>
      <c r="G676" s="11"/>
      <c r="I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>
      <c r="A677" s="11"/>
      <c r="B677" s="11"/>
      <c r="D677" s="11"/>
      <c r="E677" s="11"/>
      <c r="G677" s="11"/>
      <c r="I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>
      <c r="A678" s="11"/>
      <c r="B678" s="11"/>
      <c r="D678" s="11"/>
      <c r="E678" s="11"/>
      <c r="G678" s="11"/>
      <c r="I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>
      <c r="A679" s="11"/>
      <c r="B679" s="11"/>
      <c r="D679" s="11"/>
      <c r="E679" s="11"/>
      <c r="G679" s="11"/>
      <c r="I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>
      <c r="A680" s="11"/>
      <c r="B680" s="11"/>
      <c r="D680" s="11"/>
      <c r="E680" s="11"/>
      <c r="G680" s="11"/>
      <c r="I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>
      <c r="A681" s="11"/>
      <c r="B681" s="11"/>
      <c r="D681" s="11"/>
      <c r="E681" s="11"/>
      <c r="G681" s="11"/>
      <c r="I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>
      <c r="A682" s="11"/>
      <c r="B682" s="11"/>
      <c r="D682" s="11"/>
      <c r="E682" s="11"/>
      <c r="G682" s="11"/>
      <c r="I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>
      <c r="A683" s="11"/>
      <c r="B683" s="11"/>
      <c r="D683" s="11"/>
      <c r="E683" s="11"/>
      <c r="G683" s="11"/>
      <c r="I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>
      <c r="A684" s="11"/>
      <c r="B684" s="11"/>
      <c r="D684" s="11"/>
      <c r="E684" s="11"/>
      <c r="G684" s="11"/>
      <c r="I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>
      <c r="A685" s="11"/>
      <c r="B685" s="11"/>
      <c r="D685" s="11"/>
      <c r="E685" s="11"/>
      <c r="G685" s="11"/>
      <c r="I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>
      <c r="A686" s="11"/>
      <c r="B686" s="11"/>
      <c r="D686" s="11"/>
      <c r="E686" s="11"/>
      <c r="G686" s="11"/>
      <c r="I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>
      <c r="A687" s="11"/>
      <c r="B687" s="11"/>
      <c r="D687" s="11"/>
      <c r="E687" s="11"/>
      <c r="G687" s="11"/>
      <c r="I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>
      <c r="A688" s="11"/>
      <c r="B688" s="11"/>
      <c r="D688" s="11"/>
      <c r="E688" s="11"/>
      <c r="G688" s="11"/>
      <c r="I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>
      <c r="A689" s="11"/>
      <c r="B689" s="11"/>
      <c r="D689" s="11"/>
      <c r="E689" s="11"/>
      <c r="G689" s="11"/>
      <c r="I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>
      <c r="A690" s="11"/>
      <c r="B690" s="11"/>
      <c r="D690" s="11"/>
      <c r="E690" s="11"/>
      <c r="G690" s="11"/>
      <c r="I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>
      <c r="A691" s="11"/>
      <c r="B691" s="11"/>
      <c r="D691" s="11"/>
      <c r="E691" s="11"/>
      <c r="G691" s="11"/>
      <c r="I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>
      <c r="A692" s="11"/>
      <c r="B692" s="11"/>
      <c r="D692" s="11"/>
      <c r="E692" s="11"/>
      <c r="G692" s="11"/>
      <c r="I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>
      <c r="A693" s="11"/>
      <c r="B693" s="11"/>
      <c r="D693" s="11"/>
      <c r="E693" s="11"/>
      <c r="G693" s="11"/>
      <c r="I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>
      <c r="A694" s="11"/>
      <c r="B694" s="11"/>
      <c r="D694" s="11"/>
      <c r="E694" s="11"/>
      <c r="G694" s="11"/>
      <c r="I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>
      <c r="A695" s="11"/>
      <c r="B695" s="11"/>
      <c r="D695" s="11"/>
      <c r="E695" s="11"/>
      <c r="G695" s="11"/>
      <c r="I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>
      <c r="A696" s="11"/>
      <c r="B696" s="11"/>
      <c r="D696" s="11"/>
      <c r="E696" s="11"/>
      <c r="G696" s="11"/>
      <c r="I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>
      <c r="A697" s="11"/>
      <c r="B697" s="11"/>
      <c r="D697" s="11"/>
      <c r="E697" s="11"/>
      <c r="G697" s="11"/>
      <c r="I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>
      <c r="A698" s="11"/>
      <c r="B698" s="11"/>
      <c r="D698" s="11"/>
      <c r="E698" s="11"/>
      <c r="G698" s="11"/>
      <c r="I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>
      <c r="A699" s="11"/>
      <c r="B699" s="11"/>
      <c r="D699" s="11"/>
      <c r="E699" s="11"/>
      <c r="G699" s="11"/>
      <c r="I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>
      <c r="A700" s="11"/>
      <c r="B700" s="11"/>
      <c r="D700" s="11"/>
      <c r="E700" s="11"/>
      <c r="G700" s="11"/>
      <c r="I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>
      <c r="A701" s="11"/>
      <c r="B701" s="11"/>
      <c r="D701" s="11"/>
      <c r="E701" s="11"/>
      <c r="G701" s="11"/>
      <c r="I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>
      <c r="A702" s="11"/>
      <c r="B702" s="11"/>
      <c r="D702" s="11"/>
      <c r="E702" s="11"/>
      <c r="G702" s="11"/>
      <c r="I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>
      <c r="A703" s="11"/>
      <c r="B703" s="11"/>
      <c r="D703" s="11"/>
      <c r="E703" s="11"/>
      <c r="G703" s="11"/>
      <c r="I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>
      <c r="A704" s="11"/>
      <c r="B704" s="11"/>
      <c r="D704" s="11"/>
      <c r="E704" s="11"/>
      <c r="G704" s="11"/>
      <c r="I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>
      <c r="A705" s="11"/>
      <c r="B705" s="11"/>
      <c r="D705" s="11"/>
      <c r="E705" s="11"/>
      <c r="G705" s="11"/>
      <c r="I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>
      <c r="A706" s="11"/>
      <c r="B706" s="11"/>
      <c r="D706" s="11"/>
      <c r="E706" s="11"/>
      <c r="G706" s="11"/>
      <c r="I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>
      <c r="A707" s="11"/>
      <c r="B707" s="11"/>
      <c r="D707" s="11"/>
      <c r="E707" s="11"/>
      <c r="G707" s="11"/>
      <c r="I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>
      <c r="A708" s="11"/>
      <c r="B708" s="11"/>
      <c r="D708" s="11"/>
      <c r="E708" s="11"/>
      <c r="G708" s="11"/>
      <c r="I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>
      <c r="A709" s="11"/>
      <c r="B709" s="11"/>
      <c r="D709" s="11"/>
      <c r="E709" s="11"/>
      <c r="G709" s="11"/>
      <c r="I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>
      <c r="A710" s="11"/>
      <c r="B710" s="11"/>
      <c r="D710" s="11"/>
      <c r="E710" s="11"/>
      <c r="G710" s="11"/>
      <c r="I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>
      <c r="A711" s="11"/>
      <c r="B711" s="11"/>
      <c r="D711" s="11"/>
      <c r="E711" s="11"/>
      <c r="G711" s="11"/>
      <c r="I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>
      <c r="A712" s="11"/>
      <c r="B712" s="11"/>
      <c r="D712" s="11"/>
      <c r="E712" s="11"/>
      <c r="G712" s="11"/>
      <c r="I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>
      <c r="A713" s="11"/>
      <c r="B713" s="11"/>
      <c r="D713" s="11"/>
      <c r="E713" s="11"/>
      <c r="G713" s="11"/>
      <c r="I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>
      <c r="A714" s="11"/>
      <c r="B714" s="11"/>
      <c r="D714" s="11"/>
      <c r="E714" s="11"/>
      <c r="G714" s="11"/>
      <c r="I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>
      <c r="A715" s="11"/>
      <c r="B715" s="11"/>
      <c r="D715" s="11"/>
      <c r="E715" s="11"/>
      <c r="G715" s="11"/>
      <c r="I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>
      <c r="A716" s="11"/>
      <c r="B716" s="11"/>
      <c r="D716" s="11"/>
      <c r="E716" s="11"/>
      <c r="G716" s="11"/>
      <c r="I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>
      <c r="A717" s="11"/>
      <c r="B717" s="11"/>
      <c r="D717" s="11"/>
      <c r="E717" s="11"/>
      <c r="G717" s="11"/>
      <c r="I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>
      <c r="A718" s="11"/>
      <c r="B718" s="11"/>
      <c r="D718" s="11"/>
      <c r="E718" s="11"/>
      <c r="G718" s="11"/>
      <c r="I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>
      <c r="A719" s="11"/>
      <c r="B719" s="11"/>
      <c r="D719" s="11"/>
      <c r="E719" s="11"/>
      <c r="G719" s="11"/>
      <c r="I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>
      <c r="A720" s="11"/>
      <c r="B720" s="11"/>
      <c r="D720" s="11"/>
      <c r="E720" s="11"/>
      <c r="G720" s="11"/>
      <c r="I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>
      <c r="A721" s="11"/>
      <c r="B721" s="11"/>
      <c r="D721" s="11"/>
      <c r="E721" s="11"/>
      <c r="G721" s="11"/>
      <c r="I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>
      <c r="A722" s="11"/>
      <c r="B722" s="11"/>
      <c r="D722" s="11"/>
      <c r="E722" s="11"/>
      <c r="G722" s="11"/>
      <c r="I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>
      <c r="A723" s="11"/>
      <c r="B723" s="11"/>
      <c r="D723" s="11"/>
      <c r="E723" s="11"/>
      <c r="G723" s="11"/>
      <c r="I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>
      <c r="A724" s="11"/>
      <c r="B724" s="11"/>
      <c r="D724" s="11"/>
      <c r="E724" s="11"/>
      <c r="G724" s="11"/>
      <c r="I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>
      <c r="A725" s="11"/>
      <c r="B725" s="11"/>
      <c r="D725" s="11"/>
      <c r="E725" s="11"/>
      <c r="G725" s="11"/>
      <c r="I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>
      <c r="A726" s="11"/>
      <c r="B726" s="11"/>
      <c r="D726" s="11"/>
      <c r="E726" s="11"/>
      <c r="G726" s="11"/>
      <c r="I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>
      <c r="A727" s="11"/>
      <c r="B727" s="11"/>
      <c r="D727" s="11"/>
      <c r="E727" s="11"/>
      <c r="G727" s="11"/>
      <c r="I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>
      <c r="A728" s="11"/>
      <c r="B728" s="11"/>
      <c r="D728" s="11"/>
      <c r="E728" s="11"/>
      <c r="G728" s="11"/>
      <c r="I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>
      <c r="A729" s="11"/>
      <c r="B729" s="11"/>
      <c r="D729" s="11"/>
      <c r="E729" s="11"/>
      <c r="G729" s="11"/>
      <c r="I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>
      <c r="A730" s="11"/>
      <c r="B730" s="11"/>
      <c r="D730" s="11"/>
      <c r="E730" s="11"/>
      <c r="G730" s="11"/>
      <c r="I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>
      <c r="A731" s="11"/>
      <c r="B731" s="11"/>
      <c r="D731" s="11"/>
      <c r="E731" s="11"/>
      <c r="G731" s="11"/>
      <c r="I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>
      <c r="A732" s="11"/>
      <c r="B732" s="11"/>
      <c r="D732" s="11"/>
      <c r="E732" s="11"/>
      <c r="G732" s="11"/>
      <c r="I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>
      <c r="A733" s="11"/>
      <c r="B733" s="11"/>
      <c r="D733" s="11"/>
      <c r="E733" s="11"/>
      <c r="G733" s="11"/>
      <c r="I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>
      <c r="A734" s="11"/>
      <c r="B734" s="11"/>
      <c r="D734" s="11"/>
      <c r="E734" s="11"/>
      <c r="G734" s="11"/>
      <c r="I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>
      <c r="A735" s="11"/>
      <c r="B735" s="11"/>
      <c r="D735" s="11"/>
      <c r="E735" s="11"/>
      <c r="G735" s="11"/>
      <c r="I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>
      <c r="A736" s="11"/>
      <c r="B736" s="11"/>
      <c r="D736" s="11"/>
      <c r="E736" s="11"/>
      <c r="G736" s="11"/>
      <c r="I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>
      <c r="A737" s="11"/>
      <c r="B737" s="11"/>
      <c r="D737" s="11"/>
      <c r="E737" s="11"/>
      <c r="G737" s="11"/>
      <c r="I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>
      <c r="A738" s="11"/>
      <c r="B738" s="11"/>
      <c r="D738" s="11"/>
      <c r="E738" s="11"/>
      <c r="G738" s="11"/>
      <c r="I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>
      <c r="A739" s="11"/>
      <c r="B739" s="11"/>
      <c r="D739" s="11"/>
      <c r="E739" s="11"/>
      <c r="G739" s="11"/>
      <c r="I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>
      <c r="A740" s="11"/>
      <c r="B740" s="11"/>
      <c r="D740" s="11"/>
      <c r="E740" s="11"/>
      <c r="G740" s="11"/>
      <c r="I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>
      <c r="A741" s="11"/>
      <c r="B741" s="11"/>
      <c r="D741" s="11"/>
      <c r="E741" s="11"/>
      <c r="G741" s="11"/>
      <c r="I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>
      <c r="A742" s="11"/>
      <c r="B742" s="11"/>
      <c r="D742" s="11"/>
      <c r="E742" s="11"/>
      <c r="G742" s="11"/>
      <c r="I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>
      <c r="A743" s="11"/>
      <c r="B743" s="11"/>
      <c r="D743" s="11"/>
      <c r="E743" s="11"/>
      <c r="G743" s="11"/>
      <c r="I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>
      <c r="A744" s="11"/>
      <c r="B744" s="11"/>
      <c r="D744" s="11"/>
      <c r="E744" s="11"/>
      <c r="G744" s="11"/>
      <c r="I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>
      <c r="A745" s="11"/>
      <c r="B745" s="11"/>
      <c r="D745" s="11"/>
      <c r="E745" s="11"/>
      <c r="G745" s="11"/>
      <c r="I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>
      <c r="A746" s="11"/>
      <c r="B746" s="11"/>
      <c r="D746" s="11"/>
      <c r="E746" s="11"/>
      <c r="G746" s="11"/>
      <c r="I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>
      <c r="A747" s="11"/>
      <c r="B747" s="11"/>
      <c r="D747" s="11"/>
      <c r="E747" s="11"/>
      <c r="G747" s="11"/>
      <c r="I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>
      <c r="A748" s="11"/>
      <c r="B748" s="11"/>
      <c r="D748" s="11"/>
      <c r="E748" s="11"/>
      <c r="G748" s="11"/>
      <c r="I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>
      <c r="A749" s="11"/>
      <c r="B749" s="11"/>
      <c r="D749" s="11"/>
      <c r="E749" s="11"/>
      <c r="G749" s="11"/>
      <c r="I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>
      <c r="A750" s="11"/>
      <c r="B750" s="11"/>
      <c r="D750" s="11"/>
      <c r="E750" s="11"/>
      <c r="G750" s="11"/>
      <c r="I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>
      <c r="A751" s="11"/>
      <c r="B751" s="11"/>
      <c r="D751" s="11"/>
      <c r="E751" s="11"/>
      <c r="G751" s="11"/>
      <c r="I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>
      <c r="A752" s="11"/>
      <c r="B752" s="11"/>
      <c r="D752" s="11"/>
      <c r="E752" s="11"/>
      <c r="G752" s="11"/>
      <c r="I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>
      <c r="A753" s="11"/>
      <c r="B753" s="11"/>
      <c r="D753" s="11"/>
      <c r="E753" s="11"/>
      <c r="G753" s="11"/>
      <c r="I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>
      <c r="A754" s="11"/>
      <c r="B754" s="11"/>
      <c r="D754" s="11"/>
      <c r="E754" s="11"/>
      <c r="G754" s="11"/>
      <c r="I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>
      <c r="A755" s="11"/>
      <c r="B755" s="11"/>
      <c r="D755" s="11"/>
      <c r="E755" s="11"/>
      <c r="G755" s="11"/>
      <c r="I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>
      <c r="A756" s="11"/>
      <c r="B756" s="11"/>
      <c r="D756" s="11"/>
      <c r="E756" s="11"/>
      <c r="G756" s="11"/>
      <c r="I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>
      <c r="A757" s="11"/>
      <c r="B757" s="11"/>
      <c r="D757" s="11"/>
      <c r="E757" s="11"/>
      <c r="G757" s="11"/>
      <c r="I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>
      <c r="A758" s="11"/>
      <c r="B758" s="11"/>
      <c r="D758" s="11"/>
      <c r="E758" s="11"/>
      <c r="G758" s="11"/>
      <c r="I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>
      <c r="A759" s="11"/>
      <c r="B759" s="11"/>
      <c r="D759" s="11"/>
      <c r="E759" s="11"/>
      <c r="G759" s="11"/>
      <c r="I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>
      <c r="A760" s="11"/>
      <c r="B760" s="11"/>
      <c r="D760" s="11"/>
      <c r="E760" s="11"/>
      <c r="G760" s="11"/>
      <c r="I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>
      <c r="A761" s="11"/>
      <c r="B761" s="11"/>
      <c r="D761" s="11"/>
      <c r="E761" s="11"/>
      <c r="G761" s="11"/>
      <c r="I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>
      <c r="A762" s="11"/>
      <c r="B762" s="11"/>
      <c r="D762" s="11"/>
      <c r="E762" s="11"/>
      <c r="G762" s="11"/>
      <c r="I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>
      <c r="A763" s="11"/>
      <c r="B763" s="11"/>
      <c r="D763" s="11"/>
      <c r="E763" s="11"/>
      <c r="G763" s="11"/>
      <c r="I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>
      <c r="A764" s="11"/>
      <c r="B764" s="11"/>
      <c r="D764" s="11"/>
      <c r="E764" s="11"/>
      <c r="G764" s="11"/>
      <c r="I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>
      <c r="A765" s="11"/>
      <c r="B765" s="11"/>
      <c r="D765" s="11"/>
      <c r="E765" s="11"/>
      <c r="G765" s="11"/>
      <c r="I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>
      <c r="A766" s="11"/>
      <c r="B766" s="11"/>
      <c r="D766" s="11"/>
      <c r="E766" s="11"/>
      <c r="G766" s="11"/>
      <c r="I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>
      <c r="A767" s="11"/>
      <c r="B767" s="11"/>
      <c r="D767" s="11"/>
      <c r="E767" s="11"/>
      <c r="G767" s="11"/>
      <c r="I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>
      <c r="A768" s="11"/>
      <c r="B768" s="11"/>
      <c r="D768" s="11"/>
      <c r="E768" s="11"/>
      <c r="G768" s="11"/>
      <c r="I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>
      <c r="A769" s="11"/>
      <c r="B769" s="11"/>
      <c r="D769" s="11"/>
      <c r="E769" s="11"/>
      <c r="G769" s="11"/>
      <c r="I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>
      <c r="A770" s="11"/>
      <c r="B770" s="11"/>
      <c r="D770" s="11"/>
      <c r="E770" s="11"/>
      <c r="G770" s="11"/>
      <c r="I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>
      <c r="A771" s="11"/>
      <c r="B771" s="11"/>
      <c r="D771" s="11"/>
      <c r="E771" s="11"/>
      <c r="G771" s="11"/>
      <c r="I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>
      <c r="A772" s="11"/>
      <c r="B772" s="11"/>
      <c r="D772" s="11"/>
      <c r="E772" s="11"/>
      <c r="G772" s="11"/>
      <c r="I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>
      <c r="A773" s="11"/>
      <c r="B773" s="11"/>
      <c r="D773" s="11"/>
      <c r="E773" s="11"/>
      <c r="G773" s="11"/>
      <c r="I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>
      <c r="A774" s="11"/>
      <c r="B774" s="11"/>
      <c r="D774" s="11"/>
      <c r="E774" s="11"/>
      <c r="G774" s="11"/>
      <c r="I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>
      <c r="A775" s="11"/>
      <c r="B775" s="11"/>
      <c r="D775" s="11"/>
      <c r="E775" s="11"/>
      <c r="G775" s="11"/>
      <c r="I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>
      <c r="A776" s="11"/>
      <c r="B776" s="11"/>
      <c r="D776" s="11"/>
      <c r="E776" s="11"/>
      <c r="G776" s="11"/>
      <c r="I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>
      <c r="A777" s="11"/>
      <c r="B777" s="11"/>
      <c r="D777" s="11"/>
      <c r="E777" s="11"/>
      <c r="G777" s="11"/>
      <c r="I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>
      <c r="A778" s="11"/>
      <c r="B778" s="11"/>
      <c r="D778" s="11"/>
      <c r="E778" s="11"/>
      <c r="G778" s="11"/>
      <c r="I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>
      <c r="A779" s="11"/>
      <c r="B779" s="11"/>
      <c r="D779" s="11"/>
      <c r="E779" s="11"/>
      <c r="G779" s="11"/>
      <c r="I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>
      <c r="A780" s="11"/>
      <c r="B780" s="11"/>
      <c r="D780" s="11"/>
      <c r="E780" s="11"/>
      <c r="G780" s="11"/>
      <c r="I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>
      <c r="A781" s="11"/>
      <c r="B781" s="11"/>
      <c r="D781" s="11"/>
      <c r="E781" s="11"/>
      <c r="G781" s="11"/>
      <c r="I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>
      <c r="A782" s="11"/>
      <c r="B782" s="11"/>
      <c r="D782" s="11"/>
      <c r="E782" s="11"/>
      <c r="G782" s="11"/>
      <c r="I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>
      <c r="A783" s="11"/>
      <c r="B783" s="11"/>
      <c r="D783" s="11"/>
      <c r="E783" s="11"/>
      <c r="G783" s="11"/>
      <c r="I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>
      <c r="A784" s="11"/>
      <c r="B784" s="11"/>
      <c r="D784" s="11"/>
      <c r="E784" s="11"/>
      <c r="G784" s="11"/>
      <c r="I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>
      <c r="A785" s="11"/>
      <c r="B785" s="11"/>
      <c r="D785" s="11"/>
      <c r="E785" s="11"/>
      <c r="G785" s="11"/>
      <c r="I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>
      <c r="A786" s="11"/>
      <c r="B786" s="11"/>
      <c r="D786" s="11"/>
      <c r="E786" s="11"/>
      <c r="G786" s="11"/>
      <c r="I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>
      <c r="A787" s="11"/>
      <c r="B787" s="11"/>
      <c r="D787" s="11"/>
      <c r="E787" s="11"/>
      <c r="G787" s="11"/>
      <c r="I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>
      <c r="A788" s="11"/>
      <c r="B788" s="11"/>
      <c r="D788" s="11"/>
      <c r="E788" s="11"/>
      <c r="G788" s="11"/>
      <c r="I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>
      <c r="A789" s="11"/>
      <c r="B789" s="11"/>
      <c r="D789" s="11"/>
      <c r="E789" s="11"/>
      <c r="G789" s="11"/>
      <c r="I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>
      <c r="A790" s="11"/>
      <c r="B790" s="11"/>
      <c r="D790" s="11"/>
      <c r="E790" s="11"/>
      <c r="G790" s="11"/>
      <c r="I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>
      <c r="A791" s="11"/>
      <c r="B791" s="11"/>
      <c r="D791" s="11"/>
      <c r="E791" s="11"/>
      <c r="G791" s="11"/>
      <c r="I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>
      <c r="A792" s="11"/>
      <c r="B792" s="11"/>
      <c r="D792" s="11"/>
      <c r="E792" s="11"/>
      <c r="G792" s="11"/>
      <c r="I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>
      <c r="A793" s="11"/>
      <c r="B793" s="11"/>
      <c r="D793" s="11"/>
      <c r="E793" s="11"/>
      <c r="G793" s="11"/>
      <c r="I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>
      <c r="A794" s="11"/>
      <c r="B794" s="11"/>
      <c r="D794" s="11"/>
      <c r="E794" s="11"/>
      <c r="G794" s="11"/>
      <c r="I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>
      <c r="A795" s="11"/>
      <c r="B795" s="11"/>
      <c r="D795" s="11"/>
      <c r="E795" s="11"/>
      <c r="G795" s="11"/>
      <c r="I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>
      <c r="A796" s="11"/>
      <c r="B796" s="11"/>
      <c r="D796" s="11"/>
      <c r="E796" s="11"/>
      <c r="G796" s="11"/>
      <c r="I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>
      <c r="A797" s="11"/>
      <c r="B797" s="11"/>
      <c r="D797" s="11"/>
      <c r="E797" s="11"/>
      <c r="G797" s="11"/>
      <c r="I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>
      <c r="A798" s="11"/>
      <c r="B798" s="11"/>
      <c r="D798" s="11"/>
      <c r="E798" s="11"/>
      <c r="G798" s="11"/>
      <c r="I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>
      <c r="A799" s="11"/>
      <c r="B799" s="11"/>
      <c r="D799" s="11"/>
      <c r="E799" s="11"/>
      <c r="G799" s="11"/>
      <c r="I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>
      <c r="A800" s="11"/>
      <c r="B800" s="11"/>
      <c r="D800" s="11"/>
      <c r="E800" s="11"/>
      <c r="G800" s="11"/>
      <c r="I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>
      <c r="A801" s="11"/>
      <c r="B801" s="11"/>
      <c r="D801" s="11"/>
      <c r="E801" s="11"/>
      <c r="G801" s="11"/>
      <c r="I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>
      <c r="A802" s="11"/>
      <c r="B802" s="11"/>
      <c r="D802" s="11"/>
      <c r="E802" s="11"/>
      <c r="G802" s="11"/>
      <c r="I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>
      <c r="A803" s="11"/>
      <c r="B803" s="11"/>
      <c r="D803" s="11"/>
      <c r="E803" s="11"/>
      <c r="G803" s="11"/>
      <c r="I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>
      <c r="A804" s="11"/>
      <c r="B804" s="11"/>
      <c r="D804" s="11"/>
      <c r="E804" s="11"/>
      <c r="G804" s="11"/>
      <c r="I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>
      <c r="A805" s="11"/>
      <c r="B805" s="11"/>
      <c r="D805" s="11"/>
      <c r="E805" s="11"/>
      <c r="G805" s="11"/>
      <c r="I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>
      <c r="A806" s="11"/>
      <c r="B806" s="11"/>
      <c r="D806" s="11"/>
      <c r="E806" s="11"/>
      <c r="G806" s="11"/>
      <c r="I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>
      <c r="A807" s="11"/>
      <c r="B807" s="11"/>
      <c r="D807" s="11"/>
      <c r="E807" s="11"/>
      <c r="G807" s="11"/>
      <c r="I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>
      <c r="A808" s="11"/>
      <c r="B808" s="11"/>
      <c r="D808" s="11"/>
      <c r="E808" s="11"/>
      <c r="G808" s="11"/>
      <c r="I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>
      <c r="A809" s="11"/>
      <c r="B809" s="11"/>
      <c r="D809" s="11"/>
      <c r="E809" s="11"/>
      <c r="G809" s="11"/>
      <c r="I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>
      <c r="A810" s="11"/>
      <c r="B810" s="11"/>
      <c r="D810" s="11"/>
      <c r="E810" s="11"/>
      <c r="G810" s="11"/>
      <c r="I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>
      <c r="A811" s="11"/>
      <c r="B811" s="11"/>
      <c r="D811" s="11"/>
      <c r="E811" s="11"/>
      <c r="G811" s="11"/>
      <c r="I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>
      <c r="A812" s="11"/>
      <c r="B812" s="11"/>
      <c r="D812" s="11"/>
      <c r="E812" s="11"/>
      <c r="G812" s="11"/>
      <c r="I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>
      <c r="A813" s="11"/>
      <c r="B813" s="11"/>
      <c r="D813" s="11"/>
      <c r="E813" s="11"/>
      <c r="G813" s="11"/>
      <c r="I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>
      <c r="A814" s="11"/>
      <c r="B814" s="11"/>
      <c r="D814" s="11"/>
      <c r="E814" s="11"/>
      <c r="G814" s="11"/>
      <c r="I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>
      <c r="A815" s="11"/>
      <c r="B815" s="11"/>
      <c r="D815" s="11"/>
      <c r="E815" s="11"/>
      <c r="G815" s="11"/>
      <c r="I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>
      <c r="A816" s="11"/>
      <c r="B816" s="11"/>
      <c r="D816" s="11"/>
      <c r="E816" s="11"/>
      <c r="G816" s="11"/>
      <c r="I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>
      <c r="A817" s="11"/>
      <c r="B817" s="11"/>
      <c r="D817" s="11"/>
      <c r="E817" s="11"/>
      <c r="G817" s="11"/>
      <c r="I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>
      <c r="A818" s="11"/>
      <c r="B818" s="11"/>
      <c r="D818" s="11"/>
      <c r="E818" s="11"/>
      <c r="G818" s="11"/>
      <c r="I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>
      <c r="A819" s="11"/>
      <c r="B819" s="11"/>
      <c r="D819" s="11"/>
      <c r="E819" s="11"/>
      <c r="G819" s="11"/>
      <c r="I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>
      <c r="A820" s="11"/>
      <c r="B820" s="11"/>
      <c r="D820" s="11"/>
      <c r="E820" s="11"/>
      <c r="G820" s="11"/>
      <c r="I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>
      <c r="A821" s="11"/>
      <c r="B821" s="11"/>
      <c r="D821" s="11"/>
      <c r="E821" s="11"/>
      <c r="G821" s="11"/>
      <c r="I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>
      <c r="A822" s="11"/>
      <c r="B822" s="11"/>
      <c r="D822" s="11"/>
      <c r="E822" s="11"/>
      <c r="G822" s="11"/>
      <c r="I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>
      <c r="A823" s="11"/>
      <c r="B823" s="11"/>
      <c r="D823" s="11"/>
      <c r="E823" s="11"/>
      <c r="G823" s="11"/>
      <c r="I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>
      <c r="A824" s="11"/>
      <c r="B824" s="11"/>
      <c r="D824" s="11"/>
      <c r="E824" s="11"/>
      <c r="G824" s="11"/>
      <c r="I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>
      <c r="A825" s="11"/>
      <c r="B825" s="11"/>
      <c r="D825" s="11"/>
      <c r="E825" s="11"/>
      <c r="G825" s="11"/>
      <c r="I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>
      <c r="A826" s="11"/>
      <c r="B826" s="11"/>
      <c r="D826" s="11"/>
      <c r="E826" s="11"/>
      <c r="G826" s="11"/>
      <c r="I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>
      <c r="A827" s="11"/>
      <c r="B827" s="11"/>
      <c r="D827" s="11"/>
      <c r="E827" s="11"/>
      <c r="G827" s="11"/>
      <c r="I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>
      <c r="A828" s="11"/>
      <c r="B828" s="11"/>
      <c r="D828" s="11"/>
      <c r="E828" s="11"/>
      <c r="G828" s="11"/>
      <c r="I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>
      <c r="A829" s="11"/>
      <c r="B829" s="11"/>
      <c r="D829" s="11"/>
      <c r="E829" s="11"/>
      <c r="G829" s="11"/>
      <c r="I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>
      <c r="A830" s="11"/>
      <c r="B830" s="11"/>
      <c r="D830" s="11"/>
      <c r="E830" s="11"/>
      <c r="G830" s="11"/>
      <c r="I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>
      <c r="A831" s="11"/>
      <c r="B831" s="11"/>
      <c r="D831" s="11"/>
      <c r="E831" s="11"/>
      <c r="G831" s="11"/>
      <c r="I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>
      <c r="A832" s="11"/>
      <c r="B832" s="11"/>
      <c r="D832" s="11"/>
      <c r="E832" s="11"/>
      <c r="G832" s="11"/>
      <c r="I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>
      <c r="A833" s="11"/>
      <c r="B833" s="11"/>
      <c r="D833" s="11"/>
      <c r="E833" s="11"/>
      <c r="G833" s="11"/>
      <c r="I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>
      <c r="A834" s="11"/>
      <c r="B834" s="11"/>
      <c r="D834" s="11"/>
      <c r="E834" s="11"/>
      <c r="G834" s="11"/>
      <c r="I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>
      <c r="A835" s="11"/>
      <c r="B835" s="11"/>
      <c r="D835" s="11"/>
      <c r="E835" s="11"/>
      <c r="G835" s="11"/>
      <c r="I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>
      <c r="A836" s="11"/>
      <c r="B836" s="11"/>
      <c r="D836" s="11"/>
      <c r="E836" s="11"/>
      <c r="G836" s="11"/>
      <c r="I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>
      <c r="A837" s="11"/>
      <c r="B837" s="11"/>
      <c r="D837" s="11"/>
      <c r="E837" s="11"/>
      <c r="G837" s="11"/>
      <c r="I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>
      <c r="A838" s="11"/>
      <c r="B838" s="11"/>
      <c r="D838" s="11"/>
      <c r="E838" s="11"/>
      <c r="G838" s="11"/>
      <c r="I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>
      <c r="A839" s="11"/>
      <c r="B839" s="11"/>
      <c r="D839" s="11"/>
      <c r="E839" s="11"/>
      <c r="G839" s="11"/>
      <c r="I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>
      <c r="A840" s="11"/>
      <c r="B840" s="11"/>
      <c r="D840" s="11"/>
      <c r="E840" s="11"/>
      <c r="G840" s="11"/>
      <c r="I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>
      <c r="A841" s="11"/>
      <c r="B841" s="11"/>
      <c r="D841" s="11"/>
      <c r="E841" s="11"/>
      <c r="G841" s="11"/>
      <c r="I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>
      <c r="A842" s="11"/>
      <c r="B842" s="11"/>
      <c r="D842" s="11"/>
      <c r="E842" s="11"/>
      <c r="G842" s="11"/>
      <c r="I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>
      <c r="A843" s="11"/>
      <c r="B843" s="11"/>
      <c r="D843" s="11"/>
      <c r="E843" s="11"/>
      <c r="G843" s="11"/>
      <c r="I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>
      <c r="A844" s="11"/>
      <c r="B844" s="11"/>
      <c r="D844" s="11"/>
      <c r="E844" s="11"/>
      <c r="G844" s="11"/>
      <c r="I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>
      <c r="A845" s="11"/>
      <c r="B845" s="11"/>
      <c r="D845" s="11"/>
      <c r="E845" s="11"/>
      <c r="G845" s="11"/>
      <c r="I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>
      <c r="A846" s="11"/>
      <c r="B846" s="11"/>
      <c r="D846" s="11"/>
      <c r="E846" s="11"/>
      <c r="G846" s="11"/>
      <c r="I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>
      <c r="A847" s="11"/>
      <c r="B847" s="11"/>
      <c r="D847" s="11"/>
      <c r="E847" s="11"/>
      <c r="G847" s="11"/>
      <c r="I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>
      <c r="A848" s="11"/>
      <c r="B848" s="11"/>
      <c r="D848" s="11"/>
      <c r="E848" s="11"/>
      <c r="G848" s="11"/>
      <c r="I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>
      <c r="A849" s="11"/>
      <c r="B849" s="11"/>
      <c r="D849" s="11"/>
      <c r="E849" s="11"/>
      <c r="G849" s="11"/>
      <c r="I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>
      <c r="A850" s="11"/>
      <c r="B850" s="11"/>
      <c r="D850" s="11"/>
      <c r="E850" s="11"/>
      <c r="G850" s="11"/>
      <c r="I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>
      <c r="A851" s="11"/>
      <c r="B851" s="11"/>
      <c r="D851" s="11"/>
      <c r="E851" s="11"/>
      <c r="G851" s="11"/>
      <c r="I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>
      <c r="A852" s="11"/>
      <c r="B852" s="11"/>
      <c r="D852" s="11"/>
      <c r="E852" s="11"/>
      <c r="G852" s="11"/>
      <c r="I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>
      <c r="A853" s="11"/>
      <c r="B853" s="11"/>
      <c r="D853" s="11"/>
      <c r="E853" s="11"/>
      <c r="G853" s="11"/>
      <c r="I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>
      <c r="A854" s="11"/>
      <c r="B854" s="11"/>
      <c r="D854" s="11"/>
      <c r="E854" s="11"/>
      <c r="G854" s="11"/>
      <c r="I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>
      <c r="A855" s="11"/>
      <c r="B855" s="11"/>
      <c r="D855" s="11"/>
      <c r="E855" s="11"/>
      <c r="G855" s="11"/>
      <c r="I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>
      <c r="A856" s="11"/>
      <c r="B856" s="11"/>
      <c r="D856" s="11"/>
      <c r="E856" s="11"/>
      <c r="G856" s="11"/>
      <c r="I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>
      <c r="A857" s="11"/>
      <c r="B857" s="11"/>
      <c r="D857" s="11"/>
      <c r="E857" s="11"/>
      <c r="G857" s="11"/>
      <c r="I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>
      <c r="A858" s="11"/>
      <c r="B858" s="11"/>
      <c r="D858" s="11"/>
      <c r="E858" s="11"/>
      <c r="G858" s="11"/>
      <c r="I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>
      <c r="A859" s="11"/>
      <c r="B859" s="11"/>
      <c r="D859" s="11"/>
      <c r="E859" s="11"/>
      <c r="G859" s="11"/>
      <c r="I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>
      <c r="A860" s="11"/>
      <c r="B860" s="11"/>
      <c r="D860" s="11"/>
      <c r="E860" s="11"/>
      <c r="G860" s="11"/>
      <c r="I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>
      <c r="A861" s="11"/>
      <c r="B861" s="11"/>
      <c r="D861" s="11"/>
      <c r="E861" s="11"/>
      <c r="G861" s="11"/>
      <c r="I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>
      <c r="A862" s="11"/>
      <c r="B862" s="11"/>
      <c r="D862" s="11"/>
      <c r="E862" s="11"/>
      <c r="G862" s="11"/>
      <c r="I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>
      <c r="A863" s="11"/>
      <c r="B863" s="11"/>
      <c r="D863" s="11"/>
      <c r="E863" s="11"/>
      <c r="G863" s="11"/>
      <c r="I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>
      <c r="A864" s="11"/>
      <c r="B864" s="11"/>
      <c r="D864" s="11"/>
      <c r="E864" s="11"/>
      <c r="G864" s="11"/>
      <c r="I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>
      <c r="A865" s="11"/>
      <c r="B865" s="11"/>
      <c r="D865" s="11"/>
      <c r="E865" s="11"/>
      <c r="G865" s="11"/>
      <c r="I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>
      <c r="A866" s="11"/>
      <c r="B866" s="11"/>
      <c r="D866" s="11"/>
      <c r="E866" s="11"/>
      <c r="G866" s="11"/>
      <c r="I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>
      <c r="A867" s="11"/>
      <c r="B867" s="11"/>
      <c r="D867" s="11"/>
      <c r="E867" s="11"/>
      <c r="G867" s="11"/>
      <c r="I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>
      <c r="A868" s="11"/>
      <c r="B868" s="11"/>
      <c r="D868" s="11"/>
      <c r="E868" s="11"/>
      <c r="G868" s="11"/>
      <c r="I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>
      <c r="A869" s="11"/>
      <c r="B869" s="11"/>
      <c r="D869" s="11"/>
      <c r="E869" s="11"/>
      <c r="G869" s="11"/>
      <c r="I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>
      <c r="A870" s="11"/>
      <c r="B870" s="11"/>
      <c r="D870" s="11"/>
      <c r="E870" s="11"/>
      <c r="G870" s="11"/>
      <c r="I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>
      <c r="A871" s="11"/>
      <c r="B871" s="11"/>
      <c r="D871" s="11"/>
      <c r="E871" s="11"/>
      <c r="G871" s="11"/>
      <c r="I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>
      <c r="A872" s="11"/>
      <c r="B872" s="11"/>
      <c r="D872" s="11"/>
      <c r="E872" s="11"/>
      <c r="G872" s="11"/>
      <c r="I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>
      <c r="A873" s="11"/>
      <c r="B873" s="11"/>
      <c r="D873" s="11"/>
      <c r="E873" s="11"/>
      <c r="G873" s="11"/>
      <c r="I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>
      <c r="A874" s="11"/>
      <c r="B874" s="11"/>
      <c r="D874" s="11"/>
      <c r="E874" s="11"/>
      <c r="G874" s="11"/>
      <c r="I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>
      <c r="A875" s="11"/>
      <c r="B875" s="11"/>
      <c r="D875" s="11"/>
      <c r="E875" s="11"/>
      <c r="G875" s="11"/>
      <c r="I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>
      <c r="A876" s="11"/>
      <c r="B876" s="11"/>
      <c r="D876" s="11"/>
      <c r="E876" s="11"/>
      <c r="G876" s="11"/>
      <c r="I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>
      <c r="A877" s="11"/>
      <c r="B877" s="11"/>
      <c r="D877" s="11"/>
      <c r="E877" s="11"/>
      <c r="G877" s="11"/>
      <c r="I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>
      <c r="A878" s="11"/>
      <c r="B878" s="11"/>
      <c r="D878" s="11"/>
      <c r="E878" s="11"/>
      <c r="G878" s="11"/>
      <c r="I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>
      <c r="A879" s="11"/>
      <c r="B879" s="11"/>
      <c r="D879" s="11"/>
      <c r="E879" s="11"/>
      <c r="G879" s="11"/>
      <c r="I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>
      <c r="A880" s="11"/>
      <c r="B880" s="11"/>
      <c r="D880" s="11"/>
      <c r="E880" s="11"/>
      <c r="G880" s="11"/>
      <c r="I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>
      <c r="A881" s="11"/>
      <c r="B881" s="11"/>
      <c r="D881" s="11"/>
      <c r="E881" s="11"/>
      <c r="G881" s="11"/>
      <c r="I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>
      <c r="A882" s="11"/>
      <c r="B882" s="11"/>
      <c r="D882" s="11"/>
      <c r="E882" s="11"/>
      <c r="G882" s="11"/>
      <c r="I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>
      <c r="A883" s="11"/>
      <c r="B883" s="11"/>
      <c r="D883" s="11"/>
      <c r="E883" s="11"/>
      <c r="G883" s="11"/>
      <c r="I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>
      <c r="A884" s="11"/>
      <c r="B884" s="11"/>
      <c r="D884" s="11"/>
      <c r="E884" s="11"/>
      <c r="G884" s="11"/>
      <c r="I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>
      <c r="A885" s="11"/>
      <c r="B885" s="11"/>
      <c r="D885" s="11"/>
      <c r="E885" s="11"/>
      <c r="G885" s="11"/>
      <c r="I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>
      <c r="A886" s="11"/>
      <c r="B886" s="11"/>
      <c r="D886" s="11"/>
      <c r="E886" s="11"/>
      <c r="G886" s="11"/>
      <c r="I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>
      <c r="A887" s="11"/>
      <c r="B887" s="11"/>
      <c r="D887" s="11"/>
      <c r="E887" s="11"/>
      <c r="G887" s="11"/>
      <c r="I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>
      <c r="A888" s="11"/>
      <c r="B888" s="11"/>
      <c r="D888" s="11"/>
      <c r="E888" s="11"/>
      <c r="G888" s="11"/>
      <c r="I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>
      <c r="A889" s="11"/>
      <c r="B889" s="11"/>
      <c r="D889" s="11"/>
      <c r="E889" s="11"/>
      <c r="G889" s="11"/>
      <c r="I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>
      <c r="A890" s="11"/>
      <c r="B890" s="11"/>
      <c r="D890" s="11"/>
      <c r="E890" s="11"/>
      <c r="G890" s="11"/>
      <c r="I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>
      <c r="A891" s="11"/>
      <c r="B891" s="11"/>
      <c r="D891" s="11"/>
      <c r="E891" s="11"/>
      <c r="G891" s="11"/>
      <c r="I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>
      <c r="A892" s="11"/>
      <c r="B892" s="11"/>
      <c r="D892" s="11"/>
      <c r="E892" s="11"/>
      <c r="G892" s="11"/>
      <c r="I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>
      <c r="A893" s="11"/>
      <c r="B893" s="11"/>
      <c r="D893" s="11"/>
      <c r="E893" s="11"/>
      <c r="G893" s="11"/>
      <c r="I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>
      <c r="A894" s="11"/>
      <c r="B894" s="11"/>
      <c r="D894" s="11"/>
      <c r="E894" s="11"/>
      <c r="G894" s="11"/>
      <c r="I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>
      <c r="A895" s="11"/>
      <c r="B895" s="11"/>
      <c r="D895" s="11"/>
      <c r="E895" s="11"/>
      <c r="G895" s="11"/>
      <c r="I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>
      <c r="A896" s="11"/>
      <c r="B896" s="11"/>
      <c r="D896" s="11"/>
      <c r="E896" s="11"/>
      <c r="G896" s="11"/>
      <c r="I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>
      <c r="A897" s="11"/>
      <c r="B897" s="11"/>
      <c r="D897" s="11"/>
      <c r="E897" s="11"/>
      <c r="G897" s="11"/>
      <c r="I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>
      <c r="A898" s="11"/>
      <c r="B898" s="11"/>
      <c r="D898" s="11"/>
      <c r="E898" s="11"/>
      <c r="G898" s="11"/>
      <c r="I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>
      <c r="A899" s="11"/>
      <c r="B899" s="11"/>
      <c r="D899" s="11"/>
      <c r="E899" s="11"/>
      <c r="G899" s="11"/>
      <c r="I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>
      <c r="A900" s="11"/>
      <c r="B900" s="11"/>
      <c r="D900" s="11"/>
      <c r="E900" s="11"/>
      <c r="G900" s="11"/>
      <c r="I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>
      <c r="A901" s="11"/>
      <c r="B901" s="11"/>
      <c r="D901" s="11"/>
      <c r="E901" s="11"/>
      <c r="G901" s="11"/>
      <c r="I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>
      <c r="A902" s="11"/>
      <c r="B902" s="11"/>
      <c r="D902" s="11"/>
      <c r="E902" s="11"/>
      <c r="G902" s="11"/>
      <c r="I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>
      <c r="A903" s="11"/>
      <c r="B903" s="11"/>
      <c r="D903" s="11"/>
      <c r="E903" s="11"/>
      <c r="G903" s="11"/>
      <c r="I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>
      <c r="A904" s="11"/>
      <c r="B904" s="11"/>
      <c r="D904" s="11"/>
      <c r="E904" s="11"/>
      <c r="G904" s="11"/>
      <c r="I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>
      <c r="A905" s="11"/>
      <c r="B905" s="11"/>
      <c r="D905" s="11"/>
      <c r="E905" s="11"/>
      <c r="G905" s="11"/>
      <c r="I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>
      <c r="A906" s="11"/>
      <c r="B906" s="11"/>
      <c r="D906" s="11"/>
      <c r="E906" s="11"/>
      <c r="G906" s="11"/>
      <c r="I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>
      <c r="A907" s="11"/>
      <c r="B907" s="11"/>
      <c r="D907" s="11"/>
      <c r="E907" s="11"/>
      <c r="G907" s="11"/>
      <c r="I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>
      <c r="A908" s="11"/>
      <c r="B908" s="11"/>
      <c r="D908" s="11"/>
      <c r="E908" s="11"/>
      <c r="G908" s="11"/>
      <c r="I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>
      <c r="A909" s="11"/>
      <c r="B909" s="11"/>
      <c r="D909" s="11"/>
      <c r="E909" s="11"/>
      <c r="G909" s="11"/>
      <c r="I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>
      <c r="A910" s="11"/>
      <c r="B910" s="11"/>
      <c r="D910" s="11"/>
      <c r="E910" s="11"/>
      <c r="G910" s="11"/>
      <c r="I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>
      <c r="A911" s="11"/>
      <c r="B911" s="11"/>
      <c r="D911" s="11"/>
      <c r="E911" s="11"/>
      <c r="G911" s="11"/>
      <c r="I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>
      <c r="A912" s="11"/>
      <c r="B912" s="11"/>
      <c r="D912" s="11"/>
      <c r="E912" s="11"/>
      <c r="G912" s="11"/>
      <c r="I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>
      <c r="A913" s="11"/>
      <c r="B913" s="11"/>
      <c r="D913" s="11"/>
      <c r="E913" s="11"/>
      <c r="G913" s="11"/>
      <c r="I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>
      <c r="A914" s="11"/>
      <c r="B914" s="11"/>
      <c r="D914" s="11"/>
      <c r="E914" s="11"/>
      <c r="G914" s="11"/>
      <c r="I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>
      <c r="A915" s="11"/>
      <c r="B915" s="11"/>
      <c r="D915" s="11"/>
      <c r="E915" s="11"/>
      <c r="G915" s="11"/>
      <c r="I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>
      <c r="A916" s="11"/>
      <c r="B916" s="11"/>
      <c r="D916" s="11"/>
      <c r="E916" s="11"/>
      <c r="G916" s="11"/>
      <c r="I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>
      <c r="A917" s="11"/>
      <c r="B917" s="11"/>
      <c r="D917" s="11"/>
      <c r="E917" s="11"/>
      <c r="G917" s="11"/>
      <c r="I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>
      <c r="A918" s="11"/>
      <c r="B918" s="11"/>
      <c r="D918" s="11"/>
      <c r="E918" s="11"/>
      <c r="G918" s="11"/>
      <c r="I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>
      <c r="A919" s="11"/>
      <c r="B919" s="11"/>
      <c r="D919" s="11"/>
      <c r="E919" s="11"/>
      <c r="G919" s="11"/>
      <c r="I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>
      <c r="A920" s="11"/>
      <c r="B920" s="11"/>
      <c r="D920" s="11"/>
      <c r="E920" s="11"/>
      <c r="G920" s="11"/>
      <c r="I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>
      <c r="A921" s="11"/>
      <c r="B921" s="11"/>
      <c r="D921" s="11"/>
      <c r="E921" s="11"/>
      <c r="G921" s="11"/>
      <c r="I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>
      <c r="A922" s="11"/>
      <c r="B922" s="11"/>
      <c r="D922" s="11"/>
      <c r="E922" s="11"/>
      <c r="G922" s="11"/>
      <c r="I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>
      <c r="A923" s="11"/>
      <c r="B923" s="11"/>
      <c r="D923" s="11"/>
      <c r="E923" s="11"/>
      <c r="G923" s="11"/>
      <c r="I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>
      <c r="A924" s="11"/>
      <c r="B924" s="11"/>
      <c r="D924" s="11"/>
      <c r="E924" s="11"/>
      <c r="G924" s="11"/>
      <c r="I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>
      <c r="A925" s="11"/>
      <c r="B925" s="11"/>
      <c r="D925" s="11"/>
      <c r="E925" s="11"/>
      <c r="G925" s="11"/>
      <c r="I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>
      <c r="A926" s="11"/>
      <c r="B926" s="11"/>
      <c r="D926" s="11"/>
      <c r="E926" s="11"/>
      <c r="G926" s="11"/>
      <c r="I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>
      <c r="A927" s="11"/>
      <c r="B927" s="11"/>
      <c r="D927" s="11"/>
      <c r="E927" s="11"/>
      <c r="G927" s="11"/>
      <c r="I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>
      <c r="A928" s="11"/>
      <c r="B928" s="11"/>
      <c r="D928" s="11"/>
      <c r="E928" s="11"/>
      <c r="G928" s="11"/>
      <c r="I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>
      <c r="A929" s="11"/>
      <c r="B929" s="11"/>
      <c r="D929" s="11"/>
      <c r="E929" s="11"/>
      <c r="G929" s="11"/>
      <c r="I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>
      <c r="A930" s="11"/>
      <c r="B930" s="11"/>
      <c r="D930" s="11"/>
      <c r="E930" s="11"/>
      <c r="G930" s="11"/>
      <c r="I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>
      <c r="A931" s="11"/>
      <c r="B931" s="11"/>
      <c r="D931" s="11"/>
      <c r="E931" s="11"/>
      <c r="G931" s="11"/>
      <c r="I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>
      <c r="A932" s="11"/>
      <c r="B932" s="11"/>
      <c r="D932" s="11"/>
      <c r="E932" s="11"/>
      <c r="G932" s="11"/>
      <c r="I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>
      <c r="A933" s="11"/>
      <c r="B933" s="11"/>
      <c r="D933" s="11"/>
      <c r="E933" s="11"/>
      <c r="G933" s="11"/>
      <c r="I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>
      <c r="A934" s="11"/>
      <c r="B934" s="11"/>
      <c r="D934" s="11"/>
      <c r="E934" s="11"/>
      <c r="G934" s="11"/>
      <c r="I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>
      <c r="A935" s="11"/>
      <c r="B935" s="11"/>
      <c r="D935" s="11"/>
      <c r="E935" s="11"/>
      <c r="G935" s="11"/>
      <c r="I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>
      <c r="A936" s="11"/>
      <c r="B936" s="11"/>
      <c r="D936" s="11"/>
      <c r="E936" s="11"/>
      <c r="G936" s="11"/>
      <c r="I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>
      <c r="A937" s="11"/>
      <c r="B937" s="11"/>
      <c r="D937" s="11"/>
      <c r="E937" s="11"/>
      <c r="G937" s="11"/>
      <c r="I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>
      <c r="A938" s="11"/>
      <c r="B938" s="11"/>
      <c r="D938" s="11"/>
      <c r="E938" s="11"/>
      <c r="G938" s="11"/>
      <c r="I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>
      <c r="A939" s="11"/>
      <c r="B939" s="11"/>
      <c r="D939" s="11"/>
      <c r="E939" s="11"/>
      <c r="G939" s="11"/>
      <c r="I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>
      <c r="A940" s="11"/>
      <c r="B940" s="11"/>
      <c r="D940" s="11"/>
      <c r="E940" s="11"/>
      <c r="G940" s="11"/>
      <c r="I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>
      <c r="A941" s="11"/>
      <c r="B941" s="11"/>
      <c r="D941" s="11"/>
      <c r="E941" s="11"/>
      <c r="G941" s="11"/>
      <c r="I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>
      <c r="A942" s="11"/>
      <c r="B942" s="11"/>
      <c r="D942" s="11"/>
      <c r="E942" s="11"/>
      <c r="G942" s="11"/>
      <c r="I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>
      <c r="A943" s="11"/>
      <c r="B943" s="11"/>
      <c r="D943" s="11"/>
      <c r="E943" s="11"/>
      <c r="G943" s="11"/>
      <c r="I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>
      <c r="A944" s="11"/>
      <c r="B944" s="11"/>
      <c r="D944" s="11"/>
      <c r="E944" s="11"/>
      <c r="G944" s="11"/>
      <c r="I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>
      <c r="A945" s="11"/>
      <c r="B945" s="11"/>
      <c r="D945" s="11"/>
      <c r="E945" s="11"/>
      <c r="G945" s="11"/>
      <c r="I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>
      <c r="A946" s="11"/>
      <c r="B946" s="11"/>
      <c r="D946" s="11"/>
      <c r="E946" s="11"/>
      <c r="G946" s="11"/>
      <c r="I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>
      <c r="A947" s="11"/>
      <c r="B947" s="11"/>
      <c r="D947" s="11"/>
      <c r="E947" s="11"/>
      <c r="G947" s="11"/>
      <c r="I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>
      <c r="A948" s="11"/>
      <c r="B948" s="11"/>
      <c r="D948" s="11"/>
      <c r="E948" s="11"/>
      <c r="G948" s="11"/>
      <c r="I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>
      <c r="A949" s="11"/>
      <c r="B949" s="11"/>
      <c r="D949" s="11"/>
      <c r="E949" s="11"/>
      <c r="G949" s="11"/>
      <c r="I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>
      <c r="A950" s="11"/>
      <c r="B950" s="11"/>
      <c r="D950" s="11"/>
      <c r="E950" s="11"/>
      <c r="G950" s="11"/>
      <c r="I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>
      <c r="A951" s="11"/>
      <c r="B951" s="11"/>
      <c r="D951" s="11"/>
      <c r="E951" s="11"/>
      <c r="G951" s="11"/>
      <c r="I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>
      <c r="A952" s="11"/>
      <c r="B952" s="11"/>
      <c r="D952" s="11"/>
      <c r="E952" s="11"/>
      <c r="G952" s="11"/>
      <c r="I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>
      <c r="A953" s="11"/>
      <c r="B953" s="11"/>
      <c r="D953" s="11"/>
      <c r="E953" s="11"/>
      <c r="G953" s="11"/>
      <c r="I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>
      <c r="A954" s="11"/>
      <c r="B954" s="11"/>
      <c r="D954" s="11"/>
      <c r="E954" s="11"/>
      <c r="G954" s="11"/>
      <c r="I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>
      <c r="A955" s="11"/>
      <c r="B955" s="11"/>
      <c r="D955" s="11"/>
      <c r="E955" s="11"/>
      <c r="G955" s="11"/>
      <c r="I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>
      <c r="A956" s="11"/>
      <c r="B956" s="11"/>
      <c r="D956" s="11"/>
      <c r="E956" s="11"/>
      <c r="G956" s="11"/>
      <c r="I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>
      <c r="A957" s="11"/>
      <c r="B957" s="11"/>
      <c r="D957" s="11"/>
      <c r="E957" s="11"/>
      <c r="G957" s="11"/>
      <c r="I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>
      <c r="A958" s="11"/>
      <c r="B958" s="11"/>
      <c r="D958" s="11"/>
      <c r="E958" s="11"/>
      <c r="G958" s="11"/>
      <c r="I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>
      <c r="A959" s="11"/>
      <c r="B959" s="11"/>
      <c r="D959" s="11"/>
      <c r="E959" s="11"/>
      <c r="G959" s="11"/>
      <c r="I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>
      <c r="A960" s="11"/>
      <c r="B960" s="11"/>
      <c r="D960" s="11"/>
      <c r="E960" s="11"/>
      <c r="G960" s="11"/>
      <c r="I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>
      <c r="A961" s="11"/>
      <c r="B961" s="11"/>
      <c r="D961" s="11"/>
      <c r="E961" s="11"/>
      <c r="G961" s="11"/>
      <c r="I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>
      <c r="A962" s="11"/>
      <c r="B962" s="11"/>
      <c r="D962" s="11"/>
      <c r="E962" s="11"/>
      <c r="G962" s="11"/>
      <c r="I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>
      <c r="A963" s="11"/>
      <c r="B963" s="11"/>
      <c r="D963" s="11"/>
      <c r="E963" s="11"/>
      <c r="G963" s="11"/>
      <c r="I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>
      <c r="A964" s="11"/>
      <c r="B964" s="11"/>
      <c r="D964" s="11"/>
      <c r="E964" s="11"/>
      <c r="G964" s="11"/>
      <c r="I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>
      <c r="A965" s="11"/>
      <c r="B965" s="11"/>
      <c r="D965" s="11"/>
      <c r="E965" s="11"/>
      <c r="G965" s="11"/>
      <c r="I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>
      <c r="A966" s="11"/>
      <c r="B966" s="11"/>
      <c r="D966" s="11"/>
      <c r="E966" s="11"/>
      <c r="G966" s="11"/>
      <c r="I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>
      <c r="A967" s="11"/>
      <c r="B967" s="11"/>
      <c r="D967" s="11"/>
      <c r="E967" s="11"/>
      <c r="G967" s="11"/>
      <c r="I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>
      <c r="A968" s="11"/>
      <c r="B968" s="11"/>
      <c r="D968" s="11"/>
      <c r="E968" s="11"/>
      <c r="G968" s="11"/>
      <c r="I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>
      <c r="A969" s="11"/>
      <c r="B969" s="11"/>
      <c r="D969" s="11"/>
      <c r="E969" s="11"/>
      <c r="G969" s="11"/>
      <c r="I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>
      <c r="A970" s="11"/>
      <c r="B970" s="11"/>
      <c r="D970" s="11"/>
      <c r="E970" s="11"/>
      <c r="G970" s="11"/>
      <c r="I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>
      <c r="A971" s="11"/>
      <c r="B971" s="11"/>
      <c r="D971" s="11"/>
      <c r="E971" s="11"/>
      <c r="G971" s="11"/>
      <c r="I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>
      <c r="A972" s="11"/>
      <c r="B972" s="11"/>
      <c r="D972" s="11"/>
      <c r="E972" s="11"/>
      <c r="G972" s="11"/>
      <c r="I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>
      <c r="A973" s="11"/>
      <c r="B973" s="11"/>
      <c r="D973" s="11"/>
      <c r="E973" s="11"/>
      <c r="G973" s="11"/>
      <c r="I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>
      <c r="A974" s="11"/>
      <c r="B974" s="11"/>
      <c r="D974" s="11"/>
      <c r="E974" s="11"/>
      <c r="G974" s="11"/>
      <c r="I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>
      <c r="A975" s="11"/>
      <c r="B975" s="11"/>
      <c r="D975" s="11"/>
      <c r="E975" s="11"/>
      <c r="G975" s="11"/>
      <c r="I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>
      <c r="A976" s="11"/>
      <c r="B976" s="11"/>
      <c r="D976" s="11"/>
      <c r="E976" s="11"/>
      <c r="G976" s="11"/>
      <c r="I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>
      <c r="A977" s="11"/>
      <c r="B977" s="11"/>
      <c r="D977" s="11"/>
      <c r="E977" s="11"/>
      <c r="G977" s="11"/>
      <c r="I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>
      <c r="A978" s="11"/>
      <c r="B978" s="11"/>
      <c r="D978" s="11"/>
      <c r="E978" s="11"/>
      <c r="G978" s="11"/>
      <c r="I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>
      <c r="A979" s="11"/>
      <c r="B979" s="11"/>
      <c r="D979" s="11"/>
      <c r="E979" s="11"/>
      <c r="G979" s="11"/>
      <c r="I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>
      <c r="A980" s="11"/>
      <c r="B980" s="11"/>
      <c r="D980" s="11"/>
      <c r="E980" s="11"/>
      <c r="G980" s="11"/>
      <c r="I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>
      <c r="A981" s="11"/>
      <c r="B981" s="11"/>
      <c r="D981" s="11"/>
      <c r="E981" s="11"/>
      <c r="G981" s="11"/>
      <c r="I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>
      <c r="A982" s="11"/>
      <c r="B982" s="11"/>
      <c r="D982" s="11"/>
      <c r="E982" s="11"/>
      <c r="G982" s="11"/>
      <c r="I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>
      <c r="A983" s="11"/>
      <c r="B983" s="11"/>
      <c r="D983" s="11"/>
      <c r="E983" s="11"/>
      <c r="G983" s="11"/>
      <c r="I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>
      <c r="A984" s="11"/>
      <c r="B984" s="11"/>
      <c r="D984" s="11"/>
      <c r="E984" s="11"/>
      <c r="G984" s="11"/>
      <c r="I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>
      <c r="A985" s="11"/>
      <c r="B985" s="11"/>
      <c r="D985" s="11"/>
      <c r="E985" s="11"/>
      <c r="G985" s="11"/>
      <c r="I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>
      <c r="A986" s="11"/>
      <c r="B986" s="11"/>
      <c r="D986" s="11"/>
      <c r="E986" s="11"/>
      <c r="G986" s="11"/>
      <c r="I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>
      <c r="A987" s="11"/>
      <c r="B987" s="11"/>
      <c r="D987" s="11"/>
      <c r="E987" s="11"/>
      <c r="G987" s="11"/>
      <c r="I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>
      <c r="A988" s="11"/>
      <c r="B988" s="11"/>
      <c r="D988" s="11"/>
      <c r="E988" s="11"/>
      <c r="G988" s="11"/>
      <c r="I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>
      <c r="A989" s="11"/>
      <c r="B989" s="11"/>
      <c r="D989" s="11"/>
      <c r="E989" s="11"/>
      <c r="G989" s="11"/>
      <c r="I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>
      <c r="A990" s="11"/>
      <c r="B990" s="11"/>
      <c r="D990" s="11"/>
      <c r="E990" s="11"/>
      <c r="G990" s="11"/>
      <c r="I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>
      <c r="A991" s="11"/>
      <c r="B991" s="11"/>
      <c r="D991" s="11"/>
      <c r="E991" s="11"/>
      <c r="G991" s="11"/>
      <c r="I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>
      <c r="A992" s="11"/>
      <c r="B992" s="11"/>
      <c r="D992" s="11"/>
      <c r="E992" s="11"/>
      <c r="G992" s="11"/>
      <c r="I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>
      <c r="A993" s="11"/>
      <c r="B993" s="11"/>
      <c r="D993" s="11"/>
      <c r="E993" s="11"/>
      <c r="G993" s="11"/>
      <c r="I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>
      <c r="A994" s="11"/>
      <c r="B994" s="11"/>
      <c r="D994" s="11"/>
      <c r="E994" s="11"/>
      <c r="G994" s="11"/>
      <c r="I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>
      <c r="A995" s="11"/>
      <c r="B995" s="11"/>
      <c r="D995" s="11"/>
      <c r="E995" s="11"/>
      <c r="G995" s="11"/>
      <c r="I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>
      <c r="A996" s="11"/>
      <c r="B996" s="11"/>
      <c r="D996" s="11"/>
      <c r="E996" s="11"/>
      <c r="G996" s="11"/>
      <c r="I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>
      <c r="A997" s="11"/>
      <c r="B997" s="11"/>
      <c r="D997" s="11"/>
      <c r="E997" s="11"/>
      <c r="G997" s="11"/>
      <c r="I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>
      <c r="A998" s="11"/>
      <c r="B998" s="11"/>
      <c r="D998" s="11"/>
      <c r="E998" s="11"/>
      <c r="G998" s="11"/>
      <c r="I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>
      <c r="A999" s="11"/>
      <c r="B999" s="11"/>
      <c r="D999" s="11"/>
      <c r="E999" s="11"/>
      <c r="G999" s="11"/>
      <c r="I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>
      <c r="A1000" s="11"/>
      <c r="B1000" s="11"/>
      <c r="D1000" s="11"/>
      <c r="E1000" s="11"/>
      <c r="G1000" s="11"/>
      <c r="I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</sheetData>
  <mergeCells count="1">
    <mergeCell ref="M1:U1"/>
  </mergeCells>
  <conditionalFormatting sqref="A1:AD1">
    <cfRule type="notContainsBlanks" dxfId="1" priority="1">
      <formula>LEN(TRIM(A1))&gt;0</formula>
    </cfRule>
  </conditionalFormatting>
  <conditionalFormatting sqref="A2:C1000 D2:E11 F2:U1000 D13:E1000">
    <cfRule type="notContainsBlanks" dxfId="0" priority="2">
      <formula>LEN(TRIM(A2))&gt;0</formula>
    </cfRule>
  </conditionalFormatting>
  <conditionalFormatting sqref="A1:AD1">
    <cfRule type="notContainsBlanks" dxfId="2" priority="3">
      <formula>LEN(TRIM(A1))&gt;0</formula>
    </cfRule>
  </conditionalFormatting>
  <dataValidations>
    <dataValidation type="list" allowBlank="1" sqref="I2:I1000">
      <formula1>'All Courses'!$G:$G</formula1>
    </dataValidation>
    <dataValidation type="list" allowBlank="1" showInputMessage="1" prompt="Need the course in this format." sqref="A2:A1000">
      <formula1>'All Courses'!$A:$A</formula1>
    </dataValidation>
    <dataValidation type="list" allowBlank="1" sqref="M2:U1000">
      <formula1>'All Courses'!$A:$A</formula1>
    </dataValidation>
    <dataValidation type="list" allowBlank="1" showInputMessage="1" prompt="Its okay if it isnt one of the courses in the dropdown list." sqref="G2:G1000">
      <formula1>'All Courses'!$C:$C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4" max="4" width="33.43"/>
    <col customWidth="1" min="7" max="7" width="22.0"/>
    <col customWidth="1" min="8" max="8" width="19.86"/>
    <col customWidth="1" min="9" max="9" width="62.86"/>
    <col customWidth="1" min="13" max="13" width="64.29"/>
  </cols>
  <sheetData>
    <row r="1" ht="213.0" customHeight="1">
      <c r="A1" s="1" t="s">
        <v>108</v>
      </c>
      <c r="B1" s="1" t="s">
        <v>1</v>
      </c>
      <c r="C1" s="2"/>
      <c r="D1" s="3" t="s">
        <v>96</v>
      </c>
      <c r="E1" s="1" t="s">
        <v>3</v>
      </c>
      <c r="F1" s="4"/>
      <c r="G1" s="3" t="s">
        <v>109</v>
      </c>
      <c r="H1" s="5"/>
      <c r="I1" s="1" t="s">
        <v>110</v>
      </c>
      <c r="J1" s="2"/>
      <c r="K1" s="3" t="s">
        <v>6</v>
      </c>
      <c r="L1" s="3" t="s">
        <v>7</v>
      </c>
      <c r="M1" s="6" t="s">
        <v>23</v>
      </c>
      <c r="N1" s="7"/>
      <c r="O1" s="7"/>
      <c r="P1" s="7"/>
      <c r="Q1" s="7"/>
      <c r="R1" s="7"/>
      <c r="S1" s="7"/>
      <c r="T1" s="7"/>
      <c r="U1" s="8"/>
      <c r="V1" s="2"/>
      <c r="W1" s="2"/>
      <c r="X1" s="2"/>
      <c r="Y1" s="2"/>
      <c r="Z1" s="2"/>
      <c r="AA1" s="2"/>
      <c r="AB1" s="2"/>
      <c r="AC1" s="2"/>
      <c r="AD1" s="2"/>
    </row>
    <row r="2">
      <c r="A2" s="9" t="s">
        <v>24</v>
      </c>
      <c r="B2" s="9">
        <v>7.0</v>
      </c>
      <c r="D2" s="9" t="s">
        <v>100</v>
      </c>
      <c r="E2" s="9">
        <v>0.0</v>
      </c>
      <c r="G2" s="9" t="s">
        <v>25</v>
      </c>
      <c r="H2" s="13"/>
      <c r="I2" s="9" t="s">
        <v>26</v>
      </c>
      <c r="K2" s="9">
        <v>0.0</v>
      </c>
      <c r="L2" s="9">
        <v>1.0</v>
      </c>
      <c r="M2" s="10" t="s">
        <v>27</v>
      </c>
      <c r="N2" s="10" t="s">
        <v>28</v>
      </c>
      <c r="O2" s="11"/>
      <c r="P2" s="11"/>
      <c r="Q2" s="11"/>
      <c r="R2" s="11"/>
      <c r="S2" s="11"/>
      <c r="T2" s="11"/>
      <c r="U2" s="11"/>
    </row>
    <row r="3">
      <c r="A3" s="9" t="s">
        <v>29</v>
      </c>
      <c r="B3" s="9">
        <v>10.0</v>
      </c>
      <c r="D3" s="10" t="s">
        <v>101</v>
      </c>
      <c r="E3" s="9">
        <v>0.0</v>
      </c>
      <c r="G3" s="9" t="s">
        <v>30</v>
      </c>
      <c r="H3" s="13"/>
      <c r="I3" s="9" t="s">
        <v>31</v>
      </c>
      <c r="K3" s="9">
        <v>0.0</v>
      </c>
      <c r="L3" s="9">
        <v>4.0</v>
      </c>
      <c r="M3" s="10" t="s">
        <v>27</v>
      </c>
      <c r="N3" s="10" t="s">
        <v>32</v>
      </c>
      <c r="O3" s="10" t="s">
        <v>28</v>
      </c>
      <c r="P3" s="10" t="s">
        <v>33</v>
      </c>
      <c r="Q3" s="10" t="s">
        <v>34</v>
      </c>
      <c r="R3" s="11"/>
      <c r="S3" s="11"/>
      <c r="T3" s="11"/>
      <c r="U3" s="11"/>
    </row>
    <row r="4">
      <c r="A4" s="9" t="s">
        <v>33</v>
      </c>
      <c r="B4" s="9">
        <v>7.0</v>
      </c>
      <c r="D4" s="10" t="s">
        <v>102</v>
      </c>
      <c r="E4" s="9">
        <v>0.0</v>
      </c>
      <c r="G4" s="9" t="s">
        <v>35</v>
      </c>
      <c r="H4" s="13"/>
      <c r="I4" s="9" t="s">
        <v>36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ht="16.5" customHeight="1">
      <c r="A5" s="9" t="s">
        <v>37</v>
      </c>
      <c r="B5" s="9">
        <v>8.0</v>
      </c>
      <c r="D5" s="10" t="s">
        <v>12</v>
      </c>
      <c r="E5" s="9">
        <v>0.0</v>
      </c>
      <c r="G5" s="9" t="s">
        <v>38</v>
      </c>
      <c r="H5" s="13"/>
      <c r="I5" s="9" t="s">
        <v>39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>
      <c r="A6" s="9" t="s">
        <v>34</v>
      </c>
      <c r="B6" s="9">
        <v>8.0</v>
      </c>
      <c r="D6" s="10" t="s">
        <v>103</v>
      </c>
      <c r="E6" s="9">
        <v>0.0</v>
      </c>
      <c r="G6" s="9" t="s">
        <v>40</v>
      </c>
      <c r="H6" s="13"/>
      <c r="I6" s="9" t="s">
        <v>41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>
      <c r="A7" s="9" t="s">
        <v>27</v>
      </c>
      <c r="B7" s="9">
        <v>8.0</v>
      </c>
      <c r="D7" s="10" t="s">
        <v>104</v>
      </c>
      <c r="E7" s="9">
        <v>0.0</v>
      </c>
      <c r="G7" s="9" t="s">
        <v>42</v>
      </c>
      <c r="H7" s="13"/>
      <c r="I7" s="9" t="s">
        <v>43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>
      <c r="A8" s="9" t="s">
        <v>44</v>
      </c>
      <c r="B8" s="9">
        <v>7.0</v>
      </c>
      <c r="D8" s="10" t="s">
        <v>105</v>
      </c>
      <c r="E8" s="9">
        <v>0.0</v>
      </c>
      <c r="G8" s="9" t="s">
        <v>45</v>
      </c>
      <c r="H8" s="13"/>
      <c r="I8" s="9" t="s">
        <v>46</v>
      </c>
      <c r="K8" s="9">
        <v>1.0</v>
      </c>
      <c r="L8" s="9">
        <v>1.0</v>
      </c>
      <c r="M8" s="9" t="s">
        <v>47</v>
      </c>
      <c r="N8" s="11"/>
      <c r="O8" s="11"/>
      <c r="P8" s="11"/>
      <c r="Q8" s="11"/>
      <c r="R8" s="11"/>
      <c r="S8" s="11"/>
      <c r="T8" s="11"/>
      <c r="U8" s="11"/>
    </row>
    <row r="9">
      <c r="A9" s="9" t="s">
        <v>32</v>
      </c>
      <c r="B9" s="9">
        <v>7.0</v>
      </c>
      <c r="D9" s="10" t="s">
        <v>106</v>
      </c>
      <c r="E9" s="9">
        <v>0.0</v>
      </c>
      <c r="G9" s="9" t="s">
        <v>48</v>
      </c>
      <c r="I9" s="11"/>
      <c r="K9" s="9">
        <v>3.0</v>
      </c>
      <c r="L9" s="9">
        <v>3.0</v>
      </c>
      <c r="M9" s="9" t="s">
        <v>49</v>
      </c>
      <c r="N9" s="11"/>
      <c r="O9" s="11"/>
      <c r="P9" s="11"/>
      <c r="Q9" s="11"/>
      <c r="R9" s="11"/>
      <c r="S9" s="11"/>
      <c r="T9" s="11"/>
      <c r="U9" s="11"/>
    </row>
    <row r="10">
      <c r="A10" s="9" t="s">
        <v>28</v>
      </c>
      <c r="B10" s="9">
        <v>8.0</v>
      </c>
      <c r="D10" s="10" t="s">
        <v>107</v>
      </c>
      <c r="E10" s="9">
        <v>0.0</v>
      </c>
      <c r="G10" s="9" t="s">
        <v>50</v>
      </c>
      <c r="I10" s="11"/>
      <c r="K10" s="9" t="s">
        <v>51</v>
      </c>
      <c r="L10" s="9" t="s">
        <v>52</v>
      </c>
      <c r="M10" s="9" t="s">
        <v>53</v>
      </c>
      <c r="N10" s="11"/>
      <c r="O10" s="11"/>
      <c r="P10" s="11"/>
      <c r="Q10" s="11"/>
      <c r="R10" s="11"/>
      <c r="S10" s="11"/>
      <c r="T10" s="11"/>
      <c r="U10" s="11"/>
    </row>
    <row r="11">
      <c r="A11" s="12" t="s">
        <v>54</v>
      </c>
      <c r="B11" s="9">
        <v>8.0</v>
      </c>
      <c r="D11" s="9" t="s">
        <v>19</v>
      </c>
      <c r="E11" s="9" t="s">
        <v>57</v>
      </c>
      <c r="G11" s="9" t="s">
        <v>55</v>
      </c>
      <c r="I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>
      <c r="A12" s="9" t="s">
        <v>56</v>
      </c>
      <c r="B12" s="9">
        <v>7.0</v>
      </c>
      <c r="D12" s="11"/>
      <c r="E12" s="11"/>
      <c r="G12" s="9" t="s">
        <v>58</v>
      </c>
      <c r="I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>
      <c r="A13" s="9" t="s">
        <v>59</v>
      </c>
      <c r="B13" s="9">
        <v>7.0</v>
      </c>
      <c r="D13" s="11"/>
      <c r="E13" s="11"/>
      <c r="G13" s="9" t="s">
        <v>60</v>
      </c>
      <c r="I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>
      <c r="A14" s="9" t="s">
        <v>61</v>
      </c>
      <c r="B14" s="9">
        <v>8.0</v>
      </c>
      <c r="D14" s="11"/>
      <c r="E14" s="11"/>
      <c r="G14" s="9" t="s">
        <v>62</v>
      </c>
      <c r="I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>
      <c r="A15" s="11"/>
      <c r="B15" s="11"/>
      <c r="D15" s="11"/>
      <c r="E15" s="11"/>
      <c r="G15" s="9" t="s">
        <v>63</v>
      </c>
      <c r="I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>
      <c r="A16" s="11"/>
      <c r="B16" s="11"/>
      <c r="D16" s="11"/>
      <c r="E16" s="11"/>
      <c r="G16" s="9" t="s">
        <v>64</v>
      </c>
      <c r="I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>
      <c r="A17" s="11"/>
      <c r="B17" s="11"/>
      <c r="D17" s="11"/>
      <c r="E17" s="11"/>
      <c r="G17" s="9" t="s">
        <v>65</v>
      </c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>
      <c r="A18" s="11"/>
      <c r="B18" s="11"/>
      <c r="D18" s="11"/>
      <c r="E18" s="11"/>
      <c r="G18" s="9" t="s">
        <v>66</v>
      </c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>
      <c r="A19" s="11"/>
      <c r="B19" s="11"/>
      <c r="D19" s="11"/>
      <c r="E19" s="11"/>
      <c r="G19" s="9" t="s">
        <v>67</v>
      </c>
      <c r="I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>
      <c r="A20" s="11"/>
      <c r="B20" s="11"/>
      <c r="D20" s="11"/>
      <c r="E20" s="11"/>
      <c r="G20" s="9" t="s">
        <v>68</v>
      </c>
      <c r="I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>
      <c r="A21" s="11"/>
      <c r="B21" s="11"/>
      <c r="D21" s="11"/>
      <c r="E21" s="11"/>
      <c r="G21" s="9" t="s">
        <v>69</v>
      </c>
      <c r="I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>
      <c r="A22" s="11"/>
      <c r="B22" s="11"/>
      <c r="D22" s="11"/>
      <c r="E22" s="11"/>
      <c r="G22" s="9" t="s">
        <v>70</v>
      </c>
      <c r="I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>
      <c r="A23" s="11"/>
      <c r="B23" s="11"/>
      <c r="D23" s="11"/>
      <c r="E23" s="11"/>
      <c r="G23" s="9" t="s">
        <v>71</v>
      </c>
      <c r="I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>
      <c r="A24" s="11"/>
      <c r="B24" s="11"/>
      <c r="D24" s="11"/>
      <c r="E24" s="11"/>
      <c r="G24" s="9" t="s">
        <v>72</v>
      </c>
      <c r="I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>
      <c r="A25" s="11"/>
      <c r="B25" s="11"/>
      <c r="D25" s="11"/>
      <c r="E25" s="11"/>
      <c r="G25" s="9" t="s">
        <v>73</v>
      </c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>
      <c r="A26" s="11"/>
      <c r="B26" s="11"/>
      <c r="D26" s="11"/>
      <c r="E26" s="11"/>
      <c r="G26" s="9" t="s">
        <v>74</v>
      </c>
      <c r="I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>
      <c r="A27" s="11"/>
      <c r="B27" s="11"/>
      <c r="D27" s="11"/>
      <c r="E27" s="11"/>
      <c r="G27" s="9" t="s">
        <v>75</v>
      </c>
      <c r="I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>
      <c r="A28" s="11"/>
      <c r="B28" s="11"/>
      <c r="D28" s="11"/>
      <c r="E28" s="11"/>
      <c r="G28" s="9" t="s">
        <v>76</v>
      </c>
      <c r="I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>
      <c r="A29" s="11"/>
      <c r="B29" s="11"/>
      <c r="D29" s="11"/>
      <c r="E29" s="11"/>
      <c r="G29" s="9" t="s">
        <v>77</v>
      </c>
      <c r="I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>
      <c r="A30" s="11"/>
      <c r="B30" s="11"/>
      <c r="D30" s="11"/>
      <c r="E30" s="11"/>
      <c r="G30" s="9" t="s">
        <v>78</v>
      </c>
      <c r="I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>
      <c r="A31" s="11"/>
      <c r="B31" s="11"/>
      <c r="D31" s="11"/>
      <c r="E31" s="11"/>
      <c r="G31" s="9" t="s">
        <v>69</v>
      </c>
      <c r="I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>
      <c r="A32" s="11"/>
      <c r="B32" s="11"/>
      <c r="D32" s="11"/>
      <c r="E32" s="11"/>
      <c r="G32" s="9" t="s">
        <v>79</v>
      </c>
      <c r="I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>
      <c r="A33" s="11"/>
      <c r="B33" s="11"/>
      <c r="D33" s="11"/>
      <c r="E33" s="11"/>
      <c r="G33" s="9" t="s">
        <v>80</v>
      </c>
      <c r="I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>
      <c r="A34" s="11"/>
      <c r="B34" s="11"/>
      <c r="D34" s="11"/>
      <c r="E34" s="11"/>
      <c r="G34" s="9" t="s">
        <v>81</v>
      </c>
      <c r="I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>
      <c r="A35" s="11"/>
      <c r="B35" s="11"/>
      <c r="D35" s="11"/>
      <c r="E35" s="11"/>
      <c r="G35" s="9" t="s">
        <v>82</v>
      </c>
      <c r="I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>
      <c r="A36" s="11"/>
      <c r="B36" s="11"/>
      <c r="D36" s="11"/>
      <c r="E36" s="11"/>
      <c r="G36" s="9" t="s">
        <v>83</v>
      </c>
      <c r="I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>
      <c r="A37" s="11"/>
      <c r="B37" s="11"/>
      <c r="D37" s="11"/>
      <c r="E37" s="11"/>
      <c r="G37" s="9" t="s">
        <v>84</v>
      </c>
      <c r="I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>
      <c r="A38" s="11"/>
      <c r="B38" s="11"/>
      <c r="D38" s="11"/>
      <c r="E38" s="11"/>
      <c r="G38" s="9" t="s">
        <v>85</v>
      </c>
      <c r="I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>
      <c r="A39" s="11"/>
      <c r="B39" s="11"/>
      <c r="D39" s="11"/>
      <c r="E39" s="11"/>
      <c r="G39" s="9" t="s">
        <v>86</v>
      </c>
      <c r="I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>
      <c r="A40" s="11"/>
      <c r="B40" s="11"/>
      <c r="D40" s="11"/>
      <c r="E40" s="11"/>
      <c r="G40" s="9" t="s">
        <v>87</v>
      </c>
      <c r="I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>
      <c r="A41" s="11"/>
      <c r="B41" s="11"/>
      <c r="D41" s="11"/>
      <c r="E41" s="11"/>
      <c r="G41" s="9" t="s">
        <v>88</v>
      </c>
      <c r="I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>
      <c r="A42" s="11"/>
      <c r="B42" s="11"/>
      <c r="D42" s="11"/>
      <c r="E42" s="11"/>
      <c r="G42" s="9" t="s">
        <v>89</v>
      </c>
      <c r="I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>
      <c r="A43" s="11"/>
      <c r="B43" s="11"/>
      <c r="D43" s="11"/>
      <c r="E43" s="11"/>
      <c r="G43" s="9" t="s">
        <v>90</v>
      </c>
      <c r="I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>
      <c r="A44" s="11"/>
      <c r="B44" s="11"/>
      <c r="D44" s="11"/>
      <c r="E44" s="11"/>
      <c r="G44" s="9" t="s">
        <v>91</v>
      </c>
      <c r="I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>
      <c r="A45" s="11"/>
      <c r="B45" s="11"/>
      <c r="D45" s="11"/>
      <c r="E45" s="11"/>
      <c r="G45" s="9" t="s">
        <v>92</v>
      </c>
      <c r="I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>
      <c r="A46" s="11"/>
      <c r="B46" s="11"/>
      <c r="D46" s="11"/>
      <c r="E46" s="11"/>
      <c r="G46" s="9" t="s">
        <v>93</v>
      </c>
      <c r="I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>
      <c r="A47" s="11"/>
      <c r="B47" s="11"/>
      <c r="D47" s="11"/>
      <c r="E47" s="11"/>
      <c r="G47" s="9" t="s">
        <v>94</v>
      </c>
      <c r="I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>
      <c r="A48" s="11"/>
      <c r="B48" s="11"/>
      <c r="D48" s="11"/>
      <c r="E48" s="11"/>
      <c r="G48" s="11"/>
      <c r="I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>
      <c r="A49" s="11"/>
      <c r="B49" s="11"/>
      <c r="D49" s="11"/>
      <c r="E49" s="11"/>
      <c r="G49" s="11"/>
      <c r="I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>
      <c r="A50" s="11"/>
      <c r="B50" s="11"/>
      <c r="D50" s="11"/>
      <c r="E50" s="11"/>
      <c r="G50" s="11"/>
      <c r="I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>
      <c r="A51" s="11"/>
      <c r="B51" s="11"/>
      <c r="D51" s="11"/>
      <c r="E51" s="11"/>
      <c r="G51" s="11"/>
      <c r="I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>
      <c r="A52" s="11"/>
      <c r="B52" s="11"/>
      <c r="D52" s="11"/>
      <c r="E52" s="11"/>
      <c r="G52" s="11"/>
      <c r="I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>
      <c r="A53" s="11"/>
      <c r="B53" s="11"/>
      <c r="D53" s="11"/>
      <c r="E53" s="11"/>
      <c r="G53" s="11"/>
      <c r="I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>
      <c r="A54" s="11"/>
      <c r="B54" s="11"/>
      <c r="D54" s="11"/>
      <c r="E54" s="11"/>
      <c r="G54" s="11"/>
      <c r="I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>
      <c r="A55" s="11"/>
      <c r="B55" s="11"/>
      <c r="D55" s="11"/>
      <c r="E55" s="11"/>
      <c r="G55" s="11"/>
      <c r="I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>
      <c r="A56" s="11"/>
      <c r="B56" s="11"/>
      <c r="D56" s="11"/>
      <c r="E56" s="11"/>
      <c r="G56" s="11"/>
      <c r="I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>
      <c r="A57" s="11"/>
      <c r="B57" s="11"/>
      <c r="D57" s="11"/>
      <c r="E57" s="11"/>
      <c r="G57" s="11"/>
      <c r="I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>
      <c r="A58" s="11"/>
      <c r="B58" s="11"/>
      <c r="D58" s="11"/>
      <c r="E58" s="11"/>
      <c r="G58" s="11"/>
      <c r="I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>
      <c r="A59" s="11"/>
      <c r="B59" s="11"/>
      <c r="D59" s="11"/>
      <c r="E59" s="11"/>
      <c r="G59" s="11"/>
      <c r="I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>
      <c r="A60" s="11"/>
      <c r="B60" s="11"/>
      <c r="D60" s="11"/>
      <c r="E60" s="11"/>
      <c r="G60" s="11"/>
      <c r="I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>
      <c r="A61" s="11"/>
      <c r="B61" s="11"/>
      <c r="D61" s="11"/>
      <c r="E61" s="11"/>
      <c r="G61" s="11"/>
      <c r="I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>
      <c r="A62" s="11"/>
      <c r="B62" s="11"/>
      <c r="D62" s="11"/>
      <c r="E62" s="11"/>
      <c r="G62" s="11"/>
      <c r="I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>
      <c r="A63" s="11"/>
      <c r="B63" s="11"/>
      <c r="D63" s="11"/>
      <c r="E63" s="11"/>
      <c r="G63" s="11"/>
      <c r="I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>
      <c r="A64" s="11"/>
      <c r="B64" s="11"/>
      <c r="D64" s="11"/>
      <c r="E64" s="11"/>
      <c r="G64" s="11"/>
      <c r="I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>
      <c r="A65" s="11"/>
      <c r="B65" s="11"/>
      <c r="D65" s="11"/>
      <c r="E65" s="11"/>
      <c r="G65" s="11"/>
      <c r="I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>
      <c r="A66" s="11"/>
      <c r="B66" s="11"/>
      <c r="D66" s="11"/>
      <c r="E66" s="11"/>
      <c r="G66" s="11"/>
      <c r="I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>
      <c r="A67" s="11"/>
      <c r="B67" s="11"/>
      <c r="D67" s="11"/>
      <c r="E67" s="11"/>
      <c r="G67" s="11"/>
      <c r="I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>
      <c r="A68" s="11"/>
      <c r="B68" s="11"/>
      <c r="D68" s="11"/>
      <c r="E68" s="11"/>
      <c r="G68" s="11"/>
      <c r="I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>
      <c r="A69" s="11"/>
      <c r="B69" s="11"/>
      <c r="D69" s="11"/>
      <c r="E69" s="11"/>
      <c r="G69" s="11"/>
      <c r="I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>
      <c r="A70" s="11"/>
      <c r="B70" s="11"/>
      <c r="D70" s="11"/>
      <c r="E70" s="11"/>
      <c r="G70" s="11"/>
      <c r="I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>
      <c r="A71" s="11"/>
      <c r="B71" s="11"/>
      <c r="D71" s="11"/>
      <c r="E71" s="11"/>
      <c r="G71" s="11"/>
      <c r="I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>
      <c r="A72" s="11"/>
      <c r="B72" s="11"/>
      <c r="D72" s="11"/>
      <c r="E72" s="11"/>
      <c r="G72" s="11"/>
      <c r="I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>
      <c r="A73" s="11"/>
      <c r="B73" s="11"/>
      <c r="D73" s="11"/>
      <c r="E73" s="11"/>
      <c r="G73" s="11"/>
      <c r="I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>
      <c r="A74" s="11"/>
      <c r="B74" s="11"/>
      <c r="D74" s="11"/>
      <c r="E74" s="11"/>
      <c r="G74" s="11"/>
      <c r="I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>
      <c r="A75" s="11"/>
      <c r="B75" s="11"/>
      <c r="D75" s="11"/>
      <c r="E75" s="11"/>
      <c r="G75" s="11"/>
      <c r="I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>
      <c r="A76" s="11"/>
      <c r="B76" s="11"/>
      <c r="D76" s="11"/>
      <c r="E76" s="11"/>
      <c r="G76" s="11"/>
      <c r="I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>
      <c r="A77" s="11"/>
      <c r="B77" s="11"/>
      <c r="D77" s="11"/>
      <c r="E77" s="11"/>
      <c r="G77" s="11"/>
      <c r="I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>
      <c r="A78" s="11"/>
      <c r="B78" s="11"/>
      <c r="D78" s="11"/>
      <c r="E78" s="11"/>
      <c r="G78" s="11"/>
      <c r="I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>
      <c r="A79" s="11"/>
      <c r="B79" s="11"/>
      <c r="D79" s="11"/>
      <c r="E79" s="11"/>
      <c r="G79" s="11"/>
      <c r="I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>
      <c r="A80" s="11"/>
      <c r="B80" s="11"/>
      <c r="D80" s="11"/>
      <c r="E80" s="11"/>
      <c r="G80" s="11"/>
      <c r="I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>
      <c r="A81" s="11"/>
      <c r="B81" s="11"/>
      <c r="D81" s="11"/>
      <c r="E81" s="11"/>
      <c r="G81" s="11"/>
      <c r="I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>
      <c r="A82" s="11"/>
      <c r="B82" s="11"/>
      <c r="D82" s="11"/>
      <c r="E82" s="11"/>
      <c r="G82" s="11"/>
      <c r="I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>
      <c r="A83" s="11"/>
      <c r="B83" s="11"/>
      <c r="D83" s="11"/>
      <c r="E83" s="11"/>
      <c r="G83" s="11"/>
      <c r="I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>
      <c r="A84" s="11"/>
      <c r="B84" s="11"/>
      <c r="D84" s="11"/>
      <c r="E84" s="11"/>
      <c r="G84" s="11"/>
      <c r="I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>
      <c r="A85" s="11"/>
      <c r="B85" s="11"/>
      <c r="D85" s="11"/>
      <c r="E85" s="11"/>
      <c r="G85" s="11"/>
      <c r="I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>
      <c r="A86" s="11"/>
      <c r="B86" s="11"/>
      <c r="D86" s="11"/>
      <c r="E86" s="11"/>
      <c r="G86" s="11"/>
      <c r="I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>
      <c r="A87" s="11"/>
      <c r="B87" s="11"/>
      <c r="D87" s="11"/>
      <c r="E87" s="11"/>
      <c r="G87" s="11"/>
      <c r="I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>
      <c r="A88" s="11"/>
      <c r="B88" s="11"/>
      <c r="D88" s="11"/>
      <c r="E88" s="11"/>
      <c r="G88" s="11"/>
      <c r="I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>
      <c r="A89" s="11"/>
      <c r="B89" s="11"/>
      <c r="D89" s="11"/>
      <c r="E89" s="11"/>
      <c r="G89" s="11"/>
      <c r="I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>
      <c r="A90" s="11"/>
      <c r="B90" s="11"/>
      <c r="D90" s="11"/>
      <c r="E90" s="11"/>
      <c r="G90" s="11"/>
      <c r="I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>
      <c r="A91" s="11"/>
      <c r="B91" s="11"/>
      <c r="D91" s="11"/>
      <c r="E91" s="11"/>
      <c r="G91" s="11"/>
      <c r="I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>
      <c r="A92" s="11"/>
      <c r="B92" s="11"/>
      <c r="D92" s="11"/>
      <c r="E92" s="11"/>
      <c r="G92" s="11"/>
      <c r="I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>
      <c r="A93" s="11"/>
      <c r="B93" s="11"/>
      <c r="D93" s="11"/>
      <c r="E93" s="11"/>
      <c r="G93" s="11"/>
      <c r="I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>
      <c r="A94" s="11"/>
      <c r="B94" s="11"/>
      <c r="D94" s="11"/>
      <c r="E94" s="11"/>
      <c r="G94" s="11"/>
      <c r="I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>
      <c r="A95" s="11"/>
      <c r="B95" s="11"/>
      <c r="D95" s="11"/>
      <c r="E95" s="11"/>
      <c r="G95" s="11"/>
      <c r="I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>
      <c r="A96" s="11"/>
      <c r="B96" s="11"/>
      <c r="D96" s="11"/>
      <c r="E96" s="11"/>
      <c r="G96" s="11"/>
      <c r="I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>
      <c r="A97" s="11"/>
      <c r="B97" s="11"/>
      <c r="D97" s="11"/>
      <c r="E97" s="11"/>
      <c r="G97" s="11"/>
      <c r="I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>
      <c r="A98" s="11"/>
      <c r="B98" s="11"/>
      <c r="D98" s="11"/>
      <c r="E98" s="11"/>
      <c r="G98" s="11"/>
      <c r="I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>
      <c r="A99" s="11"/>
      <c r="B99" s="11"/>
      <c r="D99" s="11"/>
      <c r="E99" s="11"/>
      <c r="G99" s="11"/>
      <c r="I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>
      <c r="A100" s="11"/>
      <c r="B100" s="11"/>
      <c r="D100" s="11"/>
      <c r="E100" s="11"/>
      <c r="G100" s="11"/>
      <c r="I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>
      <c r="A101" s="11"/>
      <c r="B101" s="11"/>
      <c r="D101" s="11"/>
      <c r="E101" s="11"/>
      <c r="G101" s="11"/>
      <c r="I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>
      <c r="A102" s="11"/>
      <c r="B102" s="11"/>
      <c r="D102" s="11"/>
      <c r="E102" s="11"/>
      <c r="G102" s="11"/>
      <c r="I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>
      <c r="A103" s="11"/>
      <c r="B103" s="11"/>
      <c r="D103" s="11"/>
      <c r="E103" s="11"/>
      <c r="G103" s="11"/>
      <c r="I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>
      <c r="A104" s="11"/>
      <c r="B104" s="11"/>
      <c r="D104" s="11"/>
      <c r="E104" s="11"/>
      <c r="G104" s="11"/>
      <c r="I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>
      <c r="A105" s="11"/>
      <c r="B105" s="11"/>
      <c r="D105" s="11"/>
      <c r="E105" s="11"/>
      <c r="G105" s="11"/>
      <c r="I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>
      <c r="A106" s="11"/>
      <c r="B106" s="11"/>
      <c r="D106" s="11"/>
      <c r="E106" s="11"/>
      <c r="G106" s="11"/>
      <c r="I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>
      <c r="A107" s="11"/>
      <c r="B107" s="11"/>
      <c r="D107" s="11"/>
      <c r="E107" s="11"/>
      <c r="G107" s="11"/>
      <c r="I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>
      <c r="A108" s="11"/>
      <c r="B108" s="11"/>
      <c r="D108" s="11"/>
      <c r="E108" s="11"/>
      <c r="G108" s="11"/>
      <c r="I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>
      <c r="A109" s="11"/>
      <c r="B109" s="11"/>
      <c r="D109" s="11"/>
      <c r="E109" s="11"/>
      <c r="G109" s="11"/>
      <c r="I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>
      <c r="A110" s="11"/>
      <c r="B110" s="11"/>
      <c r="D110" s="11"/>
      <c r="E110" s="11"/>
      <c r="G110" s="11"/>
      <c r="I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>
      <c r="A111" s="11"/>
      <c r="B111" s="11"/>
      <c r="D111" s="11"/>
      <c r="E111" s="11"/>
      <c r="G111" s="11"/>
      <c r="I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>
      <c r="A112" s="11"/>
      <c r="B112" s="11"/>
      <c r="D112" s="11"/>
      <c r="E112" s="11"/>
      <c r="G112" s="11"/>
      <c r="I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>
      <c r="A113" s="11"/>
      <c r="B113" s="11"/>
      <c r="D113" s="11"/>
      <c r="E113" s="11"/>
      <c r="G113" s="11"/>
      <c r="I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>
      <c r="A114" s="11"/>
      <c r="B114" s="11"/>
      <c r="D114" s="11"/>
      <c r="E114" s="11"/>
      <c r="G114" s="11"/>
      <c r="I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>
      <c r="A115" s="11"/>
      <c r="B115" s="11"/>
      <c r="D115" s="11"/>
      <c r="E115" s="11"/>
      <c r="G115" s="11"/>
      <c r="I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>
      <c r="A116" s="11"/>
      <c r="B116" s="11"/>
      <c r="D116" s="11"/>
      <c r="E116" s="11"/>
      <c r="G116" s="11"/>
      <c r="I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>
      <c r="A117" s="11"/>
      <c r="B117" s="11"/>
      <c r="D117" s="11"/>
      <c r="E117" s="11"/>
      <c r="G117" s="11"/>
      <c r="I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>
      <c r="A118" s="11"/>
      <c r="B118" s="11"/>
      <c r="D118" s="11"/>
      <c r="E118" s="11"/>
      <c r="G118" s="11"/>
      <c r="I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>
      <c r="A119" s="11"/>
      <c r="B119" s="11"/>
      <c r="D119" s="11"/>
      <c r="E119" s="11"/>
      <c r="G119" s="11"/>
      <c r="I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>
      <c r="A120" s="11"/>
      <c r="B120" s="11"/>
      <c r="D120" s="11"/>
      <c r="E120" s="11"/>
      <c r="G120" s="11"/>
      <c r="I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>
      <c r="A121" s="11"/>
      <c r="B121" s="11"/>
      <c r="D121" s="11"/>
      <c r="E121" s="11"/>
      <c r="G121" s="11"/>
      <c r="I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>
      <c r="A122" s="11"/>
      <c r="B122" s="11"/>
      <c r="D122" s="11"/>
      <c r="E122" s="11"/>
      <c r="G122" s="11"/>
      <c r="I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>
      <c r="A123" s="11"/>
      <c r="B123" s="11"/>
      <c r="D123" s="11"/>
      <c r="E123" s="11"/>
      <c r="G123" s="11"/>
      <c r="I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>
      <c r="A124" s="11"/>
      <c r="B124" s="11"/>
      <c r="D124" s="11"/>
      <c r="E124" s="11"/>
      <c r="G124" s="11"/>
      <c r="I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>
      <c r="A125" s="11"/>
      <c r="B125" s="11"/>
      <c r="D125" s="11"/>
      <c r="E125" s="11"/>
      <c r="G125" s="11"/>
      <c r="I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>
      <c r="A126" s="11"/>
      <c r="B126" s="11"/>
      <c r="D126" s="11"/>
      <c r="E126" s="11"/>
      <c r="G126" s="11"/>
      <c r="I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>
      <c r="A127" s="11"/>
      <c r="B127" s="11"/>
      <c r="D127" s="11"/>
      <c r="E127" s="11"/>
      <c r="G127" s="11"/>
      <c r="I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>
      <c r="A128" s="11"/>
      <c r="B128" s="11"/>
      <c r="D128" s="11"/>
      <c r="E128" s="11"/>
      <c r="G128" s="11"/>
      <c r="I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>
      <c r="A129" s="11"/>
      <c r="B129" s="11"/>
      <c r="D129" s="11"/>
      <c r="E129" s="11"/>
      <c r="G129" s="11"/>
      <c r="I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>
      <c r="A130" s="11"/>
      <c r="B130" s="11"/>
      <c r="D130" s="11"/>
      <c r="E130" s="11"/>
      <c r="G130" s="11"/>
      <c r="I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>
      <c r="A131" s="11"/>
      <c r="B131" s="11"/>
      <c r="D131" s="11"/>
      <c r="E131" s="11"/>
      <c r="G131" s="11"/>
      <c r="I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>
      <c r="A132" s="11"/>
      <c r="B132" s="11"/>
      <c r="D132" s="11"/>
      <c r="E132" s="11"/>
      <c r="G132" s="11"/>
      <c r="I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>
      <c r="A133" s="11"/>
      <c r="B133" s="11"/>
      <c r="D133" s="11"/>
      <c r="E133" s="11"/>
      <c r="G133" s="11"/>
      <c r="I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>
      <c r="A134" s="11"/>
      <c r="B134" s="11"/>
      <c r="D134" s="11"/>
      <c r="E134" s="11"/>
      <c r="G134" s="11"/>
      <c r="I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>
      <c r="A135" s="11"/>
      <c r="B135" s="11"/>
      <c r="D135" s="11"/>
      <c r="E135" s="11"/>
      <c r="G135" s="11"/>
      <c r="I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>
      <c r="A136" s="11"/>
      <c r="B136" s="11"/>
      <c r="D136" s="11"/>
      <c r="E136" s="11"/>
      <c r="G136" s="11"/>
      <c r="I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>
      <c r="A137" s="11"/>
      <c r="B137" s="11"/>
      <c r="D137" s="11"/>
      <c r="E137" s="11"/>
      <c r="G137" s="11"/>
      <c r="I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>
      <c r="A138" s="11"/>
      <c r="B138" s="11"/>
      <c r="D138" s="11"/>
      <c r="E138" s="11"/>
      <c r="G138" s="11"/>
      <c r="I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>
      <c r="A139" s="11"/>
      <c r="B139" s="11"/>
      <c r="D139" s="11"/>
      <c r="E139" s="11"/>
      <c r="G139" s="11"/>
      <c r="I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>
      <c r="A140" s="11"/>
      <c r="B140" s="11"/>
      <c r="D140" s="11"/>
      <c r="E140" s="11"/>
      <c r="G140" s="11"/>
      <c r="I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>
      <c r="A141" s="11"/>
      <c r="B141" s="11"/>
      <c r="D141" s="11"/>
      <c r="E141" s="11"/>
      <c r="G141" s="11"/>
      <c r="I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>
      <c r="A142" s="11"/>
      <c r="B142" s="11"/>
      <c r="D142" s="11"/>
      <c r="E142" s="11"/>
      <c r="G142" s="11"/>
      <c r="I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>
      <c r="A143" s="11"/>
      <c r="B143" s="11"/>
      <c r="D143" s="11"/>
      <c r="E143" s="11"/>
      <c r="G143" s="11"/>
      <c r="I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>
      <c r="A144" s="11"/>
      <c r="B144" s="11"/>
      <c r="D144" s="11"/>
      <c r="E144" s="11"/>
      <c r="G144" s="11"/>
      <c r="I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>
      <c r="A145" s="11"/>
      <c r="B145" s="11"/>
      <c r="D145" s="11"/>
      <c r="E145" s="11"/>
      <c r="G145" s="11"/>
      <c r="I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>
      <c r="A146" s="11"/>
      <c r="B146" s="11"/>
      <c r="D146" s="11"/>
      <c r="E146" s="11"/>
      <c r="G146" s="11"/>
      <c r="I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>
      <c r="A147" s="11"/>
      <c r="B147" s="11"/>
      <c r="D147" s="11"/>
      <c r="E147" s="11"/>
      <c r="G147" s="11"/>
      <c r="I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>
      <c r="A148" s="11"/>
      <c r="B148" s="11"/>
      <c r="D148" s="11"/>
      <c r="E148" s="11"/>
      <c r="G148" s="11"/>
      <c r="I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>
      <c r="A149" s="11"/>
      <c r="B149" s="11"/>
      <c r="D149" s="11"/>
      <c r="E149" s="11"/>
      <c r="G149" s="11"/>
      <c r="I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>
      <c r="A150" s="11"/>
      <c r="B150" s="11"/>
      <c r="D150" s="11"/>
      <c r="E150" s="11"/>
      <c r="G150" s="11"/>
      <c r="I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>
      <c r="A151" s="11"/>
      <c r="B151" s="11"/>
      <c r="D151" s="11"/>
      <c r="E151" s="11"/>
      <c r="G151" s="11"/>
      <c r="I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>
      <c r="A152" s="11"/>
      <c r="B152" s="11"/>
      <c r="D152" s="11"/>
      <c r="E152" s="11"/>
      <c r="G152" s="11"/>
      <c r="I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>
      <c r="A153" s="11"/>
      <c r="B153" s="11"/>
      <c r="D153" s="11"/>
      <c r="E153" s="11"/>
      <c r="G153" s="11"/>
      <c r="I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>
      <c r="A154" s="11"/>
      <c r="B154" s="11"/>
      <c r="D154" s="11"/>
      <c r="E154" s="11"/>
      <c r="G154" s="11"/>
      <c r="I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>
      <c r="A155" s="11"/>
      <c r="B155" s="11"/>
      <c r="D155" s="11"/>
      <c r="E155" s="11"/>
      <c r="G155" s="11"/>
      <c r="I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>
      <c r="A156" s="11"/>
      <c r="B156" s="11"/>
      <c r="D156" s="11"/>
      <c r="E156" s="11"/>
      <c r="G156" s="11"/>
      <c r="I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>
      <c r="A157" s="11"/>
      <c r="B157" s="11"/>
      <c r="D157" s="11"/>
      <c r="E157" s="11"/>
      <c r="G157" s="11"/>
      <c r="I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>
      <c r="A158" s="11"/>
      <c r="B158" s="11"/>
      <c r="D158" s="11"/>
      <c r="E158" s="11"/>
      <c r="G158" s="11"/>
      <c r="I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>
      <c r="A159" s="11"/>
      <c r="B159" s="11"/>
      <c r="D159" s="11"/>
      <c r="E159" s="11"/>
      <c r="G159" s="11"/>
      <c r="I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>
      <c r="A160" s="11"/>
      <c r="B160" s="11"/>
      <c r="D160" s="11"/>
      <c r="E160" s="11"/>
      <c r="G160" s="11"/>
      <c r="I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>
      <c r="A161" s="11"/>
      <c r="B161" s="11"/>
      <c r="D161" s="11"/>
      <c r="E161" s="11"/>
      <c r="G161" s="11"/>
      <c r="I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>
      <c r="A162" s="11"/>
      <c r="B162" s="11"/>
      <c r="D162" s="11"/>
      <c r="E162" s="11"/>
      <c r="G162" s="11"/>
      <c r="I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>
      <c r="A163" s="11"/>
      <c r="B163" s="11"/>
      <c r="D163" s="11"/>
      <c r="E163" s="11"/>
      <c r="G163" s="11"/>
      <c r="I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>
      <c r="A164" s="11"/>
      <c r="B164" s="11"/>
      <c r="D164" s="11"/>
      <c r="E164" s="11"/>
      <c r="G164" s="11"/>
      <c r="I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>
      <c r="A165" s="11"/>
      <c r="B165" s="11"/>
      <c r="D165" s="11"/>
      <c r="E165" s="11"/>
      <c r="G165" s="11"/>
      <c r="I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>
      <c r="A166" s="11"/>
      <c r="B166" s="11"/>
      <c r="D166" s="11"/>
      <c r="E166" s="11"/>
      <c r="G166" s="11"/>
      <c r="I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>
      <c r="A167" s="11"/>
      <c r="B167" s="11"/>
      <c r="D167" s="11"/>
      <c r="E167" s="11"/>
      <c r="G167" s="11"/>
      <c r="I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>
      <c r="A168" s="11"/>
      <c r="B168" s="11"/>
      <c r="D168" s="11"/>
      <c r="E168" s="11"/>
      <c r="G168" s="11"/>
      <c r="I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>
      <c r="A169" s="11"/>
      <c r="B169" s="11"/>
      <c r="D169" s="11"/>
      <c r="E169" s="11"/>
      <c r="G169" s="11"/>
      <c r="I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>
      <c r="A170" s="11"/>
      <c r="B170" s="11"/>
      <c r="D170" s="11"/>
      <c r="E170" s="11"/>
      <c r="G170" s="11"/>
      <c r="I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>
      <c r="A171" s="11"/>
      <c r="B171" s="11"/>
      <c r="D171" s="11"/>
      <c r="E171" s="11"/>
      <c r="G171" s="11"/>
      <c r="I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>
      <c r="A172" s="11"/>
      <c r="B172" s="11"/>
      <c r="D172" s="11"/>
      <c r="E172" s="11"/>
      <c r="G172" s="11"/>
      <c r="I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>
      <c r="A173" s="11"/>
      <c r="B173" s="11"/>
      <c r="D173" s="11"/>
      <c r="E173" s="11"/>
      <c r="G173" s="11"/>
      <c r="I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>
      <c r="A174" s="11"/>
      <c r="B174" s="11"/>
      <c r="D174" s="11"/>
      <c r="E174" s="11"/>
      <c r="G174" s="11"/>
      <c r="I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>
      <c r="A175" s="11"/>
      <c r="B175" s="11"/>
      <c r="D175" s="11"/>
      <c r="E175" s="11"/>
      <c r="G175" s="11"/>
      <c r="I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>
      <c r="A176" s="11"/>
      <c r="B176" s="11"/>
      <c r="D176" s="11"/>
      <c r="E176" s="11"/>
      <c r="G176" s="11"/>
      <c r="I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>
      <c r="A177" s="11"/>
      <c r="B177" s="11"/>
      <c r="D177" s="11"/>
      <c r="E177" s="11"/>
      <c r="G177" s="11"/>
      <c r="I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>
      <c r="A178" s="11"/>
      <c r="B178" s="11"/>
      <c r="D178" s="11"/>
      <c r="E178" s="11"/>
      <c r="G178" s="11"/>
      <c r="I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>
      <c r="A179" s="11"/>
      <c r="B179" s="11"/>
      <c r="D179" s="11"/>
      <c r="E179" s="11"/>
      <c r="G179" s="11"/>
      <c r="I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>
      <c r="A180" s="11"/>
      <c r="B180" s="11"/>
      <c r="D180" s="11"/>
      <c r="E180" s="11"/>
      <c r="G180" s="11"/>
      <c r="I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>
      <c r="A181" s="11"/>
      <c r="B181" s="11"/>
      <c r="D181" s="11"/>
      <c r="E181" s="11"/>
      <c r="G181" s="11"/>
      <c r="I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>
      <c r="A182" s="11"/>
      <c r="B182" s="11"/>
      <c r="D182" s="11"/>
      <c r="E182" s="11"/>
      <c r="G182" s="11"/>
      <c r="I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>
      <c r="A183" s="11"/>
      <c r="B183" s="11"/>
      <c r="D183" s="11"/>
      <c r="E183" s="11"/>
      <c r="G183" s="11"/>
      <c r="I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>
      <c r="A184" s="11"/>
      <c r="B184" s="11"/>
      <c r="D184" s="11"/>
      <c r="E184" s="11"/>
      <c r="G184" s="11"/>
      <c r="I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>
      <c r="A185" s="11"/>
      <c r="B185" s="11"/>
      <c r="D185" s="11"/>
      <c r="E185" s="11"/>
      <c r="G185" s="11"/>
      <c r="I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>
      <c r="A186" s="11"/>
      <c r="B186" s="11"/>
      <c r="D186" s="11"/>
      <c r="E186" s="11"/>
      <c r="G186" s="11"/>
      <c r="I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>
      <c r="A187" s="11"/>
      <c r="B187" s="11"/>
      <c r="D187" s="11"/>
      <c r="E187" s="11"/>
      <c r="G187" s="11"/>
      <c r="I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>
      <c r="A188" s="11"/>
      <c r="B188" s="11"/>
      <c r="D188" s="11"/>
      <c r="E188" s="11"/>
      <c r="G188" s="11"/>
      <c r="I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>
      <c r="A189" s="11"/>
      <c r="B189" s="11"/>
      <c r="D189" s="11"/>
      <c r="E189" s="11"/>
      <c r="G189" s="11"/>
      <c r="I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>
      <c r="A190" s="11"/>
      <c r="B190" s="11"/>
      <c r="D190" s="11"/>
      <c r="E190" s="11"/>
      <c r="G190" s="11"/>
      <c r="I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>
      <c r="A191" s="11"/>
      <c r="B191" s="11"/>
      <c r="D191" s="11"/>
      <c r="E191" s="11"/>
      <c r="G191" s="11"/>
      <c r="I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>
      <c r="A192" s="11"/>
      <c r="B192" s="11"/>
      <c r="D192" s="11"/>
      <c r="E192" s="11"/>
      <c r="G192" s="11"/>
      <c r="I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>
      <c r="A193" s="11"/>
      <c r="B193" s="11"/>
      <c r="D193" s="11"/>
      <c r="E193" s="11"/>
      <c r="G193" s="11"/>
      <c r="I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>
      <c r="A194" s="11"/>
      <c r="B194" s="11"/>
      <c r="D194" s="11"/>
      <c r="E194" s="11"/>
      <c r="G194" s="11"/>
      <c r="I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>
      <c r="A195" s="11"/>
      <c r="B195" s="11"/>
      <c r="D195" s="11"/>
      <c r="E195" s="11"/>
      <c r="G195" s="11"/>
      <c r="I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>
      <c r="A196" s="11"/>
      <c r="B196" s="11"/>
      <c r="D196" s="11"/>
      <c r="E196" s="11"/>
      <c r="G196" s="11"/>
      <c r="I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>
      <c r="A197" s="11"/>
      <c r="B197" s="11"/>
      <c r="D197" s="11"/>
      <c r="E197" s="11"/>
      <c r="G197" s="11"/>
      <c r="I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>
      <c r="A198" s="11"/>
      <c r="B198" s="11"/>
      <c r="D198" s="11"/>
      <c r="E198" s="11"/>
      <c r="G198" s="11"/>
      <c r="I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>
      <c r="A199" s="11"/>
      <c r="B199" s="11"/>
      <c r="D199" s="11"/>
      <c r="E199" s="11"/>
      <c r="G199" s="11"/>
      <c r="I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>
      <c r="A200" s="11"/>
      <c r="B200" s="11"/>
      <c r="D200" s="11"/>
      <c r="E200" s="11"/>
      <c r="G200" s="11"/>
      <c r="I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>
      <c r="A201" s="11"/>
      <c r="B201" s="11"/>
      <c r="D201" s="11"/>
      <c r="E201" s="11"/>
      <c r="G201" s="11"/>
      <c r="I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>
      <c r="A202" s="11"/>
      <c r="B202" s="11"/>
      <c r="D202" s="11"/>
      <c r="E202" s="11"/>
      <c r="G202" s="11"/>
      <c r="I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>
      <c r="A203" s="11"/>
      <c r="B203" s="11"/>
      <c r="D203" s="11"/>
      <c r="E203" s="11"/>
      <c r="G203" s="11"/>
      <c r="I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>
      <c r="A204" s="11"/>
      <c r="B204" s="11"/>
      <c r="D204" s="11"/>
      <c r="E204" s="11"/>
      <c r="G204" s="11"/>
      <c r="I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>
      <c r="A205" s="11"/>
      <c r="B205" s="11"/>
      <c r="D205" s="11"/>
      <c r="E205" s="11"/>
      <c r="G205" s="11"/>
      <c r="I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>
      <c r="A206" s="11"/>
      <c r="B206" s="11"/>
      <c r="D206" s="11"/>
      <c r="E206" s="11"/>
      <c r="G206" s="11"/>
      <c r="I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>
      <c r="A207" s="11"/>
      <c r="B207" s="11"/>
      <c r="D207" s="11"/>
      <c r="E207" s="11"/>
      <c r="G207" s="11"/>
      <c r="I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>
      <c r="A208" s="11"/>
      <c r="B208" s="11"/>
      <c r="D208" s="11"/>
      <c r="E208" s="11"/>
      <c r="G208" s="11"/>
      <c r="I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>
      <c r="A209" s="11"/>
      <c r="B209" s="11"/>
      <c r="D209" s="11"/>
      <c r="E209" s="11"/>
      <c r="G209" s="11"/>
      <c r="I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>
      <c r="A210" s="11"/>
      <c r="B210" s="11"/>
      <c r="D210" s="11"/>
      <c r="E210" s="11"/>
      <c r="G210" s="11"/>
      <c r="I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>
      <c r="A211" s="11"/>
      <c r="B211" s="11"/>
      <c r="D211" s="11"/>
      <c r="E211" s="11"/>
      <c r="G211" s="11"/>
      <c r="I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>
      <c r="A212" s="11"/>
      <c r="B212" s="11"/>
      <c r="D212" s="11"/>
      <c r="E212" s="11"/>
      <c r="G212" s="11"/>
      <c r="I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>
      <c r="A213" s="11"/>
      <c r="B213" s="11"/>
      <c r="D213" s="11"/>
      <c r="E213" s="11"/>
      <c r="G213" s="11"/>
      <c r="I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>
      <c r="A214" s="11"/>
      <c r="B214" s="11"/>
      <c r="D214" s="11"/>
      <c r="E214" s="11"/>
      <c r="G214" s="11"/>
      <c r="I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>
      <c r="A215" s="11"/>
      <c r="B215" s="11"/>
      <c r="D215" s="11"/>
      <c r="E215" s="11"/>
      <c r="G215" s="11"/>
      <c r="I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>
      <c r="A216" s="11"/>
      <c r="B216" s="11"/>
      <c r="D216" s="11"/>
      <c r="E216" s="11"/>
      <c r="G216" s="11"/>
      <c r="I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>
      <c r="A217" s="11"/>
      <c r="B217" s="11"/>
      <c r="D217" s="11"/>
      <c r="E217" s="11"/>
      <c r="G217" s="11"/>
      <c r="I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>
      <c r="A218" s="11"/>
      <c r="B218" s="11"/>
      <c r="D218" s="11"/>
      <c r="E218" s="11"/>
      <c r="G218" s="11"/>
      <c r="I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>
      <c r="A219" s="11"/>
      <c r="B219" s="11"/>
      <c r="D219" s="11"/>
      <c r="E219" s="11"/>
      <c r="G219" s="11"/>
      <c r="I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>
      <c r="A220" s="11"/>
      <c r="B220" s="11"/>
      <c r="D220" s="11"/>
      <c r="E220" s="11"/>
      <c r="G220" s="11"/>
      <c r="I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>
      <c r="A221" s="11"/>
      <c r="B221" s="11"/>
      <c r="D221" s="11"/>
      <c r="E221" s="11"/>
      <c r="G221" s="11"/>
      <c r="I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>
      <c r="A222" s="11"/>
      <c r="B222" s="11"/>
      <c r="D222" s="11"/>
      <c r="E222" s="11"/>
      <c r="G222" s="11"/>
      <c r="I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>
      <c r="A223" s="11"/>
      <c r="B223" s="11"/>
      <c r="D223" s="11"/>
      <c r="E223" s="11"/>
      <c r="G223" s="11"/>
      <c r="I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>
      <c r="A224" s="11"/>
      <c r="B224" s="11"/>
      <c r="D224" s="11"/>
      <c r="E224" s="11"/>
      <c r="G224" s="11"/>
      <c r="I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>
      <c r="A225" s="11"/>
      <c r="B225" s="11"/>
      <c r="D225" s="11"/>
      <c r="E225" s="11"/>
      <c r="G225" s="11"/>
      <c r="I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>
      <c r="A226" s="11"/>
      <c r="B226" s="11"/>
      <c r="D226" s="11"/>
      <c r="E226" s="11"/>
      <c r="G226" s="11"/>
      <c r="I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>
      <c r="A227" s="11"/>
      <c r="B227" s="11"/>
      <c r="D227" s="11"/>
      <c r="E227" s="11"/>
      <c r="G227" s="11"/>
      <c r="I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>
      <c r="A228" s="11"/>
      <c r="B228" s="11"/>
      <c r="D228" s="11"/>
      <c r="E228" s="11"/>
      <c r="G228" s="11"/>
      <c r="I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>
      <c r="A229" s="11"/>
      <c r="B229" s="11"/>
      <c r="D229" s="11"/>
      <c r="E229" s="11"/>
      <c r="G229" s="11"/>
      <c r="I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>
      <c r="A230" s="11"/>
      <c r="B230" s="11"/>
      <c r="D230" s="11"/>
      <c r="E230" s="11"/>
      <c r="G230" s="11"/>
      <c r="I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>
      <c r="A231" s="11"/>
      <c r="B231" s="11"/>
      <c r="D231" s="11"/>
      <c r="E231" s="11"/>
      <c r="G231" s="11"/>
      <c r="I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>
      <c r="A232" s="11"/>
      <c r="B232" s="11"/>
      <c r="D232" s="11"/>
      <c r="E232" s="11"/>
      <c r="G232" s="11"/>
      <c r="I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>
      <c r="A233" s="11"/>
      <c r="B233" s="11"/>
      <c r="D233" s="11"/>
      <c r="E233" s="11"/>
      <c r="G233" s="11"/>
      <c r="I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>
      <c r="A234" s="11"/>
      <c r="B234" s="11"/>
      <c r="D234" s="11"/>
      <c r="E234" s="11"/>
      <c r="G234" s="11"/>
      <c r="I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>
      <c r="A235" s="11"/>
      <c r="B235" s="11"/>
      <c r="D235" s="11"/>
      <c r="E235" s="11"/>
      <c r="G235" s="11"/>
      <c r="I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>
      <c r="A236" s="11"/>
      <c r="B236" s="11"/>
      <c r="D236" s="11"/>
      <c r="E236" s="11"/>
      <c r="G236" s="11"/>
      <c r="I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>
      <c r="A237" s="11"/>
      <c r="B237" s="11"/>
      <c r="D237" s="11"/>
      <c r="E237" s="11"/>
      <c r="G237" s="11"/>
      <c r="I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>
      <c r="A238" s="11"/>
      <c r="B238" s="11"/>
      <c r="D238" s="11"/>
      <c r="E238" s="11"/>
      <c r="G238" s="11"/>
      <c r="I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>
      <c r="A239" s="11"/>
      <c r="B239" s="11"/>
      <c r="D239" s="11"/>
      <c r="E239" s="11"/>
      <c r="G239" s="11"/>
      <c r="I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>
      <c r="A240" s="11"/>
      <c r="B240" s="11"/>
      <c r="D240" s="11"/>
      <c r="E240" s="11"/>
      <c r="G240" s="11"/>
      <c r="I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>
      <c r="A241" s="11"/>
      <c r="B241" s="11"/>
      <c r="D241" s="11"/>
      <c r="E241" s="11"/>
      <c r="G241" s="11"/>
      <c r="I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>
      <c r="A242" s="11"/>
      <c r="B242" s="11"/>
      <c r="D242" s="11"/>
      <c r="E242" s="11"/>
      <c r="G242" s="11"/>
      <c r="I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>
      <c r="A243" s="11"/>
      <c r="B243" s="11"/>
      <c r="D243" s="11"/>
      <c r="E243" s="11"/>
      <c r="G243" s="11"/>
      <c r="I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>
      <c r="A244" s="11"/>
      <c r="B244" s="11"/>
      <c r="D244" s="11"/>
      <c r="E244" s="11"/>
      <c r="G244" s="11"/>
      <c r="I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>
      <c r="A245" s="11"/>
      <c r="B245" s="11"/>
      <c r="D245" s="11"/>
      <c r="E245" s="11"/>
      <c r="G245" s="11"/>
      <c r="I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>
      <c r="A246" s="11"/>
      <c r="B246" s="11"/>
      <c r="D246" s="11"/>
      <c r="E246" s="11"/>
      <c r="G246" s="11"/>
      <c r="I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>
      <c r="A247" s="11"/>
      <c r="B247" s="11"/>
      <c r="D247" s="11"/>
      <c r="E247" s="11"/>
      <c r="G247" s="11"/>
      <c r="I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>
      <c r="A248" s="11"/>
      <c r="B248" s="11"/>
      <c r="D248" s="11"/>
      <c r="E248" s="11"/>
      <c r="G248" s="11"/>
      <c r="I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>
      <c r="A249" s="11"/>
      <c r="B249" s="11"/>
      <c r="D249" s="11"/>
      <c r="E249" s="11"/>
      <c r="G249" s="11"/>
      <c r="I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>
      <c r="A250" s="11"/>
      <c r="B250" s="11"/>
      <c r="D250" s="11"/>
      <c r="E250" s="11"/>
      <c r="G250" s="11"/>
      <c r="I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>
      <c r="A251" s="11"/>
      <c r="B251" s="11"/>
      <c r="D251" s="11"/>
      <c r="E251" s="11"/>
      <c r="G251" s="11"/>
      <c r="I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>
      <c r="A252" s="11"/>
      <c r="B252" s="11"/>
      <c r="D252" s="11"/>
      <c r="E252" s="11"/>
      <c r="G252" s="11"/>
      <c r="I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>
      <c r="A253" s="11"/>
      <c r="B253" s="11"/>
      <c r="D253" s="11"/>
      <c r="E253" s="11"/>
      <c r="G253" s="11"/>
      <c r="I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>
      <c r="A254" s="11"/>
      <c r="B254" s="11"/>
      <c r="D254" s="11"/>
      <c r="E254" s="11"/>
      <c r="G254" s="11"/>
      <c r="I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>
      <c r="A255" s="11"/>
      <c r="B255" s="11"/>
      <c r="D255" s="11"/>
      <c r="E255" s="11"/>
      <c r="G255" s="11"/>
      <c r="I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>
      <c r="A256" s="11"/>
      <c r="B256" s="11"/>
      <c r="D256" s="11"/>
      <c r="E256" s="11"/>
      <c r="G256" s="11"/>
      <c r="I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>
      <c r="A257" s="11"/>
      <c r="B257" s="11"/>
      <c r="D257" s="11"/>
      <c r="E257" s="11"/>
      <c r="G257" s="11"/>
      <c r="I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>
      <c r="A258" s="11"/>
      <c r="B258" s="11"/>
      <c r="D258" s="11"/>
      <c r="E258" s="11"/>
      <c r="G258" s="11"/>
      <c r="I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>
      <c r="A259" s="11"/>
      <c r="B259" s="11"/>
      <c r="D259" s="11"/>
      <c r="E259" s="11"/>
      <c r="G259" s="11"/>
      <c r="I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>
      <c r="A260" s="11"/>
      <c r="B260" s="11"/>
      <c r="D260" s="11"/>
      <c r="E260" s="11"/>
      <c r="G260" s="11"/>
      <c r="I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>
      <c r="A261" s="11"/>
      <c r="B261" s="11"/>
      <c r="D261" s="11"/>
      <c r="E261" s="11"/>
      <c r="G261" s="11"/>
      <c r="I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>
      <c r="A262" s="11"/>
      <c r="B262" s="11"/>
      <c r="D262" s="11"/>
      <c r="E262" s="11"/>
      <c r="G262" s="11"/>
      <c r="I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>
      <c r="A263" s="11"/>
      <c r="B263" s="11"/>
      <c r="D263" s="11"/>
      <c r="E263" s="11"/>
      <c r="G263" s="11"/>
      <c r="I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>
      <c r="A264" s="11"/>
      <c r="B264" s="11"/>
      <c r="D264" s="11"/>
      <c r="E264" s="11"/>
      <c r="G264" s="11"/>
      <c r="I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>
      <c r="A265" s="11"/>
      <c r="B265" s="11"/>
      <c r="D265" s="11"/>
      <c r="E265" s="11"/>
      <c r="G265" s="11"/>
      <c r="I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>
      <c r="A266" s="11"/>
      <c r="B266" s="11"/>
      <c r="D266" s="11"/>
      <c r="E266" s="11"/>
      <c r="G266" s="11"/>
      <c r="I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>
      <c r="A267" s="11"/>
      <c r="B267" s="11"/>
      <c r="D267" s="11"/>
      <c r="E267" s="11"/>
      <c r="G267" s="11"/>
      <c r="I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>
      <c r="A268" s="11"/>
      <c r="B268" s="11"/>
      <c r="D268" s="11"/>
      <c r="E268" s="11"/>
      <c r="G268" s="11"/>
      <c r="I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>
      <c r="A269" s="11"/>
      <c r="B269" s="11"/>
      <c r="D269" s="11"/>
      <c r="E269" s="11"/>
      <c r="G269" s="11"/>
      <c r="I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>
      <c r="A270" s="11"/>
      <c r="B270" s="11"/>
      <c r="D270" s="11"/>
      <c r="E270" s="11"/>
      <c r="G270" s="11"/>
      <c r="I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>
      <c r="A271" s="11"/>
      <c r="B271" s="11"/>
      <c r="D271" s="11"/>
      <c r="E271" s="11"/>
      <c r="G271" s="11"/>
      <c r="I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>
      <c r="A272" s="11"/>
      <c r="B272" s="11"/>
      <c r="D272" s="11"/>
      <c r="E272" s="11"/>
      <c r="G272" s="11"/>
      <c r="I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>
      <c r="A273" s="11"/>
      <c r="B273" s="11"/>
      <c r="D273" s="11"/>
      <c r="E273" s="11"/>
      <c r="G273" s="11"/>
      <c r="I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>
      <c r="A274" s="11"/>
      <c r="B274" s="11"/>
      <c r="D274" s="11"/>
      <c r="E274" s="11"/>
      <c r="G274" s="11"/>
      <c r="I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>
      <c r="A275" s="11"/>
      <c r="B275" s="11"/>
      <c r="D275" s="11"/>
      <c r="E275" s="11"/>
      <c r="G275" s="11"/>
      <c r="I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>
      <c r="A276" s="11"/>
      <c r="B276" s="11"/>
      <c r="D276" s="11"/>
      <c r="E276" s="11"/>
      <c r="G276" s="11"/>
      <c r="I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>
      <c r="A277" s="11"/>
      <c r="B277" s="11"/>
      <c r="D277" s="11"/>
      <c r="E277" s="11"/>
      <c r="G277" s="11"/>
      <c r="I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>
      <c r="A278" s="11"/>
      <c r="B278" s="11"/>
      <c r="D278" s="11"/>
      <c r="E278" s="11"/>
      <c r="G278" s="11"/>
      <c r="I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>
      <c r="A279" s="11"/>
      <c r="B279" s="11"/>
      <c r="D279" s="11"/>
      <c r="E279" s="11"/>
      <c r="G279" s="11"/>
      <c r="I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>
      <c r="A280" s="11"/>
      <c r="B280" s="11"/>
      <c r="D280" s="11"/>
      <c r="E280" s="11"/>
      <c r="G280" s="11"/>
      <c r="I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>
      <c r="A281" s="11"/>
      <c r="B281" s="11"/>
      <c r="D281" s="11"/>
      <c r="E281" s="11"/>
      <c r="G281" s="11"/>
      <c r="I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>
      <c r="A282" s="11"/>
      <c r="B282" s="11"/>
      <c r="D282" s="11"/>
      <c r="E282" s="11"/>
      <c r="G282" s="11"/>
      <c r="I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>
      <c r="A283" s="11"/>
      <c r="B283" s="11"/>
      <c r="D283" s="11"/>
      <c r="E283" s="11"/>
      <c r="G283" s="11"/>
      <c r="I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>
      <c r="A284" s="11"/>
      <c r="B284" s="11"/>
      <c r="D284" s="11"/>
      <c r="E284" s="11"/>
      <c r="G284" s="11"/>
      <c r="I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>
      <c r="A285" s="11"/>
      <c r="B285" s="11"/>
      <c r="D285" s="11"/>
      <c r="E285" s="11"/>
      <c r="G285" s="11"/>
      <c r="I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>
      <c r="A286" s="11"/>
      <c r="B286" s="11"/>
      <c r="D286" s="11"/>
      <c r="E286" s="11"/>
      <c r="G286" s="11"/>
      <c r="I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>
      <c r="A287" s="11"/>
      <c r="B287" s="11"/>
      <c r="D287" s="11"/>
      <c r="E287" s="11"/>
      <c r="G287" s="11"/>
      <c r="I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>
      <c r="A288" s="11"/>
      <c r="B288" s="11"/>
      <c r="D288" s="11"/>
      <c r="E288" s="11"/>
      <c r="G288" s="11"/>
      <c r="I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>
      <c r="A289" s="11"/>
      <c r="B289" s="11"/>
      <c r="D289" s="11"/>
      <c r="E289" s="11"/>
      <c r="G289" s="11"/>
      <c r="I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>
      <c r="A290" s="11"/>
      <c r="B290" s="11"/>
      <c r="D290" s="11"/>
      <c r="E290" s="11"/>
      <c r="G290" s="11"/>
      <c r="I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>
      <c r="A291" s="11"/>
      <c r="B291" s="11"/>
      <c r="D291" s="11"/>
      <c r="E291" s="11"/>
      <c r="G291" s="11"/>
      <c r="I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>
      <c r="A292" s="11"/>
      <c r="B292" s="11"/>
      <c r="D292" s="11"/>
      <c r="E292" s="11"/>
      <c r="G292" s="11"/>
      <c r="I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>
      <c r="A293" s="11"/>
      <c r="B293" s="11"/>
      <c r="D293" s="11"/>
      <c r="E293" s="11"/>
      <c r="G293" s="11"/>
      <c r="I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>
      <c r="A294" s="11"/>
      <c r="B294" s="11"/>
      <c r="D294" s="11"/>
      <c r="E294" s="11"/>
      <c r="G294" s="11"/>
      <c r="I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>
      <c r="A295" s="11"/>
      <c r="B295" s="11"/>
      <c r="D295" s="11"/>
      <c r="E295" s="11"/>
      <c r="G295" s="11"/>
      <c r="I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>
      <c r="A296" s="11"/>
      <c r="B296" s="11"/>
      <c r="D296" s="11"/>
      <c r="E296" s="11"/>
      <c r="G296" s="11"/>
      <c r="I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>
      <c r="A297" s="11"/>
      <c r="B297" s="11"/>
      <c r="D297" s="11"/>
      <c r="E297" s="11"/>
      <c r="G297" s="11"/>
      <c r="I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>
      <c r="A298" s="11"/>
      <c r="B298" s="11"/>
      <c r="D298" s="11"/>
      <c r="E298" s="11"/>
      <c r="G298" s="11"/>
      <c r="I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>
      <c r="A299" s="11"/>
      <c r="B299" s="11"/>
      <c r="D299" s="11"/>
      <c r="E299" s="11"/>
      <c r="G299" s="11"/>
      <c r="I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>
      <c r="A300" s="11"/>
      <c r="B300" s="11"/>
      <c r="D300" s="11"/>
      <c r="E300" s="11"/>
      <c r="G300" s="11"/>
      <c r="I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>
      <c r="A301" s="11"/>
      <c r="B301" s="11"/>
      <c r="D301" s="11"/>
      <c r="E301" s="11"/>
      <c r="G301" s="11"/>
      <c r="I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>
      <c r="A302" s="11"/>
      <c r="B302" s="11"/>
      <c r="D302" s="11"/>
      <c r="E302" s="11"/>
      <c r="G302" s="11"/>
      <c r="I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>
      <c r="A303" s="11"/>
      <c r="B303" s="11"/>
      <c r="D303" s="11"/>
      <c r="E303" s="11"/>
      <c r="G303" s="11"/>
      <c r="I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>
      <c r="A304" s="11"/>
      <c r="B304" s="11"/>
      <c r="D304" s="11"/>
      <c r="E304" s="11"/>
      <c r="G304" s="11"/>
      <c r="I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>
      <c r="A305" s="11"/>
      <c r="B305" s="11"/>
      <c r="D305" s="11"/>
      <c r="E305" s="11"/>
      <c r="G305" s="11"/>
      <c r="I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>
      <c r="A306" s="11"/>
      <c r="B306" s="11"/>
      <c r="D306" s="11"/>
      <c r="E306" s="11"/>
      <c r="G306" s="11"/>
      <c r="I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>
      <c r="A307" s="11"/>
      <c r="B307" s="11"/>
      <c r="D307" s="11"/>
      <c r="E307" s="11"/>
      <c r="G307" s="11"/>
      <c r="I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>
      <c r="A308" s="11"/>
      <c r="B308" s="11"/>
      <c r="D308" s="11"/>
      <c r="E308" s="11"/>
      <c r="G308" s="11"/>
      <c r="I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>
      <c r="A309" s="11"/>
      <c r="B309" s="11"/>
      <c r="D309" s="11"/>
      <c r="E309" s="11"/>
      <c r="G309" s="11"/>
      <c r="I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>
      <c r="A310" s="11"/>
      <c r="B310" s="11"/>
      <c r="D310" s="11"/>
      <c r="E310" s="11"/>
      <c r="G310" s="11"/>
      <c r="I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>
      <c r="A311" s="11"/>
      <c r="B311" s="11"/>
      <c r="D311" s="11"/>
      <c r="E311" s="11"/>
      <c r="G311" s="11"/>
      <c r="I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>
      <c r="A312" s="11"/>
      <c r="B312" s="11"/>
      <c r="D312" s="11"/>
      <c r="E312" s="11"/>
      <c r="G312" s="11"/>
      <c r="I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>
      <c r="A313" s="11"/>
      <c r="B313" s="11"/>
      <c r="D313" s="11"/>
      <c r="E313" s="11"/>
      <c r="G313" s="11"/>
      <c r="I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>
      <c r="A314" s="11"/>
      <c r="B314" s="11"/>
      <c r="D314" s="11"/>
      <c r="E314" s="11"/>
      <c r="G314" s="11"/>
      <c r="I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>
      <c r="A315" s="11"/>
      <c r="B315" s="11"/>
      <c r="D315" s="11"/>
      <c r="E315" s="11"/>
      <c r="G315" s="11"/>
      <c r="I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>
      <c r="A316" s="11"/>
      <c r="B316" s="11"/>
      <c r="D316" s="11"/>
      <c r="E316" s="11"/>
      <c r="G316" s="11"/>
      <c r="I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>
      <c r="A317" s="11"/>
      <c r="B317" s="11"/>
      <c r="D317" s="11"/>
      <c r="E317" s="11"/>
      <c r="G317" s="11"/>
      <c r="I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>
      <c r="A318" s="11"/>
      <c r="B318" s="11"/>
      <c r="D318" s="11"/>
      <c r="E318" s="11"/>
      <c r="G318" s="11"/>
      <c r="I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>
      <c r="A319" s="11"/>
      <c r="B319" s="11"/>
      <c r="D319" s="11"/>
      <c r="E319" s="11"/>
      <c r="G319" s="11"/>
      <c r="I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>
      <c r="A320" s="11"/>
      <c r="B320" s="11"/>
      <c r="D320" s="11"/>
      <c r="E320" s="11"/>
      <c r="G320" s="11"/>
      <c r="I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>
      <c r="A321" s="11"/>
      <c r="B321" s="11"/>
      <c r="D321" s="11"/>
      <c r="E321" s="11"/>
      <c r="G321" s="11"/>
      <c r="I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>
      <c r="A322" s="11"/>
      <c r="B322" s="11"/>
      <c r="D322" s="11"/>
      <c r="E322" s="11"/>
      <c r="G322" s="11"/>
      <c r="I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>
      <c r="A323" s="11"/>
      <c r="B323" s="11"/>
      <c r="D323" s="11"/>
      <c r="E323" s="11"/>
      <c r="G323" s="11"/>
      <c r="I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>
      <c r="A324" s="11"/>
      <c r="B324" s="11"/>
      <c r="D324" s="11"/>
      <c r="E324" s="11"/>
      <c r="G324" s="11"/>
      <c r="I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>
      <c r="A325" s="11"/>
      <c r="B325" s="11"/>
      <c r="D325" s="11"/>
      <c r="E325" s="11"/>
      <c r="G325" s="11"/>
      <c r="I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>
      <c r="A326" s="11"/>
      <c r="B326" s="11"/>
      <c r="D326" s="11"/>
      <c r="E326" s="11"/>
      <c r="G326" s="11"/>
      <c r="I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>
      <c r="A327" s="11"/>
      <c r="B327" s="11"/>
      <c r="D327" s="11"/>
      <c r="E327" s="11"/>
      <c r="G327" s="11"/>
      <c r="I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>
      <c r="A328" s="11"/>
      <c r="B328" s="11"/>
      <c r="D328" s="11"/>
      <c r="E328" s="11"/>
      <c r="G328" s="11"/>
      <c r="I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>
      <c r="A329" s="11"/>
      <c r="B329" s="11"/>
      <c r="D329" s="11"/>
      <c r="E329" s="11"/>
      <c r="G329" s="11"/>
      <c r="I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>
      <c r="A330" s="11"/>
      <c r="B330" s="11"/>
      <c r="D330" s="11"/>
      <c r="E330" s="11"/>
      <c r="G330" s="11"/>
      <c r="I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>
      <c r="A331" s="11"/>
      <c r="B331" s="11"/>
      <c r="D331" s="11"/>
      <c r="E331" s="11"/>
      <c r="G331" s="11"/>
      <c r="I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>
      <c r="A332" s="11"/>
      <c r="B332" s="11"/>
      <c r="D332" s="11"/>
      <c r="E332" s="11"/>
      <c r="G332" s="11"/>
      <c r="I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>
      <c r="A333" s="11"/>
      <c r="B333" s="11"/>
      <c r="D333" s="11"/>
      <c r="E333" s="11"/>
      <c r="G333" s="11"/>
      <c r="I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>
      <c r="A334" s="11"/>
      <c r="B334" s="11"/>
      <c r="D334" s="11"/>
      <c r="E334" s="11"/>
      <c r="G334" s="11"/>
      <c r="I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>
      <c r="A335" s="11"/>
      <c r="B335" s="11"/>
      <c r="D335" s="11"/>
      <c r="E335" s="11"/>
      <c r="G335" s="11"/>
      <c r="I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>
      <c r="A336" s="11"/>
      <c r="B336" s="11"/>
      <c r="D336" s="11"/>
      <c r="E336" s="11"/>
      <c r="G336" s="11"/>
      <c r="I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>
      <c r="A337" s="11"/>
      <c r="B337" s="11"/>
      <c r="D337" s="11"/>
      <c r="E337" s="11"/>
      <c r="G337" s="11"/>
      <c r="I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>
      <c r="A338" s="11"/>
      <c r="B338" s="11"/>
      <c r="D338" s="11"/>
      <c r="E338" s="11"/>
      <c r="G338" s="11"/>
      <c r="I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>
      <c r="A339" s="11"/>
      <c r="B339" s="11"/>
      <c r="D339" s="11"/>
      <c r="E339" s="11"/>
      <c r="G339" s="11"/>
      <c r="I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>
      <c r="A340" s="11"/>
      <c r="B340" s="11"/>
      <c r="D340" s="11"/>
      <c r="E340" s="11"/>
      <c r="G340" s="11"/>
      <c r="I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>
      <c r="A341" s="11"/>
      <c r="B341" s="11"/>
      <c r="D341" s="11"/>
      <c r="E341" s="11"/>
      <c r="G341" s="11"/>
      <c r="I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>
      <c r="A342" s="11"/>
      <c r="B342" s="11"/>
      <c r="D342" s="11"/>
      <c r="E342" s="11"/>
      <c r="G342" s="11"/>
      <c r="I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>
      <c r="A343" s="11"/>
      <c r="B343" s="11"/>
      <c r="D343" s="11"/>
      <c r="E343" s="11"/>
      <c r="G343" s="11"/>
      <c r="I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>
      <c r="A344" s="11"/>
      <c r="B344" s="11"/>
      <c r="D344" s="11"/>
      <c r="E344" s="11"/>
      <c r="G344" s="11"/>
      <c r="I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>
      <c r="A345" s="11"/>
      <c r="B345" s="11"/>
      <c r="D345" s="11"/>
      <c r="E345" s="11"/>
      <c r="G345" s="11"/>
      <c r="I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>
      <c r="A346" s="11"/>
      <c r="B346" s="11"/>
      <c r="D346" s="11"/>
      <c r="E346" s="11"/>
      <c r="G346" s="11"/>
      <c r="I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>
      <c r="A347" s="11"/>
      <c r="B347" s="11"/>
      <c r="D347" s="11"/>
      <c r="E347" s="11"/>
      <c r="G347" s="11"/>
      <c r="I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>
      <c r="A348" s="11"/>
      <c r="B348" s="11"/>
      <c r="D348" s="11"/>
      <c r="E348" s="11"/>
      <c r="G348" s="11"/>
      <c r="I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>
      <c r="A349" s="11"/>
      <c r="B349" s="11"/>
      <c r="D349" s="11"/>
      <c r="E349" s="11"/>
      <c r="G349" s="11"/>
      <c r="I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>
      <c r="A350" s="11"/>
      <c r="B350" s="11"/>
      <c r="D350" s="11"/>
      <c r="E350" s="11"/>
      <c r="G350" s="11"/>
      <c r="I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>
      <c r="A351" s="11"/>
      <c r="B351" s="11"/>
      <c r="D351" s="11"/>
      <c r="E351" s="11"/>
      <c r="G351" s="11"/>
      <c r="I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>
      <c r="A352" s="11"/>
      <c r="B352" s="11"/>
      <c r="D352" s="11"/>
      <c r="E352" s="11"/>
      <c r="G352" s="11"/>
      <c r="I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>
      <c r="A353" s="11"/>
      <c r="B353" s="11"/>
      <c r="D353" s="11"/>
      <c r="E353" s="11"/>
      <c r="G353" s="11"/>
      <c r="I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>
      <c r="A354" s="11"/>
      <c r="B354" s="11"/>
      <c r="D354" s="11"/>
      <c r="E354" s="11"/>
      <c r="G354" s="11"/>
      <c r="I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>
      <c r="A355" s="11"/>
      <c r="B355" s="11"/>
      <c r="D355" s="11"/>
      <c r="E355" s="11"/>
      <c r="G355" s="11"/>
      <c r="I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>
      <c r="A356" s="11"/>
      <c r="B356" s="11"/>
      <c r="D356" s="11"/>
      <c r="E356" s="11"/>
      <c r="G356" s="11"/>
      <c r="I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>
      <c r="A357" s="11"/>
      <c r="B357" s="11"/>
      <c r="D357" s="11"/>
      <c r="E357" s="11"/>
      <c r="G357" s="11"/>
      <c r="I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>
      <c r="A358" s="11"/>
      <c r="B358" s="11"/>
      <c r="D358" s="11"/>
      <c r="E358" s="11"/>
      <c r="G358" s="11"/>
      <c r="I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>
      <c r="A359" s="11"/>
      <c r="B359" s="11"/>
      <c r="D359" s="11"/>
      <c r="E359" s="11"/>
      <c r="G359" s="11"/>
      <c r="I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>
      <c r="A360" s="11"/>
      <c r="B360" s="11"/>
      <c r="D360" s="11"/>
      <c r="E360" s="11"/>
      <c r="G360" s="11"/>
      <c r="I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>
      <c r="A361" s="11"/>
      <c r="B361" s="11"/>
      <c r="D361" s="11"/>
      <c r="E361" s="11"/>
      <c r="G361" s="11"/>
      <c r="I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>
      <c r="A362" s="11"/>
      <c r="B362" s="11"/>
      <c r="D362" s="11"/>
      <c r="E362" s="11"/>
      <c r="G362" s="11"/>
      <c r="I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>
      <c r="A363" s="11"/>
      <c r="B363" s="11"/>
      <c r="D363" s="11"/>
      <c r="E363" s="11"/>
      <c r="G363" s="11"/>
      <c r="I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>
      <c r="A364" s="11"/>
      <c r="B364" s="11"/>
      <c r="D364" s="11"/>
      <c r="E364" s="11"/>
      <c r="G364" s="11"/>
      <c r="I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>
      <c r="A365" s="11"/>
      <c r="B365" s="11"/>
      <c r="D365" s="11"/>
      <c r="E365" s="11"/>
      <c r="G365" s="11"/>
      <c r="I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>
      <c r="A366" s="11"/>
      <c r="B366" s="11"/>
      <c r="D366" s="11"/>
      <c r="E366" s="11"/>
      <c r="G366" s="11"/>
      <c r="I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>
      <c r="A367" s="11"/>
      <c r="B367" s="11"/>
      <c r="D367" s="11"/>
      <c r="E367" s="11"/>
      <c r="G367" s="11"/>
      <c r="I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>
      <c r="A368" s="11"/>
      <c r="B368" s="11"/>
      <c r="D368" s="11"/>
      <c r="E368" s="11"/>
      <c r="G368" s="11"/>
      <c r="I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>
      <c r="A369" s="11"/>
      <c r="B369" s="11"/>
      <c r="D369" s="11"/>
      <c r="E369" s="11"/>
      <c r="G369" s="11"/>
      <c r="I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>
      <c r="A370" s="11"/>
      <c r="B370" s="11"/>
      <c r="D370" s="11"/>
      <c r="E370" s="11"/>
      <c r="G370" s="11"/>
      <c r="I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>
      <c r="A371" s="11"/>
      <c r="B371" s="11"/>
      <c r="D371" s="11"/>
      <c r="E371" s="11"/>
      <c r="G371" s="11"/>
      <c r="I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>
      <c r="A372" s="11"/>
      <c r="B372" s="11"/>
      <c r="D372" s="11"/>
      <c r="E372" s="11"/>
      <c r="G372" s="11"/>
      <c r="I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>
      <c r="A373" s="11"/>
      <c r="B373" s="11"/>
      <c r="D373" s="11"/>
      <c r="E373" s="11"/>
      <c r="G373" s="11"/>
      <c r="I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>
      <c r="A374" s="11"/>
      <c r="B374" s="11"/>
      <c r="D374" s="11"/>
      <c r="E374" s="11"/>
      <c r="G374" s="11"/>
      <c r="I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>
      <c r="A375" s="11"/>
      <c r="B375" s="11"/>
      <c r="D375" s="11"/>
      <c r="E375" s="11"/>
      <c r="G375" s="11"/>
      <c r="I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>
      <c r="A376" s="11"/>
      <c r="B376" s="11"/>
      <c r="D376" s="11"/>
      <c r="E376" s="11"/>
      <c r="G376" s="11"/>
      <c r="I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>
      <c r="A377" s="11"/>
      <c r="B377" s="11"/>
      <c r="D377" s="11"/>
      <c r="E377" s="11"/>
      <c r="G377" s="11"/>
      <c r="I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>
      <c r="A378" s="11"/>
      <c r="B378" s="11"/>
      <c r="D378" s="11"/>
      <c r="E378" s="11"/>
      <c r="G378" s="11"/>
      <c r="I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>
      <c r="A379" s="11"/>
      <c r="B379" s="11"/>
      <c r="D379" s="11"/>
      <c r="E379" s="11"/>
      <c r="G379" s="11"/>
      <c r="I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>
      <c r="A380" s="11"/>
      <c r="B380" s="11"/>
      <c r="D380" s="11"/>
      <c r="E380" s="11"/>
      <c r="G380" s="11"/>
      <c r="I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>
      <c r="A381" s="11"/>
      <c r="B381" s="11"/>
      <c r="D381" s="11"/>
      <c r="E381" s="11"/>
      <c r="G381" s="11"/>
      <c r="I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>
      <c r="A382" s="11"/>
      <c r="B382" s="11"/>
      <c r="D382" s="11"/>
      <c r="E382" s="11"/>
      <c r="G382" s="11"/>
      <c r="I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>
      <c r="A383" s="11"/>
      <c r="B383" s="11"/>
      <c r="D383" s="11"/>
      <c r="E383" s="11"/>
      <c r="G383" s="11"/>
      <c r="I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>
      <c r="A384" s="11"/>
      <c r="B384" s="11"/>
      <c r="D384" s="11"/>
      <c r="E384" s="11"/>
      <c r="G384" s="11"/>
      <c r="I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>
      <c r="A385" s="11"/>
      <c r="B385" s="11"/>
      <c r="D385" s="11"/>
      <c r="E385" s="11"/>
      <c r="G385" s="11"/>
      <c r="I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>
      <c r="A386" s="11"/>
      <c r="B386" s="11"/>
      <c r="D386" s="11"/>
      <c r="E386" s="11"/>
      <c r="G386" s="11"/>
      <c r="I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>
      <c r="A387" s="11"/>
      <c r="B387" s="11"/>
      <c r="D387" s="11"/>
      <c r="E387" s="11"/>
      <c r="G387" s="11"/>
      <c r="I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>
      <c r="A388" s="11"/>
      <c r="B388" s="11"/>
      <c r="D388" s="11"/>
      <c r="E388" s="11"/>
      <c r="G388" s="11"/>
      <c r="I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>
      <c r="A389" s="11"/>
      <c r="B389" s="11"/>
      <c r="D389" s="11"/>
      <c r="E389" s="11"/>
      <c r="G389" s="11"/>
      <c r="I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>
      <c r="A390" s="11"/>
      <c r="B390" s="11"/>
      <c r="D390" s="11"/>
      <c r="E390" s="11"/>
      <c r="G390" s="11"/>
      <c r="I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>
      <c r="A391" s="11"/>
      <c r="B391" s="11"/>
      <c r="D391" s="11"/>
      <c r="E391" s="11"/>
      <c r="G391" s="11"/>
      <c r="I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>
      <c r="A392" s="11"/>
      <c r="B392" s="11"/>
      <c r="D392" s="11"/>
      <c r="E392" s="11"/>
      <c r="G392" s="11"/>
      <c r="I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>
      <c r="A393" s="11"/>
      <c r="B393" s="11"/>
      <c r="D393" s="11"/>
      <c r="E393" s="11"/>
      <c r="G393" s="11"/>
      <c r="I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>
      <c r="A394" s="11"/>
      <c r="B394" s="11"/>
      <c r="D394" s="11"/>
      <c r="E394" s="11"/>
      <c r="G394" s="11"/>
      <c r="I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>
      <c r="A395" s="11"/>
      <c r="B395" s="11"/>
      <c r="D395" s="11"/>
      <c r="E395" s="11"/>
      <c r="G395" s="11"/>
      <c r="I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>
      <c r="A396" s="11"/>
      <c r="B396" s="11"/>
      <c r="D396" s="11"/>
      <c r="E396" s="11"/>
      <c r="G396" s="11"/>
      <c r="I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>
      <c r="A397" s="11"/>
      <c r="B397" s="11"/>
      <c r="D397" s="11"/>
      <c r="E397" s="11"/>
      <c r="G397" s="11"/>
      <c r="I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>
      <c r="A398" s="11"/>
      <c r="B398" s="11"/>
      <c r="D398" s="11"/>
      <c r="E398" s="11"/>
      <c r="G398" s="11"/>
      <c r="I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>
      <c r="A399" s="11"/>
      <c r="B399" s="11"/>
      <c r="D399" s="11"/>
      <c r="E399" s="11"/>
      <c r="G399" s="11"/>
      <c r="I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>
      <c r="A400" s="11"/>
      <c r="B400" s="11"/>
      <c r="D400" s="11"/>
      <c r="E400" s="11"/>
      <c r="G400" s="11"/>
      <c r="I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>
      <c r="A401" s="11"/>
      <c r="B401" s="11"/>
      <c r="D401" s="11"/>
      <c r="E401" s="11"/>
      <c r="G401" s="11"/>
      <c r="I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>
      <c r="A402" s="11"/>
      <c r="B402" s="11"/>
      <c r="D402" s="11"/>
      <c r="E402" s="11"/>
      <c r="G402" s="11"/>
      <c r="I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>
      <c r="A403" s="11"/>
      <c r="B403" s="11"/>
      <c r="D403" s="11"/>
      <c r="E403" s="11"/>
      <c r="G403" s="11"/>
      <c r="I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>
      <c r="A404" s="11"/>
      <c r="B404" s="11"/>
      <c r="D404" s="11"/>
      <c r="E404" s="11"/>
      <c r="G404" s="11"/>
      <c r="I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>
      <c r="A405" s="11"/>
      <c r="B405" s="11"/>
      <c r="D405" s="11"/>
      <c r="E405" s="11"/>
      <c r="G405" s="11"/>
      <c r="I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>
      <c r="A406" s="11"/>
      <c r="B406" s="11"/>
      <c r="D406" s="11"/>
      <c r="E406" s="11"/>
      <c r="G406" s="11"/>
      <c r="I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>
      <c r="A407" s="11"/>
      <c r="B407" s="11"/>
      <c r="D407" s="11"/>
      <c r="E407" s="11"/>
      <c r="G407" s="11"/>
      <c r="I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>
      <c r="A408" s="11"/>
      <c r="B408" s="11"/>
      <c r="D408" s="11"/>
      <c r="E408" s="11"/>
      <c r="G408" s="11"/>
      <c r="I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>
      <c r="A409" s="11"/>
      <c r="B409" s="11"/>
      <c r="D409" s="11"/>
      <c r="E409" s="11"/>
      <c r="G409" s="11"/>
      <c r="I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>
      <c r="A410" s="11"/>
      <c r="B410" s="11"/>
      <c r="D410" s="11"/>
      <c r="E410" s="11"/>
      <c r="G410" s="11"/>
      <c r="I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>
      <c r="A411" s="11"/>
      <c r="B411" s="11"/>
      <c r="D411" s="11"/>
      <c r="E411" s="11"/>
      <c r="G411" s="11"/>
      <c r="I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>
      <c r="A412" s="11"/>
      <c r="B412" s="11"/>
      <c r="D412" s="11"/>
      <c r="E412" s="11"/>
      <c r="G412" s="11"/>
      <c r="I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>
      <c r="A413" s="11"/>
      <c r="B413" s="11"/>
      <c r="D413" s="11"/>
      <c r="E413" s="11"/>
      <c r="G413" s="11"/>
      <c r="I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>
      <c r="A414" s="11"/>
      <c r="B414" s="11"/>
      <c r="D414" s="11"/>
      <c r="E414" s="11"/>
      <c r="G414" s="11"/>
      <c r="I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>
      <c r="A415" s="11"/>
      <c r="B415" s="11"/>
      <c r="D415" s="11"/>
      <c r="E415" s="11"/>
      <c r="G415" s="11"/>
      <c r="I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>
      <c r="A416" s="11"/>
      <c r="B416" s="11"/>
      <c r="D416" s="11"/>
      <c r="E416" s="11"/>
      <c r="G416" s="11"/>
      <c r="I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>
      <c r="A417" s="11"/>
      <c r="B417" s="11"/>
      <c r="D417" s="11"/>
      <c r="E417" s="11"/>
      <c r="G417" s="11"/>
      <c r="I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>
      <c r="A418" s="11"/>
      <c r="B418" s="11"/>
      <c r="D418" s="11"/>
      <c r="E418" s="11"/>
      <c r="G418" s="11"/>
      <c r="I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>
      <c r="A419" s="11"/>
      <c r="B419" s="11"/>
      <c r="D419" s="11"/>
      <c r="E419" s="11"/>
      <c r="G419" s="11"/>
      <c r="I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>
      <c r="A420" s="11"/>
      <c r="B420" s="11"/>
      <c r="D420" s="11"/>
      <c r="E420" s="11"/>
      <c r="G420" s="11"/>
      <c r="I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>
      <c r="A421" s="11"/>
      <c r="B421" s="11"/>
      <c r="D421" s="11"/>
      <c r="E421" s="11"/>
      <c r="G421" s="11"/>
      <c r="I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>
      <c r="A422" s="11"/>
      <c r="B422" s="11"/>
      <c r="D422" s="11"/>
      <c r="E422" s="11"/>
      <c r="G422" s="11"/>
      <c r="I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>
      <c r="A423" s="11"/>
      <c r="B423" s="11"/>
      <c r="D423" s="11"/>
      <c r="E423" s="11"/>
      <c r="G423" s="11"/>
      <c r="I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>
      <c r="A424" s="11"/>
      <c r="B424" s="11"/>
      <c r="D424" s="11"/>
      <c r="E424" s="11"/>
      <c r="G424" s="11"/>
      <c r="I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>
      <c r="A425" s="11"/>
      <c r="B425" s="11"/>
      <c r="D425" s="11"/>
      <c r="E425" s="11"/>
      <c r="G425" s="11"/>
      <c r="I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>
      <c r="A426" s="11"/>
      <c r="B426" s="11"/>
      <c r="D426" s="11"/>
      <c r="E426" s="11"/>
      <c r="G426" s="11"/>
      <c r="I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>
      <c r="A427" s="11"/>
      <c r="B427" s="11"/>
      <c r="D427" s="11"/>
      <c r="E427" s="11"/>
      <c r="G427" s="11"/>
      <c r="I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>
      <c r="A428" s="11"/>
      <c r="B428" s="11"/>
      <c r="D428" s="11"/>
      <c r="E428" s="11"/>
      <c r="G428" s="11"/>
      <c r="I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>
      <c r="A429" s="11"/>
      <c r="B429" s="11"/>
      <c r="D429" s="11"/>
      <c r="E429" s="11"/>
      <c r="G429" s="11"/>
      <c r="I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>
      <c r="A430" s="11"/>
      <c r="B430" s="11"/>
      <c r="D430" s="11"/>
      <c r="E430" s="11"/>
      <c r="G430" s="11"/>
      <c r="I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>
      <c r="A431" s="11"/>
      <c r="B431" s="11"/>
      <c r="D431" s="11"/>
      <c r="E431" s="11"/>
      <c r="G431" s="11"/>
      <c r="I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>
      <c r="A432" s="11"/>
      <c r="B432" s="11"/>
      <c r="D432" s="11"/>
      <c r="E432" s="11"/>
      <c r="G432" s="11"/>
      <c r="I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>
      <c r="A433" s="11"/>
      <c r="B433" s="11"/>
      <c r="D433" s="11"/>
      <c r="E433" s="11"/>
      <c r="G433" s="11"/>
      <c r="I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>
      <c r="A434" s="11"/>
      <c r="B434" s="11"/>
      <c r="D434" s="11"/>
      <c r="E434" s="11"/>
      <c r="G434" s="11"/>
      <c r="I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>
      <c r="A435" s="11"/>
      <c r="B435" s="11"/>
      <c r="D435" s="11"/>
      <c r="E435" s="11"/>
      <c r="G435" s="11"/>
      <c r="I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>
      <c r="A436" s="11"/>
      <c r="B436" s="11"/>
      <c r="D436" s="11"/>
      <c r="E436" s="11"/>
      <c r="G436" s="11"/>
      <c r="I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>
      <c r="A437" s="11"/>
      <c r="B437" s="11"/>
      <c r="D437" s="11"/>
      <c r="E437" s="11"/>
      <c r="G437" s="11"/>
      <c r="I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>
      <c r="A438" s="11"/>
      <c r="B438" s="11"/>
      <c r="D438" s="11"/>
      <c r="E438" s="11"/>
      <c r="G438" s="11"/>
      <c r="I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>
      <c r="A439" s="11"/>
      <c r="B439" s="11"/>
      <c r="D439" s="11"/>
      <c r="E439" s="11"/>
      <c r="G439" s="11"/>
      <c r="I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>
      <c r="A440" s="11"/>
      <c r="B440" s="11"/>
      <c r="D440" s="11"/>
      <c r="E440" s="11"/>
      <c r="G440" s="11"/>
      <c r="I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>
      <c r="A441" s="11"/>
      <c r="B441" s="11"/>
      <c r="D441" s="11"/>
      <c r="E441" s="11"/>
      <c r="G441" s="11"/>
      <c r="I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>
      <c r="A442" s="11"/>
      <c r="B442" s="11"/>
      <c r="D442" s="11"/>
      <c r="E442" s="11"/>
      <c r="G442" s="11"/>
      <c r="I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>
      <c r="A443" s="11"/>
      <c r="B443" s="11"/>
      <c r="D443" s="11"/>
      <c r="E443" s="11"/>
      <c r="G443" s="11"/>
      <c r="I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>
      <c r="A444" s="11"/>
      <c r="B444" s="11"/>
      <c r="D444" s="11"/>
      <c r="E444" s="11"/>
      <c r="G444" s="11"/>
      <c r="I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>
      <c r="A445" s="11"/>
      <c r="B445" s="11"/>
      <c r="D445" s="11"/>
      <c r="E445" s="11"/>
      <c r="G445" s="11"/>
      <c r="I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>
      <c r="A446" s="11"/>
      <c r="B446" s="11"/>
      <c r="D446" s="11"/>
      <c r="E446" s="11"/>
      <c r="G446" s="11"/>
      <c r="I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>
      <c r="A447" s="11"/>
      <c r="B447" s="11"/>
      <c r="D447" s="11"/>
      <c r="E447" s="11"/>
      <c r="G447" s="11"/>
      <c r="I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>
      <c r="A448" s="11"/>
      <c r="B448" s="11"/>
      <c r="D448" s="11"/>
      <c r="E448" s="11"/>
      <c r="G448" s="11"/>
      <c r="I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>
      <c r="A449" s="11"/>
      <c r="B449" s="11"/>
      <c r="D449" s="11"/>
      <c r="E449" s="11"/>
      <c r="G449" s="11"/>
      <c r="I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>
      <c r="A450" s="11"/>
      <c r="B450" s="11"/>
      <c r="D450" s="11"/>
      <c r="E450" s="11"/>
      <c r="G450" s="11"/>
      <c r="I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>
      <c r="A451" s="11"/>
      <c r="B451" s="11"/>
      <c r="D451" s="11"/>
      <c r="E451" s="11"/>
      <c r="G451" s="11"/>
      <c r="I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>
      <c r="A452" s="11"/>
      <c r="B452" s="11"/>
      <c r="D452" s="11"/>
      <c r="E452" s="11"/>
      <c r="G452" s="11"/>
      <c r="I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>
      <c r="A453" s="11"/>
      <c r="B453" s="11"/>
      <c r="D453" s="11"/>
      <c r="E453" s="11"/>
      <c r="G453" s="11"/>
      <c r="I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>
      <c r="A454" s="11"/>
      <c r="B454" s="11"/>
      <c r="D454" s="11"/>
      <c r="E454" s="11"/>
      <c r="G454" s="11"/>
      <c r="I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>
      <c r="A455" s="11"/>
      <c r="B455" s="11"/>
      <c r="D455" s="11"/>
      <c r="E455" s="11"/>
      <c r="G455" s="11"/>
      <c r="I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>
      <c r="A456" s="11"/>
      <c r="B456" s="11"/>
      <c r="D456" s="11"/>
      <c r="E456" s="11"/>
      <c r="G456" s="11"/>
      <c r="I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>
      <c r="A457" s="11"/>
      <c r="B457" s="11"/>
      <c r="D457" s="11"/>
      <c r="E457" s="11"/>
      <c r="G457" s="11"/>
      <c r="I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>
      <c r="A458" s="11"/>
      <c r="B458" s="11"/>
      <c r="D458" s="11"/>
      <c r="E458" s="11"/>
      <c r="G458" s="11"/>
      <c r="I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>
      <c r="A459" s="11"/>
      <c r="B459" s="11"/>
      <c r="D459" s="11"/>
      <c r="E459" s="11"/>
      <c r="G459" s="11"/>
      <c r="I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>
      <c r="A460" s="11"/>
      <c r="B460" s="11"/>
      <c r="D460" s="11"/>
      <c r="E460" s="11"/>
      <c r="G460" s="11"/>
      <c r="I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>
      <c r="A461" s="11"/>
      <c r="B461" s="11"/>
      <c r="D461" s="11"/>
      <c r="E461" s="11"/>
      <c r="G461" s="11"/>
      <c r="I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>
      <c r="A462" s="11"/>
      <c r="B462" s="11"/>
      <c r="D462" s="11"/>
      <c r="E462" s="11"/>
      <c r="G462" s="11"/>
      <c r="I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>
      <c r="A463" s="11"/>
      <c r="B463" s="11"/>
      <c r="D463" s="11"/>
      <c r="E463" s="11"/>
      <c r="G463" s="11"/>
      <c r="I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>
      <c r="A464" s="11"/>
      <c r="B464" s="11"/>
      <c r="D464" s="11"/>
      <c r="E464" s="11"/>
      <c r="G464" s="11"/>
      <c r="I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>
      <c r="A465" s="11"/>
      <c r="B465" s="11"/>
      <c r="D465" s="11"/>
      <c r="E465" s="11"/>
      <c r="G465" s="11"/>
      <c r="I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>
      <c r="A466" s="11"/>
      <c r="B466" s="11"/>
      <c r="D466" s="11"/>
      <c r="E466" s="11"/>
      <c r="G466" s="11"/>
      <c r="I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>
      <c r="A467" s="11"/>
      <c r="B467" s="11"/>
      <c r="D467" s="11"/>
      <c r="E467" s="11"/>
      <c r="G467" s="11"/>
      <c r="I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>
      <c r="A468" s="11"/>
      <c r="B468" s="11"/>
      <c r="D468" s="11"/>
      <c r="E468" s="11"/>
      <c r="G468" s="11"/>
      <c r="I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>
      <c r="A469" s="11"/>
      <c r="B469" s="11"/>
      <c r="D469" s="11"/>
      <c r="E469" s="11"/>
      <c r="G469" s="11"/>
      <c r="I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>
      <c r="A470" s="11"/>
      <c r="B470" s="11"/>
      <c r="D470" s="11"/>
      <c r="E470" s="11"/>
      <c r="G470" s="11"/>
      <c r="I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>
      <c r="A471" s="11"/>
      <c r="B471" s="11"/>
      <c r="D471" s="11"/>
      <c r="E471" s="11"/>
      <c r="G471" s="11"/>
      <c r="I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>
      <c r="A472" s="11"/>
      <c r="B472" s="11"/>
      <c r="D472" s="11"/>
      <c r="E472" s="11"/>
      <c r="G472" s="11"/>
      <c r="I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>
      <c r="A473" s="11"/>
      <c r="B473" s="11"/>
      <c r="D473" s="11"/>
      <c r="E473" s="11"/>
      <c r="G473" s="11"/>
      <c r="I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>
      <c r="A474" s="11"/>
      <c r="B474" s="11"/>
      <c r="D474" s="11"/>
      <c r="E474" s="11"/>
      <c r="G474" s="11"/>
      <c r="I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>
      <c r="A475" s="11"/>
      <c r="B475" s="11"/>
      <c r="D475" s="11"/>
      <c r="E475" s="11"/>
      <c r="G475" s="11"/>
      <c r="I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>
      <c r="A476" s="11"/>
      <c r="B476" s="11"/>
      <c r="D476" s="11"/>
      <c r="E476" s="11"/>
      <c r="G476" s="11"/>
      <c r="I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>
      <c r="A477" s="11"/>
      <c r="B477" s="11"/>
      <c r="D477" s="11"/>
      <c r="E477" s="11"/>
      <c r="G477" s="11"/>
      <c r="I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>
      <c r="A478" s="11"/>
      <c r="B478" s="11"/>
      <c r="D478" s="11"/>
      <c r="E478" s="11"/>
      <c r="G478" s="11"/>
      <c r="I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>
      <c r="A479" s="11"/>
      <c r="B479" s="11"/>
      <c r="D479" s="11"/>
      <c r="E479" s="11"/>
      <c r="G479" s="11"/>
      <c r="I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>
      <c r="A480" s="11"/>
      <c r="B480" s="11"/>
      <c r="D480" s="11"/>
      <c r="E480" s="11"/>
      <c r="G480" s="11"/>
      <c r="I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>
      <c r="A481" s="11"/>
      <c r="B481" s="11"/>
      <c r="D481" s="11"/>
      <c r="E481" s="11"/>
      <c r="G481" s="11"/>
      <c r="I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>
      <c r="A482" s="11"/>
      <c r="B482" s="11"/>
      <c r="D482" s="11"/>
      <c r="E482" s="11"/>
      <c r="G482" s="11"/>
      <c r="I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>
      <c r="A483" s="11"/>
      <c r="B483" s="11"/>
      <c r="D483" s="11"/>
      <c r="E483" s="11"/>
      <c r="G483" s="11"/>
      <c r="I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>
      <c r="A484" s="11"/>
      <c r="B484" s="11"/>
      <c r="D484" s="11"/>
      <c r="E484" s="11"/>
      <c r="G484" s="11"/>
      <c r="I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>
      <c r="A485" s="11"/>
      <c r="B485" s="11"/>
      <c r="D485" s="11"/>
      <c r="E485" s="11"/>
      <c r="G485" s="11"/>
      <c r="I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>
      <c r="A486" s="11"/>
      <c r="B486" s="11"/>
      <c r="D486" s="11"/>
      <c r="E486" s="11"/>
      <c r="G486" s="11"/>
      <c r="I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>
      <c r="A487" s="11"/>
      <c r="B487" s="11"/>
      <c r="D487" s="11"/>
      <c r="E487" s="11"/>
      <c r="G487" s="11"/>
      <c r="I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>
      <c r="A488" s="11"/>
      <c r="B488" s="11"/>
      <c r="D488" s="11"/>
      <c r="E488" s="11"/>
      <c r="G488" s="11"/>
      <c r="I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>
      <c r="A489" s="11"/>
      <c r="B489" s="11"/>
      <c r="D489" s="11"/>
      <c r="E489" s="11"/>
      <c r="G489" s="11"/>
      <c r="I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>
      <c r="A490" s="11"/>
      <c r="B490" s="11"/>
      <c r="D490" s="11"/>
      <c r="E490" s="11"/>
      <c r="G490" s="11"/>
      <c r="I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>
      <c r="A491" s="11"/>
      <c r="B491" s="11"/>
      <c r="D491" s="11"/>
      <c r="E491" s="11"/>
      <c r="G491" s="11"/>
      <c r="I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>
      <c r="A492" s="11"/>
      <c r="B492" s="11"/>
      <c r="D492" s="11"/>
      <c r="E492" s="11"/>
      <c r="G492" s="11"/>
      <c r="I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>
      <c r="A493" s="11"/>
      <c r="B493" s="11"/>
      <c r="D493" s="11"/>
      <c r="E493" s="11"/>
      <c r="G493" s="11"/>
      <c r="I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>
      <c r="A494" s="11"/>
      <c r="B494" s="11"/>
      <c r="D494" s="11"/>
      <c r="E494" s="11"/>
      <c r="G494" s="11"/>
      <c r="I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>
      <c r="A495" s="11"/>
      <c r="B495" s="11"/>
      <c r="D495" s="11"/>
      <c r="E495" s="11"/>
      <c r="G495" s="11"/>
      <c r="I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>
      <c r="A496" s="11"/>
      <c r="B496" s="11"/>
      <c r="D496" s="11"/>
      <c r="E496" s="11"/>
      <c r="G496" s="11"/>
      <c r="I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>
      <c r="A497" s="11"/>
      <c r="B497" s="11"/>
      <c r="D497" s="11"/>
      <c r="E497" s="11"/>
      <c r="G497" s="11"/>
      <c r="I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>
      <c r="A498" s="11"/>
      <c r="B498" s="11"/>
      <c r="D498" s="11"/>
      <c r="E498" s="11"/>
      <c r="G498" s="11"/>
      <c r="I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>
      <c r="A499" s="11"/>
      <c r="B499" s="11"/>
      <c r="D499" s="11"/>
      <c r="E499" s="11"/>
      <c r="G499" s="11"/>
      <c r="I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>
      <c r="A500" s="11"/>
      <c r="B500" s="11"/>
      <c r="D500" s="11"/>
      <c r="E500" s="11"/>
      <c r="G500" s="11"/>
      <c r="I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>
      <c r="A501" s="11"/>
      <c r="B501" s="11"/>
      <c r="D501" s="11"/>
      <c r="E501" s="11"/>
      <c r="G501" s="11"/>
      <c r="I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>
      <c r="A502" s="11"/>
      <c r="B502" s="11"/>
      <c r="D502" s="11"/>
      <c r="E502" s="11"/>
      <c r="G502" s="11"/>
      <c r="I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>
      <c r="A503" s="11"/>
      <c r="B503" s="11"/>
      <c r="D503" s="11"/>
      <c r="E503" s="11"/>
      <c r="G503" s="11"/>
      <c r="I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>
      <c r="A504" s="11"/>
      <c r="B504" s="11"/>
      <c r="D504" s="11"/>
      <c r="E504" s="11"/>
      <c r="G504" s="11"/>
      <c r="I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>
      <c r="A505" s="11"/>
      <c r="B505" s="11"/>
      <c r="D505" s="11"/>
      <c r="E505" s="11"/>
      <c r="G505" s="11"/>
      <c r="I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>
      <c r="A506" s="11"/>
      <c r="B506" s="11"/>
      <c r="D506" s="11"/>
      <c r="E506" s="11"/>
      <c r="G506" s="11"/>
      <c r="I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>
      <c r="A507" s="11"/>
      <c r="B507" s="11"/>
      <c r="D507" s="11"/>
      <c r="E507" s="11"/>
      <c r="G507" s="11"/>
      <c r="I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>
      <c r="A508" s="11"/>
      <c r="B508" s="11"/>
      <c r="D508" s="11"/>
      <c r="E508" s="11"/>
      <c r="G508" s="11"/>
      <c r="I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>
      <c r="A509" s="11"/>
      <c r="B509" s="11"/>
      <c r="D509" s="11"/>
      <c r="E509" s="11"/>
      <c r="G509" s="11"/>
      <c r="I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>
      <c r="A510" s="11"/>
      <c r="B510" s="11"/>
      <c r="D510" s="11"/>
      <c r="E510" s="11"/>
      <c r="G510" s="11"/>
      <c r="I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>
      <c r="A511" s="11"/>
      <c r="B511" s="11"/>
      <c r="D511" s="11"/>
      <c r="E511" s="11"/>
      <c r="G511" s="11"/>
      <c r="I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>
      <c r="A512" s="11"/>
      <c r="B512" s="11"/>
      <c r="D512" s="11"/>
      <c r="E512" s="11"/>
      <c r="G512" s="11"/>
      <c r="I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>
      <c r="A513" s="11"/>
      <c r="B513" s="11"/>
      <c r="D513" s="11"/>
      <c r="E513" s="11"/>
      <c r="G513" s="11"/>
      <c r="I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>
      <c r="A514" s="11"/>
      <c r="B514" s="11"/>
      <c r="D514" s="11"/>
      <c r="E514" s="11"/>
      <c r="G514" s="11"/>
      <c r="I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>
      <c r="A515" s="11"/>
      <c r="B515" s="11"/>
      <c r="D515" s="11"/>
      <c r="E515" s="11"/>
      <c r="G515" s="11"/>
      <c r="I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>
      <c r="A516" s="11"/>
      <c r="B516" s="11"/>
      <c r="D516" s="11"/>
      <c r="E516" s="11"/>
      <c r="G516" s="11"/>
      <c r="I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>
      <c r="A517" s="11"/>
      <c r="B517" s="11"/>
      <c r="D517" s="11"/>
      <c r="E517" s="11"/>
      <c r="G517" s="11"/>
      <c r="I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>
      <c r="A518" s="11"/>
      <c r="B518" s="11"/>
      <c r="D518" s="11"/>
      <c r="E518" s="11"/>
      <c r="G518" s="11"/>
      <c r="I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>
      <c r="A519" s="11"/>
      <c r="B519" s="11"/>
      <c r="D519" s="11"/>
      <c r="E519" s="11"/>
      <c r="G519" s="11"/>
      <c r="I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>
      <c r="A520" s="11"/>
      <c r="B520" s="11"/>
      <c r="D520" s="11"/>
      <c r="E520" s="11"/>
      <c r="G520" s="11"/>
      <c r="I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>
      <c r="A521" s="11"/>
      <c r="B521" s="11"/>
      <c r="D521" s="11"/>
      <c r="E521" s="11"/>
      <c r="G521" s="11"/>
      <c r="I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>
      <c r="A522" s="11"/>
      <c r="B522" s="11"/>
      <c r="D522" s="11"/>
      <c r="E522" s="11"/>
      <c r="G522" s="11"/>
      <c r="I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>
      <c r="A523" s="11"/>
      <c r="B523" s="11"/>
      <c r="D523" s="11"/>
      <c r="E523" s="11"/>
      <c r="G523" s="11"/>
      <c r="I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>
      <c r="A524" s="11"/>
      <c r="B524" s="11"/>
      <c r="D524" s="11"/>
      <c r="E524" s="11"/>
      <c r="G524" s="11"/>
      <c r="I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>
      <c r="A525" s="11"/>
      <c r="B525" s="11"/>
      <c r="D525" s="11"/>
      <c r="E525" s="11"/>
      <c r="G525" s="11"/>
      <c r="I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>
      <c r="A526" s="11"/>
      <c r="B526" s="11"/>
      <c r="D526" s="11"/>
      <c r="E526" s="11"/>
      <c r="G526" s="11"/>
      <c r="I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>
      <c r="A527" s="11"/>
      <c r="B527" s="11"/>
      <c r="D527" s="11"/>
      <c r="E527" s="11"/>
      <c r="G527" s="11"/>
      <c r="I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>
      <c r="A528" s="11"/>
      <c r="B528" s="11"/>
      <c r="D528" s="11"/>
      <c r="E528" s="11"/>
      <c r="G528" s="11"/>
      <c r="I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>
      <c r="A529" s="11"/>
      <c r="B529" s="11"/>
      <c r="D529" s="11"/>
      <c r="E529" s="11"/>
      <c r="G529" s="11"/>
      <c r="I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>
      <c r="A530" s="11"/>
      <c r="B530" s="11"/>
      <c r="D530" s="11"/>
      <c r="E530" s="11"/>
      <c r="G530" s="11"/>
      <c r="I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>
      <c r="A531" s="11"/>
      <c r="B531" s="11"/>
      <c r="D531" s="11"/>
      <c r="E531" s="11"/>
      <c r="G531" s="11"/>
      <c r="I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>
      <c r="A532" s="11"/>
      <c r="B532" s="11"/>
      <c r="D532" s="11"/>
      <c r="E532" s="11"/>
      <c r="G532" s="11"/>
      <c r="I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>
      <c r="A533" s="11"/>
      <c r="B533" s="11"/>
      <c r="D533" s="11"/>
      <c r="E533" s="11"/>
      <c r="G533" s="11"/>
      <c r="I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>
      <c r="A534" s="11"/>
      <c r="B534" s="11"/>
      <c r="D534" s="11"/>
      <c r="E534" s="11"/>
      <c r="G534" s="11"/>
      <c r="I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>
      <c r="A535" s="11"/>
      <c r="B535" s="11"/>
      <c r="D535" s="11"/>
      <c r="E535" s="11"/>
      <c r="G535" s="11"/>
      <c r="I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>
      <c r="A536" s="11"/>
      <c r="B536" s="11"/>
      <c r="D536" s="11"/>
      <c r="E536" s="11"/>
      <c r="G536" s="11"/>
      <c r="I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>
      <c r="A537" s="11"/>
      <c r="B537" s="11"/>
      <c r="D537" s="11"/>
      <c r="E537" s="11"/>
      <c r="G537" s="11"/>
      <c r="I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>
      <c r="A538" s="11"/>
      <c r="B538" s="11"/>
      <c r="D538" s="11"/>
      <c r="E538" s="11"/>
      <c r="G538" s="11"/>
      <c r="I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>
      <c r="A539" s="11"/>
      <c r="B539" s="11"/>
      <c r="D539" s="11"/>
      <c r="E539" s="11"/>
      <c r="G539" s="11"/>
      <c r="I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>
      <c r="A540" s="11"/>
      <c r="B540" s="11"/>
      <c r="D540" s="11"/>
      <c r="E540" s="11"/>
      <c r="G540" s="11"/>
      <c r="I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>
      <c r="A541" s="11"/>
      <c r="B541" s="11"/>
      <c r="D541" s="11"/>
      <c r="E541" s="11"/>
      <c r="G541" s="11"/>
      <c r="I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>
      <c r="A542" s="11"/>
      <c r="B542" s="11"/>
      <c r="D542" s="11"/>
      <c r="E542" s="11"/>
      <c r="G542" s="11"/>
      <c r="I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>
      <c r="A543" s="11"/>
      <c r="B543" s="11"/>
      <c r="D543" s="11"/>
      <c r="E543" s="11"/>
      <c r="G543" s="11"/>
      <c r="I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>
      <c r="A544" s="11"/>
      <c r="B544" s="11"/>
      <c r="D544" s="11"/>
      <c r="E544" s="11"/>
      <c r="G544" s="11"/>
      <c r="I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>
      <c r="A545" s="11"/>
      <c r="B545" s="11"/>
      <c r="D545" s="11"/>
      <c r="E545" s="11"/>
      <c r="G545" s="11"/>
      <c r="I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>
      <c r="A546" s="11"/>
      <c r="B546" s="11"/>
      <c r="D546" s="11"/>
      <c r="E546" s="11"/>
      <c r="G546" s="11"/>
      <c r="I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>
      <c r="A547" s="11"/>
      <c r="B547" s="11"/>
      <c r="D547" s="11"/>
      <c r="E547" s="11"/>
      <c r="G547" s="11"/>
      <c r="I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>
      <c r="A548" s="11"/>
      <c r="B548" s="11"/>
      <c r="D548" s="11"/>
      <c r="E548" s="11"/>
      <c r="G548" s="11"/>
      <c r="I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>
      <c r="A549" s="11"/>
      <c r="B549" s="11"/>
      <c r="D549" s="11"/>
      <c r="E549" s="11"/>
      <c r="G549" s="11"/>
      <c r="I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>
      <c r="A550" s="11"/>
      <c r="B550" s="11"/>
      <c r="D550" s="11"/>
      <c r="E550" s="11"/>
      <c r="G550" s="11"/>
      <c r="I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>
      <c r="A551" s="11"/>
      <c r="B551" s="11"/>
      <c r="D551" s="11"/>
      <c r="E551" s="11"/>
      <c r="G551" s="11"/>
      <c r="I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>
      <c r="A552" s="11"/>
      <c r="B552" s="11"/>
      <c r="D552" s="11"/>
      <c r="E552" s="11"/>
      <c r="G552" s="11"/>
      <c r="I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>
      <c r="A553" s="11"/>
      <c r="B553" s="11"/>
      <c r="D553" s="11"/>
      <c r="E553" s="11"/>
      <c r="G553" s="11"/>
      <c r="I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>
      <c r="A554" s="11"/>
      <c r="B554" s="11"/>
      <c r="D554" s="11"/>
      <c r="E554" s="11"/>
      <c r="G554" s="11"/>
      <c r="I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>
      <c r="A555" s="11"/>
      <c r="B555" s="11"/>
      <c r="D555" s="11"/>
      <c r="E555" s="11"/>
      <c r="G555" s="11"/>
      <c r="I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>
      <c r="A556" s="11"/>
      <c r="B556" s="11"/>
      <c r="D556" s="11"/>
      <c r="E556" s="11"/>
      <c r="G556" s="11"/>
      <c r="I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>
      <c r="A557" s="11"/>
      <c r="B557" s="11"/>
      <c r="D557" s="11"/>
      <c r="E557" s="11"/>
      <c r="G557" s="11"/>
      <c r="I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>
      <c r="A558" s="11"/>
      <c r="B558" s="11"/>
      <c r="D558" s="11"/>
      <c r="E558" s="11"/>
      <c r="G558" s="11"/>
      <c r="I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>
      <c r="A559" s="11"/>
      <c r="B559" s="11"/>
      <c r="D559" s="11"/>
      <c r="E559" s="11"/>
      <c r="G559" s="11"/>
      <c r="I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>
      <c r="A560" s="11"/>
      <c r="B560" s="11"/>
      <c r="D560" s="11"/>
      <c r="E560" s="11"/>
      <c r="G560" s="11"/>
      <c r="I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>
      <c r="A561" s="11"/>
      <c r="B561" s="11"/>
      <c r="D561" s="11"/>
      <c r="E561" s="11"/>
      <c r="G561" s="11"/>
      <c r="I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>
      <c r="A562" s="11"/>
      <c r="B562" s="11"/>
      <c r="D562" s="11"/>
      <c r="E562" s="11"/>
      <c r="G562" s="11"/>
      <c r="I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>
      <c r="A563" s="11"/>
      <c r="B563" s="11"/>
      <c r="D563" s="11"/>
      <c r="E563" s="11"/>
      <c r="G563" s="11"/>
      <c r="I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>
      <c r="A564" s="11"/>
      <c r="B564" s="11"/>
      <c r="D564" s="11"/>
      <c r="E564" s="11"/>
      <c r="G564" s="11"/>
      <c r="I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>
      <c r="A565" s="11"/>
      <c r="B565" s="11"/>
      <c r="D565" s="11"/>
      <c r="E565" s="11"/>
      <c r="G565" s="11"/>
      <c r="I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>
      <c r="A566" s="11"/>
      <c r="B566" s="11"/>
      <c r="D566" s="11"/>
      <c r="E566" s="11"/>
      <c r="G566" s="11"/>
      <c r="I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>
      <c r="A567" s="11"/>
      <c r="B567" s="11"/>
      <c r="D567" s="11"/>
      <c r="E567" s="11"/>
      <c r="G567" s="11"/>
      <c r="I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>
      <c r="A568" s="11"/>
      <c r="B568" s="11"/>
      <c r="D568" s="11"/>
      <c r="E568" s="11"/>
      <c r="G568" s="11"/>
      <c r="I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>
      <c r="A569" s="11"/>
      <c r="B569" s="11"/>
      <c r="D569" s="11"/>
      <c r="E569" s="11"/>
      <c r="G569" s="11"/>
      <c r="I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>
      <c r="A570" s="11"/>
      <c r="B570" s="11"/>
      <c r="D570" s="11"/>
      <c r="E570" s="11"/>
      <c r="G570" s="11"/>
      <c r="I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>
      <c r="A571" s="11"/>
      <c r="B571" s="11"/>
      <c r="D571" s="11"/>
      <c r="E571" s="11"/>
      <c r="G571" s="11"/>
      <c r="I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>
      <c r="A572" s="11"/>
      <c r="B572" s="11"/>
      <c r="D572" s="11"/>
      <c r="E572" s="11"/>
      <c r="G572" s="11"/>
      <c r="I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>
      <c r="A573" s="11"/>
      <c r="B573" s="11"/>
      <c r="D573" s="11"/>
      <c r="E573" s="11"/>
      <c r="G573" s="11"/>
      <c r="I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>
      <c r="A574" s="11"/>
      <c r="B574" s="11"/>
      <c r="D574" s="11"/>
      <c r="E574" s="11"/>
      <c r="G574" s="11"/>
      <c r="I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>
      <c r="A575" s="11"/>
      <c r="B575" s="11"/>
      <c r="D575" s="11"/>
      <c r="E575" s="11"/>
      <c r="G575" s="11"/>
      <c r="I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>
      <c r="A576" s="11"/>
      <c r="B576" s="11"/>
      <c r="D576" s="11"/>
      <c r="E576" s="11"/>
      <c r="G576" s="11"/>
      <c r="I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>
      <c r="A577" s="11"/>
      <c r="B577" s="11"/>
      <c r="D577" s="11"/>
      <c r="E577" s="11"/>
      <c r="G577" s="11"/>
      <c r="I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>
      <c r="A578" s="11"/>
      <c r="B578" s="11"/>
      <c r="D578" s="11"/>
      <c r="E578" s="11"/>
      <c r="G578" s="11"/>
      <c r="I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>
      <c r="A579" s="11"/>
      <c r="B579" s="11"/>
      <c r="D579" s="11"/>
      <c r="E579" s="11"/>
      <c r="G579" s="11"/>
      <c r="I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>
      <c r="A580" s="11"/>
      <c r="B580" s="11"/>
      <c r="D580" s="11"/>
      <c r="E580" s="11"/>
      <c r="G580" s="11"/>
      <c r="I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>
      <c r="A581" s="11"/>
      <c r="B581" s="11"/>
      <c r="D581" s="11"/>
      <c r="E581" s="11"/>
      <c r="G581" s="11"/>
      <c r="I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>
      <c r="A582" s="11"/>
      <c r="B582" s="11"/>
      <c r="D582" s="11"/>
      <c r="E582" s="11"/>
      <c r="G582" s="11"/>
      <c r="I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>
      <c r="A583" s="11"/>
      <c r="B583" s="11"/>
      <c r="D583" s="11"/>
      <c r="E583" s="11"/>
      <c r="G583" s="11"/>
      <c r="I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>
      <c r="A584" s="11"/>
      <c r="B584" s="11"/>
      <c r="D584" s="11"/>
      <c r="E584" s="11"/>
      <c r="G584" s="11"/>
      <c r="I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>
      <c r="A585" s="11"/>
      <c r="B585" s="11"/>
      <c r="D585" s="11"/>
      <c r="E585" s="11"/>
      <c r="G585" s="11"/>
      <c r="I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>
      <c r="A586" s="11"/>
      <c r="B586" s="11"/>
      <c r="D586" s="11"/>
      <c r="E586" s="11"/>
      <c r="G586" s="11"/>
      <c r="I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>
      <c r="A587" s="11"/>
      <c r="B587" s="11"/>
      <c r="D587" s="11"/>
      <c r="E587" s="11"/>
      <c r="G587" s="11"/>
      <c r="I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>
      <c r="A588" s="11"/>
      <c r="B588" s="11"/>
      <c r="D588" s="11"/>
      <c r="E588" s="11"/>
      <c r="G588" s="11"/>
      <c r="I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>
      <c r="A589" s="11"/>
      <c r="B589" s="11"/>
      <c r="D589" s="11"/>
      <c r="E589" s="11"/>
      <c r="G589" s="11"/>
      <c r="I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>
      <c r="A590" s="11"/>
      <c r="B590" s="11"/>
      <c r="D590" s="11"/>
      <c r="E590" s="11"/>
      <c r="G590" s="11"/>
      <c r="I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>
      <c r="A591" s="11"/>
      <c r="B591" s="11"/>
      <c r="D591" s="11"/>
      <c r="E591" s="11"/>
      <c r="G591" s="11"/>
      <c r="I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>
      <c r="A592" s="11"/>
      <c r="B592" s="11"/>
      <c r="D592" s="11"/>
      <c r="E592" s="11"/>
      <c r="G592" s="11"/>
      <c r="I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>
      <c r="A593" s="11"/>
      <c r="B593" s="11"/>
      <c r="D593" s="11"/>
      <c r="E593" s="11"/>
      <c r="G593" s="11"/>
      <c r="I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>
      <c r="A594" s="11"/>
      <c r="B594" s="11"/>
      <c r="D594" s="11"/>
      <c r="E594" s="11"/>
      <c r="G594" s="11"/>
      <c r="I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>
      <c r="A595" s="11"/>
      <c r="B595" s="11"/>
      <c r="D595" s="11"/>
      <c r="E595" s="11"/>
      <c r="G595" s="11"/>
      <c r="I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>
      <c r="A596" s="11"/>
      <c r="B596" s="11"/>
      <c r="D596" s="11"/>
      <c r="E596" s="11"/>
      <c r="G596" s="11"/>
      <c r="I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>
      <c r="A597" s="11"/>
      <c r="B597" s="11"/>
      <c r="D597" s="11"/>
      <c r="E597" s="11"/>
      <c r="G597" s="11"/>
      <c r="I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>
      <c r="A598" s="11"/>
      <c r="B598" s="11"/>
      <c r="D598" s="11"/>
      <c r="E598" s="11"/>
      <c r="G598" s="11"/>
      <c r="I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>
      <c r="A599" s="11"/>
      <c r="B599" s="11"/>
      <c r="D599" s="11"/>
      <c r="E599" s="11"/>
      <c r="G599" s="11"/>
      <c r="I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>
      <c r="A600" s="11"/>
      <c r="B600" s="11"/>
      <c r="D600" s="11"/>
      <c r="E600" s="11"/>
      <c r="G600" s="11"/>
      <c r="I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>
      <c r="A601" s="11"/>
      <c r="B601" s="11"/>
      <c r="D601" s="11"/>
      <c r="E601" s="11"/>
      <c r="G601" s="11"/>
      <c r="I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>
      <c r="A602" s="11"/>
      <c r="B602" s="11"/>
      <c r="D602" s="11"/>
      <c r="E602" s="11"/>
      <c r="G602" s="11"/>
      <c r="I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>
      <c r="A603" s="11"/>
      <c r="B603" s="11"/>
      <c r="D603" s="11"/>
      <c r="E603" s="11"/>
      <c r="G603" s="11"/>
      <c r="I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>
      <c r="A604" s="11"/>
      <c r="B604" s="11"/>
      <c r="D604" s="11"/>
      <c r="E604" s="11"/>
      <c r="G604" s="11"/>
      <c r="I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>
      <c r="A605" s="11"/>
      <c r="B605" s="11"/>
      <c r="D605" s="11"/>
      <c r="E605" s="11"/>
      <c r="G605" s="11"/>
      <c r="I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>
      <c r="A606" s="11"/>
      <c r="B606" s="11"/>
      <c r="D606" s="11"/>
      <c r="E606" s="11"/>
      <c r="G606" s="11"/>
      <c r="I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>
      <c r="A607" s="11"/>
      <c r="B607" s="11"/>
      <c r="D607" s="11"/>
      <c r="E607" s="11"/>
      <c r="G607" s="11"/>
      <c r="I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>
      <c r="A608" s="11"/>
      <c r="B608" s="11"/>
      <c r="D608" s="11"/>
      <c r="E608" s="11"/>
      <c r="G608" s="11"/>
      <c r="I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>
      <c r="A609" s="11"/>
      <c r="B609" s="11"/>
      <c r="D609" s="11"/>
      <c r="E609" s="11"/>
      <c r="G609" s="11"/>
      <c r="I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>
      <c r="A610" s="11"/>
      <c r="B610" s="11"/>
      <c r="D610" s="11"/>
      <c r="E610" s="11"/>
      <c r="G610" s="11"/>
      <c r="I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>
      <c r="A611" s="11"/>
      <c r="B611" s="11"/>
      <c r="D611" s="11"/>
      <c r="E611" s="11"/>
      <c r="G611" s="11"/>
      <c r="I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>
      <c r="A612" s="11"/>
      <c r="B612" s="11"/>
      <c r="D612" s="11"/>
      <c r="E612" s="11"/>
      <c r="G612" s="11"/>
      <c r="I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>
      <c r="A613" s="11"/>
      <c r="B613" s="11"/>
      <c r="D613" s="11"/>
      <c r="E613" s="11"/>
      <c r="G613" s="11"/>
      <c r="I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>
      <c r="A614" s="11"/>
      <c r="B614" s="11"/>
      <c r="D614" s="11"/>
      <c r="E614" s="11"/>
      <c r="G614" s="11"/>
      <c r="I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>
      <c r="A615" s="11"/>
      <c r="B615" s="11"/>
      <c r="D615" s="11"/>
      <c r="E615" s="11"/>
      <c r="G615" s="11"/>
      <c r="I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>
      <c r="A616" s="11"/>
      <c r="B616" s="11"/>
      <c r="D616" s="11"/>
      <c r="E616" s="11"/>
      <c r="G616" s="11"/>
      <c r="I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>
      <c r="A617" s="11"/>
      <c r="B617" s="11"/>
      <c r="D617" s="11"/>
      <c r="E617" s="11"/>
      <c r="G617" s="11"/>
      <c r="I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>
      <c r="A618" s="11"/>
      <c r="B618" s="11"/>
      <c r="D618" s="11"/>
      <c r="E618" s="11"/>
      <c r="G618" s="11"/>
      <c r="I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>
      <c r="A619" s="11"/>
      <c r="B619" s="11"/>
      <c r="D619" s="11"/>
      <c r="E619" s="11"/>
      <c r="G619" s="11"/>
      <c r="I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>
      <c r="A620" s="11"/>
      <c r="B620" s="11"/>
      <c r="D620" s="11"/>
      <c r="E620" s="11"/>
      <c r="G620" s="11"/>
      <c r="I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>
      <c r="A621" s="11"/>
      <c r="B621" s="11"/>
      <c r="D621" s="11"/>
      <c r="E621" s="11"/>
      <c r="G621" s="11"/>
      <c r="I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>
      <c r="A622" s="11"/>
      <c r="B622" s="11"/>
      <c r="D622" s="11"/>
      <c r="E622" s="11"/>
      <c r="G622" s="11"/>
      <c r="I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>
      <c r="A623" s="11"/>
      <c r="B623" s="11"/>
      <c r="D623" s="11"/>
      <c r="E623" s="11"/>
      <c r="G623" s="11"/>
      <c r="I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>
      <c r="A624" s="11"/>
      <c r="B624" s="11"/>
      <c r="D624" s="11"/>
      <c r="E624" s="11"/>
      <c r="G624" s="11"/>
      <c r="I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>
      <c r="A625" s="11"/>
      <c r="B625" s="11"/>
      <c r="D625" s="11"/>
      <c r="E625" s="11"/>
      <c r="G625" s="11"/>
      <c r="I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>
      <c r="A626" s="11"/>
      <c r="B626" s="11"/>
      <c r="D626" s="11"/>
      <c r="E626" s="11"/>
      <c r="G626" s="11"/>
      <c r="I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>
      <c r="A627" s="11"/>
      <c r="B627" s="11"/>
      <c r="D627" s="11"/>
      <c r="E627" s="11"/>
      <c r="G627" s="11"/>
      <c r="I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>
      <c r="A628" s="11"/>
      <c r="B628" s="11"/>
      <c r="D628" s="11"/>
      <c r="E628" s="11"/>
      <c r="G628" s="11"/>
      <c r="I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>
      <c r="A629" s="11"/>
      <c r="B629" s="11"/>
      <c r="D629" s="11"/>
      <c r="E629" s="11"/>
      <c r="G629" s="11"/>
      <c r="I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>
      <c r="A630" s="11"/>
      <c r="B630" s="11"/>
      <c r="D630" s="11"/>
      <c r="E630" s="11"/>
      <c r="G630" s="11"/>
      <c r="I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>
      <c r="A631" s="11"/>
      <c r="B631" s="11"/>
      <c r="D631" s="11"/>
      <c r="E631" s="11"/>
      <c r="G631" s="11"/>
      <c r="I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>
      <c r="A632" s="11"/>
      <c r="B632" s="11"/>
      <c r="D632" s="11"/>
      <c r="E632" s="11"/>
      <c r="G632" s="11"/>
      <c r="I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>
      <c r="A633" s="11"/>
      <c r="B633" s="11"/>
      <c r="D633" s="11"/>
      <c r="E633" s="11"/>
      <c r="G633" s="11"/>
      <c r="I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>
      <c r="A634" s="11"/>
      <c r="B634" s="11"/>
      <c r="D634" s="11"/>
      <c r="E634" s="11"/>
      <c r="G634" s="11"/>
      <c r="I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>
      <c r="A635" s="11"/>
      <c r="B635" s="11"/>
      <c r="D635" s="11"/>
      <c r="E635" s="11"/>
      <c r="G635" s="11"/>
      <c r="I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>
      <c r="A636" s="11"/>
      <c r="B636" s="11"/>
      <c r="D636" s="11"/>
      <c r="E636" s="11"/>
      <c r="G636" s="11"/>
      <c r="I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>
      <c r="A637" s="11"/>
      <c r="B637" s="11"/>
      <c r="D637" s="11"/>
      <c r="E637" s="11"/>
      <c r="G637" s="11"/>
      <c r="I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>
      <c r="A638" s="11"/>
      <c r="B638" s="11"/>
      <c r="D638" s="11"/>
      <c r="E638" s="11"/>
      <c r="G638" s="11"/>
      <c r="I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>
      <c r="A639" s="11"/>
      <c r="B639" s="11"/>
      <c r="D639" s="11"/>
      <c r="E639" s="11"/>
      <c r="G639" s="11"/>
      <c r="I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>
      <c r="A640" s="11"/>
      <c r="B640" s="11"/>
      <c r="D640" s="11"/>
      <c r="E640" s="11"/>
      <c r="G640" s="11"/>
      <c r="I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>
      <c r="A641" s="11"/>
      <c r="B641" s="11"/>
      <c r="D641" s="11"/>
      <c r="E641" s="11"/>
      <c r="G641" s="11"/>
      <c r="I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>
      <c r="A642" s="11"/>
      <c r="B642" s="11"/>
      <c r="D642" s="11"/>
      <c r="E642" s="11"/>
      <c r="G642" s="11"/>
      <c r="I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>
      <c r="A643" s="11"/>
      <c r="B643" s="11"/>
      <c r="D643" s="11"/>
      <c r="E643" s="11"/>
      <c r="G643" s="11"/>
      <c r="I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>
      <c r="A644" s="11"/>
      <c r="B644" s="11"/>
      <c r="D644" s="11"/>
      <c r="E644" s="11"/>
      <c r="G644" s="11"/>
      <c r="I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>
      <c r="A645" s="11"/>
      <c r="B645" s="11"/>
      <c r="D645" s="11"/>
      <c r="E645" s="11"/>
      <c r="G645" s="11"/>
      <c r="I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>
      <c r="A646" s="11"/>
      <c r="B646" s="11"/>
      <c r="D646" s="11"/>
      <c r="E646" s="11"/>
      <c r="G646" s="11"/>
      <c r="I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>
      <c r="A647" s="11"/>
      <c r="B647" s="11"/>
      <c r="D647" s="11"/>
      <c r="E647" s="11"/>
      <c r="G647" s="11"/>
      <c r="I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>
      <c r="A648" s="11"/>
      <c r="B648" s="11"/>
      <c r="D648" s="11"/>
      <c r="E648" s="11"/>
      <c r="G648" s="11"/>
      <c r="I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>
      <c r="A649" s="11"/>
      <c r="B649" s="11"/>
      <c r="D649" s="11"/>
      <c r="E649" s="11"/>
      <c r="G649" s="11"/>
      <c r="I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>
      <c r="A650" s="11"/>
      <c r="B650" s="11"/>
      <c r="D650" s="11"/>
      <c r="E650" s="11"/>
      <c r="G650" s="11"/>
      <c r="I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>
      <c r="A651" s="11"/>
      <c r="B651" s="11"/>
      <c r="D651" s="11"/>
      <c r="E651" s="11"/>
      <c r="G651" s="11"/>
      <c r="I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>
      <c r="A652" s="11"/>
      <c r="B652" s="11"/>
      <c r="D652" s="11"/>
      <c r="E652" s="11"/>
      <c r="G652" s="11"/>
      <c r="I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>
      <c r="A653" s="11"/>
      <c r="B653" s="11"/>
      <c r="D653" s="11"/>
      <c r="E653" s="11"/>
      <c r="G653" s="11"/>
      <c r="I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>
      <c r="A654" s="11"/>
      <c r="B654" s="11"/>
      <c r="D654" s="11"/>
      <c r="E654" s="11"/>
      <c r="G654" s="11"/>
      <c r="I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>
      <c r="A655" s="11"/>
      <c r="B655" s="11"/>
      <c r="D655" s="11"/>
      <c r="E655" s="11"/>
      <c r="G655" s="11"/>
      <c r="I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>
      <c r="A656" s="11"/>
      <c r="B656" s="11"/>
      <c r="D656" s="11"/>
      <c r="E656" s="11"/>
      <c r="G656" s="11"/>
      <c r="I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>
      <c r="A657" s="11"/>
      <c r="B657" s="11"/>
      <c r="D657" s="11"/>
      <c r="E657" s="11"/>
      <c r="G657" s="11"/>
      <c r="I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>
      <c r="A658" s="11"/>
      <c r="B658" s="11"/>
      <c r="D658" s="11"/>
      <c r="E658" s="11"/>
      <c r="G658" s="11"/>
      <c r="I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>
      <c r="A659" s="11"/>
      <c r="B659" s="11"/>
      <c r="D659" s="11"/>
      <c r="E659" s="11"/>
      <c r="G659" s="11"/>
      <c r="I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>
      <c r="A660" s="11"/>
      <c r="B660" s="11"/>
      <c r="D660" s="11"/>
      <c r="E660" s="11"/>
      <c r="G660" s="11"/>
      <c r="I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>
      <c r="A661" s="11"/>
      <c r="B661" s="11"/>
      <c r="D661" s="11"/>
      <c r="E661" s="11"/>
      <c r="G661" s="11"/>
      <c r="I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>
      <c r="A662" s="11"/>
      <c r="B662" s="11"/>
      <c r="D662" s="11"/>
      <c r="E662" s="11"/>
      <c r="G662" s="11"/>
      <c r="I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>
      <c r="A663" s="11"/>
      <c r="B663" s="11"/>
      <c r="D663" s="11"/>
      <c r="E663" s="11"/>
      <c r="G663" s="11"/>
      <c r="I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>
      <c r="A664" s="11"/>
      <c r="B664" s="11"/>
      <c r="D664" s="11"/>
      <c r="E664" s="11"/>
      <c r="G664" s="11"/>
      <c r="I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>
      <c r="A665" s="11"/>
      <c r="B665" s="11"/>
      <c r="D665" s="11"/>
      <c r="E665" s="11"/>
      <c r="G665" s="11"/>
      <c r="I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>
      <c r="A666" s="11"/>
      <c r="B666" s="11"/>
      <c r="D666" s="11"/>
      <c r="E666" s="11"/>
      <c r="G666" s="11"/>
      <c r="I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>
      <c r="A667" s="11"/>
      <c r="B667" s="11"/>
      <c r="D667" s="11"/>
      <c r="E667" s="11"/>
      <c r="G667" s="11"/>
      <c r="I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>
      <c r="A668" s="11"/>
      <c r="B668" s="11"/>
      <c r="D668" s="11"/>
      <c r="E668" s="11"/>
      <c r="G668" s="11"/>
      <c r="I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>
      <c r="A669" s="11"/>
      <c r="B669" s="11"/>
      <c r="D669" s="11"/>
      <c r="E669" s="11"/>
      <c r="G669" s="11"/>
      <c r="I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>
      <c r="A670" s="11"/>
      <c r="B670" s="11"/>
      <c r="D670" s="11"/>
      <c r="E670" s="11"/>
      <c r="G670" s="11"/>
      <c r="I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>
      <c r="A671" s="11"/>
      <c r="B671" s="11"/>
      <c r="D671" s="11"/>
      <c r="E671" s="11"/>
      <c r="G671" s="11"/>
      <c r="I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>
      <c r="A672" s="11"/>
      <c r="B672" s="11"/>
      <c r="D672" s="11"/>
      <c r="E672" s="11"/>
      <c r="G672" s="11"/>
      <c r="I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>
      <c r="A673" s="11"/>
      <c r="B673" s="11"/>
      <c r="D673" s="11"/>
      <c r="E673" s="11"/>
      <c r="G673" s="11"/>
      <c r="I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>
      <c r="A674" s="11"/>
      <c r="B674" s="11"/>
      <c r="D674" s="11"/>
      <c r="E674" s="11"/>
      <c r="G674" s="11"/>
      <c r="I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>
      <c r="A675" s="11"/>
      <c r="B675" s="11"/>
      <c r="D675" s="11"/>
      <c r="E675" s="11"/>
      <c r="G675" s="11"/>
      <c r="I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>
      <c r="A676" s="11"/>
      <c r="B676" s="11"/>
      <c r="D676" s="11"/>
      <c r="E676" s="11"/>
      <c r="G676" s="11"/>
      <c r="I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>
      <c r="A677" s="11"/>
      <c r="B677" s="11"/>
      <c r="D677" s="11"/>
      <c r="E677" s="11"/>
      <c r="G677" s="11"/>
      <c r="I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>
      <c r="A678" s="11"/>
      <c r="B678" s="11"/>
      <c r="D678" s="11"/>
      <c r="E678" s="11"/>
      <c r="G678" s="11"/>
      <c r="I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>
      <c r="A679" s="11"/>
      <c r="B679" s="11"/>
      <c r="D679" s="11"/>
      <c r="E679" s="11"/>
      <c r="G679" s="11"/>
      <c r="I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>
      <c r="A680" s="11"/>
      <c r="B680" s="11"/>
      <c r="D680" s="11"/>
      <c r="E680" s="11"/>
      <c r="G680" s="11"/>
      <c r="I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>
      <c r="A681" s="11"/>
      <c r="B681" s="11"/>
      <c r="D681" s="11"/>
      <c r="E681" s="11"/>
      <c r="G681" s="11"/>
      <c r="I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>
      <c r="A682" s="11"/>
      <c r="B682" s="11"/>
      <c r="D682" s="11"/>
      <c r="E682" s="11"/>
      <c r="G682" s="11"/>
      <c r="I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>
      <c r="A683" s="11"/>
      <c r="B683" s="11"/>
      <c r="D683" s="11"/>
      <c r="E683" s="11"/>
      <c r="G683" s="11"/>
      <c r="I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>
      <c r="A684" s="11"/>
      <c r="B684" s="11"/>
      <c r="D684" s="11"/>
      <c r="E684" s="11"/>
      <c r="G684" s="11"/>
      <c r="I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>
      <c r="A685" s="11"/>
      <c r="B685" s="11"/>
      <c r="D685" s="11"/>
      <c r="E685" s="11"/>
      <c r="G685" s="11"/>
      <c r="I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>
      <c r="A686" s="11"/>
      <c r="B686" s="11"/>
      <c r="D686" s="11"/>
      <c r="E686" s="11"/>
      <c r="G686" s="11"/>
      <c r="I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>
      <c r="A687" s="11"/>
      <c r="B687" s="11"/>
      <c r="D687" s="11"/>
      <c r="E687" s="11"/>
      <c r="G687" s="11"/>
      <c r="I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>
      <c r="A688" s="11"/>
      <c r="B688" s="11"/>
      <c r="D688" s="11"/>
      <c r="E688" s="11"/>
      <c r="G688" s="11"/>
      <c r="I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>
      <c r="A689" s="11"/>
      <c r="B689" s="11"/>
      <c r="D689" s="11"/>
      <c r="E689" s="11"/>
      <c r="G689" s="11"/>
      <c r="I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>
      <c r="A690" s="11"/>
      <c r="B690" s="11"/>
      <c r="D690" s="11"/>
      <c r="E690" s="11"/>
      <c r="G690" s="11"/>
      <c r="I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>
      <c r="A691" s="11"/>
      <c r="B691" s="11"/>
      <c r="D691" s="11"/>
      <c r="E691" s="11"/>
      <c r="G691" s="11"/>
      <c r="I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>
      <c r="A692" s="11"/>
      <c r="B692" s="11"/>
      <c r="D692" s="11"/>
      <c r="E692" s="11"/>
      <c r="G692" s="11"/>
      <c r="I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>
      <c r="A693" s="11"/>
      <c r="B693" s="11"/>
      <c r="D693" s="11"/>
      <c r="E693" s="11"/>
      <c r="G693" s="11"/>
      <c r="I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>
      <c r="A694" s="11"/>
      <c r="B694" s="11"/>
      <c r="D694" s="11"/>
      <c r="E694" s="11"/>
      <c r="G694" s="11"/>
      <c r="I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>
      <c r="A695" s="11"/>
      <c r="B695" s="11"/>
      <c r="D695" s="11"/>
      <c r="E695" s="11"/>
      <c r="G695" s="11"/>
      <c r="I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>
      <c r="A696" s="11"/>
      <c r="B696" s="11"/>
      <c r="D696" s="11"/>
      <c r="E696" s="11"/>
      <c r="G696" s="11"/>
      <c r="I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>
      <c r="A697" s="11"/>
      <c r="B697" s="11"/>
      <c r="D697" s="11"/>
      <c r="E697" s="11"/>
      <c r="G697" s="11"/>
      <c r="I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>
      <c r="A698" s="11"/>
      <c r="B698" s="11"/>
      <c r="D698" s="11"/>
      <c r="E698" s="11"/>
      <c r="G698" s="11"/>
      <c r="I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>
      <c r="A699" s="11"/>
      <c r="B699" s="11"/>
      <c r="D699" s="11"/>
      <c r="E699" s="11"/>
      <c r="G699" s="11"/>
      <c r="I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>
      <c r="A700" s="11"/>
      <c r="B700" s="11"/>
      <c r="D700" s="11"/>
      <c r="E700" s="11"/>
      <c r="G700" s="11"/>
      <c r="I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>
      <c r="A701" s="11"/>
      <c r="B701" s="11"/>
      <c r="D701" s="11"/>
      <c r="E701" s="11"/>
      <c r="G701" s="11"/>
      <c r="I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>
      <c r="A702" s="11"/>
      <c r="B702" s="11"/>
      <c r="D702" s="11"/>
      <c r="E702" s="11"/>
      <c r="G702" s="11"/>
      <c r="I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>
      <c r="A703" s="11"/>
      <c r="B703" s="11"/>
      <c r="D703" s="11"/>
      <c r="E703" s="11"/>
      <c r="G703" s="11"/>
      <c r="I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>
      <c r="A704" s="11"/>
      <c r="B704" s="11"/>
      <c r="D704" s="11"/>
      <c r="E704" s="11"/>
      <c r="G704" s="11"/>
      <c r="I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>
      <c r="A705" s="11"/>
      <c r="B705" s="11"/>
      <c r="D705" s="11"/>
      <c r="E705" s="11"/>
      <c r="G705" s="11"/>
      <c r="I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>
      <c r="A706" s="11"/>
      <c r="B706" s="11"/>
      <c r="D706" s="11"/>
      <c r="E706" s="11"/>
      <c r="G706" s="11"/>
      <c r="I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>
      <c r="A707" s="11"/>
      <c r="B707" s="11"/>
      <c r="D707" s="11"/>
      <c r="E707" s="11"/>
      <c r="G707" s="11"/>
      <c r="I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>
      <c r="A708" s="11"/>
      <c r="B708" s="11"/>
      <c r="D708" s="11"/>
      <c r="E708" s="11"/>
      <c r="G708" s="11"/>
      <c r="I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>
      <c r="A709" s="11"/>
      <c r="B709" s="11"/>
      <c r="D709" s="11"/>
      <c r="E709" s="11"/>
      <c r="G709" s="11"/>
      <c r="I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>
      <c r="A710" s="11"/>
      <c r="B710" s="11"/>
      <c r="D710" s="11"/>
      <c r="E710" s="11"/>
      <c r="G710" s="11"/>
      <c r="I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>
      <c r="A711" s="11"/>
      <c r="B711" s="11"/>
      <c r="D711" s="11"/>
      <c r="E711" s="11"/>
      <c r="G711" s="11"/>
      <c r="I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>
      <c r="A712" s="11"/>
      <c r="B712" s="11"/>
      <c r="D712" s="11"/>
      <c r="E712" s="11"/>
      <c r="G712" s="11"/>
      <c r="I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>
      <c r="A713" s="11"/>
      <c r="B713" s="11"/>
      <c r="D713" s="11"/>
      <c r="E713" s="11"/>
      <c r="G713" s="11"/>
      <c r="I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>
      <c r="A714" s="11"/>
      <c r="B714" s="11"/>
      <c r="D714" s="11"/>
      <c r="E714" s="11"/>
      <c r="G714" s="11"/>
      <c r="I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>
      <c r="A715" s="11"/>
      <c r="B715" s="11"/>
      <c r="D715" s="11"/>
      <c r="E715" s="11"/>
      <c r="G715" s="11"/>
      <c r="I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>
      <c r="A716" s="11"/>
      <c r="B716" s="11"/>
      <c r="D716" s="11"/>
      <c r="E716" s="11"/>
      <c r="G716" s="11"/>
      <c r="I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>
      <c r="A717" s="11"/>
      <c r="B717" s="11"/>
      <c r="D717" s="11"/>
      <c r="E717" s="11"/>
      <c r="G717" s="11"/>
      <c r="I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>
      <c r="A718" s="11"/>
      <c r="B718" s="11"/>
      <c r="D718" s="11"/>
      <c r="E718" s="11"/>
      <c r="G718" s="11"/>
      <c r="I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>
      <c r="A719" s="11"/>
      <c r="B719" s="11"/>
      <c r="D719" s="11"/>
      <c r="E719" s="11"/>
      <c r="G719" s="11"/>
      <c r="I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>
      <c r="A720" s="11"/>
      <c r="B720" s="11"/>
      <c r="D720" s="11"/>
      <c r="E720" s="11"/>
      <c r="G720" s="11"/>
      <c r="I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>
      <c r="A721" s="11"/>
      <c r="B721" s="11"/>
      <c r="D721" s="11"/>
      <c r="E721" s="11"/>
      <c r="G721" s="11"/>
      <c r="I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>
      <c r="A722" s="11"/>
      <c r="B722" s="11"/>
      <c r="D722" s="11"/>
      <c r="E722" s="11"/>
      <c r="G722" s="11"/>
      <c r="I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>
      <c r="A723" s="11"/>
      <c r="B723" s="11"/>
      <c r="D723" s="11"/>
      <c r="E723" s="11"/>
      <c r="G723" s="11"/>
      <c r="I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>
      <c r="A724" s="11"/>
      <c r="B724" s="11"/>
      <c r="D724" s="11"/>
      <c r="E724" s="11"/>
      <c r="G724" s="11"/>
      <c r="I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>
      <c r="A725" s="11"/>
      <c r="B725" s="11"/>
      <c r="D725" s="11"/>
      <c r="E725" s="11"/>
      <c r="G725" s="11"/>
      <c r="I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>
      <c r="A726" s="11"/>
      <c r="B726" s="11"/>
      <c r="D726" s="11"/>
      <c r="E726" s="11"/>
      <c r="G726" s="11"/>
      <c r="I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>
      <c r="A727" s="11"/>
      <c r="B727" s="11"/>
      <c r="D727" s="11"/>
      <c r="E727" s="11"/>
      <c r="G727" s="11"/>
      <c r="I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>
      <c r="A728" s="11"/>
      <c r="B728" s="11"/>
      <c r="D728" s="11"/>
      <c r="E728" s="11"/>
      <c r="G728" s="11"/>
      <c r="I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>
      <c r="A729" s="11"/>
      <c r="B729" s="11"/>
      <c r="D729" s="11"/>
      <c r="E729" s="11"/>
      <c r="G729" s="11"/>
      <c r="I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>
      <c r="A730" s="11"/>
      <c r="B730" s="11"/>
      <c r="D730" s="11"/>
      <c r="E730" s="11"/>
      <c r="G730" s="11"/>
      <c r="I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>
      <c r="A731" s="11"/>
      <c r="B731" s="11"/>
      <c r="D731" s="11"/>
      <c r="E731" s="11"/>
      <c r="G731" s="11"/>
      <c r="I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>
      <c r="A732" s="11"/>
      <c r="B732" s="11"/>
      <c r="D732" s="11"/>
      <c r="E732" s="11"/>
      <c r="G732" s="11"/>
      <c r="I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>
      <c r="A733" s="11"/>
      <c r="B733" s="11"/>
      <c r="D733" s="11"/>
      <c r="E733" s="11"/>
      <c r="G733" s="11"/>
      <c r="I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>
      <c r="A734" s="11"/>
      <c r="B734" s="11"/>
      <c r="D734" s="11"/>
      <c r="E734" s="11"/>
      <c r="G734" s="11"/>
      <c r="I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>
      <c r="A735" s="11"/>
      <c r="B735" s="11"/>
      <c r="D735" s="11"/>
      <c r="E735" s="11"/>
      <c r="G735" s="11"/>
      <c r="I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>
      <c r="A736" s="11"/>
      <c r="B736" s="11"/>
      <c r="D736" s="11"/>
      <c r="E736" s="11"/>
      <c r="G736" s="11"/>
      <c r="I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>
      <c r="A737" s="11"/>
      <c r="B737" s="11"/>
      <c r="D737" s="11"/>
      <c r="E737" s="11"/>
      <c r="G737" s="11"/>
      <c r="I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>
      <c r="A738" s="11"/>
      <c r="B738" s="11"/>
      <c r="D738" s="11"/>
      <c r="E738" s="11"/>
      <c r="G738" s="11"/>
      <c r="I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>
      <c r="A739" s="11"/>
      <c r="B739" s="11"/>
      <c r="D739" s="11"/>
      <c r="E739" s="11"/>
      <c r="G739" s="11"/>
      <c r="I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>
      <c r="A740" s="11"/>
      <c r="B740" s="11"/>
      <c r="D740" s="11"/>
      <c r="E740" s="11"/>
      <c r="G740" s="11"/>
      <c r="I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>
      <c r="A741" s="11"/>
      <c r="B741" s="11"/>
      <c r="D741" s="11"/>
      <c r="E741" s="11"/>
      <c r="G741" s="11"/>
      <c r="I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>
      <c r="A742" s="11"/>
      <c r="B742" s="11"/>
      <c r="D742" s="11"/>
      <c r="E742" s="11"/>
      <c r="G742" s="11"/>
      <c r="I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>
      <c r="A743" s="11"/>
      <c r="B743" s="11"/>
      <c r="D743" s="11"/>
      <c r="E743" s="11"/>
      <c r="G743" s="11"/>
      <c r="I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>
      <c r="A744" s="11"/>
      <c r="B744" s="11"/>
      <c r="D744" s="11"/>
      <c r="E744" s="11"/>
      <c r="G744" s="11"/>
      <c r="I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>
      <c r="A745" s="11"/>
      <c r="B745" s="11"/>
      <c r="D745" s="11"/>
      <c r="E745" s="11"/>
      <c r="G745" s="11"/>
      <c r="I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>
      <c r="A746" s="11"/>
      <c r="B746" s="11"/>
      <c r="D746" s="11"/>
      <c r="E746" s="11"/>
      <c r="G746" s="11"/>
      <c r="I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>
      <c r="A747" s="11"/>
      <c r="B747" s="11"/>
      <c r="D747" s="11"/>
      <c r="E747" s="11"/>
      <c r="G747" s="11"/>
      <c r="I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>
      <c r="A748" s="11"/>
      <c r="B748" s="11"/>
      <c r="D748" s="11"/>
      <c r="E748" s="11"/>
      <c r="G748" s="11"/>
      <c r="I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>
      <c r="A749" s="11"/>
      <c r="B749" s="11"/>
      <c r="D749" s="11"/>
      <c r="E749" s="11"/>
      <c r="G749" s="11"/>
      <c r="I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>
      <c r="A750" s="11"/>
      <c r="B750" s="11"/>
      <c r="D750" s="11"/>
      <c r="E750" s="11"/>
      <c r="G750" s="11"/>
      <c r="I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>
      <c r="A751" s="11"/>
      <c r="B751" s="11"/>
      <c r="D751" s="11"/>
      <c r="E751" s="11"/>
      <c r="G751" s="11"/>
      <c r="I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>
      <c r="A752" s="11"/>
      <c r="B752" s="11"/>
      <c r="D752" s="11"/>
      <c r="E752" s="11"/>
      <c r="G752" s="11"/>
      <c r="I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>
      <c r="A753" s="11"/>
      <c r="B753" s="11"/>
      <c r="D753" s="11"/>
      <c r="E753" s="11"/>
      <c r="G753" s="11"/>
      <c r="I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>
      <c r="A754" s="11"/>
      <c r="B754" s="11"/>
      <c r="D754" s="11"/>
      <c r="E754" s="11"/>
      <c r="G754" s="11"/>
      <c r="I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>
      <c r="A755" s="11"/>
      <c r="B755" s="11"/>
      <c r="D755" s="11"/>
      <c r="E755" s="11"/>
      <c r="G755" s="11"/>
      <c r="I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>
      <c r="A756" s="11"/>
      <c r="B756" s="11"/>
      <c r="D756" s="11"/>
      <c r="E756" s="11"/>
      <c r="G756" s="11"/>
      <c r="I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>
      <c r="A757" s="11"/>
      <c r="B757" s="11"/>
      <c r="D757" s="11"/>
      <c r="E757" s="11"/>
      <c r="G757" s="11"/>
      <c r="I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>
      <c r="A758" s="11"/>
      <c r="B758" s="11"/>
      <c r="D758" s="11"/>
      <c r="E758" s="11"/>
      <c r="G758" s="11"/>
      <c r="I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>
      <c r="A759" s="11"/>
      <c r="B759" s="11"/>
      <c r="D759" s="11"/>
      <c r="E759" s="11"/>
      <c r="G759" s="11"/>
      <c r="I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>
      <c r="A760" s="11"/>
      <c r="B760" s="11"/>
      <c r="D760" s="11"/>
      <c r="E760" s="11"/>
      <c r="G760" s="11"/>
      <c r="I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>
      <c r="A761" s="11"/>
      <c r="B761" s="11"/>
      <c r="D761" s="11"/>
      <c r="E761" s="11"/>
      <c r="G761" s="11"/>
      <c r="I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>
      <c r="A762" s="11"/>
      <c r="B762" s="11"/>
      <c r="D762" s="11"/>
      <c r="E762" s="11"/>
      <c r="G762" s="11"/>
      <c r="I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>
      <c r="A763" s="11"/>
      <c r="B763" s="11"/>
      <c r="D763" s="11"/>
      <c r="E763" s="11"/>
      <c r="G763" s="11"/>
      <c r="I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>
      <c r="A764" s="11"/>
      <c r="B764" s="11"/>
      <c r="D764" s="11"/>
      <c r="E764" s="11"/>
      <c r="G764" s="11"/>
      <c r="I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>
      <c r="A765" s="11"/>
      <c r="B765" s="11"/>
      <c r="D765" s="11"/>
      <c r="E765" s="11"/>
      <c r="G765" s="11"/>
      <c r="I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>
      <c r="A766" s="11"/>
      <c r="B766" s="11"/>
      <c r="D766" s="11"/>
      <c r="E766" s="11"/>
      <c r="G766" s="11"/>
      <c r="I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>
      <c r="A767" s="11"/>
      <c r="B767" s="11"/>
      <c r="D767" s="11"/>
      <c r="E767" s="11"/>
      <c r="G767" s="11"/>
      <c r="I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>
      <c r="A768" s="11"/>
      <c r="B768" s="11"/>
      <c r="D768" s="11"/>
      <c r="E768" s="11"/>
      <c r="G768" s="11"/>
      <c r="I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>
      <c r="A769" s="11"/>
      <c r="B769" s="11"/>
      <c r="D769" s="11"/>
      <c r="E769" s="11"/>
      <c r="G769" s="11"/>
      <c r="I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>
      <c r="A770" s="11"/>
      <c r="B770" s="11"/>
      <c r="D770" s="11"/>
      <c r="E770" s="11"/>
      <c r="G770" s="11"/>
      <c r="I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>
      <c r="A771" s="11"/>
      <c r="B771" s="11"/>
      <c r="D771" s="11"/>
      <c r="E771" s="11"/>
      <c r="G771" s="11"/>
      <c r="I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>
      <c r="A772" s="11"/>
      <c r="B772" s="11"/>
      <c r="D772" s="11"/>
      <c r="E772" s="11"/>
      <c r="G772" s="11"/>
      <c r="I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>
      <c r="A773" s="11"/>
      <c r="B773" s="11"/>
      <c r="D773" s="11"/>
      <c r="E773" s="11"/>
      <c r="G773" s="11"/>
      <c r="I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>
      <c r="A774" s="11"/>
      <c r="B774" s="11"/>
      <c r="D774" s="11"/>
      <c r="E774" s="11"/>
      <c r="G774" s="11"/>
      <c r="I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>
      <c r="A775" s="11"/>
      <c r="B775" s="11"/>
      <c r="D775" s="11"/>
      <c r="E775" s="11"/>
      <c r="G775" s="11"/>
      <c r="I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>
      <c r="A776" s="11"/>
      <c r="B776" s="11"/>
      <c r="D776" s="11"/>
      <c r="E776" s="11"/>
      <c r="G776" s="11"/>
      <c r="I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>
      <c r="A777" s="11"/>
      <c r="B777" s="11"/>
      <c r="D777" s="11"/>
      <c r="E777" s="11"/>
      <c r="G777" s="11"/>
      <c r="I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>
      <c r="A778" s="11"/>
      <c r="B778" s="11"/>
      <c r="D778" s="11"/>
      <c r="E778" s="11"/>
      <c r="G778" s="11"/>
      <c r="I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>
      <c r="A779" s="11"/>
      <c r="B779" s="11"/>
      <c r="D779" s="11"/>
      <c r="E779" s="11"/>
      <c r="G779" s="11"/>
      <c r="I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>
      <c r="A780" s="11"/>
      <c r="B780" s="11"/>
      <c r="D780" s="11"/>
      <c r="E780" s="11"/>
      <c r="G780" s="11"/>
      <c r="I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>
      <c r="A781" s="11"/>
      <c r="B781" s="11"/>
      <c r="D781" s="11"/>
      <c r="E781" s="11"/>
      <c r="G781" s="11"/>
      <c r="I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>
      <c r="A782" s="11"/>
      <c r="B782" s="11"/>
      <c r="D782" s="11"/>
      <c r="E782" s="11"/>
      <c r="G782" s="11"/>
      <c r="I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>
      <c r="A783" s="11"/>
      <c r="B783" s="11"/>
      <c r="D783" s="11"/>
      <c r="E783" s="11"/>
      <c r="G783" s="11"/>
      <c r="I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>
      <c r="A784" s="11"/>
      <c r="B784" s="11"/>
      <c r="D784" s="11"/>
      <c r="E784" s="11"/>
      <c r="G784" s="11"/>
      <c r="I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>
      <c r="A785" s="11"/>
      <c r="B785" s="11"/>
      <c r="D785" s="11"/>
      <c r="E785" s="11"/>
      <c r="G785" s="11"/>
      <c r="I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>
      <c r="A786" s="11"/>
      <c r="B786" s="11"/>
      <c r="D786" s="11"/>
      <c r="E786" s="11"/>
      <c r="G786" s="11"/>
      <c r="I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>
      <c r="A787" s="11"/>
      <c r="B787" s="11"/>
      <c r="D787" s="11"/>
      <c r="E787" s="11"/>
      <c r="G787" s="11"/>
      <c r="I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>
      <c r="A788" s="11"/>
      <c r="B788" s="11"/>
      <c r="D788" s="11"/>
      <c r="E788" s="11"/>
      <c r="G788" s="11"/>
      <c r="I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>
      <c r="A789" s="11"/>
      <c r="B789" s="11"/>
      <c r="D789" s="11"/>
      <c r="E789" s="11"/>
      <c r="G789" s="11"/>
      <c r="I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>
      <c r="A790" s="11"/>
      <c r="B790" s="11"/>
      <c r="D790" s="11"/>
      <c r="E790" s="11"/>
      <c r="G790" s="11"/>
      <c r="I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>
      <c r="A791" s="11"/>
      <c r="B791" s="11"/>
      <c r="D791" s="11"/>
      <c r="E791" s="11"/>
      <c r="G791" s="11"/>
      <c r="I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>
      <c r="A792" s="11"/>
      <c r="B792" s="11"/>
      <c r="D792" s="11"/>
      <c r="E792" s="11"/>
      <c r="G792" s="11"/>
      <c r="I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>
      <c r="A793" s="11"/>
      <c r="B793" s="11"/>
      <c r="D793" s="11"/>
      <c r="E793" s="11"/>
      <c r="G793" s="11"/>
      <c r="I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>
      <c r="A794" s="11"/>
      <c r="B794" s="11"/>
      <c r="D794" s="11"/>
      <c r="E794" s="11"/>
      <c r="G794" s="11"/>
      <c r="I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>
      <c r="A795" s="11"/>
      <c r="B795" s="11"/>
      <c r="D795" s="11"/>
      <c r="E795" s="11"/>
      <c r="G795" s="11"/>
      <c r="I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>
      <c r="A796" s="11"/>
      <c r="B796" s="11"/>
      <c r="D796" s="11"/>
      <c r="E796" s="11"/>
      <c r="G796" s="11"/>
      <c r="I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>
      <c r="A797" s="11"/>
      <c r="B797" s="11"/>
      <c r="D797" s="11"/>
      <c r="E797" s="11"/>
      <c r="G797" s="11"/>
      <c r="I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>
      <c r="A798" s="11"/>
      <c r="B798" s="11"/>
      <c r="D798" s="11"/>
      <c r="E798" s="11"/>
      <c r="G798" s="11"/>
      <c r="I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>
      <c r="A799" s="11"/>
      <c r="B799" s="11"/>
      <c r="D799" s="11"/>
      <c r="E799" s="11"/>
      <c r="G799" s="11"/>
      <c r="I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>
      <c r="A800" s="11"/>
      <c r="B800" s="11"/>
      <c r="D800" s="11"/>
      <c r="E800" s="11"/>
      <c r="G800" s="11"/>
      <c r="I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>
      <c r="A801" s="11"/>
      <c r="B801" s="11"/>
      <c r="D801" s="11"/>
      <c r="E801" s="11"/>
      <c r="G801" s="11"/>
      <c r="I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>
      <c r="A802" s="11"/>
      <c r="B802" s="11"/>
      <c r="D802" s="11"/>
      <c r="E802" s="11"/>
      <c r="G802" s="11"/>
      <c r="I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>
      <c r="A803" s="11"/>
      <c r="B803" s="11"/>
      <c r="D803" s="11"/>
      <c r="E803" s="11"/>
      <c r="G803" s="11"/>
      <c r="I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>
      <c r="A804" s="11"/>
      <c r="B804" s="11"/>
      <c r="D804" s="11"/>
      <c r="E804" s="11"/>
      <c r="G804" s="11"/>
      <c r="I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>
      <c r="A805" s="11"/>
      <c r="B805" s="11"/>
      <c r="D805" s="11"/>
      <c r="E805" s="11"/>
      <c r="G805" s="11"/>
      <c r="I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>
      <c r="A806" s="11"/>
      <c r="B806" s="11"/>
      <c r="D806" s="11"/>
      <c r="E806" s="11"/>
      <c r="G806" s="11"/>
      <c r="I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>
      <c r="A807" s="11"/>
      <c r="B807" s="11"/>
      <c r="D807" s="11"/>
      <c r="E807" s="11"/>
      <c r="G807" s="11"/>
      <c r="I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>
      <c r="A808" s="11"/>
      <c r="B808" s="11"/>
      <c r="D808" s="11"/>
      <c r="E808" s="11"/>
      <c r="G808" s="11"/>
      <c r="I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>
      <c r="A809" s="11"/>
      <c r="B809" s="11"/>
      <c r="D809" s="11"/>
      <c r="E809" s="11"/>
      <c r="G809" s="11"/>
      <c r="I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>
      <c r="A810" s="11"/>
      <c r="B810" s="11"/>
      <c r="D810" s="11"/>
      <c r="E810" s="11"/>
      <c r="G810" s="11"/>
      <c r="I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>
      <c r="A811" s="11"/>
      <c r="B811" s="11"/>
      <c r="D811" s="11"/>
      <c r="E811" s="11"/>
      <c r="G811" s="11"/>
      <c r="I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>
      <c r="A812" s="11"/>
      <c r="B812" s="11"/>
      <c r="D812" s="11"/>
      <c r="E812" s="11"/>
      <c r="G812" s="11"/>
      <c r="I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>
      <c r="A813" s="11"/>
      <c r="B813" s="11"/>
      <c r="D813" s="11"/>
      <c r="E813" s="11"/>
      <c r="G813" s="11"/>
      <c r="I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>
      <c r="A814" s="11"/>
      <c r="B814" s="11"/>
      <c r="D814" s="11"/>
      <c r="E814" s="11"/>
      <c r="G814" s="11"/>
      <c r="I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>
      <c r="A815" s="11"/>
      <c r="B815" s="11"/>
      <c r="D815" s="11"/>
      <c r="E815" s="11"/>
      <c r="G815" s="11"/>
      <c r="I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>
      <c r="A816" s="11"/>
      <c r="B816" s="11"/>
      <c r="D816" s="11"/>
      <c r="E816" s="11"/>
      <c r="G816" s="11"/>
      <c r="I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>
      <c r="A817" s="11"/>
      <c r="B817" s="11"/>
      <c r="D817" s="11"/>
      <c r="E817" s="11"/>
      <c r="G817" s="11"/>
      <c r="I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>
      <c r="A818" s="11"/>
      <c r="B818" s="11"/>
      <c r="D818" s="11"/>
      <c r="E818" s="11"/>
      <c r="G818" s="11"/>
      <c r="I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>
      <c r="A819" s="11"/>
      <c r="B819" s="11"/>
      <c r="D819" s="11"/>
      <c r="E819" s="11"/>
      <c r="G819" s="11"/>
      <c r="I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>
      <c r="A820" s="11"/>
      <c r="B820" s="11"/>
      <c r="D820" s="11"/>
      <c r="E820" s="11"/>
      <c r="G820" s="11"/>
      <c r="I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>
      <c r="A821" s="11"/>
      <c r="B821" s="11"/>
      <c r="D821" s="11"/>
      <c r="E821" s="11"/>
      <c r="G821" s="11"/>
      <c r="I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>
      <c r="A822" s="11"/>
      <c r="B822" s="11"/>
      <c r="D822" s="11"/>
      <c r="E822" s="11"/>
      <c r="G822" s="11"/>
      <c r="I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>
      <c r="A823" s="11"/>
      <c r="B823" s="11"/>
      <c r="D823" s="11"/>
      <c r="E823" s="11"/>
      <c r="G823" s="11"/>
      <c r="I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>
      <c r="A824" s="11"/>
      <c r="B824" s="11"/>
      <c r="D824" s="11"/>
      <c r="E824" s="11"/>
      <c r="G824" s="11"/>
      <c r="I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>
      <c r="A825" s="11"/>
      <c r="B825" s="11"/>
      <c r="D825" s="11"/>
      <c r="E825" s="11"/>
      <c r="G825" s="11"/>
      <c r="I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>
      <c r="A826" s="11"/>
      <c r="B826" s="11"/>
      <c r="D826" s="11"/>
      <c r="E826" s="11"/>
      <c r="G826" s="11"/>
      <c r="I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>
      <c r="A827" s="11"/>
      <c r="B827" s="11"/>
      <c r="D827" s="11"/>
      <c r="E827" s="11"/>
      <c r="G827" s="11"/>
      <c r="I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>
      <c r="A828" s="11"/>
      <c r="B828" s="11"/>
      <c r="D828" s="11"/>
      <c r="E828" s="11"/>
      <c r="G828" s="11"/>
      <c r="I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>
      <c r="A829" s="11"/>
      <c r="B829" s="11"/>
      <c r="D829" s="11"/>
      <c r="E829" s="11"/>
      <c r="G829" s="11"/>
      <c r="I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>
      <c r="A830" s="11"/>
      <c r="B830" s="11"/>
      <c r="D830" s="11"/>
      <c r="E830" s="11"/>
      <c r="G830" s="11"/>
      <c r="I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>
      <c r="A831" s="11"/>
      <c r="B831" s="11"/>
      <c r="D831" s="11"/>
      <c r="E831" s="11"/>
      <c r="G831" s="11"/>
      <c r="I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>
      <c r="A832" s="11"/>
      <c r="B832" s="11"/>
      <c r="D832" s="11"/>
      <c r="E832" s="11"/>
      <c r="G832" s="11"/>
      <c r="I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>
      <c r="A833" s="11"/>
      <c r="B833" s="11"/>
      <c r="D833" s="11"/>
      <c r="E833" s="11"/>
      <c r="G833" s="11"/>
      <c r="I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>
      <c r="A834" s="11"/>
      <c r="B834" s="11"/>
      <c r="D834" s="11"/>
      <c r="E834" s="11"/>
      <c r="G834" s="11"/>
      <c r="I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>
      <c r="A835" s="11"/>
      <c r="B835" s="11"/>
      <c r="D835" s="11"/>
      <c r="E835" s="11"/>
      <c r="G835" s="11"/>
      <c r="I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>
      <c r="A836" s="11"/>
      <c r="B836" s="11"/>
      <c r="D836" s="11"/>
      <c r="E836" s="11"/>
      <c r="G836" s="11"/>
      <c r="I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>
      <c r="A837" s="11"/>
      <c r="B837" s="11"/>
      <c r="D837" s="11"/>
      <c r="E837" s="11"/>
      <c r="G837" s="11"/>
      <c r="I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>
      <c r="A838" s="11"/>
      <c r="B838" s="11"/>
      <c r="D838" s="11"/>
      <c r="E838" s="11"/>
      <c r="G838" s="11"/>
      <c r="I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>
      <c r="A839" s="11"/>
      <c r="B839" s="11"/>
      <c r="D839" s="11"/>
      <c r="E839" s="11"/>
      <c r="G839" s="11"/>
      <c r="I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>
      <c r="A840" s="11"/>
      <c r="B840" s="11"/>
      <c r="D840" s="11"/>
      <c r="E840" s="11"/>
      <c r="G840" s="11"/>
      <c r="I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>
      <c r="A841" s="11"/>
      <c r="B841" s="11"/>
      <c r="D841" s="11"/>
      <c r="E841" s="11"/>
      <c r="G841" s="11"/>
      <c r="I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>
      <c r="A842" s="11"/>
      <c r="B842" s="11"/>
      <c r="D842" s="11"/>
      <c r="E842" s="11"/>
      <c r="G842" s="11"/>
      <c r="I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>
      <c r="A843" s="11"/>
      <c r="B843" s="11"/>
      <c r="D843" s="11"/>
      <c r="E843" s="11"/>
      <c r="G843" s="11"/>
      <c r="I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>
      <c r="A844" s="11"/>
      <c r="B844" s="11"/>
      <c r="D844" s="11"/>
      <c r="E844" s="11"/>
      <c r="G844" s="11"/>
      <c r="I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>
      <c r="A845" s="11"/>
      <c r="B845" s="11"/>
      <c r="D845" s="11"/>
      <c r="E845" s="11"/>
      <c r="G845" s="11"/>
      <c r="I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>
      <c r="A846" s="11"/>
      <c r="B846" s="11"/>
      <c r="D846" s="11"/>
      <c r="E846" s="11"/>
      <c r="G846" s="11"/>
      <c r="I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>
      <c r="A847" s="11"/>
      <c r="B847" s="11"/>
      <c r="D847" s="11"/>
      <c r="E847" s="11"/>
      <c r="G847" s="11"/>
      <c r="I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>
      <c r="A848" s="11"/>
      <c r="B848" s="11"/>
      <c r="D848" s="11"/>
      <c r="E848" s="11"/>
      <c r="G848" s="11"/>
      <c r="I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>
      <c r="A849" s="11"/>
      <c r="B849" s="11"/>
      <c r="D849" s="11"/>
      <c r="E849" s="11"/>
      <c r="G849" s="11"/>
      <c r="I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>
      <c r="A850" s="11"/>
      <c r="B850" s="11"/>
      <c r="D850" s="11"/>
      <c r="E850" s="11"/>
      <c r="G850" s="11"/>
      <c r="I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>
      <c r="A851" s="11"/>
      <c r="B851" s="11"/>
      <c r="D851" s="11"/>
      <c r="E851" s="11"/>
      <c r="G851" s="11"/>
      <c r="I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>
      <c r="A852" s="11"/>
      <c r="B852" s="11"/>
      <c r="D852" s="11"/>
      <c r="E852" s="11"/>
      <c r="G852" s="11"/>
      <c r="I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>
      <c r="A853" s="11"/>
      <c r="B853" s="11"/>
      <c r="D853" s="11"/>
      <c r="E853" s="11"/>
      <c r="G853" s="11"/>
      <c r="I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>
      <c r="A854" s="11"/>
      <c r="B854" s="11"/>
      <c r="D854" s="11"/>
      <c r="E854" s="11"/>
      <c r="G854" s="11"/>
      <c r="I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>
      <c r="A855" s="11"/>
      <c r="B855" s="11"/>
      <c r="D855" s="11"/>
      <c r="E855" s="11"/>
      <c r="G855" s="11"/>
      <c r="I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>
      <c r="A856" s="11"/>
      <c r="B856" s="11"/>
      <c r="D856" s="11"/>
      <c r="E856" s="11"/>
      <c r="G856" s="11"/>
      <c r="I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>
      <c r="A857" s="11"/>
      <c r="B857" s="11"/>
      <c r="D857" s="11"/>
      <c r="E857" s="11"/>
      <c r="G857" s="11"/>
      <c r="I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>
      <c r="A858" s="11"/>
      <c r="B858" s="11"/>
      <c r="D858" s="11"/>
      <c r="E858" s="11"/>
      <c r="G858" s="11"/>
      <c r="I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>
      <c r="A859" s="11"/>
      <c r="B859" s="11"/>
      <c r="D859" s="11"/>
      <c r="E859" s="11"/>
      <c r="G859" s="11"/>
      <c r="I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>
      <c r="A860" s="11"/>
      <c r="B860" s="11"/>
      <c r="D860" s="11"/>
      <c r="E860" s="11"/>
      <c r="G860" s="11"/>
      <c r="I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>
      <c r="A861" s="11"/>
      <c r="B861" s="11"/>
      <c r="D861" s="11"/>
      <c r="E861" s="11"/>
      <c r="G861" s="11"/>
      <c r="I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>
      <c r="A862" s="11"/>
      <c r="B862" s="11"/>
      <c r="D862" s="11"/>
      <c r="E862" s="11"/>
      <c r="G862" s="11"/>
      <c r="I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>
      <c r="A863" s="11"/>
      <c r="B863" s="11"/>
      <c r="D863" s="11"/>
      <c r="E863" s="11"/>
      <c r="G863" s="11"/>
      <c r="I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>
      <c r="A864" s="11"/>
      <c r="B864" s="11"/>
      <c r="D864" s="11"/>
      <c r="E864" s="11"/>
      <c r="G864" s="11"/>
      <c r="I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>
      <c r="A865" s="11"/>
      <c r="B865" s="11"/>
      <c r="D865" s="11"/>
      <c r="E865" s="11"/>
      <c r="G865" s="11"/>
      <c r="I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>
      <c r="A866" s="11"/>
      <c r="B866" s="11"/>
      <c r="D866" s="11"/>
      <c r="E866" s="11"/>
      <c r="G866" s="11"/>
      <c r="I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>
      <c r="A867" s="11"/>
      <c r="B867" s="11"/>
      <c r="D867" s="11"/>
      <c r="E867" s="11"/>
      <c r="G867" s="11"/>
      <c r="I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>
      <c r="A868" s="11"/>
      <c r="B868" s="11"/>
      <c r="D868" s="11"/>
      <c r="E868" s="11"/>
      <c r="G868" s="11"/>
      <c r="I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>
      <c r="A869" s="11"/>
      <c r="B869" s="11"/>
      <c r="D869" s="11"/>
      <c r="E869" s="11"/>
      <c r="G869" s="11"/>
      <c r="I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>
      <c r="A870" s="11"/>
      <c r="B870" s="11"/>
      <c r="D870" s="11"/>
      <c r="E870" s="11"/>
      <c r="G870" s="11"/>
      <c r="I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>
      <c r="A871" s="11"/>
      <c r="B871" s="11"/>
      <c r="D871" s="11"/>
      <c r="E871" s="11"/>
      <c r="G871" s="11"/>
      <c r="I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>
      <c r="A872" s="11"/>
      <c r="B872" s="11"/>
      <c r="D872" s="11"/>
      <c r="E872" s="11"/>
      <c r="G872" s="11"/>
      <c r="I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>
      <c r="A873" s="11"/>
      <c r="B873" s="11"/>
      <c r="D873" s="11"/>
      <c r="E873" s="11"/>
      <c r="G873" s="11"/>
      <c r="I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>
      <c r="A874" s="11"/>
      <c r="B874" s="11"/>
      <c r="D874" s="11"/>
      <c r="E874" s="11"/>
      <c r="G874" s="11"/>
      <c r="I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>
      <c r="A875" s="11"/>
      <c r="B875" s="11"/>
      <c r="D875" s="11"/>
      <c r="E875" s="11"/>
      <c r="G875" s="11"/>
      <c r="I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>
      <c r="A876" s="11"/>
      <c r="B876" s="11"/>
      <c r="D876" s="11"/>
      <c r="E876" s="11"/>
      <c r="G876" s="11"/>
      <c r="I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>
      <c r="A877" s="11"/>
      <c r="B877" s="11"/>
      <c r="D877" s="11"/>
      <c r="E877" s="11"/>
      <c r="G877" s="11"/>
      <c r="I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>
      <c r="A878" s="11"/>
      <c r="B878" s="11"/>
      <c r="D878" s="11"/>
      <c r="E878" s="11"/>
      <c r="G878" s="11"/>
      <c r="I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>
      <c r="A879" s="11"/>
      <c r="B879" s="11"/>
      <c r="D879" s="11"/>
      <c r="E879" s="11"/>
      <c r="G879" s="11"/>
      <c r="I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>
      <c r="A880" s="11"/>
      <c r="B880" s="11"/>
      <c r="D880" s="11"/>
      <c r="E880" s="11"/>
      <c r="G880" s="11"/>
      <c r="I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>
      <c r="A881" s="11"/>
      <c r="B881" s="11"/>
      <c r="D881" s="11"/>
      <c r="E881" s="11"/>
      <c r="G881" s="11"/>
      <c r="I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>
      <c r="A882" s="11"/>
      <c r="B882" s="11"/>
      <c r="D882" s="11"/>
      <c r="E882" s="11"/>
      <c r="G882" s="11"/>
      <c r="I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>
      <c r="A883" s="11"/>
      <c r="B883" s="11"/>
      <c r="D883" s="11"/>
      <c r="E883" s="11"/>
      <c r="G883" s="11"/>
      <c r="I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>
      <c r="A884" s="11"/>
      <c r="B884" s="11"/>
      <c r="D884" s="11"/>
      <c r="E884" s="11"/>
      <c r="G884" s="11"/>
      <c r="I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>
      <c r="A885" s="11"/>
      <c r="B885" s="11"/>
      <c r="D885" s="11"/>
      <c r="E885" s="11"/>
      <c r="G885" s="11"/>
      <c r="I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>
      <c r="A886" s="11"/>
      <c r="B886" s="11"/>
      <c r="D886" s="11"/>
      <c r="E886" s="11"/>
      <c r="G886" s="11"/>
      <c r="I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>
      <c r="A887" s="11"/>
      <c r="B887" s="11"/>
      <c r="D887" s="11"/>
      <c r="E887" s="11"/>
      <c r="G887" s="11"/>
      <c r="I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>
      <c r="A888" s="11"/>
      <c r="B888" s="11"/>
      <c r="D888" s="11"/>
      <c r="E888" s="11"/>
      <c r="G888" s="11"/>
      <c r="I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>
      <c r="A889" s="11"/>
      <c r="B889" s="11"/>
      <c r="D889" s="11"/>
      <c r="E889" s="11"/>
      <c r="G889" s="11"/>
      <c r="I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>
      <c r="A890" s="11"/>
      <c r="B890" s="11"/>
      <c r="D890" s="11"/>
      <c r="E890" s="11"/>
      <c r="G890" s="11"/>
      <c r="I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>
      <c r="A891" s="11"/>
      <c r="B891" s="11"/>
      <c r="D891" s="11"/>
      <c r="E891" s="11"/>
      <c r="G891" s="11"/>
      <c r="I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>
      <c r="A892" s="11"/>
      <c r="B892" s="11"/>
      <c r="D892" s="11"/>
      <c r="E892" s="11"/>
      <c r="G892" s="11"/>
      <c r="I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>
      <c r="A893" s="11"/>
      <c r="B893" s="11"/>
      <c r="D893" s="11"/>
      <c r="E893" s="11"/>
      <c r="G893" s="11"/>
      <c r="I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>
      <c r="A894" s="11"/>
      <c r="B894" s="11"/>
      <c r="D894" s="11"/>
      <c r="E894" s="11"/>
      <c r="G894" s="11"/>
      <c r="I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>
      <c r="A895" s="11"/>
      <c r="B895" s="11"/>
      <c r="D895" s="11"/>
      <c r="E895" s="11"/>
      <c r="G895" s="11"/>
      <c r="I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>
      <c r="A896" s="11"/>
      <c r="B896" s="11"/>
      <c r="D896" s="11"/>
      <c r="E896" s="11"/>
      <c r="G896" s="11"/>
      <c r="I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>
      <c r="A897" s="11"/>
      <c r="B897" s="11"/>
      <c r="D897" s="11"/>
      <c r="E897" s="11"/>
      <c r="G897" s="11"/>
      <c r="I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>
      <c r="A898" s="11"/>
      <c r="B898" s="11"/>
      <c r="D898" s="11"/>
      <c r="E898" s="11"/>
      <c r="G898" s="11"/>
      <c r="I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>
      <c r="A899" s="11"/>
      <c r="B899" s="11"/>
      <c r="D899" s="11"/>
      <c r="E899" s="11"/>
      <c r="G899" s="11"/>
      <c r="I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>
      <c r="A900" s="11"/>
      <c r="B900" s="11"/>
      <c r="D900" s="11"/>
      <c r="E900" s="11"/>
      <c r="G900" s="11"/>
      <c r="I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>
      <c r="A901" s="11"/>
      <c r="B901" s="11"/>
      <c r="D901" s="11"/>
      <c r="E901" s="11"/>
      <c r="G901" s="11"/>
      <c r="I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>
      <c r="A902" s="11"/>
      <c r="B902" s="11"/>
      <c r="D902" s="11"/>
      <c r="E902" s="11"/>
      <c r="G902" s="11"/>
      <c r="I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>
      <c r="A903" s="11"/>
      <c r="B903" s="11"/>
      <c r="D903" s="11"/>
      <c r="E903" s="11"/>
      <c r="G903" s="11"/>
      <c r="I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>
      <c r="A904" s="11"/>
      <c r="B904" s="11"/>
      <c r="D904" s="11"/>
      <c r="E904" s="11"/>
      <c r="G904" s="11"/>
      <c r="I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>
      <c r="A905" s="11"/>
      <c r="B905" s="11"/>
      <c r="D905" s="11"/>
      <c r="E905" s="11"/>
      <c r="G905" s="11"/>
      <c r="I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>
      <c r="A906" s="11"/>
      <c r="B906" s="11"/>
      <c r="D906" s="11"/>
      <c r="E906" s="11"/>
      <c r="G906" s="11"/>
      <c r="I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>
      <c r="A907" s="11"/>
      <c r="B907" s="11"/>
      <c r="D907" s="11"/>
      <c r="E907" s="11"/>
      <c r="G907" s="11"/>
      <c r="I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>
      <c r="A908" s="11"/>
      <c r="B908" s="11"/>
      <c r="D908" s="11"/>
      <c r="E908" s="11"/>
      <c r="G908" s="11"/>
      <c r="I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>
      <c r="A909" s="11"/>
      <c r="B909" s="11"/>
      <c r="D909" s="11"/>
      <c r="E909" s="11"/>
      <c r="G909" s="11"/>
      <c r="I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>
      <c r="A910" s="11"/>
      <c r="B910" s="11"/>
      <c r="D910" s="11"/>
      <c r="E910" s="11"/>
      <c r="G910" s="11"/>
      <c r="I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>
      <c r="A911" s="11"/>
      <c r="B911" s="11"/>
      <c r="D911" s="11"/>
      <c r="E911" s="11"/>
      <c r="G911" s="11"/>
      <c r="I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>
      <c r="A912" s="11"/>
      <c r="B912" s="11"/>
      <c r="D912" s="11"/>
      <c r="E912" s="11"/>
      <c r="G912" s="11"/>
      <c r="I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>
      <c r="A913" s="11"/>
      <c r="B913" s="11"/>
      <c r="D913" s="11"/>
      <c r="E913" s="11"/>
      <c r="G913" s="11"/>
      <c r="I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>
      <c r="A914" s="11"/>
      <c r="B914" s="11"/>
      <c r="D914" s="11"/>
      <c r="E914" s="11"/>
      <c r="G914" s="11"/>
      <c r="I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>
      <c r="A915" s="11"/>
      <c r="B915" s="11"/>
      <c r="D915" s="11"/>
      <c r="E915" s="11"/>
      <c r="G915" s="11"/>
      <c r="I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>
      <c r="A916" s="11"/>
      <c r="B916" s="11"/>
      <c r="D916" s="11"/>
      <c r="E916" s="11"/>
      <c r="G916" s="11"/>
      <c r="I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>
      <c r="A917" s="11"/>
      <c r="B917" s="11"/>
      <c r="D917" s="11"/>
      <c r="E917" s="11"/>
      <c r="G917" s="11"/>
      <c r="I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>
      <c r="A918" s="11"/>
      <c r="B918" s="11"/>
      <c r="D918" s="11"/>
      <c r="E918" s="11"/>
      <c r="G918" s="11"/>
      <c r="I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>
      <c r="A919" s="11"/>
      <c r="B919" s="11"/>
      <c r="D919" s="11"/>
      <c r="E919" s="11"/>
      <c r="G919" s="11"/>
      <c r="I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>
      <c r="A920" s="11"/>
      <c r="B920" s="11"/>
      <c r="D920" s="11"/>
      <c r="E920" s="11"/>
      <c r="G920" s="11"/>
      <c r="I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>
      <c r="A921" s="11"/>
      <c r="B921" s="11"/>
      <c r="D921" s="11"/>
      <c r="E921" s="11"/>
      <c r="G921" s="11"/>
      <c r="I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>
      <c r="A922" s="11"/>
      <c r="B922" s="11"/>
      <c r="D922" s="11"/>
      <c r="E922" s="11"/>
      <c r="G922" s="11"/>
      <c r="I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>
      <c r="A923" s="11"/>
      <c r="B923" s="11"/>
      <c r="D923" s="11"/>
      <c r="E923" s="11"/>
      <c r="G923" s="11"/>
      <c r="I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>
      <c r="A924" s="11"/>
      <c r="B924" s="11"/>
      <c r="D924" s="11"/>
      <c r="E924" s="11"/>
      <c r="G924" s="11"/>
      <c r="I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>
      <c r="A925" s="11"/>
      <c r="B925" s="11"/>
      <c r="D925" s="11"/>
      <c r="E925" s="11"/>
      <c r="G925" s="11"/>
      <c r="I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>
      <c r="A926" s="11"/>
      <c r="B926" s="11"/>
      <c r="D926" s="11"/>
      <c r="E926" s="11"/>
      <c r="G926" s="11"/>
      <c r="I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>
      <c r="A927" s="11"/>
      <c r="B927" s="11"/>
      <c r="D927" s="11"/>
      <c r="E927" s="11"/>
      <c r="G927" s="11"/>
      <c r="I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>
      <c r="A928" s="11"/>
      <c r="B928" s="11"/>
      <c r="D928" s="11"/>
      <c r="E928" s="11"/>
      <c r="G928" s="11"/>
      <c r="I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>
      <c r="A929" s="11"/>
      <c r="B929" s="11"/>
      <c r="D929" s="11"/>
      <c r="E929" s="11"/>
      <c r="G929" s="11"/>
      <c r="I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>
      <c r="A930" s="11"/>
      <c r="B930" s="11"/>
      <c r="D930" s="11"/>
      <c r="E930" s="11"/>
      <c r="G930" s="11"/>
      <c r="I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>
      <c r="A931" s="11"/>
      <c r="B931" s="11"/>
      <c r="D931" s="11"/>
      <c r="E931" s="11"/>
      <c r="G931" s="11"/>
      <c r="I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>
      <c r="A932" s="11"/>
      <c r="B932" s="11"/>
      <c r="D932" s="11"/>
      <c r="E932" s="11"/>
      <c r="G932" s="11"/>
      <c r="I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>
      <c r="A933" s="11"/>
      <c r="B933" s="11"/>
      <c r="D933" s="11"/>
      <c r="E933" s="11"/>
      <c r="G933" s="11"/>
      <c r="I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>
      <c r="A934" s="11"/>
      <c r="B934" s="11"/>
      <c r="D934" s="11"/>
      <c r="E934" s="11"/>
      <c r="G934" s="11"/>
      <c r="I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>
      <c r="A935" s="11"/>
      <c r="B935" s="11"/>
      <c r="D935" s="11"/>
      <c r="E935" s="11"/>
      <c r="G935" s="11"/>
      <c r="I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>
      <c r="A936" s="11"/>
      <c r="B936" s="11"/>
      <c r="D936" s="11"/>
      <c r="E936" s="11"/>
      <c r="G936" s="11"/>
      <c r="I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>
      <c r="A937" s="11"/>
      <c r="B937" s="11"/>
      <c r="D937" s="11"/>
      <c r="E937" s="11"/>
      <c r="G937" s="11"/>
      <c r="I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>
      <c r="A938" s="11"/>
      <c r="B938" s="11"/>
      <c r="D938" s="11"/>
      <c r="E938" s="11"/>
      <c r="G938" s="11"/>
      <c r="I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>
      <c r="A939" s="11"/>
      <c r="B939" s="11"/>
      <c r="D939" s="11"/>
      <c r="E939" s="11"/>
      <c r="G939" s="11"/>
      <c r="I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>
      <c r="A940" s="11"/>
      <c r="B940" s="11"/>
      <c r="D940" s="11"/>
      <c r="E940" s="11"/>
      <c r="G940" s="11"/>
      <c r="I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>
      <c r="A941" s="11"/>
      <c r="B941" s="11"/>
      <c r="D941" s="11"/>
      <c r="E941" s="11"/>
      <c r="G941" s="11"/>
      <c r="I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>
      <c r="A942" s="11"/>
      <c r="B942" s="11"/>
      <c r="D942" s="11"/>
      <c r="E942" s="11"/>
      <c r="G942" s="11"/>
      <c r="I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>
      <c r="A943" s="11"/>
      <c r="B943" s="11"/>
      <c r="D943" s="11"/>
      <c r="E943" s="11"/>
      <c r="G943" s="11"/>
      <c r="I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>
      <c r="A944" s="11"/>
      <c r="B944" s="11"/>
      <c r="D944" s="11"/>
      <c r="E944" s="11"/>
      <c r="G944" s="11"/>
      <c r="I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>
      <c r="A945" s="11"/>
      <c r="B945" s="11"/>
      <c r="D945" s="11"/>
      <c r="E945" s="11"/>
      <c r="G945" s="11"/>
      <c r="I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>
      <c r="A946" s="11"/>
      <c r="B946" s="11"/>
      <c r="D946" s="11"/>
      <c r="E946" s="11"/>
      <c r="G946" s="11"/>
      <c r="I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>
      <c r="A947" s="11"/>
      <c r="B947" s="11"/>
      <c r="D947" s="11"/>
      <c r="E947" s="11"/>
      <c r="G947" s="11"/>
      <c r="I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>
      <c r="A948" s="11"/>
      <c r="B948" s="11"/>
      <c r="D948" s="11"/>
      <c r="E948" s="11"/>
      <c r="G948" s="11"/>
      <c r="I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>
      <c r="A949" s="11"/>
      <c r="B949" s="11"/>
      <c r="D949" s="11"/>
      <c r="E949" s="11"/>
      <c r="G949" s="11"/>
      <c r="I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>
      <c r="A950" s="11"/>
      <c r="B950" s="11"/>
      <c r="D950" s="11"/>
      <c r="E950" s="11"/>
      <c r="G950" s="11"/>
      <c r="I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>
      <c r="A951" s="11"/>
      <c r="B951" s="11"/>
      <c r="D951" s="11"/>
      <c r="E951" s="11"/>
      <c r="G951" s="11"/>
      <c r="I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>
      <c r="A952" s="11"/>
      <c r="B952" s="11"/>
      <c r="D952" s="11"/>
      <c r="E952" s="11"/>
      <c r="G952" s="11"/>
      <c r="I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>
      <c r="A953" s="11"/>
      <c r="B953" s="11"/>
      <c r="D953" s="11"/>
      <c r="E953" s="11"/>
      <c r="G953" s="11"/>
      <c r="I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>
      <c r="A954" s="11"/>
      <c r="B954" s="11"/>
      <c r="D954" s="11"/>
      <c r="E954" s="11"/>
      <c r="G954" s="11"/>
      <c r="I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>
      <c r="A955" s="11"/>
      <c r="B955" s="11"/>
      <c r="D955" s="11"/>
      <c r="E955" s="11"/>
      <c r="G955" s="11"/>
      <c r="I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>
      <c r="A956" s="11"/>
      <c r="B956" s="11"/>
      <c r="D956" s="11"/>
      <c r="E956" s="11"/>
      <c r="G956" s="11"/>
      <c r="I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>
      <c r="A957" s="11"/>
      <c r="B957" s="11"/>
      <c r="D957" s="11"/>
      <c r="E957" s="11"/>
      <c r="G957" s="11"/>
      <c r="I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>
      <c r="A958" s="11"/>
      <c r="B958" s="11"/>
      <c r="D958" s="11"/>
      <c r="E958" s="11"/>
      <c r="G958" s="11"/>
      <c r="I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>
      <c r="A959" s="11"/>
      <c r="B959" s="11"/>
      <c r="D959" s="11"/>
      <c r="E959" s="11"/>
      <c r="G959" s="11"/>
      <c r="I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>
      <c r="A960" s="11"/>
      <c r="B960" s="11"/>
      <c r="D960" s="11"/>
      <c r="E960" s="11"/>
      <c r="G960" s="11"/>
      <c r="I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>
      <c r="A961" s="11"/>
      <c r="B961" s="11"/>
      <c r="D961" s="11"/>
      <c r="E961" s="11"/>
      <c r="G961" s="11"/>
      <c r="I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>
      <c r="A962" s="11"/>
      <c r="B962" s="11"/>
      <c r="D962" s="11"/>
      <c r="E962" s="11"/>
      <c r="G962" s="11"/>
      <c r="I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>
      <c r="A963" s="11"/>
      <c r="B963" s="11"/>
      <c r="D963" s="11"/>
      <c r="E963" s="11"/>
      <c r="G963" s="11"/>
      <c r="I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>
      <c r="A964" s="11"/>
      <c r="B964" s="11"/>
      <c r="D964" s="11"/>
      <c r="E964" s="11"/>
      <c r="G964" s="11"/>
      <c r="I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>
      <c r="A965" s="11"/>
      <c r="B965" s="11"/>
      <c r="D965" s="11"/>
      <c r="E965" s="11"/>
      <c r="G965" s="11"/>
      <c r="I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>
      <c r="A966" s="11"/>
      <c r="B966" s="11"/>
      <c r="D966" s="11"/>
      <c r="E966" s="11"/>
      <c r="G966" s="11"/>
      <c r="I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>
      <c r="A967" s="11"/>
      <c r="B967" s="11"/>
      <c r="D967" s="11"/>
      <c r="E967" s="11"/>
      <c r="G967" s="11"/>
      <c r="I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>
      <c r="A968" s="11"/>
      <c r="B968" s="11"/>
      <c r="D968" s="11"/>
      <c r="E968" s="11"/>
      <c r="G968" s="11"/>
      <c r="I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>
      <c r="A969" s="11"/>
      <c r="B969" s="11"/>
      <c r="D969" s="11"/>
      <c r="E969" s="11"/>
      <c r="G969" s="11"/>
      <c r="I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>
      <c r="A970" s="11"/>
      <c r="B970" s="11"/>
      <c r="D970" s="11"/>
      <c r="E970" s="11"/>
      <c r="G970" s="11"/>
      <c r="I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>
      <c r="A971" s="11"/>
      <c r="B971" s="11"/>
      <c r="D971" s="11"/>
      <c r="E971" s="11"/>
      <c r="G971" s="11"/>
      <c r="I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>
      <c r="A972" s="11"/>
      <c r="B972" s="11"/>
      <c r="D972" s="11"/>
      <c r="E972" s="11"/>
      <c r="G972" s="11"/>
      <c r="I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>
      <c r="A973" s="11"/>
      <c r="B973" s="11"/>
      <c r="D973" s="11"/>
      <c r="E973" s="11"/>
      <c r="G973" s="11"/>
      <c r="I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>
      <c r="A974" s="11"/>
      <c r="B974" s="11"/>
      <c r="D974" s="11"/>
      <c r="E974" s="11"/>
      <c r="G974" s="11"/>
      <c r="I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>
      <c r="A975" s="11"/>
      <c r="B975" s="11"/>
      <c r="D975" s="11"/>
      <c r="E975" s="11"/>
      <c r="G975" s="11"/>
      <c r="I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>
      <c r="A976" s="11"/>
      <c r="B976" s="11"/>
      <c r="D976" s="11"/>
      <c r="E976" s="11"/>
      <c r="G976" s="11"/>
      <c r="I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>
      <c r="A977" s="11"/>
      <c r="B977" s="11"/>
      <c r="D977" s="11"/>
      <c r="E977" s="11"/>
      <c r="G977" s="11"/>
      <c r="I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>
      <c r="A978" s="11"/>
      <c r="B978" s="11"/>
      <c r="D978" s="11"/>
      <c r="E978" s="11"/>
      <c r="G978" s="11"/>
      <c r="I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>
      <c r="A979" s="11"/>
      <c r="B979" s="11"/>
      <c r="D979" s="11"/>
      <c r="E979" s="11"/>
      <c r="G979" s="11"/>
      <c r="I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>
      <c r="A980" s="11"/>
      <c r="B980" s="11"/>
      <c r="D980" s="11"/>
      <c r="E980" s="11"/>
      <c r="G980" s="11"/>
      <c r="I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>
      <c r="A981" s="11"/>
      <c r="B981" s="11"/>
      <c r="D981" s="11"/>
      <c r="E981" s="11"/>
      <c r="G981" s="11"/>
      <c r="I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>
      <c r="A982" s="11"/>
      <c r="B982" s="11"/>
      <c r="D982" s="11"/>
      <c r="E982" s="11"/>
      <c r="G982" s="11"/>
      <c r="I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>
      <c r="A983" s="11"/>
      <c r="B983" s="11"/>
      <c r="D983" s="11"/>
      <c r="E983" s="11"/>
      <c r="G983" s="11"/>
      <c r="I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>
      <c r="A984" s="11"/>
      <c r="B984" s="11"/>
      <c r="D984" s="11"/>
      <c r="E984" s="11"/>
      <c r="G984" s="11"/>
      <c r="I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>
      <c r="A985" s="11"/>
      <c r="B985" s="11"/>
      <c r="D985" s="11"/>
      <c r="E985" s="11"/>
      <c r="G985" s="11"/>
      <c r="I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>
      <c r="A986" s="11"/>
      <c r="B986" s="11"/>
      <c r="D986" s="11"/>
      <c r="E986" s="11"/>
      <c r="G986" s="11"/>
      <c r="I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>
      <c r="A987" s="11"/>
      <c r="B987" s="11"/>
      <c r="D987" s="11"/>
      <c r="E987" s="11"/>
      <c r="G987" s="11"/>
      <c r="I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>
      <c r="A988" s="11"/>
      <c r="B988" s="11"/>
      <c r="D988" s="11"/>
      <c r="E988" s="11"/>
      <c r="G988" s="11"/>
      <c r="I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>
      <c r="A989" s="11"/>
      <c r="B989" s="11"/>
      <c r="D989" s="11"/>
      <c r="E989" s="11"/>
      <c r="G989" s="11"/>
      <c r="I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>
      <c r="A990" s="11"/>
      <c r="B990" s="11"/>
      <c r="D990" s="11"/>
      <c r="E990" s="11"/>
      <c r="G990" s="11"/>
      <c r="I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>
      <c r="A991" s="11"/>
      <c r="B991" s="11"/>
      <c r="D991" s="11"/>
      <c r="E991" s="11"/>
      <c r="G991" s="11"/>
      <c r="I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>
      <c r="A992" s="11"/>
      <c r="B992" s="11"/>
      <c r="D992" s="11"/>
      <c r="E992" s="11"/>
      <c r="G992" s="11"/>
      <c r="I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>
      <c r="A993" s="11"/>
      <c r="B993" s="11"/>
      <c r="D993" s="11"/>
      <c r="E993" s="11"/>
      <c r="G993" s="11"/>
      <c r="I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>
      <c r="A994" s="11"/>
      <c r="B994" s="11"/>
      <c r="D994" s="11"/>
      <c r="E994" s="11"/>
      <c r="G994" s="11"/>
      <c r="I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>
      <c r="A995" s="11"/>
      <c r="B995" s="11"/>
      <c r="D995" s="11"/>
      <c r="E995" s="11"/>
      <c r="G995" s="11"/>
      <c r="I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>
      <c r="A996" s="11"/>
      <c r="B996" s="11"/>
      <c r="D996" s="11"/>
      <c r="E996" s="11"/>
      <c r="G996" s="11"/>
      <c r="I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>
      <c r="A997" s="11"/>
      <c r="B997" s="11"/>
      <c r="D997" s="11"/>
      <c r="E997" s="11"/>
      <c r="G997" s="11"/>
      <c r="I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>
      <c r="A998" s="11"/>
      <c r="B998" s="11"/>
      <c r="D998" s="11"/>
      <c r="E998" s="11"/>
      <c r="G998" s="11"/>
      <c r="I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>
      <c r="A999" s="11"/>
      <c r="B999" s="11"/>
      <c r="D999" s="11"/>
      <c r="E999" s="11"/>
      <c r="G999" s="11"/>
      <c r="I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>
      <c r="A1000" s="11"/>
      <c r="B1000" s="11"/>
      <c r="D1000" s="11"/>
      <c r="E1000" s="11"/>
      <c r="G1000" s="11"/>
      <c r="I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</sheetData>
  <mergeCells count="1">
    <mergeCell ref="M1:U1"/>
  </mergeCells>
  <conditionalFormatting sqref="A1:AD1">
    <cfRule type="notContainsBlanks" dxfId="1" priority="1">
      <formula>LEN(TRIM(A1))&gt;0</formula>
    </cfRule>
  </conditionalFormatting>
  <conditionalFormatting sqref="A2:C1000 D2:E11 F2:U1000 D13:E1000">
    <cfRule type="notContainsBlanks" dxfId="0" priority="2">
      <formula>LEN(TRIM(A2))&gt;0</formula>
    </cfRule>
  </conditionalFormatting>
  <conditionalFormatting sqref="A1:AD1">
    <cfRule type="notContainsBlanks" dxfId="2" priority="3">
      <formula>LEN(TRIM(A1))&gt;0</formula>
    </cfRule>
  </conditionalFormatting>
  <dataValidations>
    <dataValidation type="list" allowBlank="1" sqref="I2:I1000">
      <formula1>'All Courses'!$G:$G</formula1>
    </dataValidation>
    <dataValidation type="list" allowBlank="1" showInputMessage="1" prompt="Need the course in this format." sqref="A2:A1000">
      <formula1>'All Courses'!$A:$A</formula1>
    </dataValidation>
    <dataValidation type="list" allowBlank="1" sqref="M2:U1000">
      <formula1>'All Courses'!$A:$A</formula1>
    </dataValidation>
    <dataValidation type="list" allowBlank="1" showInputMessage="1" prompt="Its okay if it isnt one of the courses in the dropdown list." sqref="G2:G1000">
      <formula1>'All Courses'!$C:$C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4" max="4" width="33.43"/>
    <col customWidth="1" min="7" max="7" width="22.0"/>
    <col customWidth="1" min="8" max="8" width="19.86"/>
    <col customWidth="1" min="9" max="9" width="62.86"/>
    <col customWidth="1" min="13" max="13" width="64.29"/>
  </cols>
  <sheetData>
    <row r="1">
      <c r="A1" s="1" t="s">
        <v>111</v>
      </c>
      <c r="B1" s="1" t="s">
        <v>1</v>
      </c>
      <c r="C1" s="2"/>
      <c r="D1" s="3" t="s">
        <v>112</v>
      </c>
      <c r="E1" s="1" t="s">
        <v>3</v>
      </c>
      <c r="F1" s="4"/>
      <c r="G1" s="1" t="s">
        <v>113</v>
      </c>
      <c r="H1" s="5"/>
      <c r="I1" s="1" t="s">
        <v>114</v>
      </c>
      <c r="J1" s="2"/>
      <c r="K1" s="3" t="s">
        <v>6</v>
      </c>
      <c r="L1" s="3" t="s">
        <v>7</v>
      </c>
      <c r="M1" s="6" t="s">
        <v>115</v>
      </c>
      <c r="N1" s="7"/>
      <c r="O1" s="7"/>
      <c r="P1" s="7"/>
      <c r="Q1" s="7"/>
      <c r="R1" s="7"/>
      <c r="S1" s="7"/>
      <c r="T1" s="7"/>
      <c r="U1" s="8"/>
      <c r="V1" s="2"/>
      <c r="W1" s="2"/>
      <c r="X1" s="2"/>
      <c r="Y1" s="2"/>
      <c r="Z1" s="2"/>
      <c r="AA1" s="2"/>
      <c r="AB1" s="2"/>
      <c r="AC1" s="2"/>
      <c r="AD1" s="2"/>
    </row>
    <row r="2">
      <c r="A2" s="9"/>
      <c r="B2" s="9"/>
      <c r="D2" s="9" t="s">
        <v>116</v>
      </c>
      <c r="E2" s="9">
        <v>0.0</v>
      </c>
      <c r="G2" s="9"/>
      <c r="I2" s="9"/>
      <c r="K2" s="9"/>
      <c r="L2" s="9"/>
      <c r="M2" s="10"/>
      <c r="N2" s="10"/>
      <c r="O2" s="11"/>
      <c r="P2" s="11"/>
      <c r="Q2" s="11"/>
      <c r="R2" s="11"/>
      <c r="S2" s="11"/>
      <c r="T2" s="11"/>
      <c r="U2" s="11"/>
    </row>
    <row r="3">
      <c r="A3" s="9"/>
      <c r="B3" s="9"/>
      <c r="D3" s="10" t="s">
        <v>117</v>
      </c>
      <c r="E3" s="9">
        <v>0.0</v>
      </c>
      <c r="G3" s="9"/>
      <c r="I3" s="9"/>
      <c r="K3" s="9"/>
      <c r="L3" s="9"/>
      <c r="M3" s="10"/>
      <c r="N3" s="10"/>
      <c r="O3" s="10"/>
      <c r="P3" s="10"/>
      <c r="Q3" s="10"/>
      <c r="R3" s="11"/>
      <c r="S3" s="11"/>
      <c r="T3" s="11"/>
      <c r="U3" s="11"/>
    </row>
    <row r="4">
      <c r="A4" s="9"/>
      <c r="B4" s="9"/>
      <c r="D4" s="10" t="s">
        <v>118</v>
      </c>
      <c r="E4" s="9">
        <v>0.0</v>
      </c>
      <c r="G4" s="9"/>
      <c r="I4" s="9"/>
      <c r="K4" s="9"/>
      <c r="L4" s="9"/>
      <c r="M4" s="9"/>
      <c r="N4" s="11"/>
      <c r="O4" s="11"/>
      <c r="P4" s="11"/>
      <c r="Q4" s="11"/>
      <c r="R4" s="11"/>
      <c r="S4" s="11"/>
      <c r="T4" s="11"/>
      <c r="U4" s="11"/>
    </row>
    <row r="5" ht="15.75" customHeight="1">
      <c r="A5" s="9"/>
      <c r="B5" s="9"/>
      <c r="D5" s="10" t="s">
        <v>12</v>
      </c>
      <c r="E5" s="9">
        <v>0.0</v>
      </c>
      <c r="G5" s="9"/>
      <c r="I5" s="9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>
      <c r="A6" s="9"/>
      <c r="B6" s="9"/>
      <c r="D6" s="10" t="s">
        <v>119</v>
      </c>
      <c r="E6" s="9">
        <v>0.0</v>
      </c>
      <c r="G6" s="9"/>
      <c r="I6" s="9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>
      <c r="A7" s="9"/>
      <c r="B7" s="9"/>
      <c r="D7" s="10" t="s">
        <v>120</v>
      </c>
      <c r="E7" s="9">
        <v>0.0</v>
      </c>
      <c r="G7" s="9"/>
      <c r="I7" s="9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>
      <c r="A8" s="9"/>
      <c r="B8" s="9"/>
      <c r="D8" s="10" t="s">
        <v>121</v>
      </c>
      <c r="E8" s="9">
        <v>0.0</v>
      </c>
      <c r="G8" s="9"/>
      <c r="I8" s="9"/>
      <c r="K8" s="9"/>
      <c r="L8" s="9"/>
      <c r="M8" s="9"/>
      <c r="N8" s="11"/>
      <c r="O8" s="11"/>
      <c r="P8" s="11"/>
      <c r="Q8" s="11"/>
      <c r="R8" s="11"/>
      <c r="S8" s="11"/>
      <c r="T8" s="11"/>
      <c r="U8" s="11"/>
    </row>
    <row r="9">
      <c r="A9" s="9"/>
      <c r="B9" s="9"/>
      <c r="D9" s="10" t="s">
        <v>122</v>
      </c>
      <c r="E9" s="9">
        <v>0.0</v>
      </c>
      <c r="G9" s="9"/>
      <c r="I9" s="11"/>
      <c r="K9" s="9"/>
      <c r="L9" s="9"/>
      <c r="M9" s="9"/>
      <c r="N9" s="11"/>
      <c r="O9" s="11"/>
      <c r="P9" s="11"/>
      <c r="Q9" s="11"/>
      <c r="R9" s="11"/>
      <c r="S9" s="11"/>
      <c r="T9" s="11"/>
      <c r="U9" s="11"/>
    </row>
    <row r="10">
      <c r="A10" s="9"/>
      <c r="B10" s="9"/>
      <c r="D10" s="9" t="s">
        <v>19</v>
      </c>
      <c r="E10" s="9"/>
      <c r="G10" s="9"/>
      <c r="I10" s="11"/>
      <c r="K10" s="9"/>
      <c r="L10" s="9"/>
      <c r="M10" s="9"/>
      <c r="N10" s="11"/>
      <c r="O10" s="11"/>
      <c r="P10" s="11"/>
      <c r="Q10" s="11"/>
      <c r="R10" s="11"/>
      <c r="S10" s="11"/>
      <c r="T10" s="11"/>
      <c r="U10" s="11"/>
    </row>
    <row r="11">
      <c r="A11" s="12"/>
      <c r="B11" s="9"/>
      <c r="D11" s="10"/>
      <c r="E11" s="9"/>
      <c r="G11" s="9"/>
      <c r="I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>
      <c r="A12" s="9"/>
      <c r="B12" s="9"/>
      <c r="D12" s="11"/>
      <c r="E12" s="11"/>
      <c r="G12" s="9"/>
      <c r="I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>
      <c r="A13" s="9"/>
      <c r="B13" s="9"/>
      <c r="D13" s="11"/>
      <c r="E13" s="11"/>
      <c r="G13" s="9"/>
      <c r="I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>
      <c r="A14" s="9"/>
      <c r="B14" s="9"/>
      <c r="D14" s="11"/>
      <c r="E14" s="11"/>
      <c r="G14" s="9"/>
      <c r="I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>
      <c r="A15" s="11"/>
      <c r="B15" s="11"/>
      <c r="D15" s="11"/>
      <c r="E15" s="11"/>
      <c r="G15" s="9"/>
      <c r="I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>
      <c r="A16" s="11"/>
      <c r="B16" s="11"/>
      <c r="D16" s="11"/>
      <c r="E16" s="11"/>
      <c r="G16" s="9"/>
      <c r="I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>
      <c r="A17" s="11"/>
      <c r="B17" s="11"/>
      <c r="D17" s="11"/>
      <c r="E17" s="11"/>
      <c r="G17" s="9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>
      <c r="A18" s="11"/>
      <c r="B18" s="11"/>
      <c r="D18" s="11"/>
      <c r="E18" s="11"/>
      <c r="G18" s="9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>
      <c r="A19" s="11"/>
      <c r="B19" s="11"/>
      <c r="D19" s="11"/>
      <c r="E19" s="11"/>
      <c r="G19" s="9"/>
      <c r="I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>
      <c r="A20" s="11"/>
      <c r="B20" s="11"/>
      <c r="D20" s="11"/>
      <c r="E20" s="11"/>
      <c r="G20" s="9"/>
      <c r="I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>
      <c r="A21" s="11"/>
      <c r="B21" s="11"/>
      <c r="D21" s="11"/>
      <c r="E21" s="11"/>
      <c r="G21" s="9"/>
      <c r="I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>
      <c r="A22" s="11"/>
      <c r="B22" s="11"/>
      <c r="D22" s="11"/>
      <c r="E22" s="11"/>
      <c r="G22" s="9"/>
      <c r="I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>
      <c r="A23" s="11"/>
      <c r="B23" s="11"/>
      <c r="D23" s="11"/>
      <c r="E23" s="11"/>
      <c r="G23" s="9"/>
      <c r="I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>
      <c r="A24" s="11"/>
      <c r="B24" s="11"/>
      <c r="D24" s="11"/>
      <c r="E24" s="11"/>
      <c r="G24" s="9"/>
      <c r="I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>
      <c r="A25" s="11"/>
      <c r="B25" s="11"/>
      <c r="D25" s="11"/>
      <c r="E25" s="11"/>
      <c r="G25" s="9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>
      <c r="A26" s="11"/>
      <c r="B26" s="11"/>
      <c r="D26" s="11"/>
      <c r="E26" s="11"/>
      <c r="G26" s="9"/>
      <c r="I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>
      <c r="A27" s="11"/>
      <c r="B27" s="11"/>
      <c r="D27" s="11"/>
      <c r="E27" s="11"/>
      <c r="G27" s="9"/>
      <c r="I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>
      <c r="A28" s="11"/>
      <c r="B28" s="11"/>
      <c r="D28" s="11"/>
      <c r="E28" s="11"/>
      <c r="G28" s="9"/>
      <c r="I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>
      <c r="A29" s="11"/>
      <c r="B29" s="11"/>
      <c r="D29" s="11"/>
      <c r="E29" s="11"/>
      <c r="G29" s="9"/>
      <c r="I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>
      <c r="A30" s="11"/>
      <c r="B30" s="11"/>
      <c r="D30" s="11"/>
      <c r="E30" s="11"/>
      <c r="G30" s="9"/>
      <c r="I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>
      <c r="A31" s="11"/>
      <c r="B31" s="11"/>
      <c r="D31" s="11"/>
      <c r="E31" s="11"/>
      <c r="G31" s="9"/>
      <c r="I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>
      <c r="A32" s="11"/>
      <c r="B32" s="11"/>
      <c r="D32" s="11"/>
      <c r="E32" s="11"/>
      <c r="G32" s="9"/>
      <c r="I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>
      <c r="A33" s="11"/>
      <c r="B33" s="11"/>
      <c r="D33" s="11"/>
      <c r="E33" s="11"/>
      <c r="G33" s="9"/>
      <c r="I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>
      <c r="A34" s="11"/>
      <c r="B34" s="11"/>
      <c r="D34" s="11"/>
      <c r="E34" s="11"/>
      <c r="G34" s="9"/>
      <c r="I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>
      <c r="A35" s="11"/>
      <c r="B35" s="11"/>
      <c r="D35" s="11"/>
      <c r="E35" s="11"/>
      <c r="G35" s="9"/>
      <c r="I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>
      <c r="A36" s="11"/>
      <c r="B36" s="11"/>
      <c r="D36" s="11"/>
      <c r="E36" s="11"/>
      <c r="G36" s="9"/>
      <c r="I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>
      <c r="A37" s="11"/>
      <c r="B37" s="11"/>
      <c r="D37" s="11"/>
      <c r="E37" s="11"/>
      <c r="G37" s="9"/>
      <c r="I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>
      <c r="A38" s="11"/>
      <c r="B38" s="11"/>
      <c r="D38" s="11"/>
      <c r="E38" s="11"/>
      <c r="G38" s="9"/>
      <c r="I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>
      <c r="A39" s="11"/>
      <c r="B39" s="11"/>
      <c r="D39" s="11"/>
      <c r="E39" s="11"/>
      <c r="G39" s="9"/>
      <c r="I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>
      <c r="A40" s="11"/>
      <c r="B40" s="11"/>
      <c r="D40" s="11"/>
      <c r="E40" s="11"/>
      <c r="G40" s="9"/>
      <c r="I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>
      <c r="A41" s="11"/>
      <c r="B41" s="11"/>
      <c r="D41" s="11"/>
      <c r="E41" s="11"/>
      <c r="G41" s="9"/>
      <c r="I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>
      <c r="A42" s="11"/>
      <c r="B42" s="11"/>
      <c r="D42" s="11"/>
      <c r="E42" s="11"/>
      <c r="G42" s="9"/>
      <c r="I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>
      <c r="A43" s="11"/>
      <c r="B43" s="11"/>
      <c r="D43" s="11"/>
      <c r="E43" s="11"/>
      <c r="G43" s="9"/>
      <c r="I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>
      <c r="A44" s="11"/>
      <c r="B44" s="11"/>
      <c r="D44" s="11"/>
      <c r="E44" s="11"/>
      <c r="G44" s="9"/>
      <c r="I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>
      <c r="A45" s="11"/>
      <c r="B45" s="11"/>
      <c r="D45" s="11"/>
      <c r="E45" s="11"/>
      <c r="G45" s="9"/>
      <c r="I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>
      <c r="A46" s="11"/>
      <c r="B46" s="11"/>
      <c r="D46" s="11"/>
      <c r="E46" s="11"/>
      <c r="G46" s="9"/>
      <c r="I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>
      <c r="A47" s="11"/>
      <c r="B47" s="11"/>
      <c r="D47" s="11"/>
      <c r="E47" s="11"/>
      <c r="G47" s="9"/>
      <c r="I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>
      <c r="A48" s="11"/>
      <c r="B48" s="11"/>
      <c r="D48" s="11"/>
      <c r="E48" s="11"/>
      <c r="G48" s="11"/>
      <c r="I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>
      <c r="A49" s="11"/>
      <c r="B49" s="11"/>
      <c r="D49" s="11"/>
      <c r="E49" s="11"/>
      <c r="G49" s="11"/>
      <c r="I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>
      <c r="A50" s="11"/>
      <c r="B50" s="11"/>
      <c r="D50" s="11"/>
      <c r="E50" s="11"/>
      <c r="G50" s="11"/>
      <c r="I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>
      <c r="A51" s="11"/>
      <c r="B51" s="11"/>
      <c r="D51" s="11"/>
      <c r="E51" s="11"/>
      <c r="G51" s="11"/>
      <c r="I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>
      <c r="A52" s="11"/>
      <c r="B52" s="11"/>
      <c r="D52" s="11"/>
      <c r="E52" s="11"/>
      <c r="G52" s="11"/>
      <c r="I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>
      <c r="A53" s="11"/>
      <c r="B53" s="11"/>
      <c r="D53" s="11"/>
      <c r="E53" s="11"/>
      <c r="G53" s="11"/>
      <c r="I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>
      <c r="A54" s="11"/>
      <c r="B54" s="11"/>
      <c r="D54" s="11"/>
      <c r="E54" s="11"/>
      <c r="G54" s="11"/>
      <c r="I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>
      <c r="A55" s="11"/>
      <c r="B55" s="11"/>
      <c r="D55" s="11"/>
      <c r="E55" s="11"/>
      <c r="G55" s="11"/>
      <c r="I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>
      <c r="A56" s="11"/>
      <c r="B56" s="11"/>
      <c r="D56" s="11"/>
      <c r="E56" s="11"/>
      <c r="G56" s="11"/>
      <c r="I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>
      <c r="A57" s="11"/>
      <c r="B57" s="11"/>
      <c r="D57" s="11"/>
      <c r="E57" s="11"/>
      <c r="G57" s="11"/>
      <c r="I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>
      <c r="A58" s="11"/>
      <c r="B58" s="11"/>
      <c r="D58" s="11"/>
      <c r="E58" s="11"/>
      <c r="G58" s="11"/>
      <c r="I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>
      <c r="A59" s="11"/>
      <c r="B59" s="11"/>
      <c r="D59" s="11"/>
      <c r="E59" s="11"/>
      <c r="G59" s="11"/>
      <c r="I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>
      <c r="A60" s="11"/>
      <c r="B60" s="11"/>
      <c r="D60" s="11"/>
      <c r="E60" s="11"/>
      <c r="G60" s="11"/>
      <c r="I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>
      <c r="A61" s="11"/>
      <c r="B61" s="11"/>
      <c r="D61" s="11"/>
      <c r="E61" s="11"/>
      <c r="G61" s="11"/>
      <c r="I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>
      <c r="A62" s="11"/>
      <c r="B62" s="11"/>
      <c r="D62" s="11"/>
      <c r="E62" s="11"/>
      <c r="G62" s="11"/>
      <c r="I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>
      <c r="A63" s="11"/>
      <c r="B63" s="11"/>
      <c r="D63" s="11"/>
      <c r="E63" s="11"/>
      <c r="G63" s="11"/>
      <c r="I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>
      <c r="A64" s="11"/>
      <c r="B64" s="11"/>
      <c r="D64" s="11"/>
      <c r="E64" s="11"/>
      <c r="G64" s="11"/>
      <c r="I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>
      <c r="A65" s="11"/>
      <c r="B65" s="11"/>
      <c r="D65" s="11"/>
      <c r="E65" s="11"/>
      <c r="G65" s="11"/>
      <c r="I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>
      <c r="A66" s="11"/>
      <c r="B66" s="11"/>
      <c r="D66" s="11"/>
      <c r="E66" s="11"/>
      <c r="G66" s="11"/>
      <c r="I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>
      <c r="A67" s="11"/>
      <c r="B67" s="11"/>
      <c r="D67" s="11"/>
      <c r="E67" s="11"/>
      <c r="G67" s="11"/>
      <c r="I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>
      <c r="A68" s="11"/>
      <c r="B68" s="11"/>
      <c r="D68" s="11"/>
      <c r="E68" s="11"/>
      <c r="G68" s="11"/>
      <c r="I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>
      <c r="A69" s="11"/>
      <c r="B69" s="11"/>
      <c r="D69" s="11"/>
      <c r="E69" s="11"/>
      <c r="G69" s="11"/>
      <c r="I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>
      <c r="A70" s="11"/>
      <c r="B70" s="11"/>
      <c r="D70" s="11"/>
      <c r="E70" s="11"/>
      <c r="G70" s="11"/>
      <c r="I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>
      <c r="A71" s="11"/>
      <c r="B71" s="11"/>
      <c r="D71" s="11"/>
      <c r="E71" s="11"/>
      <c r="G71" s="11"/>
      <c r="I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>
      <c r="A72" s="11"/>
      <c r="B72" s="11"/>
      <c r="D72" s="11"/>
      <c r="E72" s="11"/>
      <c r="G72" s="11"/>
      <c r="I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>
      <c r="A73" s="11"/>
      <c r="B73" s="11"/>
      <c r="D73" s="11"/>
      <c r="E73" s="11"/>
      <c r="G73" s="11"/>
      <c r="I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>
      <c r="A74" s="11"/>
      <c r="B74" s="11"/>
      <c r="D74" s="11"/>
      <c r="E74" s="11"/>
      <c r="G74" s="11"/>
      <c r="I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>
      <c r="A75" s="11"/>
      <c r="B75" s="11"/>
      <c r="D75" s="11"/>
      <c r="E75" s="11"/>
      <c r="G75" s="11"/>
      <c r="I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>
      <c r="A76" s="11"/>
      <c r="B76" s="11"/>
      <c r="D76" s="11"/>
      <c r="E76" s="11"/>
      <c r="G76" s="11"/>
      <c r="I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>
      <c r="A77" s="11"/>
      <c r="B77" s="11"/>
      <c r="D77" s="11"/>
      <c r="E77" s="11"/>
      <c r="G77" s="11"/>
      <c r="I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>
      <c r="A78" s="11"/>
      <c r="B78" s="11"/>
      <c r="D78" s="11"/>
      <c r="E78" s="11"/>
      <c r="G78" s="11"/>
      <c r="I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>
      <c r="A79" s="11"/>
      <c r="B79" s="11"/>
      <c r="D79" s="11"/>
      <c r="E79" s="11"/>
      <c r="G79" s="11"/>
      <c r="I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>
      <c r="A80" s="11"/>
      <c r="B80" s="11"/>
      <c r="D80" s="11"/>
      <c r="E80" s="11"/>
      <c r="G80" s="11"/>
      <c r="I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>
      <c r="A81" s="11"/>
      <c r="B81" s="11"/>
      <c r="D81" s="11"/>
      <c r="E81" s="11"/>
      <c r="G81" s="11"/>
      <c r="I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>
      <c r="A82" s="11"/>
      <c r="B82" s="11"/>
      <c r="D82" s="11"/>
      <c r="E82" s="11"/>
      <c r="G82" s="11"/>
      <c r="I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>
      <c r="A83" s="11"/>
      <c r="B83" s="11"/>
      <c r="D83" s="11"/>
      <c r="E83" s="11"/>
      <c r="G83" s="11"/>
      <c r="I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>
      <c r="A84" s="11"/>
      <c r="B84" s="11"/>
      <c r="D84" s="11"/>
      <c r="E84" s="11"/>
      <c r="G84" s="11"/>
      <c r="I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>
      <c r="A85" s="11"/>
      <c r="B85" s="11"/>
      <c r="D85" s="11"/>
      <c r="E85" s="11"/>
      <c r="G85" s="11"/>
      <c r="I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>
      <c r="A86" s="11"/>
      <c r="B86" s="11"/>
      <c r="D86" s="11"/>
      <c r="E86" s="11"/>
      <c r="G86" s="11"/>
      <c r="I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>
      <c r="A87" s="11"/>
      <c r="B87" s="11"/>
      <c r="D87" s="11"/>
      <c r="E87" s="11"/>
      <c r="G87" s="11"/>
      <c r="I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>
      <c r="A88" s="11"/>
      <c r="B88" s="11"/>
      <c r="D88" s="11"/>
      <c r="E88" s="11"/>
      <c r="G88" s="11"/>
      <c r="I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>
      <c r="A89" s="11"/>
      <c r="B89" s="11"/>
      <c r="D89" s="11"/>
      <c r="E89" s="11"/>
      <c r="G89" s="11"/>
      <c r="I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>
      <c r="A90" s="11"/>
      <c r="B90" s="11"/>
      <c r="D90" s="11"/>
      <c r="E90" s="11"/>
      <c r="G90" s="11"/>
      <c r="I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>
      <c r="A91" s="11"/>
      <c r="B91" s="11"/>
      <c r="D91" s="11"/>
      <c r="E91" s="11"/>
      <c r="G91" s="11"/>
      <c r="I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>
      <c r="A92" s="11"/>
      <c r="B92" s="11"/>
      <c r="D92" s="11"/>
      <c r="E92" s="11"/>
      <c r="G92" s="11"/>
      <c r="I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>
      <c r="A93" s="11"/>
      <c r="B93" s="11"/>
      <c r="D93" s="11"/>
      <c r="E93" s="11"/>
      <c r="G93" s="11"/>
      <c r="I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>
      <c r="A94" s="11"/>
      <c r="B94" s="11"/>
      <c r="D94" s="11"/>
      <c r="E94" s="11"/>
      <c r="G94" s="11"/>
      <c r="I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>
      <c r="A95" s="11"/>
      <c r="B95" s="11"/>
      <c r="D95" s="11"/>
      <c r="E95" s="11"/>
      <c r="G95" s="11"/>
      <c r="I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>
      <c r="A96" s="11"/>
      <c r="B96" s="11"/>
      <c r="D96" s="11"/>
      <c r="E96" s="11"/>
      <c r="G96" s="11"/>
      <c r="I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>
      <c r="A97" s="11"/>
      <c r="B97" s="11"/>
      <c r="D97" s="11"/>
      <c r="E97" s="11"/>
      <c r="G97" s="11"/>
      <c r="I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>
      <c r="A98" s="11"/>
      <c r="B98" s="11"/>
      <c r="D98" s="11"/>
      <c r="E98" s="11"/>
      <c r="G98" s="11"/>
      <c r="I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>
      <c r="A99" s="11"/>
      <c r="B99" s="11"/>
      <c r="D99" s="11"/>
      <c r="E99" s="11"/>
      <c r="G99" s="11"/>
      <c r="I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>
      <c r="A100" s="11"/>
      <c r="B100" s="11"/>
      <c r="D100" s="11"/>
      <c r="E100" s="11"/>
      <c r="G100" s="11"/>
      <c r="I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>
      <c r="A101" s="11"/>
      <c r="B101" s="11"/>
      <c r="D101" s="11"/>
      <c r="E101" s="11"/>
      <c r="G101" s="11"/>
      <c r="I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>
      <c r="A102" s="11"/>
      <c r="B102" s="11"/>
      <c r="D102" s="11"/>
      <c r="E102" s="11"/>
      <c r="G102" s="11"/>
      <c r="I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>
      <c r="A103" s="11"/>
      <c r="B103" s="11"/>
      <c r="D103" s="11"/>
      <c r="E103" s="11"/>
      <c r="G103" s="11"/>
      <c r="I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>
      <c r="A104" s="11"/>
      <c r="B104" s="11"/>
      <c r="D104" s="11"/>
      <c r="E104" s="11"/>
      <c r="G104" s="11"/>
      <c r="I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>
      <c r="A105" s="11"/>
      <c r="B105" s="11"/>
      <c r="D105" s="11"/>
      <c r="E105" s="11"/>
      <c r="G105" s="11"/>
      <c r="I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>
      <c r="A106" s="11"/>
      <c r="B106" s="11"/>
      <c r="D106" s="11"/>
      <c r="E106" s="11"/>
      <c r="G106" s="11"/>
      <c r="I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>
      <c r="A107" s="11"/>
      <c r="B107" s="11"/>
      <c r="D107" s="11"/>
      <c r="E107" s="11"/>
      <c r="G107" s="11"/>
      <c r="I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>
      <c r="A108" s="11"/>
      <c r="B108" s="11"/>
      <c r="D108" s="11"/>
      <c r="E108" s="11"/>
      <c r="G108" s="11"/>
      <c r="I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>
      <c r="A109" s="11"/>
      <c r="B109" s="11"/>
      <c r="D109" s="11"/>
      <c r="E109" s="11"/>
      <c r="G109" s="11"/>
      <c r="I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>
      <c r="A110" s="11"/>
      <c r="B110" s="11"/>
      <c r="D110" s="11"/>
      <c r="E110" s="11"/>
      <c r="G110" s="11"/>
      <c r="I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>
      <c r="A111" s="11"/>
      <c r="B111" s="11"/>
      <c r="D111" s="11"/>
      <c r="E111" s="11"/>
      <c r="G111" s="11"/>
      <c r="I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>
      <c r="A112" s="11"/>
      <c r="B112" s="11"/>
      <c r="D112" s="11"/>
      <c r="E112" s="11"/>
      <c r="G112" s="11"/>
      <c r="I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>
      <c r="A113" s="11"/>
      <c r="B113" s="11"/>
      <c r="D113" s="11"/>
      <c r="E113" s="11"/>
      <c r="G113" s="11"/>
      <c r="I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>
      <c r="A114" s="11"/>
      <c r="B114" s="11"/>
      <c r="D114" s="11"/>
      <c r="E114" s="11"/>
      <c r="G114" s="11"/>
      <c r="I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>
      <c r="A115" s="11"/>
      <c r="B115" s="11"/>
      <c r="D115" s="11"/>
      <c r="E115" s="11"/>
      <c r="G115" s="11"/>
      <c r="I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>
      <c r="A116" s="11"/>
      <c r="B116" s="11"/>
      <c r="D116" s="11"/>
      <c r="E116" s="11"/>
      <c r="G116" s="11"/>
      <c r="I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>
      <c r="A117" s="11"/>
      <c r="B117" s="11"/>
      <c r="D117" s="11"/>
      <c r="E117" s="11"/>
      <c r="G117" s="11"/>
      <c r="I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>
      <c r="A118" s="11"/>
      <c r="B118" s="11"/>
      <c r="D118" s="11"/>
      <c r="E118" s="11"/>
      <c r="G118" s="11"/>
      <c r="I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>
      <c r="A119" s="11"/>
      <c r="B119" s="11"/>
      <c r="D119" s="11"/>
      <c r="E119" s="11"/>
      <c r="G119" s="11"/>
      <c r="I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>
      <c r="A120" s="11"/>
      <c r="B120" s="11"/>
      <c r="D120" s="11"/>
      <c r="E120" s="11"/>
      <c r="G120" s="11"/>
      <c r="I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>
      <c r="A121" s="11"/>
      <c r="B121" s="11"/>
      <c r="D121" s="11"/>
      <c r="E121" s="11"/>
      <c r="G121" s="11"/>
      <c r="I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>
      <c r="A122" s="11"/>
      <c r="B122" s="11"/>
      <c r="D122" s="11"/>
      <c r="E122" s="11"/>
      <c r="G122" s="11"/>
      <c r="I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>
      <c r="A123" s="11"/>
      <c r="B123" s="11"/>
      <c r="D123" s="11"/>
      <c r="E123" s="11"/>
      <c r="G123" s="11"/>
      <c r="I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>
      <c r="A124" s="11"/>
      <c r="B124" s="11"/>
      <c r="D124" s="11"/>
      <c r="E124" s="11"/>
      <c r="G124" s="11"/>
      <c r="I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>
      <c r="A125" s="11"/>
      <c r="B125" s="11"/>
      <c r="D125" s="11"/>
      <c r="E125" s="11"/>
      <c r="G125" s="11"/>
      <c r="I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>
      <c r="A126" s="11"/>
      <c r="B126" s="11"/>
      <c r="D126" s="11"/>
      <c r="E126" s="11"/>
      <c r="G126" s="11"/>
      <c r="I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>
      <c r="A127" s="11"/>
      <c r="B127" s="11"/>
      <c r="D127" s="11"/>
      <c r="E127" s="11"/>
      <c r="G127" s="11"/>
      <c r="I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>
      <c r="A128" s="11"/>
      <c r="B128" s="11"/>
      <c r="D128" s="11"/>
      <c r="E128" s="11"/>
      <c r="G128" s="11"/>
      <c r="I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>
      <c r="A129" s="11"/>
      <c r="B129" s="11"/>
      <c r="D129" s="11"/>
      <c r="E129" s="11"/>
      <c r="G129" s="11"/>
      <c r="I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>
      <c r="A130" s="11"/>
      <c r="B130" s="11"/>
      <c r="D130" s="11"/>
      <c r="E130" s="11"/>
      <c r="G130" s="11"/>
      <c r="I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>
      <c r="A131" s="11"/>
      <c r="B131" s="11"/>
      <c r="D131" s="11"/>
      <c r="E131" s="11"/>
      <c r="G131" s="11"/>
      <c r="I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>
      <c r="A132" s="11"/>
      <c r="B132" s="11"/>
      <c r="D132" s="11"/>
      <c r="E132" s="11"/>
      <c r="G132" s="11"/>
      <c r="I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>
      <c r="A133" s="11"/>
      <c r="B133" s="11"/>
      <c r="D133" s="11"/>
      <c r="E133" s="11"/>
      <c r="G133" s="11"/>
      <c r="I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>
      <c r="A134" s="11"/>
      <c r="B134" s="11"/>
      <c r="D134" s="11"/>
      <c r="E134" s="11"/>
      <c r="G134" s="11"/>
      <c r="I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>
      <c r="A135" s="11"/>
      <c r="B135" s="11"/>
      <c r="D135" s="11"/>
      <c r="E135" s="11"/>
      <c r="G135" s="11"/>
      <c r="I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>
      <c r="A136" s="11"/>
      <c r="B136" s="11"/>
      <c r="D136" s="11"/>
      <c r="E136" s="11"/>
      <c r="G136" s="11"/>
      <c r="I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>
      <c r="A137" s="11"/>
      <c r="B137" s="11"/>
      <c r="D137" s="11"/>
      <c r="E137" s="11"/>
      <c r="G137" s="11"/>
      <c r="I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>
      <c r="A138" s="11"/>
      <c r="B138" s="11"/>
      <c r="D138" s="11"/>
      <c r="E138" s="11"/>
      <c r="G138" s="11"/>
      <c r="I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>
      <c r="A139" s="11"/>
      <c r="B139" s="11"/>
      <c r="D139" s="11"/>
      <c r="E139" s="11"/>
      <c r="G139" s="11"/>
      <c r="I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>
      <c r="A140" s="11"/>
      <c r="B140" s="11"/>
      <c r="D140" s="11"/>
      <c r="E140" s="11"/>
      <c r="G140" s="11"/>
      <c r="I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>
      <c r="A141" s="11"/>
      <c r="B141" s="11"/>
      <c r="D141" s="11"/>
      <c r="E141" s="11"/>
      <c r="G141" s="11"/>
      <c r="I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>
      <c r="A142" s="11"/>
      <c r="B142" s="11"/>
      <c r="D142" s="11"/>
      <c r="E142" s="11"/>
      <c r="G142" s="11"/>
      <c r="I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>
      <c r="A143" s="11"/>
      <c r="B143" s="11"/>
      <c r="D143" s="11"/>
      <c r="E143" s="11"/>
      <c r="G143" s="11"/>
      <c r="I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>
      <c r="A144" s="11"/>
      <c r="B144" s="11"/>
      <c r="D144" s="11"/>
      <c r="E144" s="11"/>
      <c r="G144" s="11"/>
      <c r="I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>
      <c r="A145" s="11"/>
      <c r="B145" s="11"/>
      <c r="D145" s="11"/>
      <c r="E145" s="11"/>
      <c r="G145" s="11"/>
      <c r="I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>
      <c r="A146" s="11"/>
      <c r="B146" s="11"/>
      <c r="D146" s="11"/>
      <c r="E146" s="11"/>
      <c r="G146" s="11"/>
      <c r="I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>
      <c r="A147" s="11"/>
      <c r="B147" s="11"/>
      <c r="D147" s="11"/>
      <c r="E147" s="11"/>
      <c r="G147" s="11"/>
      <c r="I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>
      <c r="A148" s="11"/>
      <c r="B148" s="11"/>
      <c r="D148" s="11"/>
      <c r="E148" s="11"/>
      <c r="G148" s="11"/>
      <c r="I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>
      <c r="A149" s="11"/>
      <c r="B149" s="11"/>
      <c r="D149" s="11"/>
      <c r="E149" s="11"/>
      <c r="G149" s="11"/>
      <c r="I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>
      <c r="A150" s="11"/>
      <c r="B150" s="11"/>
      <c r="D150" s="11"/>
      <c r="E150" s="11"/>
      <c r="G150" s="11"/>
      <c r="I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>
      <c r="A151" s="11"/>
      <c r="B151" s="11"/>
      <c r="D151" s="11"/>
      <c r="E151" s="11"/>
      <c r="G151" s="11"/>
      <c r="I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>
      <c r="A152" s="11"/>
      <c r="B152" s="11"/>
      <c r="D152" s="11"/>
      <c r="E152" s="11"/>
      <c r="G152" s="11"/>
      <c r="I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>
      <c r="A153" s="11"/>
      <c r="B153" s="11"/>
      <c r="D153" s="11"/>
      <c r="E153" s="11"/>
      <c r="G153" s="11"/>
      <c r="I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>
      <c r="A154" s="11"/>
      <c r="B154" s="11"/>
      <c r="D154" s="11"/>
      <c r="E154" s="11"/>
      <c r="G154" s="11"/>
      <c r="I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>
      <c r="A155" s="11"/>
      <c r="B155" s="11"/>
      <c r="D155" s="11"/>
      <c r="E155" s="11"/>
      <c r="G155" s="11"/>
      <c r="I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>
      <c r="A156" s="11"/>
      <c r="B156" s="11"/>
      <c r="D156" s="11"/>
      <c r="E156" s="11"/>
      <c r="G156" s="11"/>
      <c r="I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>
      <c r="A157" s="11"/>
      <c r="B157" s="11"/>
      <c r="D157" s="11"/>
      <c r="E157" s="11"/>
      <c r="G157" s="11"/>
      <c r="I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>
      <c r="A158" s="11"/>
      <c r="B158" s="11"/>
      <c r="D158" s="11"/>
      <c r="E158" s="11"/>
      <c r="G158" s="11"/>
      <c r="I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>
      <c r="A159" s="11"/>
      <c r="B159" s="11"/>
      <c r="D159" s="11"/>
      <c r="E159" s="11"/>
      <c r="G159" s="11"/>
      <c r="I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>
      <c r="A160" s="11"/>
      <c r="B160" s="11"/>
      <c r="D160" s="11"/>
      <c r="E160" s="11"/>
      <c r="G160" s="11"/>
      <c r="I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>
      <c r="A161" s="11"/>
      <c r="B161" s="11"/>
      <c r="D161" s="11"/>
      <c r="E161" s="11"/>
      <c r="G161" s="11"/>
      <c r="I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>
      <c r="A162" s="11"/>
      <c r="B162" s="11"/>
      <c r="D162" s="11"/>
      <c r="E162" s="11"/>
      <c r="G162" s="11"/>
      <c r="I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>
      <c r="A163" s="11"/>
      <c r="B163" s="11"/>
      <c r="D163" s="11"/>
      <c r="E163" s="11"/>
      <c r="G163" s="11"/>
      <c r="I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>
      <c r="A164" s="11"/>
      <c r="B164" s="11"/>
      <c r="D164" s="11"/>
      <c r="E164" s="11"/>
      <c r="G164" s="11"/>
      <c r="I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>
      <c r="A165" s="11"/>
      <c r="B165" s="11"/>
      <c r="D165" s="11"/>
      <c r="E165" s="11"/>
      <c r="G165" s="11"/>
      <c r="I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>
      <c r="A166" s="11"/>
      <c r="B166" s="11"/>
      <c r="D166" s="11"/>
      <c r="E166" s="11"/>
      <c r="G166" s="11"/>
      <c r="I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>
      <c r="A167" s="11"/>
      <c r="B167" s="11"/>
      <c r="D167" s="11"/>
      <c r="E167" s="11"/>
      <c r="G167" s="11"/>
      <c r="I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>
      <c r="A168" s="11"/>
      <c r="B168" s="11"/>
      <c r="D168" s="11"/>
      <c r="E168" s="11"/>
      <c r="G168" s="11"/>
      <c r="I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>
      <c r="A169" s="11"/>
      <c r="B169" s="11"/>
      <c r="D169" s="11"/>
      <c r="E169" s="11"/>
      <c r="G169" s="11"/>
      <c r="I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>
      <c r="A170" s="11"/>
      <c r="B170" s="11"/>
      <c r="D170" s="11"/>
      <c r="E170" s="11"/>
      <c r="G170" s="11"/>
      <c r="I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>
      <c r="A171" s="11"/>
      <c r="B171" s="11"/>
      <c r="D171" s="11"/>
      <c r="E171" s="11"/>
      <c r="G171" s="11"/>
      <c r="I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>
      <c r="A172" s="11"/>
      <c r="B172" s="11"/>
      <c r="D172" s="11"/>
      <c r="E172" s="11"/>
      <c r="G172" s="11"/>
      <c r="I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>
      <c r="A173" s="11"/>
      <c r="B173" s="11"/>
      <c r="D173" s="11"/>
      <c r="E173" s="11"/>
      <c r="G173" s="11"/>
      <c r="I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>
      <c r="A174" s="11"/>
      <c r="B174" s="11"/>
      <c r="D174" s="11"/>
      <c r="E174" s="11"/>
      <c r="G174" s="11"/>
      <c r="I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>
      <c r="A175" s="11"/>
      <c r="B175" s="11"/>
      <c r="D175" s="11"/>
      <c r="E175" s="11"/>
      <c r="G175" s="11"/>
      <c r="I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>
      <c r="A176" s="11"/>
      <c r="B176" s="11"/>
      <c r="D176" s="11"/>
      <c r="E176" s="11"/>
      <c r="G176" s="11"/>
      <c r="I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>
      <c r="A177" s="11"/>
      <c r="B177" s="11"/>
      <c r="D177" s="11"/>
      <c r="E177" s="11"/>
      <c r="G177" s="11"/>
      <c r="I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>
      <c r="A178" s="11"/>
      <c r="B178" s="11"/>
      <c r="D178" s="11"/>
      <c r="E178" s="11"/>
      <c r="G178" s="11"/>
      <c r="I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>
      <c r="A179" s="11"/>
      <c r="B179" s="11"/>
      <c r="D179" s="11"/>
      <c r="E179" s="11"/>
      <c r="G179" s="11"/>
      <c r="I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>
      <c r="A180" s="11"/>
      <c r="B180" s="11"/>
      <c r="D180" s="11"/>
      <c r="E180" s="11"/>
      <c r="G180" s="11"/>
      <c r="I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>
      <c r="A181" s="11"/>
      <c r="B181" s="11"/>
      <c r="D181" s="11"/>
      <c r="E181" s="11"/>
      <c r="G181" s="11"/>
      <c r="I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>
      <c r="A182" s="11"/>
      <c r="B182" s="11"/>
      <c r="D182" s="11"/>
      <c r="E182" s="11"/>
      <c r="G182" s="11"/>
      <c r="I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>
      <c r="A183" s="11"/>
      <c r="B183" s="11"/>
      <c r="D183" s="11"/>
      <c r="E183" s="11"/>
      <c r="G183" s="11"/>
      <c r="I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>
      <c r="A184" s="11"/>
      <c r="B184" s="11"/>
      <c r="D184" s="11"/>
      <c r="E184" s="11"/>
      <c r="G184" s="11"/>
      <c r="I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>
      <c r="A185" s="11"/>
      <c r="B185" s="11"/>
      <c r="D185" s="11"/>
      <c r="E185" s="11"/>
      <c r="G185" s="11"/>
      <c r="I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>
      <c r="A186" s="11"/>
      <c r="B186" s="11"/>
      <c r="D186" s="11"/>
      <c r="E186" s="11"/>
      <c r="G186" s="11"/>
      <c r="I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>
      <c r="A187" s="11"/>
      <c r="B187" s="11"/>
      <c r="D187" s="11"/>
      <c r="E187" s="11"/>
      <c r="G187" s="11"/>
      <c r="I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>
      <c r="A188" s="11"/>
      <c r="B188" s="11"/>
      <c r="D188" s="11"/>
      <c r="E188" s="11"/>
      <c r="G188" s="11"/>
      <c r="I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>
      <c r="A189" s="11"/>
      <c r="B189" s="11"/>
      <c r="D189" s="11"/>
      <c r="E189" s="11"/>
      <c r="G189" s="11"/>
      <c r="I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>
      <c r="A190" s="11"/>
      <c r="B190" s="11"/>
      <c r="D190" s="11"/>
      <c r="E190" s="11"/>
      <c r="G190" s="11"/>
      <c r="I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>
      <c r="A191" s="11"/>
      <c r="B191" s="11"/>
      <c r="D191" s="11"/>
      <c r="E191" s="11"/>
      <c r="G191" s="11"/>
      <c r="I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>
      <c r="A192" s="11"/>
      <c r="B192" s="11"/>
      <c r="D192" s="11"/>
      <c r="E192" s="11"/>
      <c r="G192" s="11"/>
      <c r="I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>
      <c r="A193" s="11"/>
      <c r="B193" s="11"/>
      <c r="D193" s="11"/>
      <c r="E193" s="11"/>
      <c r="G193" s="11"/>
      <c r="I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>
      <c r="A194" s="11"/>
      <c r="B194" s="11"/>
      <c r="D194" s="11"/>
      <c r="E194" s="11"/>
      <c r="G194" s="11"/>
      <c r="I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>
      <c r="A195" s="11"/>
      <c r="B195" s="11"/>
      <c r="D195" s="11"/>
      <c r="E195" s="11"/>
      <c r="G195" s="11"/>
      <c r="I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>
      <c r="A196" s="11"/>
      <c r="B196" s="11"/>
      <c r="D196" s="11"/>
      <c r="E196" s="11"/>
      <c r="G196" s="11"/>
      <c r="I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>
      <c r="A197" s="11"/>
      <c r="B197" s="11"/>
      <c r="D197" s="11"/>
      <c r="E197" s="11"/>
      <c r="G197" s="11"/>
      <c r="I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>
      <c r="A198" s="11"/>
      <c r="B198" s="11"/>
      <c r="D198" s="11"/>
      <c r="E198" s="11"/>
      <c r="G198" s="11"/>
      <c r="I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>
      <c r="A199" s="11"/>
      <c r="B199" s="11"/>
      <c r="D199" s="11"/>
      <c r="E199" s="11"/>
      <c r="G199" s="11"/>
      <c r="I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>
      <c r="A200" s="11"/>
      <c r="B200" s="11"/>
      <c r="D200" s="11"/>
      <c r="E200" s="11"/>
      <c r="G200" s="11"/>
      <c r="I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>
      <c r="A201" s="11"/>
      <c r="B201" s="11"/>
      <c r="D201" s="11"/>
      <c r="E201" s="11"/>
      <c r="G201" s="11"/>
      <c r="I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>
      <c r="A202" s="11"/>
      <c r="B202" s="11"/>
      <c r="D202" s="11"/>
      <c r="E202" s="11"/>
      <c r="G202" s="11"/>
      <c r="I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>
      <c r="A203" s="11"/>
      <c r="B203" s="11"/>
      <c r="D203" s="11"/>
      <c r="E203" s="11"/>
      <c r="G203" s="11"/>
      <c r="I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>
      <c r="A204" s="11"/>
      <c r="B204" s="11"/>
      <c r="D204" s="11"/>
      <c r="E204" s="11"/>
      <c r="G204" s="11"/>
      <c r="I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>
      <c r="A205" s="11"/>
      <c r="B205" s="11"/>
      <c r="D205" s="11"/>
      <c r="E205" s="11"/>
      <c r="G205" s="11"/>
      <c r="I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>
      <c r="A206" s="11"/>
      <c r="B206" s="11"/>
      <c r="D206" s="11"/>
      <c r="E206" s="11"/>
      <c r="G206" s="11"/>
      <c r="I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>
      <c r="A207" s="11"/>
      <c r="B207" s="11"/>
      <c r="D207" s="11"/>
      <c r="E207" s="11"/>
      <c r="G207" s="11"/>
      <c r="I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>
      <c r="A208" s="11"/>
      <c r="B208" s="11"/>
      <c r="D208" s="11"/>
      <c r="E208" s="11"/>
      <c r="G208" s="11"/>
      <c r="I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>
      <c r="A209" s="11"/>
      <c r="B209" s="11"/>
      <c r="D209" s="11"/>
      <c r="E209" s="11"/>
      <c r="G209" s="11"/>
      <c r="I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>
      <c r="A210" s="11"/>
      <c r="B210" s="11"/>
      <c r="D210" s="11"/>
      <c r="E210" s="11"/>
      <c r="G210" s="11"/>
      <c r="I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>
      <c r="A211" s="11"/>
      <c r="B211" s="11"/>
      <c r="D211" s="11"/>
      <c r="E211" s="11"/>
      <c r="G211" s="11"/>
      <c r="I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>
      <c r="A212" s="11"/>
      <c r="B212" s="11"/>
      <c r="D212" s="11"/>
      <c r="E212" s="11"/>
      <c r="G212" s="11"/>
      <c r="I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>
      <c r="A213" s="11"/>
      <c r="B213" s="11"/>
      <c r="D213" s="11"/>
      <c r="E213" s="11"/>
      <c r="G213" s="11"/>
      <c r="I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>
      <c r="A214" s="11"/>
      <c r="B214" s="11"/>
      <c r="D214" s="11"/>
      <c r="E214" s="11"/>
      <c r="G214" s="11"/>
      <c r="I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>
      <c r="A215" s="11"/>
      <c r="B215" s="11"/>
      <c r="D215" s="11"/>
      <c r="E215" s="11"/>
      <c r="G215" s="11"/>
      <c r="I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>
      <c r="A216" s="11"/>
      <c r="B216" s="11"/>
      <c r="D216" s="11"/>
      <c r="E216" s="11"/>
      <c r="G216" s="11"/>
      <c r="I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>
      <c r="A217" s="11"/>
      <c r="B217" s="11"/>
      <c r="D217" s="11"/>
      <c r="E217" s="11"/>
      <c r="G217" s="11"/>
      <c r="I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>
      <c r="A218" s="11"/>
      <c r="B218" s="11"/>
      <c r="D218" s="11"/>
      <c r="E218" s="11"/>
      <c r="G218" s="11"/>
      <c r="I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>
      <c r="A219" s="11"/>
      <c r="B219" s="11"/>
      <c r="D219" s="11"/>
      <c r="E219" s="11"/>
      <c r="G219" s="11"/>
      <c r="I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>
      <c r="A220" s="11"/>
      <c r="B220" s="11"/>
      <c r="D220" s="11"/>
      <c r="E220" s="11"/>
      <c r="G220" s="11"/>
      <c r="I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>
      <c r="A221" s="11"/>
      <c r="B221" s="11"/>
      <c r="D221" s="11"/>
      <c r="E221" s="11"/>
      <c r="G221" s="11"/>
      <c r="I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>
      <c r="A222" s="11"/>
      <c r="B222" s="11"/>
      <c r="D222" s="11"/>
      <c r="E222" s="11"/>
      <c r="G222" s="11"/>
      <c r="I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>
      <c r="A223" s="11"/>
      <c r="B223" s="11"/>
      <c r="D223" s="11"/>
      <c r="E223" s="11"/>
      <c r="G223" s="11"/>
      <c r="I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>
      <c r="A224" s="11"/>
      <c r="B224" s="11"/>
      <c r="D224" s="11"/>
      <c r="E224" s="11"/>
      <c r="G224" s="11"/>
      <c r="I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>
      <c r="A225" s="11"/>
      <c r="B225" s="11"/>
      <c r="D225" s="11"/>
      <c r="E225" s="11"/>
      <c r="G225" s="11"/>
      <c r="I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>
      <c r="A226" s="11"/>
      <c r="B226" s="11"/>
      <c r="D226" s="11"/>
      <c r="E226" s="11"/>
      <c r="G226" s="11"/>
      <c r="I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>
      <c r="A227" s="11"/>
      <c r="B227" s="11"/>
      <c r="D227" s="11"/>
      <c r="E227" s="11"/>
      <c r="G227" s="11"/>
      <c r="I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>
      <c r="A228" s="11"/>
      <c r="B228" s="11"/>
      <c r="D228" s="11"/>
      <c r="E228" s="11"/>
      <c r="G228" s="11"/>
      <c r="I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>
      <c r="A229" s="11"/>
      <c r="B229" s="11"/>
      <c r="D229" s="11"/>
      <c r="E229" s="11"/>
      <c r="G229" s="11"/>
      <c r="I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>
      <c r="A230" s="11"/>
      <c r="B230" s="11"/>
      <c r="D230" s="11"/>
      <c r="E230" s="11"/>
      <c r="G230" s="11"/>
      <c r="I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>
      <c r="A231" s="11"/>
      <c r="B231" s="11"/>
      <c r="D231" s="11"/>
      <c r="E231" s="11"/>
      <c r="G231" s="11"/>
      <c r="I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>
      <c r="A232" s="11"/>
      <c r="B232" s="11"/>
      <c r="D232" s="11"/>
      <c r="E232" s="11"/>
      <c r="G232" s="11"/>
      <c r="I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>
      <c r="A233" s="11"/>
      <c r="B233" s="11"/>
      <c r="D233" s="11"/>
      <c r="E233" s="11"/>
      <c r="G233" s="11"/>
      <c r="I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>
      <c r="A234" s="11"/>
      <c r="B234" s="11"/>
      <c r="D234" s="11"/>
      <c r="E234" s="11"/>
      <c r="G234" s="11"/>
      <c r="I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>
      <c r="A235" s="11"/>
      <c r="B235" s="11"/>
      <c r="D235" s="11"/>
      <c r="E235" s="11"/>
      <c r="G235" s="11"/>
      <c r="I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>
      <c r="A236" s="11"/>
      <c r="B236" s="11"/>
      <c r="D236" s="11"/>
      <c r="E236" s="11"/>
      <c r="G236" s="11"/>
      <c r="I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>
      <c r="A237" s="11"/>
      <c r="B237" s="11"/>
      <c r="D237" s="11"/>
      <c r="E237" s="11"/>
      <c r="G237" s="11"/>
      <c r="I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>
      <c r="A238" s="11"/>
      <c r="B238" s="11"/>
      <c r="D238" s="11"/>
      <c r="E238" s="11"/>
      <c r="G238" s="11"/>
      <c r="I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>
      <c r="A239" s="11"/>
      <c r="B239" s="11"/>
      <c r="D239" s="11"/>
      <c r="E239" s="11"/>
      <c r="G239" s="11"/>
      <c r="I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>
      <c r="A240" s="11"/>
      <c r="B240" s="11"/>
      <c r="D240" s="11"/>
      <c r="E240" s="11"/>
      <c r="G240" s="11"/>
      <c r="I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>
      <c r="A241" s="11"/>
      <c r="B241" s="11"/>
      <c r="D241" s="11"/>
      <c r="E241" s="11"/>
      <c r="G241" s="11"/>
      <c r="I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>
      <c r="A242" s="11"/>
      <c r="B242" s="11"/>
      <c r="D242" s="11"/>
      <c r="E242" s="11"/>
      <c r="G242" s="11"/>
      <c r="I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>
      <c r="A243" s="11"/>
      <c r="B243" s="11"/>
      <c r="D243" s="11"/>
      <c r="E243" s="11"/>
      <c r="G243" s="11"/>
      <c r="I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>
      <c r="A244" s="11"/>
      <c r="B244" s="11"/>
      <c r="D244" s="11"/>
      <c r="E244" s="11"/>
      <c r="G244" s="11"/>
      <c r="I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>
      <c r="A245" s="11"/>
      <c r="B245" s="11"/>
      <c r="D245" s="11"/>
      <c r="E245" s="11"/>
      <c r="G245" s="11"/>
      <c r="I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>
      <c r="A246" s="11"/>
      <c r="B246" s="11"/>
      <c r="D246" s="11"/>
      <c r="E246" s="11"/>
      <c r="G246" s="11"/>
      <c r="I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>
      <c r="A247" s="11"/>
      <c r="B247" s="11"/>
      <c r="D247" s="11"/>
      <c r="E247" s="11"/>
      <c r="G247" s="11"/>
      <c r="I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>
      <c r="A248" s="11"/>
      <c r="B248" s="11"/>
      <c r="D248" s="11"/>
      <c r="E248" s="11"/>
      <c r="G248" s="11"/>
      <c r="I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>
      <c r="A249" s="11"/>
      <c r="B249" s="11"/>
      <c r="D249" s="11"/>
      <c r="E249" s="11"/>
      <c r="G249" s="11"/>
      <c r="I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>
      <c r="A250" s="11"/>
      <c r="B250" s="11"/>
      <c r="D250" s="11"/>
      <c r="E250" s="11"/>
      <c r="G250" s="11"/>
      <c r="I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>
      <c r="A251" s="11"/>
      <c r="B251" s="11"/>
      <c r="D251" s="11"/>
      <c r="E251" s="11"/>
      <c r="G251" s="11"/>
      <c r="I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>
      <c r="A252" s="11"/>
      <c r="B252" s="11"/>
      <c r="D252" s="11"/>
      <c r="E252" s="11"/>
      <c r="G252" s="11"/>
      <c r="I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>
      <c r="A253" s="11"/>
      <c r="B253" s="11"/>
      <c r="D253" s="11"/>
      <c r="E253" s="11"/>
      <c r="G253" s="11"/>
      <c r="I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>
      <c r="A254" s="11"/>
      <c r="B254" s="11"/>
      <c r="D254" s="11"/>
      <c r="E254" s="11"/>
      <c r="G254" s="11"/>
      <c r="I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>
      <c r="A255" s="11"/>
      <c r="B255" s="11"/>
      <c r="D255" s="11"/>
      <c r="E255" s="11"/>
      <c r="G255" s="11"/>
      <c r="I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>
      <c r="A256" s="11"/>
      <c r="B256" s="11"/>
      <c r="D256" s="11"/>
      <c r="E256" s="11"/>
      <c r="G256" s="11"/>
      <c r="I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>
      <c r="A257" s="11"/>
      <c r="B257" s="11"/>
      <c r="D257" s="11"/>
      <c r="E257" s="11"/>
      <c r="G257" s="11"/>
      <c r="I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>
      <c r="A258" s="11"/>
      <c r="B258" s="11"/>
      <c r="D258" s="11"/>
      <c r="E258" s="11"/>
      <c r="G258" s="11"/>
      <c r="I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>
      <c r="A259" s="11"/>
      <c r="B259" s="11"/>
      <c r="D259" s="11"/>
      <c r="E259" s="11"/>
      <c r="G259" s="11"/>
      <c r="I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>
      <c r="A260" s="11"/>
      <c r="B260" s="11"/>
      <c r="D260" s="11"/>
      <c r="E260" s="11"/>
      <c r="G260" s="11"/>
      <c r="I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>
      <c r="A261" s="11"/>
      <c r="B261" s="11"/>
      <c r="D261" s="11"/>
      <c r="E261" s="11"/>
      <c r="G261" s="11"/>
      <c r="I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>
      <c r="A262" s="11"/>
      <c r="B262" s="11"/>
      <c r="D262" s="11"/>
      <c r="E262" s="11"/>
      <c r="G262" s="11"/>
      <c r="I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>
      <c r="A263" s="11"/>
      <c r="B263" s="11"/>
      <c r="D263" s="11"/>
      <c r="E263" s="11"/>
      <c r="G263" s="11"/>
      <c r="I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>
      <c r="A264" s="11"/>
      <c r="B264" s="11"/>
      <c r="D264" s="11"/>
      <c r="E264" s="11"/>
      <c r="G264" s="11"/>
      <c r="I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>
      <c r="A265" s="11"/>
      <c r="B265" s="11"/>
      <c r="D265" s="11"/>
      <c r="E265" s="11"/>
      <c r="G265" s="11"/>
      <c r="I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>
      <c r="A266" s="11"/>
      <c r="B266" s="11"/>
      <c r="D266" s="11"/>
      <c r="E266" s="11"/>
      <c r="G266" s="11"/>
      <c r="I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>
      <c r="A267" s="11"/>
      <c r="B267" s="11"/>
      <c r="D267" s="11"/>
      <c r="E267" s="11"/>
      <c r="G267" s="11"/>
      <c r="I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>
      <c r="A268" s="11"/>
      <c r="B268" s="11"/>
      <c r="D268" s="11"/>
      <c r="E268" s="11"/>
      <c r="G268" s="11"/>
      <c r="I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>
      <c r="A269" s="11"/>
      <c r="B269" s="11"/>
      <c r="D269" s="11"/>
      <c r="E269" s="11"/>
      <c r="G269" s="11"/>
      <c r="I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>
      <c r="A270" s="11"/>
      <c r="B270" s="11"/>
      <c r="D270" s="11"/>
      <c r="E270" s="11"/>
      <c r="G270" s="11"/>
      <c r="I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>
      <c r="A271" s="11"/>
      <c r="B271" s="11"/>
      <c r="D271" s="11"/>
      <c r="E271" s="11"/>
      <c r="G271" s="11"/>
      <c r="I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>
      <c r="A272" s="11"/>
      <c r="B272" s="11"/>
      <c r="D272" s="11"/>
      <c r="E272" s="11"/>
      <c r="G272" s="11"/>
      <c r="I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>
      <c r="A273" s="11"/>
      <c r="B273" s="11"/>
      <c r="D273" s="11"/>
      <c r="E273" s="11"/>
      <c r="G273" s="11"/>
      <c r="I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>
      <c r="A274" s="11"/>
      <c r="B274" s="11"/>
      <c r="D274" s="11"/>
      <c r="E274" s="11"/>
      <c r="G274" s="11"/>
      <c r="I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>
      <c r="A275" s="11"/>
      <c r="B275" s="11"/>
      <c r="D275" s="11"/>
      <c r="E275" s="11"/>
      <c r="G275" s="11"/>
      <c r="I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>
      <c r="A276" s="11"/>
      <c r="B276" s="11"/>
      <c r="D276" s="11"/>
      <c r="E276" s="11"/>
      <c r="G276" s="11"/>
      <c r="I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>
      <c r="A277" s="11"/>
      <c r="B277" s="11"/>
      <c r="D277" s="11"/>
      <c r="E277" s="11"/>
      <c r="G277" s="11"/>
      <c r="I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>
      <c r="A278" s="11"/>
      <c r="B278" s="11"/>
      <c r="D278" s="11"/>
      <c r="E278" s="11"/>
      <c r="G278" s="11"/>
      <c r="I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>
      <c r="A279" s="11"/>
      <c r="B279" s="11"/>
      <c r="D279" s="11"/>
      <c r="E279" s="11"/>
      <c r="G279" s="11"/>
      <c r="I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>
      <c r="A280" s="11"/>
      <c r="B280" s="11"/>
      <c r="D280" s="11"/>
      <c r="E280" s="11"/>
      <c r="G280" s="11"/>
      <c r="I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>
      <c r="A281" s="11"/>
      <c r="B281" s="11"/>
      <c r="D281" s="11"/>
      <c r="E281" s="11"/>
      <c r="G281" s="11"/>
      <c r="I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>
      <c r="A282" s="11"/>
      <c r="B282" s="11"/>
      <c r="D282" s="11"/>
      <c r="E282" s="11"/>
      <c r="G282" s="11"/>
      <c r="I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>
      <c r="A283" s="11"/>
      <c r="B283" s="11"/>
      <c r="D283" s="11"/>
      <c r="E283" s="11"/>
      <c r="G283" s="11"/>
      <c r="I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>
      <c r="A284" s="11"/>
      <c r="B284" s="11"/>
      <c r="D284" s="11"/>
      <c r="E284" s="11"/>
      <c r="G284" s="11"/>
      <c r="I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>
      <c r="A285" s="11"/>
      <c r="B285" s="11"/>
      <c r="D285" s="11"/>
      <c r="E285" s="11"/>
      <c r="G285" s="11"/>
      <c r="I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>
      <c r="A286" s="11"/>
      <c r="B286" s="11"/>
      <c r="D286" s="11"/>
      <c r="E286" s="11"/>
      <c r="G286" s="11"/>
      <c r="I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>
      <c r="A287" s="11"/>
      <c r="B287" s="11"/>
      <c r="D287" s="11"/>
      <c r="E287" s="11"/>
      <c r="G287" s="11"/>
      <c r="I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>
      <c r="A288" s="11"/>
      <c r="B288" s="11"/>
      <c r="D288" s="11"/>
      <c r="E288" s="11"/>
      <c r="G288" s="11"/>
      <c r="I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>
      <c r="A289" s="11"/>
      <c r="B289" s="11"/>
      <c r="D289" s="11"/>
      <c r="E289" s="11"/>
      <c r="G289" s="11"/>
      <c r="I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>
      <c r="A290" s="11"/>
      <c r="B290" s="11"/>
      <c r="D290" s="11"/>
      <c r="E290" s="11"/>
      <c r="G290" s="11"/>
      <c r="I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>
      <c r="A291" s="11"/>
      <c r="B291" s="11"/>
      <c r="D291" s="11"/>
      <c r="E291" s="11"/>
      <c r="G291" s="11"/>
      <c r="I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>
      <c r="A292" s="11"/>
      <c r="B292" s="11"/>
      <c r="D292" s="11"/>
      <c r="E292" s="11"/>
      <c r="G292" s="11"/>
      <c r="I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>
      <c r="A293" s="11"/>
      <c r="B293" s="11"/>
      <c r="D293" s="11"/>
      <c r="E293" s="11"/>
      <c r="G293" s="11"/>
      <c r="I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>
      <c r="A294" s="11"/>
      <c r="B294" s="11"/>
      <c r="D294" s="11"/>
      <c r="E294" s="11"/>
      <c r="G294" s="11"/>
      <c r="I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>
      <c r="A295" s="11"/>
      <c r="B295" s="11"/>
      <c r="D295" s="11"/>
      <c r="E295" s="11"/>
      <c r="G295" s="11"/>
      <c r="I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>
      <c r="A296" s="11"/>
      <c r="B296" s="11"/>
      <c r="D296" s="11"/>
      <c r="E296" s="11"/>
      <c r="G296" s="11"/>
      <c r="I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>
      <c r="A297" s="11"/>
      <c r="B297" s="11"/>
      <c r="D297" s="11"/>
      <c r="E297" s="11"/>
      <c r="G297" s="11"/>
      <c r="I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>
      <c r="A298" s="11"/>
      <c r="B298" s="11"/>
      <c r="D298" s="11"/>
      <c r="E298" s="11"/>
      <c r="G298" s="11"/>
      <c r="I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>
      <c r="A299" s="11"/>
      <c r="B299" s="11"/>
      <c r="D299" s="11"/>
      <c r="E299" s="11"/>
      <c r="G299" s="11"/>
      <c r="I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>
      <c r="A300" s="11"/>
      <c r="B300" s="11"/>
      <c r="D300" s="11"/>
      <c r="E300" s="11"/>
      <c r="G300" s="11"/>
      <c r="I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>
      <c r="A301" s="11"/>
      <c r="B301" s="11"/>
      <c r="D301" s="11"/>
      <c r="E301" s="11"/>
      <c r="G301" s="11"/>
      <c r="I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>
      <c r="A302" s="11"/>
      <c r="B302" s="11"/>
      <c r="D302" s="11"/>
      <c r="E302" s="11"/>
      <c r="G302" s="11"/>
      <c r="I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>
      <c r="A303" s="11"/>
      <c r="B303" s="11"/>
      <c r="D303" s="11"/>
      <c r="E303" s="11"/>
      <c r="G303" s="11"/>
      <c r="I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>
      <c r="A304" s="11"/>
      <c r="B304" s="11"/>
      <c r="D304" s="11"/>
      <c r="E304" s="11"/>
      <c r="G304" s="11"/>
      <c r="I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>
      <c r="A305" s="11"/>
      <c r="B305" s="11"/>
      <c r="D305" s="11"/>
      <c r="E305" s="11"/>
      <c r="G305" s="11"/>
      <c r="I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>
      <c r="A306" s="11"/>
      <c r="B306" s="11"/>
      <c r="D306" s="11"/>
      <c r="E306" s="11"/>
      <c r="G306" s="11"/>
      <c r="I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>
      <c r="A307" s="11"/>
      <c r="B307" s="11"/>
      <c r="D307" s="11"/>
      <c r="E307" s="11"/>
      <c r="G307" s="11"/>
      <c r="I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>
      <c r="A308" s="11"/>
      <c r="B308" s="11"/>
      <c r="D308" s="11"/>
      <c r="E308" s="11"/>
      <c r="G308" s="11"/>
      <c r="I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>
      <c r="A309" s="11"/>
      <c r="B309" s="11"/>
      <c r="D309" s="11"/>
      <c r="E309" s="11"/>
      <c r="G309" s="11"/>
      <c r="I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>
      <c r="A310" s="11"/>
      <c r="B310" s="11"/>
      <c r="D310" s="11"/>
      <c r="E310" s="11"/>
      <c r="G310" s="11"/>
      <c r="I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>
      <c r="A311" s="11"/>
      <c r="B311" s="11"/>
      <c r="D311" s="11"/>
      <c r="E311" s="11"/>
      <c r="G311" s="11"/>
      <c r="I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>
      <c r="A312" s="11"/>
      <c r="B312" s="11"/>
      <c r="D312" s="11"/>
      <c r="E312" s="11"/>
      <c r="G312" s="11"/>
      <c r="I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>
      <c r="A313" s="11"/>
      <c r="B313" s="11"/>
      <c r="D313" s="11"/>
      <c r="E313" s="11"/>
      <c r="G313" s="11"/>
      <c r="I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>
      <c r="A314" s="11"/>
      <c r="B314" s="11"/>
      <c r="D314" s="11"/>
      <c r="E314" s="11"/>
      <c r="G314" s="11"/>
      <c r="I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>
      <c r="A315" s="11"/>
      <c r="B315" s="11"/>
      <c r="D315" s="11"/>
      <c r="E315" s="11"/>
      <c r="G315" s="11"/>
      <c r="I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>
      <c r="A316" s="11"/>
      <c r="B316" s="11"/>
      <c r="D316" s="11"/>
      <c r="E316" s="11"/>
      <c r="G316" s="11"/>
      <c r="I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>
      <c r="A317" s="11"/>
      <c r="B317" s="11"/>
      <c r="D317" s="11"/>
      <c r="E317" s="11"/>
      <c r="G317" s="11"/>
      <c r="I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>
      <c r="A318" s="11"/>
      <c r="B318" s="11"/>
      <c r="D318" s="11"/>
      <c r="E318" s="11"/>
      <c r="G318" s="11"/>
      <c r="I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>
      <c r="A319" s="11"/>
      <c r="B319" s="11"/>
      <c r="D319" s="11"/>
      <c r="E319" s="11"/>
      <c r="G319" s="11"/>
      <c r="I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>
      <c r="A320" s="11"/>
      <c r="B320" s="11"/>
      <c r="D320" s="11"/>
      <c r="E320" s="11"/>
      <c r="G320" s="11"/>
      <c r="I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>
      <c r="A321" s="11"/>
      <c r="B321" s="11"/>
      <c r="D321" s="11"/>
      <c r="E321" s="11"/>
      <c r="G321" s="11"/>
      <c r="I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>
      <c r="A322" s="11"/>
      <c r="B322" s="11"/>
      <c r="D322" s="11"/>
      <c r="E322" s="11"/>
      <c r="G322" s="11"/>
      <c r="I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>
      <c r="A323" s="11"/>
      <c r="B323" s="11"/>
      <c r="D323" s="11"/>
      <c r="E323" s="11"/>
      <c r="G323" s="11"/>
      <c r="I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>
      <c r="A324" s="11"/>
      <c r="B324" s="11"/>
      <c r="D324" s="11"/>
      <c r="E324" s="11"/>
      <c r="G324" s="11"/>
      <c r="I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>
      <c r="A325" s="11"/>
      <c r="B325" s="11"/>
      <c r="D325" s="11"/>
      <c r="E325" s="11"/>
      <c r="G325" s="11"/>
      <c r="I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>
      <c r="A326" s="11"/>
      <c r="B326" s="11"/>
      <c r="D326" s="11"/>
      <c r="E326" s="11"/>
      <c r="G326" s="11"/>
      <c r="I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>
      <c r="A327" s="11"/>
      <c r="B327" s="11"/>
      <c r="D327" s="11"/>
      <c r="E327" s="11"/>
      <c r="G327" s="11"/>
      <c r="I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>
      <c r="A328" s="11"/>
      <c r="B328" s="11"/>
      <c r="D328" s="11"/>
      <c r="E328" s="11"/>
      <c r="G328" s="11"/>
      <c r="I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>
      <c r="A329" s="11"/>
      <c r="B329" s="11"/>
      <c r="D329" s="11"/>
      <c r="E329" s="11"/>
      <c r="G329" s="11"/>
      <c r="I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>
      <c r="A330" s="11"/>
      <c r="B330" s="11"/>
      <c r="D330" s="11"/>
      <c r="E330" s="11"/>
      <c r="G330" s="11"/>
      <c r="I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>
      <c r="A331" s="11"/>
      <c r="B331" s="11"/>
      <c r="D331" s="11"/>
      <c r="E331" s="11"/>
      <c r="G331" s="11"/>
      <c r="I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>
      <c r="A332" s="11"/>
      <c r="B332" s="11"/>
      <c r="D332" s="11"/>
      <c r="E332" s="11"/>
      <c r="G332" s="11"/>
      <c r="I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>
      <c r="A333" s="11"/>
      <c r="B333" s="11"/>
      <c r="D333" s="11"/>
      <c r="E333" s="11"/>
      <c r="G333" s="11"/>
      <c r="I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>
      <c r="A334" s="11"/>
      <c r="B334" s="11"/>
      <c r="D334" s="11"/>
      <c r="E334" s="11"/>
      <c r="G334" s="11"/>
      <c r="I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>
      <c r="A335" s="11"/>
      <c r="B335" s="11"/>
      <c r="D335" s="11"/>
      <c r="E335" s="11"/>
      <c r="G335" s="11"/>
      <c r="I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>
      <c r="A336" s="11"/>
      <c r="B336" s="11"/>
      <c r="D336" s="11"/>
      <c r="E336" s="11"/>
      <c r="G336" s="11"/>
      <c r="I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>
      <c r="A337" s="11"/>
      <c r="B337" s="11"/>
      <c r="D337" s="11"/>
      <c r="E337" s="11"/>
      <c r="G337" s="11"/>
      <c r="I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>
      <c r="A338" s="11"/>
      <c r="B338" s="11"/>
      <c r="D338" s="11"/>
      <c r="E338" s="11"/>
      <c r="G338" s="11"/>
      <c r="I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>
      <c r="A339" s="11"/>
      <c r="B339" s="11"/>
      <c r="D339" s="11"/>
      <c r="E339" s="11"/>
      <c r="G339" s="11"/>
      <c r="I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>
      <c r="A340" s="11"/>
      <c r="B340" s="11"/>
      <c r="D340" s="11"/>
      <c r="E340" s="11"/>
      <c r="G340" s="11"/>
      <c r="I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>
      <c r="A341" s="11"/>
      <c r="B341" s="11"/>
      <c r="D341" s="11"/>
      <c r="E341" s="11"/>
      <c r="G341" s="11"/>
      <c r="I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>
      <c r="A342" s="11"/>
      <c r="B342" s="11"/>
      <c r="D342" s="11"/>
      <c r="E342" s="11"/>
      <c r="G342" s="11"/>
      <c r="I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>
      <c r="A343" s="11"/>
      <c r="B343" s="11"/>
      <c r="D343" s="11"/>
      <c r="E343" s="11"/>
      <c r="G343" s="11"/>
      <c r="I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>
      <c r="A344" s="11"/>
      <c r="B344" s="11"/>
      <c r="D344" s="11"/>
      <c r="E344" s="11"/>
      <c r="G344" s="11"/>
      <c r="I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>
      <c r="A345" s="11"/>
      <c r="B345" s="11"/>
      <c r="D345" s="11"/>
      <c r="E345" s="11"/>
      <c r="G345" s="11"/>
      <c r="I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>
      <c r="A346" s="11"/>
      <c r="B346" s="11"/>
      <c r="D346" s="11"/>
      <c r="E346" s="11"/>
      <c r="G346" s="11"/>
      <c r="I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>
      <c r="A347" s="11"/>
      <c r="B347" s="11"/>
      <c r="D347" s="11"/>
      <c r="E347" s="11"/>
      <c r="G347" s="11"/>
      <c r="I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>
      <c r="A348" s="11"/>
      <c r="B348" s="11"/>
      <c r="D348" s="11"/>
      <c r="E348" s="11"/>
      <c r="G348" s="11"/>
      <c r="I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>
      <c r="A349" s="11"/>
      <c r="B349" s="11"/>
      <c r="D349" s="11"/>
      <c r="E349" s="11"/>
      <c r="G349" s="11"/>
      <c r="I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>
      <c r="A350" s="11"/>
      <c r="B350" s="11"/>
      <c r="D350" s="11"/>
      <c r="E350" s="11"/>
      <c r="G350" s="11"/>
      <c r="I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>
      <c r="A351" s="11"/>
      <c r="B351" s="11"/>
      <c r="D351" s="11"/>
      <c r="E351" s="11"/>
      <c r="G351" s="11"/>
      <c r="I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>
      <c r="A352" s="11"/>
      <c r="B352" s="11"/>
      <c r="D352" s="11"/>
      <c r="E352" s="11"/>
      <c r="G352" s="11"/>
      <c r="I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>
      <c r="A353" s="11"/>
      <c r="B353" s="11"/>
      <c r="D353" s="11"/>
      <c r="E353" s="11"/>
      <c r="G353" s="11"/>
      <c r="I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>
      <c r="A354" s="11"/>
      <c r="B354" s="11"/>
      <c r="D354" s="11"/>
      <c r="E354" s="11"/>
      <c r="G354" s="11"/>
      <c r="I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>
      <c r="A355" s="11"/>
      <c r="B355" s="11"/>
      <c r="D355" s="11"/>
      <c r="E355" s="11"/>
      <c r="G355" s="11"/>
      <c r="I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>
      <c r="A356" s="11"/>
      <c r="B356" s="11"/>
      <c r="D356" s="11"/>
      <c r="E356" s="11"/>
      <c r="G356" s="11"/>
      <c r="I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>
      <c r="A357" s="11"/>
      <c r="B357" s="11"/>
      <c r="D357" s="11"/>
      <c r="E357" s="11"/>
      <c r="G357" s="11"/>
      <c r="I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>
      <c r="A358" s="11"/>
      <c r="B358" s="11"/>
      <c r="D358" s="11"/>
      <c r="E358" s="11"/>
      <c r="G358" s="11"/>
      <c r="I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>
      <c r="A359" s="11"/>
      <c r="B359" s="11"/>
      <c r="D359" s="11"/>
      <c r="E359" s="11"/>
      <c r="G359" s="11"/>
      <c r="I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>
      <c r="A360" s="11"/>
      <c r="B360" s="11"/>
      <c r="D360" s="11"/>
      <c r="E360" s="11"/>
      <c r="G360" s="11"/>
      <c r="I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>
      <c r="A361" s="11"/>
      <c r="B361" s="11"/>
      <c r="D361" s="11"/>
      <c r="E361" s="11"/>
      <c r="G361" s="11"/>
      <c r="I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>
      <c r="A362" s="11"/>
      <c r="B362" s="11"/>
      <c r="D362" s="11"/>
      <c r="E362" s="11"/>
      <c r="G362" s="11"/>
      <c r="I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>
      <c r="A363" s="11"/>
      <c r="B363" s="11"/>
      <c r="D363" s="11"/>
      <c r="E363" s="11"/>
      <c r="G363" s="11"/>
      <c r="I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>
      <c r="A364" s="11"/>
      <c r="B364" s="11"/>
      <c r="D364" s="11"/>
      <c r="E364" s="11"/>
      <c r="G364" s="11"/>
      <c r="I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>
      <c r="A365" s="11"/>
      <c r="B365" s="11"/>
      <c r="D365" s="11"/>
      <c r="E365" s="11"/>
      <c r="G365" s="11"/>
      <c r="I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>
      <c r="A366" s="11"/>
      <c r="B366" s="11"/>
      <c r="D366" s="11"/>
      <c r="E366" s="11"/>
      <c r="G366" s="11"/>
      <c r="I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>
      <c r="A367" s="11"/>
      <c r="B367" s="11"/>
      <c r="D367" s="11"/>
      <c r="E367" s="11"/>
      <c r="G367" s="11"/>
      <c r="I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>
      <c r="A368" s="11"/>
      <c r="B368" s="11"/>
      <c r="D368" s="11"/>
      <c r="E368" s="11"/>
      <c r="G368" s="11"/>
      <c r="I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>
      <c r="A369" s="11"/>
      <c r="B369" s="11"/>
      <c r="D369" s="11"/>
      <c r="E369" s="11"/>
      <c r="G369" s="11"/>
      <c r="I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>
      <c r="A370" s="11"/>
      <c r="B370" s="11"/>
      <c r="D370" s="11"/>
      <c r="E370" s="11"/>
      <c r="G370" s="11"/>
      <c r="I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>
      <c r="A371" s="11"/>
      <c r="B371" s="11"/>
      <c r="D371" s="11"/>
      <c r="E371" s="11"/>
      <c r="G371" s="11"/>
      <c r="I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>
      <c r="A372" s="11"/>
      <c r="B372" s="11"/>
      <c r="D372" s="11"/>
      <c r="E372" s="11"/>
      <c r="G372" s="11"/>
      <c r="I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>
      <c r="A373" s="11"/>
      <c r="B373" s="11"/>
      <c r="D373" s="11"/>
      <c r="E373" s="11"/>
      <c r="G373" s="11"/>
      <c r="I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>
      <c r="A374" s="11"/>
      <c r="B374" s="11"/>
      <c r="D374" s="11"/>
      <c r="E374" s="11"/>
      <c r="G374" s="11"/>
      <c r="I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>
      <c r="A375" s="11"/>
      <c r="B375" s="11"/>
      <c r="D375" s="11"/>
      <c r="E375" s="11"/>
      <c r="G375" s="11"/>
      <c r="I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>
      <c r="A376" s="11"/>
      <c r="B376" s="11"/>
      <c r="D376" s="11"/>
      <c r="E376" s="11"/>
      <c r="G376" s="11"/>
      <c r="I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>
      <c r="A377" s="11"/>
      <c r="B377" s="11"/>
      <c r="D377" s="11"/>
      <c r="E377" s="11"/>
      <c r="G377" s="11"/>
      <c r="I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>
      <c r="A378" s="11"/>
      <c r="B378" s="11"/>
      <c r="D378" s="11"/>
      <c r="E378" s="11"/>
      <c r="G378" s="11"/>
      <c r="I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>
      <c r="A379" s="11"/>
      <c r="B379" s="11"/>
      <c r="D379" s="11"/>
      <c r="E379" s="11"/>
      <c r="G379" s="11"/>
      <c r="I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>
      <c r="A380" s="11"/>
      <c r="B380" s="11"/>
      <c r="D380" s="11"/>
      <c r="E380" s="11"/>
      <c r="G380" s="11"/>
      <c r="I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>
      <c r="A381" s="11"/>
      <c r="B381" s="11"/>
      <c r="D381" s="11"/>
      <c r="E381" s="11"/>
      <c r="G381" s="11"/>
      <c r="I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>
      <c r="A382" s="11"/>
      <c r="B382" s="11"/>
      <c r="D382" s="11"/>
      <c r="E382" s="11"/>
      <c r="G382" s="11"/>
      <c r="I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>
      <c r="A383" s="11"/>
      <c r="B383" s="11"/>
      <c r="D383" s="11"/>
      <c r="E383" s="11"/>
      <c r="G383" s="11"/>
      <c r="I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>
      <c r="A384" s="11"/>
      <c r="B384" s="11"/>
      <c r="D384" s="11"/>
      <c r="E384" s="11"/>
      <c r="G384" s="11"/>
      <c r="I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>
      <c r="A385" s="11"/>
      <c r="B385" s="11"/>
      <c r="D385" s="11"/>
      <c r="E385" s="11"/>
      <c r="G385" s="11"/>
      <c r="I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>
      <c r="A386" s="11"/>
      <c r="B386" s="11"/>
      <c r="D386" s="11"/>
      <c r="E386" s="11"/>
      <c r="G386" s="11"/>
      <c r="I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>
      <c r="A387" s="11"/>
      <c r="B387" s="11"/>
      <c r="D387" s="11"/>
      <c r="E387" s="11"/>
      <c r="G387" s="11"/>
      <c r="I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>
      <c r="A388" s="11"/>
      <c r="B388" s="11"/>
      <c r="D388" s="11"/>
      <c r="E388" s="11"/>
      <c r="G388" s="11"/>
      <c r="I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>
      <c r="A389" s="11"/>
      <c r="B389" s="11"/>
      <c r="D389" s="11"/>
      <c r="E389" s="11"/>
      <c r="G389" s="11"/>
      <c r="I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>
      <c r="A390" s="11"/>
      <c r="B390" s="11"/>
      <c r="D390" s="11"/>
      <c r="E390" s="11"/>
      <c r="G390" s="11"/>
      <c r="I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>
      <c r="A391" s="11"/>
      <c r="B391" s="11"/>
      <c r="D391" s="11"/>
      <c r="E391" s="11"/>
      <c r="G391" s="11"/>
      <c r="I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>
      <c r="A392" s="11"/>
      <c r="B392" s="11"/>
      <c r="D392" s="11"/>
      <c r="E392" s="11"/>
      <c r="G392" s="11"/>
      <c r="I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>
      <c r="A393" s="11"/>
      <c r="B393" s="11"/>
      <c r="D393" s="11"/>
      <c r="E393" s="11"/>
      <c r="G393" s="11"/>
      <c r="I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>
      <c r="A394" s="11"/>
      <c r="B394" s="11"/>
      <c r="D394" s="11"/>
      <c r="E394" s="11"/>
      <c r="G394" s="11"/>
      <c r="I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>
      <c r="A395" s="11"/>
      <c r="B395" s="11"/>
      <c r="D395" s="11"/>
      <c r="E395" s="11"/>
      <c r="G395" s="11"/>
      <c r="I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>
      <c r="A396" s="11"/>
      <c r="B396" s="11"/>
      <c r="D396" s="11"/>
      <c r="E396" s="11"/>
      <c r="G396" s="11"/>
      <c r="I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>
      <c r="A397" s="11"/>
      <c r="B397" s="11"/>
      <c r="D397" s="11"/>
      <c r="E397" s="11"/>
      <c r="G397" s="11"/>
      <c r="I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>
      <c r="A398" s="11"/>
      <c r="B398" s="11"/>
      <c r="D398" s="11"/>
      <c r="E398" s="11"/>
      <c r="G398" s="11"/>
      <c r="I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>
      <c r="A399" s="11"/>
      <c r="B399" s="11"/>
      <c r="D399" s="11"/>
      <c r="E399" s="11"/>
      <c r="G399" s="11"/>
      <c r="I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>
      <c r="A400" s="11"/>
      <c r="B400" s="11"/>
      <c r="D400" s="11"/>
      <c r="E400" s="11"/>
      <c r="G400" s="11"/>
      <c r="I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>
      <c r="A401" s="11"/>
      <c r="B401" s="11"/>
      <c r="D401" s="11"/>
      <c r="E401" s="11"/>
      <c r="G401" s="11"/>
      <c r="I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>
      <c r="A402" s="11"/>
      <c r="B402" s="11"/>
      <c r="D402" s="11"/>
      <c r="E402" s="11"/>
      <c r="G402" s="11"/>
      <c r="I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>
      <c r="A403" s="11"/>
      <c r="B403" s="11"/>
      <c r="D403" s="11"/>
      <c r="E403" s="11"/>
      <c r="G403" s="11"/>
      <c r="I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>
      <c r="A404" s="11"/>
      <c r="B404" s="11"/>
      <c r="D404" s="11"/>
      <c r="E404" s="11"/>
      <c r="G404" s="11"/>
      <c r="I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>
      <c r="A405" s="11"/>
      <c r="B405" s="11"/>
      <c r="D405" s="11"/>
      <c r="E405" s="11"/>
      <c r="G405" s="11"/>
      <c r="I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>
      <c r="A406" s="11"/>
      <c r="B406" s="11"/>
      <c r="D406" s="11"/>
      <c r="E406" s="11"/>
      <c r="G406" s="11"/>
      <c r="I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>
      <c r="A407" s="11"/>
      <c r="B407" s="11"/>
      <c r="D407" s="11"/>
      <c r="E407" s="11"/>
      <c r="G407" s="11"/>
      <c r="I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>
      <c r="A408" s="11"/>
      <c r="B408" s="11"/>
      <c r="D408" s="11"/>
      <c r="E408" s="11"/>
      <c r="G408" s="11"/>
      <c r="I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>
      <c r="A409" s="11"/>
      <c r="B409" s="11"/>
      <c r="D409" s="11"/>
      <c r="E409" s="11"/>
      <c r="G409" s="11"/>
      <c r="I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>
      <c r="A410" s="11"/>
      <c r="B410" s="11"/>
      <c r="D410" s="11"/>
      <c r="E410" s="11"/>
      <c r="G410" s="11"/>
      <c r="I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>
      <c r="A411" s="11"/>
      <c r="B411" s="11"/>
      <c r="D411" s="11"/>
      <c r="E411" s="11"/>
      <c r="G411" s="11"/>
      <c r="I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>
      <c r="A412" s="11"/>
      <c r="B412" s="11"/>
      <c r="D412" s="11"/>
      <c r="E412" s="11"/>
      <c r="G412" s="11"/>
      <c r="I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>
      <c r="A413" s="11"/>
      <c r="B413" s="11"/>
      <c r="D413" s="11"/>
      <c r="E413" s="11"/>
      <c r="G413" s="11"/>
      <c r="I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>
      <c r="A414" s="11"/>
      <c r="B414" s="11"/>
      <c r="D414" s="11"/>
      <c r="E414" s="11"/>
      <c r="G414" s="11"/>
      <c r="I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>
      <c r="A415" s="11"/>
      <c r="B415" s="11"/>
      <c r="D415" s="11"/>
      <c r="E415" s="11"/>
      <c r="G415" s="11"/>
      <c r="I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>
      <c r="A416" s="11"/>
      <c r="B416" s="11"/>
      <c r="D416" s="11"/>
      <c r="E416" s="11"/>
      <c r="G416" s="11"/>
      <c r="I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>
      <c r="A417" s="11"/>
      <c r="B417" s="11"/>
      <c r="D417" s="11"/>
      <c r="E417" s="11"/>
      <c r="G417" s="11"/>
      <c r="I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>
      <c r="A418" s="11"/>
      <c r="B418" s="11"/>
      <c r="D418" s="11"/>
      <c r="E418" s="11"/>
      <c r="G418" s="11"/>
      <c r="I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>
      <c r="A419" s="11"/>
      <c r="B419" s="11"/>
      <c r="D419" s="11"/>
      <c r="E419" s="11"/>
      <c r="G419" s="11"/>
      <c r="I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>
      <c r="A420" s="11"/>
      <c r="B420" s="11"/>
      <c r="D420" s="11"/>
      <c r="E420" s="11"/>
      <c r="G420" s="11"/>
      <c r="I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>
      <c r="A421" s="11"/>
      <c r="B421" s="11"/>
      <c r="D421" s="11"/>
      <c r="E421" s="11"/>
      <c r="G421" s="11"/>
      <c r="I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>
      <c r="A422" s="11"/>
      <c r="B422" s="11"/>
      <c r="D422" s="11"/>
      <c r="E422" s="11"/>
      <c r="G422" s="11"/>
      <c r="I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>
      <c r="A423" s="11"/>
      <c r="B423" s="11"/>
      <c r="D423" s="11"/>
      <c r="E423" s="11"/>
      <c r="G423" s="11"/>
      <c r="I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>
      <c r="A424" s="11"/>
      <c r="B424" s="11"/>
      <c r="D424" s="11"/>
      <c r="E424" s="11"/>
      <c r="G424" s="11"/>
      <c r="I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>
      <c r="A425" s="11"/>
      <c r="B425" s="11"/>
      <c r="D425" s="11"/>
      <c r="E425" s="11"/>
      <c r="G425" s="11"/>
      <c r="I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>
      <c r="A426" s="11"/>
      <c r="B426" s="11"/>
      <c r="D426" s="11"/>
      <c r="E426" s="11"/>
      <c r="G426" s="11"/>
      <c r="I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>
      <c r="A427" s="11"/>
      <c r="B427" s="11"/>
      <c r="D427" s="11"/>
      <c r="E427" s="11"/>
      <c r="G427" s="11"/>
      <c r="I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>
      <c r="A428" s="11"/>
      <c r="B428" s="11"/>
      <c r="D428" s="11"/>
      <c r="E428" s="11"/>
      <c r="G428" s="11"/>
      <c r="I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>
      <c r="A429" s="11"/>
      <c r="B429" s="11"/>
      <c r="D429" s="11"/>
      <c r="E429" s="11"/>
      <c r="G429" s="11"/>
      <c r="I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>
      <c r="A430" s="11"/>
      <c r="B430" s="11"/>
      <c r="D430" s="11"/>
      <c r="E430" s="11"/>
      <c r="G430" s="11"/>
      <c r="I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>
      <c r="A431" s="11"/>
      <c r="B431" s="11"/>
      <c r="D431" s="11"/>
      <c r="E431" s="11"/>
      <c r="G431" s="11"/>
      <c r="I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>
      <c r="A432" s="11"/>
      <c r="B432" s="11"/>
      <c r="D432" s="11"/>
      <c r="E432" s="11"/>
      <c r="G432" s="11"/>
      <c r="I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>
      <c r="A433" s="11"/>
      <c r="B433" s="11"/>
      <c r="D433" s="11"/>
      <c r="E433" s="11"/>
      <c r="G433" s="11"/>
      <c r="I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>
      <c r="A434" s="11"/>
      <c r="B434" s="11"/>
      <c r="D434" s="11"/>
      <c r="E434" s="11"/>
      <c r="G434" s="11"/>
      <c r="I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>
      <c r="A435" s="11"/>
      <c r="B435" s="11"/>
      <c r="D435" s="11"/>
      <c r="E435" s="11"/>
      <c r="G435" s="11"/>
      <c r="I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>
      <c r="A436" s="11"/>
      <c r="B436" s="11"/>
      <c r="D436" s="11"/>
      <c r="E436" s="11"/>
      <c r="G436" s="11"/>
      <c r="I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>
      <c r="A437" s="11"/>
      <c r="B437" s="11"/>
      <c r="D437" s="11"/>
      <c r="E437" s="11"/>
      <c r="G437" s="11"/>
      <c r="I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>
      <c r="A438" s="11"/>
      <c r="B438" s="11"/>
      <c r="D438" s="11"/>
      <c r="E438" s="11"/>
      <c r="G438" s="11"/>
      <c r="I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>
      <c r="A439" s="11"/>
      <c r="B439" s="11"/>
      <c r="D439" s="11"/>
      <c r="E439" s="11"/>
      <c r="G439" s="11"/>
      <c r="I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>
      <c r="A440" s="11"/>
      <c r="B440" s="11"/>
      <c r="D440" s="11"/>
      <c r="E440" s="11"/>
      <c r="G440" s="11"/>
      <c r="I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>
      <c r="A441" s="11"/>
      <c r="B441" s="11"/>
      <c r="D441" s="11"/>
      <c r="E441" s="11"/>
      <c r="G441" s="11"/>
      <c r="I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>
      <c r="A442" s="11"/>
      <c r="B442" s="11"/>
      <c r="D442" s="11"/>
      <c r="E442" s="11"/>
      <c r="G442" s="11"/>
      <c r="I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>
      <c r="A443" s="11"/>
      <c r="B443" s="11"/>
      <c r="D443" s="11"/>
      <c r="E443" s="11"/>
      <c r="G443" s="11"/>
      <c r="I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>
      <c r="A444" s="11"/>
      <c r="B444" s="11"/>
      <c r="D444" s="11"/>
      <c r="E444" s="11"/>
      <c r="G444" s="11"/>
      <c r="I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>
      <c r="A445" s="11"/>
      <c r="B445" s="11"/>
      <c r="D445" s="11"/>
      <c r="E445" s="11"/>
      <c r="G445" s="11"/>
      <c r="I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>
      <c r="A446" s="11"/>
      <c r="B446" s="11"/>
      <c r="D446" s="11"/>
      <c r="E446" s="11"/>
      <c r="G446" s="11"/>
      <c r="I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>
      <c r="A447" s="11"/>
      <c r="B447" s="11"/>
      <c r="D447" s="11"/>
      <c r="E447" s="11"/>
      <c r="G447" s="11"/>
      <c r="I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>
      <c r="A448" s="11"/>
      <c r="B448" s="11"/>
      <c r="D448" s="11"/>
      <c r="E448" s="11"/>
      <c r="G448" s="11"/>
      <c r="I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>
      <c r="A449" s="11"/>
      <c r="B449" s="11"/>
      <c r="D449" s="11"/>
      <c r="E449" s="11"/>
      <c r="G449" s="11"/>
      <c r="I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>
      <c r="A450" s="11"/>
      <c r="B450" s="11"/>
      <c r="D450" s="11"/>
      <c r="E450" s="11"/>
      <c r="G450" s="11"/>
      <c r="I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>
      <c r="A451" s="11"/>
      <c r="B451" s="11"/>
      <c r="D451" s="11"/>
      <c r="E451" s="11"/>
      <c r="G451" s="11"/>
      <c r="I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>
      <c r="A452" s="11"/>
      <c r="B452" s="11"/>
      <c r="D452" s="11"/>
      <c r="E452" s="11"/>
      <c r="G452" s="11"/>
      <c r="I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>
      <c r="A453" s="11"/>
      <c r="B453" s="11"/>
      <c r="D453" s="11"/>
      <c r="E453" s="11"/>
      <c r="G453" s="11"/>
      <c r="I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>
      <c r="A454" s="11"/>
      <c r="B454" s="11"/>
      <c r="D454" s="11"/>
      <c r="E454" s="11"/>
      <c r="G454" s="11"/>
      <c r="I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>
      <c r="A455" s="11"/>
      <c r="B455" s="11"/>
      <c r="D455" s="11"/>
      <c r="E455" s="11"/>
      <c r="G455" s="11"/>
      <c r="I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>
      <c r="A456" s="11"/>
      <c r="B456" s="11"/>
      <c r="D456" s="11"/>
      <c r="E456" s="11"/>
      <c r="G456" s="11"/>
      <c r="I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>
      <c r="A457" s="11"/>
      <c r="B457" s="11"/>
      <c r="D457" s="11"/>
      <c r="E457" s="11"/>
      <c r="G457" s="11"/>
      <c r="I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>
      <c r="A458" s="11"/>
      <c r="B458" s="11"/>
      <c r="D458" s="11"/>
      <c r="E458" s="11"/>
      <c r="G458" s="11"/>
      <c r="I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>
      <c r="A459" s="11"/>
      <c r="B459" s="11"/>
      <c r="D459" s="11"/>
      <c r="E459" s="11"/>
      <c r="G459" s="11"/>
      <c r="I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>
      <c r="A460" s="11"/>
      <c r="B460" s="11"/>
      <c r="D460" s="11"/>
      <c r="E460" s="11"/>
      <c r="G460" s="11"/>
      <c r="I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>
      <c r="A461" s="11"/>
      <c r="B461" s="11"/>
      <c r="D461" s="11"/>
      <c r="E461" s="11"/>
      <c r="G461" s="11"/>
      <c r="I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>
      <c r="A462" s="11"/>
      <c r="B462" s="11"/>
      <c r="D462" s="11"/>
      <c r="E462" s="11"/>
      <c r="G462" s="11"/>
      <c r="I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>
      <c r="A463" s="11"/>
      <c r="B463" s="11"/>
      <c r="D463" s="11"/>
      <c r="E463" s="11"/>
      <c r="G463" s="11"/>
      <c r="I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>
      <c r="A464" s="11"/>
      <c r="B464" s="11"/>
      <c r="D464" s="11"/>
      <c r="E464" s="11"/>
      <c r="G464" s="11"/>
      <c r="I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>
      <c r="A465" s="11"/>
      <c r="B465" s="11"/>
      <c r="D465" s="11"/>
      <c r="E465" s="11"/>
      <c r="G465" s="11"/>
      <c r="I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>
      <c r="A466" s="11"/>
      <c r="B466" s="11"/>
      <c r="D466" s="11"/>
      <c r="E466" s="11"/>
      <c r="G466" s="11"/>
      <c r="I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>
      <c r="A467" s="11"/>
      <c r="B467" s="11"/>
      <c r="D467" s="11"/>
      <c r="E467" s="11"/>
      <c r="G467" s="11"/>
      <c r="I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>
      <c r="A468" s="11"/>
      <c r="B468" s="11"/>
      <c r="D468" s="11"/>
      <c r="E468" s="11"/>
      <c r="G468" s="11"/>
      <c r="I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>
      <c r="A469" s="11"/>
      <c r="B469" s="11"/>
      <c r="D469" s="11"/>
      <c r="E469" s="11"/>
      <c r="G469" s="11"/>
      <c r="I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>
      <c r="A470" s="11"/>
      <c r="B470" s="11"/>
      <c r="D470" s="11"/>
      <c r="E470" s="11"/>
      <c r="G470" s="11"/>
      <c r="I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>
      <c r="A471" s="11"/>
      <c r="B471" s="11"/>
      <c r="D471" s="11"/>
      <c r="E471" s="11"/>
      <c r="G471" s="11"/>
      <c r="I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>
      <c r="A472" s="11"/>
      <c r="B472" s="11"/>
      <c r="D472" s="11"/>
      <c r="E472" s="11"/>
      <c r="G472" s="11"/>
      <c r="I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>
      <c r="A473" s="11"/>
      <c r="B473" s="11"/>
      <c r="D473" s="11"/>
      <c r="E473" s="11"/>
      <c r="G473" s="11"/>
      <c r="I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>
      <c r="A474" s="11"/>
      <c r="B474" s="11"/>
      <c r="D474" s="11"/>
      <c r="E474" s="11"/>
      <c r="G474" s="11"/>
      <c r="I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>
      <c r="A475" s="11"/>
      <c r="B475" s="11"/>
      <c r="D475" s="11"/>
      <c r="E475" s="11"/>
      <c r="G475" s="11"/>
      <c r="I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>
      <c r="A476" s="11"/>
      <c r="B476" s="11"/>
      <c r="D476" s="11"/>
      <c r="E476" s="11"/>
      <c r="G476" s="11"/>
      <c r="I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>
      <c r="A477" s="11"/>
      <c r="B477" s="11"/>
      <c r="D477" s="11"/>
      <c r="E477" s="11"/>
      <c r="G477" s="11"/>
      <c r="I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>
      <c r="A478" s="11"/>
      <c r="B478" s="11"/>
      <c r="D478" s="11"/>
      <c r="E478" s="11"/>
      <c r="G478" s="11"/>
      <c r="I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>
      <c r="A479" s="11"/>
      <c r="B479" s="11"/>
      <c r="D479" s="11"/>
      <c r="E479" s="11"/>
      <c r="G479" s="11"/>
      <c r="I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>
      <c r="A480" s="11"/>
      <c r="B480" s="11"/>
      <c r="D480" s="11"/>
      <c r="E480" s="11"/>
      <c r="G480" s="11"/>
      <c r="I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>
      <c r="A481" s="11"/>
      <c r="B481" s="11"/>
      <c r="D481" s="11"/>
      <c r="E481" s="11"/>
      <c r="G481" s="11"/>
      <c r="I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>
      <c r="A482" s="11"/>
      <c r="B482" s="11"/>
      <c r="D482" s="11"/>
      <c r="E482" s="11"/>
      <c r="G482" s="11"/>
      <c r="I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>
      <c r="A483" s="11"/>
      <c r="B483" s="11"/>
      <c r="D483" s="11"/>
      <c r="E483" s="11"/>
      <c r="G483" s="11"/>
      <c r="I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>
      <c r="A484" s="11"/>
      <c r="B484" s="11"/>
      <c r="D484" s="11"/>
      <c r="E484" s="11"/>
      <c r="G484" s="11"/>
      <c r="I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>
      <c r="A485" s="11"/>
      <c r="B485" s="11"/>
      <c r="D485" s="11"/>
      <c r="E485" s="11"/>
      <c r="G485" s="11"/>
      <c r="I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>
      <c r="A486" s="11"/>
      <c r="B486" s="11"/>
      <c r="D486" s="11"/>
      <c r="E486" s="11"/>
      <c r="G486" s="11"/>
      <c r="I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>
      <c r="A487" s="11"/>
      <c r="B487" s="11"/>
      <c r="D487" s="11"/>
      <c r="E487" s="11"/>
      <c r="G487" s="11"/>
      <c r="I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>
      <c r="A488" s="11"/>
      <c r="B488" s="11"/>
      <c r="D488" s="11"/>
      <c r="E488" s="11"/>
      <c r="G488" s="11"/>
      <c r="I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>
      <c r="A489" s="11"/>
      <c r="B489" s="11"/>
      <c r="D489" s="11"/>
      <c r="E489" s="11"/>
      <c r="G489" s="11"/>
      <c r="I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>
      <c r="A490" s="11"/>
      <c r="B490" s="11"/>
      <c r="D490" s="11"/>
      <c r="E490" s="11"/>
      <c r="G490" s="11"/>
      <c r="I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>
      <c r="A491" s="11"/>
      <c r="B491" s="11"/>
      <c r="D491" s="11"/>
      <c r="E491" s="11"/>
      <c r="G491" s="11"/>
      <c r="I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>
      <c r="A492" s="11"/>
      <c r="B492" s="11"/>
      <c r="D492" s="11"/>
      <c r="E492" s="11"/>
      <c r="G492" s="11"/>
      <c r="I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>
      <c r="A493" s="11"/>
      <c r="B493" s="11"/>
      <c r="D493" s="11"/>
      <c r="E493" s="11"/>
      <c r="G493" s="11"/>
      <c r="I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>
      <c r="A494" s="11"/>
      <c r="B494" s="11"/>
      <c r="D494" s="11"/>
      <c r="E494" s="11"/>
      <c r="G494" s="11"/>
      <c r="I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>
      <c r="A495" s="11"/>
      <c r="B495" s="11"/>
      <c r="D495" s="11"/>
      <c r="E495" s="11"/>
      <c r="G495" s="11"/>
      <c r="I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>
      <c r="A496" s="11"/>
      <c r="B496" s="11"/>
      <c r="D496" s="11"/>
      <c r="E496" s="11"/>
      <c r="G496" s="11"/>
      <c r="I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>
      <c r="A497" s="11"/>
      <c r="B497" s="11"/>
      <c r="D497" s="11"/>
      <c r="E497" s="11"/>
      <c r="G497" s="11"/>
      <c r="I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>
      <c r="A498" s="11"/>
      <c r="B498" s="11"/>
      <c r="D498" s="11"/>
      <c r="E498" s="11"/>
      <c r="G498" s="11"/>
      <c r="I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>
      <c r="A499" s="11"/>
      <c r="B499" s="11"/>
      <c r="D499" s="11"/>
      <c r="E499" s="11"/>
      <c r="G499" s="11"/>
      <c r="I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>
      <c r="A500" s="11"/>
      <c r="B500" s="11"/>
      <c r="D500" s="11"/>
      <c r="E500" s="11"/>
      <c r="G500" s="11"/>
      <c r="I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>
      <c r="A501" s="11"/>
      <c r="B501" s="11"/>
      <c r="D501" s="11"/>
      <c r="E501" s="11"/>
      <c r="G501" s="11"/>
      <c r="I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>
      <c r="A502" s="11"/>
      <c r="B502" s="11"/>
      <c r="D502" s="11"/>
      <c r="E502" s="11"/>
      <c r="G502" s="11"/>
      <c r="I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>
      <c r="A503" s="11"/>
      <c r="B503" s="11"/>
      <c r="D503" s="11"/>
      <c r="E503" s="11"/>
      <c r="G503" s="11"/>
      <c r="I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>
      <c r="A504" s="11"/>
      <c r="B504" s="11"/>
      <c r="D504" s="11"/>
      <c r="E504" s="11"/>
      <c r="G504" s="11"/>
      <c r="I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>
      <c r="A505" s="11"/>
      <c r="B505" s="11"/>
      <c r="D505" s="11"/>
      <c r="E505" s="11"/>
      <c r="G505" s="11"/>
      <c r="I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>
      <c r="A506" s="11"/>
      <c r="B506" s="11"/>
      <c r="D506" s="11"/>
      <c r="E506" s="11"/>
      <c r="G506" s="11"/>
      <c r="I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>
      <c r="A507" s="11"/>
      <c r="B507" s="11"/>
      <c r="D507" s="11"/>
      <c r="E507" s="11"/>
      <c r="G507" s="11"/>
      <c r="I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>
      <c r="A508" s="11"/>
      <c r="B508" s="11"/>
      <c r="D508" s="11"/>
      <c r="E508" s="11"/>
      <c r="G508" s="11"/>
      <c r="I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>
      <c r="A509" s="11"/>
      <c r="B509" s="11"/>
      <c r="D509" s="11"/>
      <c r="E509" s="11"/>
      <c r="G509" s="11"/>
      <c r="I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>
      <c r="A510" s="11"/>
      <c r="B510" s="11"/>
      <c r="D510" s="11"/>
      <c r="E510" s="11"/>
      <c r="G510" s="11"/>
      <c r="I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>
      <c r="A511" s="11"/>
      <c r="B511" s="11"/>
      <c r="D511" s="11"/>
      <c r="E511" s="11"/>
      <c r="G511" s="11"/>
      <c r="I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>
      <c r="A512" s="11"/>
      <c r="B512" s="11"/>
      <c r="D512" s="11"/>
      <c r="E512" s="11"/>
      <c r="G512" s="11"/>
      <c r="I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>
      <c r="A513" s="11"/>
      <c r="B513" s="11"/>
      <c r="D513" s="11"/>
      <c r="E513" s="11"/>
      <c r="G513" s="11"/>
      <c r="I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>
      <c r="A514" s="11"/>
      <c r="B514" s="11"/>
      <c r="D514" s="11"/>
      <c r="E514" s="11"/>
      <c r="G514" s="11"/>
      <c r="I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>
      <c r="A515" s="11"/>
      <c r="B515" s="11"/>
      <c r="D515" s="11"/>
      <c r="E515" s="11"/>
      <c r="G515" s="11"/>
      <c r="I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>
      <c r="A516" s="11"/>
      <c r="B516" s="11"/>
      <c r="D516" s="11"/>
      <c r="E516" s="11"/>
      <c r="G516" s="11"/>
      <c r="I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>
      <c r="A517" s="11"/>
      <c r="B517" s="11"/>
      <c r="D517" s="11"/>
      <c r="E517" s="11"/>
      <c r="G517" s="11"/>
      <c r="I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>
      <c r="A518" s="11"/>
      <c r="B518" s="11"/>
      <c r="D518" s="11"/>
      <c r="E518" s="11"/>
      <c r="G518" s="11"/>
      <c r="I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>
      <c r="A519" s="11"/>
      <c r="B519" s="11"/>
      <c r="D519" s="11"/>
      <c r="E519" s="11"/>
      <c r="G519" s="11"/>
      <c r="I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>
      <c r="A520" s="11"/>
      <c r="B520" s="11"/>
      <c r="D520" s="11"/>
      <c r="E520" s="11"/>
      <c r="G520" s="11"/>
      <c r="I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>
      <c r="A521" s="11"/>
      <c r="B521" s="11"/>
      <c r="D521" s="11"/>
      <c r="E521" s="11"/>
      <c r="G521" s="11"/>
      <c r="I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>
      <c r="A522" s="11"/>
      <c r="B522" s="11"/>
      <c r="D522" s="11"/>
      <c r="E522" s="11"/>
      <c r="G522" s="11"/>
      <c r="I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>
      <c r="A523" s="11"/>
      <c r="B523" s="11"/>
      <c r="D523" s="11"/>
      <c r="E523" s="11"/>
      <c r="G523" s="11"/>
      <c r="I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>
      <c r="A524" s="11"/>
      <c r="B524" s="11"/>
      <c r="D524" s="11"/>
      <c r="E524" s="11"/>
      <c r="G524" s="11"/>
      <c r="I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>
      <c r="A525" s="11"/>
      <c r="B525" s="11"/>
      <c r="D525" s="11"/>
      <c r="E525" s="11"/>
      <c r="G525" s="11"/>
      <c r="I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>
      <c r="A526" s="11"/>
      <c r="B526" s="11"/>
      <c r="D526" s="11"/>
      <c r="E526" s="11"/>
      <c r="G526" s="11"/>
      <c r="I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>
      <c r="A527" s="11"/>
      <c r="B527" s="11"/>
      <c r="D527" s="11"/>
      <c r="E527" s="11"/>
      <c r="G527" s="11"/>
      <c r="I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>
      <c r="A528" s="11"/>
      <c r="B528" s="11"/>
      <c r="D528" s="11"/>
      <c r="E528" s="11"/>
      <c r="G528" s="11"/>
      <c r="I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>
      <c r="A529" s="11"/>
      <c r="B529" s="11"/>
      <c r="D529" s="11"/>
      <c r="E529" s="11"/>
      <c r="G529" s="11"/>
      <c r="I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>
      <c r="A530" s="11"/>
      <c r="B530" s="11"/>
      <c r="D530" s="11"/>
      <c r="E530" s="11"/>
      <c r="G530" s="11"/>
      <c r="I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>
      <c r="A531" s="11"/>
      <c r="B531" s="11"/>
      <c r="D531" s="11"/>
      <c r="E531" s="11"/>
      <c r="G531" s="11"/>
      <c r="I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>
      <c r="A532" s="11"/>
      <c r="B532" s="11"/>
      <c r="D532" s="11"/>
      <c r="E532" s="11"/>
      <c r="G532" s="11"/>
      <c r="I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>
      <c r="A533" s="11"/>
      <c r="B533" s="11"/>
      <c r="D533" s="11"/>
      <c r="E533" s="11"/>
      <c r="G533" s="11"/>
      <c r="I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>
      <c r="A534" s="11"/>
      <c r="B534" s="11"/>
      <c r="D534" s="11"/>
      <c r="E534" s="11"/>
      <c r="G534" s="11"/>
      <c r="I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>
      <c r="A535" s="11"/>
      <c r="B535" s="11"/>
      <c r="D535" s="11"/>
      <c r="E535" s="11"/>
      <c r="G535" s="11"/>
      <c r="I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>
      <c r="A536" s="11"/>
      <c r="B536" s="11"/>
      <c r="D536" s="11"/>
      <c r="E536" s="11"/>
      <c r="G536" s="11"/>
      <c r="I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>
      <c r="A537" s="11"/>
      <c r="B537" s="11"/>
      <c r="D537" s="11"/>
      <c r="E537" s="11"/>
      <c r="G537" s="11"/>
      <c r="I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>
      <c r="A538" s="11"/>
      <c r="B538" s="11"/>
      <c r="D538" s="11"/>
      <c r="E538" s="11"/>
      <c r="G538" s="11"/>
      <c r="I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>
      <c r="A539" s="11"/>
      <c r="B539" s="11"/>
      <c r="D539" s="11"/>
      <c r="E539" s="11"/>
      <c r="G539" s="11"/>
      <c r="I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>
      <c r="A540" s="11"/>
      <c r="B540" s="11"/>
      <c r="D540" s="11"/>
      <c r="E540" s="11"/>
      <c r="G540" s="11"/>
      <c r="I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>
      <c r="A541" s="11"/>
      <c r="B541" s="11"/>
      <c r="D541" s="11"/>
      <c r="E541" s="11"/>
      <c r="G541" s="11"/>
      <c r="I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>
      <c r="A542" s="11"/>
      <c r="B542" s="11"/>
      <c r="D542" s="11"/>
      <c r="E542" s="11"/>
      <c r="G542" s="11"/>
      <c r="I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>
      <c r="A543" s="11"/>
      <c r="B543" s="11"/>
      <c r="D543" s="11"/>
      <c r="E543" s="11"/>
      <c r="G543" s="11"/>
      <c r="I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>
      <c r="A544" s="11"/>
      <c r="B544" s="11"/>
      <c r="D544" s="11"/>
      <c r="E544" s="11"/>
      <c r="G544" s="11"/>
      <c r="I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>
      <c r="A545" s="11"/>
      <c r="B545" s="11"/>
      <c r="D545" s="11"/>
      <c r="E545" s="11"/>
      <c r="G545" s="11"/>
      <c r="I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>
      <c r="A546" s="11"/>
      <c r="B546" s="11"/>
      <c r="D546" s="11"/>
      <c r="E546" s="11"/>
      <c r="G546" s="11"/>
      <c r="I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>
      <c r="A547" s="11"/>
      <c r="B547" s="11"/>
      <c r="D547" s="11"/>
      <c r="E547" s="11"/>
      <c r="G547" s="11"/>
      <c r="I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>
      <c r="A548" s="11"/>
      <c r="B548" s="11"/>
      <c r="D548" s="11"/>
      <c r="E548" s="11"/>
      <c r="G548" s="11"/>
      <c r="I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>
      <c r="A549" s="11"/>
      <c r="B549" s="11"/>
      <c r="D549" s="11"/>
      <c r="E549" s="11"/>
      <c r="G549" s="11"/>
      <c r="I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>
      <c r="A550" s="11"/>
      <c r="B550" s="11"/>
      <c r="D550" s="11"/>
      <c r="E550" s="11"/>
      <c r="G550" s="11"/>
      <c r="I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>
      <c r="A551" s="11"/>
      <c r="B551" s="11"/>
      <c r="D551" s="11"/>
      <c r="E551" s="11"/>
      <c r="G551" s="11"/>
      <c r="I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>
      <c r="A552" s="11"/>
      <c r="B552" s="11"/>
      <c r="D552" s="11"/>
      <c r="E552" s="11"/>
      <c r="G552" s="11"/>
      <c r="I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>
      <c r="A553" s="11"/>
      <c r="B553" s="11"/>
      <c r="D553" s="11"/>
      <c r="E553" s="11"/>
      <c r="G553" s="11"/>
      <c r="I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>
      <c r="A554" s="11"/>
      <c r="B554" s="11"/>
      <c r="D554" s="11"/>
      <c r="E554" s="11"/>
      <c r="G554" s="11"/>
      <c r="I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>
      <c r="A555" s="11"/>
      <c r="B555" s="11"/>
      <c r="D555" s="11"/>
      <c r="E555" s="11"/>
      <c r="G555" s="11"/>
      <c r="I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>
      <c r="A556" s="11"/>
      <c r="B556" s="11"/>
      <c r="D556" s="11"/>
      <c r="E556" s="11"/>
      <c r="G556" s="11"/>
      <c r="I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>
      <c r="A557" s="11"/>
      <c r="B557" s="11"/>
      <c r="D557" s="11"/>
      <c r="E557" s="11"/>
      <c r="G557" s="11"/>
      <c r="I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>
      <c r="A558" s="11"/>
      <c r="B558" s="11"/>
      <c r="D558" s="11"/>
      <c r="E558" s="11"/>
      <c r="G558" s="11"/>
      <c r="I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>
      <c r="A559" s="11"/>
      <c r="B559" s="11"/>
      <c r="D559" s="11"/>
      <c r="E559" s="11"/>
      <c r="G559" s="11"/>
      <c r="I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>
      <c r="A560" s="11"/>
      <c r="B560" s="11"/>
      <c r="D560" s="11"/>
      <c r="E560" s="11"/>
      <c r="G560" s="11"/>
      <c r="I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>
      <c r="A561" s="11"/>
      <c r="B561" s="11"/>
      <c r="D561" s="11"/>
      <c r="E561" s="11"/>
      <c r="G561" s="11"/>
      <c r="I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>
      <c r="A562" s="11"/>
      <c r="B562" s="11"/>
      <c r="D562" s="11"/>
      <c r="E562" s="11"/>
      <c r="G562" s="11"/>
      <c r="I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>
      <c r="A563" s="11"/>
      <c r="B563" s="11"/>
      <c r="D563" s="11"/>
      <c r="E563" s="11"/>
      <c r="G563" s="11"/>
      <c r="I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>
      <c r="A564" s="11"/>
      <c r="B564" s="11"/>
      <c r="D564" s="11"/>
      <c r="E564" s="11"/>
      <c r="G564" s="11"/>
      <c r="I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>
      <c r="A565" s="11"/>
      <c r="B565" s="11"/>
      <c r="D565" s="11"/>
      <c r="E565" s="11"/>
      <c r="G565" s="11"/>
      <c r="I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>
      <c r="A566" s="11"/>
      <c r="B566" s="11"/>
      <c r="D566" s="11"/>
      <c r="E566" s="11"/>
      <c r="G566" s="11"/>
      <c r="I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>
      <c r="A567" s="11"/>
      <c r="B567" s="11"/>
      <c r="D567" s="11"/>
      <c r="E567" s="11"/>
      <c r="G567" s="11"/>
      <c r="I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>
      <c r="A568" s="11"/>
      <c r="B568" s="11"/>
      <c r="D568" s="11"/>
      <c r="E568" s="11"/>
      <c r="G568" s="11"/>
      <c r="I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>
      <c r="A569" s="11"/>
      <c r="B569" s="11"/>
      <c r="D569" s="11"/>
      <c r="E569" s="11"/>
      <c r="G569" s="11"/>
      <c r="I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>
      <c r="A570" s="11"/>
      <c r="B570" s="11"/>
      <c r="D570" s="11"/>
      <c r="E570" s="11"/>
      <c r="G570" s="11"/>
      <c r="I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>
      <c r="A571" s="11"/>
      <c r="B571" s="11"/>
      <c r="D571" s="11"/>
      <c r="E571" s="11"/>
      <c r="G571" s="11"/>
      <c r="I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>
      <c r="A572" s="11"/>
      <c r="B572" s="11"/>
      <c r="D572" s="11"/>
      <c r="E572" s="11"/>
      <c r="G572" s="11"/>
      <c r="I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>
      <c r="A573" s="11"/>
      <c r="B573" s="11"/>
      <c r="D573" s="11"/>
      <c r="E573" s="11"/>
      <c r="G573" s="11"/>
      <c r="I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>
      <c r="A574" s="11"/>
      <c r="B574" s="11"/>
      <c r="D574" s="11"/>
      <c r="E574" s="11"/>
      <c r="G574" s="11"/>
      <c r="I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>
      <c r="A575" s="11"/>
      <c r="B575" s="11"/>
      <c r="D575" s="11"/>
      <c r="E575" s="11"/>
      <c r="G575" s="11"/>
      <c r="I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>
      <c r="A576" s="11"/>
      <c r="B576" s="11"/>
      <c r="D576" s="11"/>
      <c r="E576" s="11"/>
      <c r="G576" s="11"/>
      <c r="I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>
      <c r="A577" s="11"/>
      <c r="B577" s="11"/>
      <c r="D577" s="11"/>
      <c r="E577" s="11"/>
      <c r="G577" s="11"/>
      <c r="I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>
      <c r="A578" s="11"/>
      <c r="B578" s="11"/>
      <c r="D578" s="11"/>
      <c r="E578" s="11"/>
      <c r="G578" s="11"/>
      <c r="I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>
      <c r="A579" s="11"/>
      <c r="B579" s="11"/>
      <c r="D579" s="11"/>
      <c r="E579" s="11"/>
      <c r="G579" s="11"/>
      <c r="I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>
      <c r="A580" s="11"/>
      <c r="B580" s="11"/>
      <c r="D580" s="11"/>
      <c r="E580" s="11"/>
      <c r="G580" s="11"/>
      <c r="I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>
      <c r="A581" s="11"/>
      <c r="B581" s="11"/>
      <c r="D581" s="11"/>
      <c r="E581" s="11"/>
      <c r="G581" s="11"/>
      <c r="I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>
      <c r="A582" s="11"/>
      <c r="B582" s="11"/>
      <c r="D582" s="11"/>
      <c r="E582" s="11"/>
      <c r="G582" s="11"/>
      <c r="I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>
      <c r="A583" s="11"/>
      <c r="B583" s="11"/>
      <c r="D583" s="11"/>
      <c r="E583" s="11"/>
      <c r="G583" s="11"/>
      <c r="I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>
      <c r="A584" s="11"/>
      <c r="B584" s="11"/>
      <c r="D584" s="11"/>
      <c r="E584" s="11"/>
      <c r="G584" s="11"/>
      <c r="I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>
      <c r="A585" s="11"/>
      <c r="B585" s="11"/>
      <c r="D585" s="11"/>
      <c r="E585" s="11"/>
      <c r="G585" s="11"/>
      <c r="I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>
      <c r="A586" s="11"/>
      <c r="B586" s="11"/>
      <c r="D586" s="11"/>
      <c r="E586" s="11"/>
      <c r="G586" s="11"/>
      <c r="I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>
      <c r="A587" s="11"/>
      <c r="B587" s="11"/>
      <c r="D587" s="11"/>
      <c r="E587" s="11"/>
      <c r="G587" s="11"/>
      <c r="I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>
      <c r="A588" s="11"/>
      <c r="B588" s="11"/>
      <c r="D588" s="11"/>
      <c r="E588" s="11"/>
      <c r="G588" s="11"/>
      <c r="I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>
      <c r="A589" s="11"/>
      <c r="B589" s="11"/>
      <c r="D589" s="11"/>
      <c r="E589" s="11"/>
      <c r="G589" s="11"/>
      <c r="I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>
      <c r="A590" s="11"/>
      <c r="B590" s="11"/>
      <c r="D590" s="11"/>
      <c r="E590" s="11"/>
      <c r="G590" s="11"/>
      <c r="I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>
      <c r="A591" s="11"/>
      <c r="B591" s="11"/>
      <c r="D591" s="11"/>
      <c r="E591" s="11"/>
      <c r="G591" s="11"/>
      <c r="I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>
      <c r="A592" s="11"/>
      <c r="B592" s="11"/>
      <c r="D592" s="11"/>
      <c r="E592" s="11"/>
      <c r="G592" s="11"/>
      <c r="I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>
      <c r="A593" s="11"/>
      <c r="B593" s="11"/>
      <c r="D593" s="11"/>
      <c r="E593" s="11"/>
      <c r="G593" s="11"/>
      <c r="I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>
      <c r="A594" s="11"/>
      <c r="B594" s="11"/>
      <c r="D594" s="11"/>
      <c r="E594" s="11"/>
      <c r="G594" s="11"/>
      <c r="I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>
      <c r="A595" s="11"/>
      <c r="B595" s="11"/>
      <c r="D595" s="11"/>
      <c r="E595" s="11"/>
      <c r="G595" s="11"/>
      <c r="I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>
      <c r="A596" s="11"/>
      <c r="B596" s="11"/>
      <c r="D596" s="11"/>
      <c r="E596" s="11"/>
      <c r="G596" s="11"/>
      <c r="I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>
      <c r="A597" s="11"/>
      <c r="B597" s="11"/>
      <c r="D597" s="11"/>
      <c r="E597" s="11"/>
      <c r="G597" s="11"/>
      <c r="I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>
      <c r="A598" s="11"/>
      <c r="B598" s="11"/>
      <c r="D598" s="11"/>
      <c r="E598" s="11"/>
      <c r="G598" s="11"/>
      <c r="I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>
      <c r="A599" s="11"/>
      <c r="B599" s="11"/>
      <c r="D599" s="11"/>
      <c r="E599" s="11"/>
      <c r="G599" s="11"/>
      <c r="I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>
      <c r="A600" s="11"/>
      <c r="B600" s="11"/>
      <c r="D600" s="11"/>
      <c r="E600" s="11"/>
      <c r="G600" s="11"/>
      <c r="I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>
      <c r="A601" s="11"/>
      <c r="B601" s="11"/>
      <c r="D601" s="11"/>
      <c r="E601" s="11"/>
      <c r="G601" s="11"/>
      <c r="I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>
      <c r="A602" s="11"/>
      <c r="B602" s="11"/>
      <c r="D602" s="11"/>
      <c r="E602" s="11"/>
      <c r="G602" s="11"/>
      <c r="I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>
      <c r="A603" s="11"/>
      <c r="B603" s="11"/>
      <c r="D603" s="11"/>
      <c r="E603" s="11"/>
      <c r="G603" s="11"/>
      <c r="I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>
      <c r="A604" s="11"/>
      <c r="B604" s="11"/>
      <c r="D604" s="11"/>
      <c r="E604" s="11"/>
      <c r="G604" s="11"/>
      <c r="I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>
      <c r="A605" s="11"/>
      <c r="B605" s="11"/>
      <c r="D605" s="11"/>
      <c r="E605" s="11"/>
      <c r="G605" s="11"/>
      <c r="I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>
      <c r="A606" s="11"/>
      <c r="B606" s="11"/>
      <c r="D606" s="11"/>
      <c r="E606" s="11"/>
      <c r="G606" s="11"/>
      <c r="I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>
      <c r="A607" s="11"/>
      <c r="B607" s="11"/>
      <c r="D607" s="11"/>
      <c r="E607" s="11"/>
      <c r="G607" s="11"/>
      <c r="I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>
      <c r="A608" s="11"/>
      <c r="B608" s="11"/>
      <c r="D608" s="11"/>
      <c r="E608" s="11"/>
      <c r="G608" s="11"/>
      <c r="I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>
      <c r="A609" s="11"/>
      <c r="B609" s="11"/>
      <c r="D609" s="11"/>
      <c r="E609" s="11"/>
      <c r="G609" s="11"/>
      <c r="I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>
      <c r="A610" s="11"/>
      <c r="B610" s="11"/>
      <c r="D610" s="11"/>
      <c r="E610" s="11"/>
      <c r="G610" s="11"/>
      <c r="I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>
      <c r="A611" s="11"/>
      <c r="B611" s="11"/>
      <c r="D611" s="11"/>
      <c r="E611" s="11"/>
      <c r="G611" s="11"/>
      <c r="I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>
      <c r="A612" s="11"/>
      <c r="B612" s="11"/>
      <c r="D612" s="11"/>
      <c r="E612" s="11"/>
      <c r="G612" s="11"/>
      <c r="I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>
      <c r="A613" s="11"/>
      <c r="B613" s="11"/>
      <c r="D613" s="11"/>
      <c r="E613" s="11"/>
      <c r="G613" s="11"/>
      <c r="I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>
      <c r="A614" s="11"/>
      <c r="B614" s="11"/>
      <c r="D614" s="11"/>
      <c r="E614" s="11"/>
      <c r="G614" s="11"/>
      <c r="I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>
      <c r="A615" s="11"/>
      <c r="B615" s="11"/>
      <c r="D615" s="11"/>
      <c r="E615" s="11"/>
      <c r="G615" s="11"/>
      <c r="I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>
      <c r="A616" s="11"/>
      <c r="B616" s="11"/>
      <c r="D616" s="11"/>
      <c r="E616" s="11"/>
      <c r="G616" s="11"/>
      <c r="I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>
      <c r="A617" s="11"/>
      <c r="B617" s="11"/>
      <c r="D617" s="11"/>
      <c r="E617" s="11"/>
      <c r="G617" s="11"/>
      <c r="I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>
      <c r="A618" s="11"/>
      <c r="B618" s="11"/>
      <c r="D618" s="11"/>
      <c r="E618" s="11"/>
      <c r="G618" s="11"/>
      <c r="I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>
      <c r="A619" s="11"/>
      <c r="B619" s="11"/>
      <c r="D619" s="11"/>
      <c r="E619" s="11"/>
      <c r="G619" s="11"/>
      <c r="I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>
      <c r="A620" s="11"/>
      <c r="B620" s="11"/>
      <c r="D620" s="11"/>
      <c r="E620" s="11"/>
      <c r="G620" s="11"/>
      <c r="I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>
      <c r="A621" s="11"/>
      <c r="B621" s="11"/>
      <c r="D621" s="11"/>
      <c r="E621" s="11"/>
      <c r="G621" s="11"/>
      <c r="I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>
      <c r="A622" s="11"/>
      <c r="B622" s="11"/>
      <c r="D622" s="11"/>
      <c r="E622" s="11"/>
      <c r="G622" s="11"/>
      <c r="I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>
      <c r="A623" s="11"/>
      <c r="B623" s="11"/>
      <c r="D623" s="11"/>
      <c r="E623" s="11"/>
      <c r="G623" s="11"/>
      <c r="I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>
      <c r="A624" s="11"/>
      <c r="B624" s="11"/>
      <c r="D624" s="11"/>
      <c r="E624" s="11"/>
      <c r="G624" s="11"/>
      <c r="I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>
      <c r="A625" s="11"/>
      <c r="B625" s="11"/>
      <c r="D625" s="11"/>
      <c r="E625" s="11"/>
      <c r="G625" s="11"/>
      <c r="I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>
      <c r="A626" s="11"/>
      <c r="B626" s="11"/>
      <c r="D626" s="11"/>
      <c r="E626" s="11"/>
      <c r="G626" s="11"/>
      <c r="I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>
      <c r="A627" s="11"/>
      <c r="B627" s="11"/>
      <c r="D627" s="11"/>
      <c r="E627" s="11"/>
      <c r="G627" s="11"/>
      <c r="I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>
      <c r="A628" s="11"/>
      <c r="B628" s="11"/>
      <c r="D628" s="11"/>
      <c r="E628" s="11"/>
      <c r="G628" s="11"/>
      <c r="I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>
      <c r="A629" s="11"/>
      <c r="B629" s="11"/>
      <c r="D629" s="11"/>
      <c r="E629" s="11"/>
      <c r="G629" s="11"/>
      <c r="I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>
      <c r="A630" s="11"/>
      <c r="B630" s="11"/>
      <c r="D630" s="11"/>
      <c r="E630" s="11"/>
      <c r="G630" s="11"/>
      <c r="I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>
      <c r="A631" s="11"/>
      <c r="B631" s="11"/>
      <c r="D631" s="11"/>
      <c r="E631" s="11"/>
      <c r="G631" s="11"/>
      <c r="I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>
      <c r="A632" s="11"/>
      <c r="B632" s="11"/>
      <c r="D632" s="11"/>
      <c r="E632" s="11"/>
      <c r="G632" s="11"/>
      <c r="I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>
      <c r="A633" s="11"/>
      <c r="B633" s="11"/>
      <c r="D633" s="11"/>
      <c r="E633" s="11"/>
      <c r="G633" s="11"/>
      <c r="I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>
      <c r="A634" s="11"/>
      <c r="B634" s="11"/>
      <c r="D634" s="11"/>
      <c r="E634" s="11"/>
      <c r="G634" s="11"/>
      <c r="I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>
      <c r="A635" s="11"/>
      <c r="B635" s="11"/>
      <c r="D635" s="11"/>
      <c r="E635" s="11"/>
      <c r="G635" s="11"/>
      <c r="I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>
      <c r="A636" s="11"/>
      <c r="B636" s="11"/>
      <c r="D636" s="11"/>
      <c r="E636" s="11"/>
      <c r="G636" s="11"/>
      <c r="I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>
      <c r="A637" s="11"/>
      <c r="B637" s="11"/>
      <c r="D637" s="11"/>
      <c r="E637" s="11"/>
      <c r="G637" s="11"/>
      <c r="I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>
      <c r="A638" s="11"/>
      <c r="B638" s="11"/>
      <c r="D638" s="11"/>
      <c r="E638" s="11"/>
      <c r="G638" s="11"/>
      <c r="I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>
      <c r="A639" s="11"/>
      <c r="B639" s="11"/>
      <c r="D639" s="11"/>
      <c r="E639" s="11"/>
      <c r="G639" s="11"/>
      <c r="I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>
      <c r="A640" s="11"/>
      <c r="B640" s="11"/>
      <c r="D640" s="11"/>
      <c r="E640" s="11"/>
      <c r="G640" s="11"/>
      <c r="I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>
      <c r="A641" s="11"/>
      <c r="B641" s="11"/>
      <c r="D641" s="11"/>
      <c r="E641" s="11"/>
      <c r="G641" s="11"/>
      <c r="I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>
      <c r="A642" s="11"/>
      <c r="B642" s="11"/>
      <c r="D642" s="11"/>
      <c r="E642" s="11"/>
      <c r="G642" s="11"/>
      <c r="I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>
      <c r="A643" s="11"/>
      <c r="B643" s="11"/>
      <c r="D643" s="11"/>
      <c r="E643" s="11"/>
      <c r="G643" s="11"/>
      <c r="I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>
      <c r="A644" s="11"/>
      <c r="B644" s="11"/>
      <c r="D644" s="11"/>
      <c r="E644" s="11"/>
      <c r="G644" s="11"/>
      <c r="I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>
      <c r="A645" s="11"/>
      <c r="B645" s="11"/>
      <c r="D645" s="11"/>
      <c r="E645" s="11"/>
      <c r="G645" s="11"/>
      <c r="I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>
      <c r="A646" s="11"/>
      <c r="B646" s="11"/>
      <c r="D646" s="11"/>
      <c r="E646" s="11"/>
      <c r="G646" s="11"/>
      <c r="I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>
      <c r="A647" s="11"/>
      <c r="B647" s="11"/>
      <c r="D647" s="11"/>
      <c r="E647" s="11"/>
      <c r="G647" s="11"/>
      <c r="I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>
      <c r="A648" s="11"/>
      <c r="B648" s="11"/>
      <c r="D648" s="11"/>
      <c r="E648" s="11"/>
      <c r="G648" s="11"/>
      <c r="I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>
      <c r="A649" s="11"/>
      <c r="B649" s="11"/>
      <c r="D649" s="11"/>
      <c r="E649" s="11"/>
      <c r="G649" s="11"/>
      <c r="I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>
      <c r="A650" s="11"/>
      <c r="B650" s="11"/>
      <c r="D650" s="11"/>
      <c r="E650" s="11"/>
      <c r="G650" s="11"/>
      <c r="I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>
      <c r="A651" s="11"/>
      <c r="B651" s="11"/>
      <c r="D651" s="11"/>
      <c r="E651" s="11"/>
      <c r="G651" s="11"/>
      <c r="I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>
      <c r="A652" s="11"/>
      <c r="B652" s="11"/>
      <c r="D652" s="11"/>
      <c r="E652" s="11"/>
      <c r="G652" s="11"/>
      <c r="I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>
      <c r="A653" s="11"/>
      <c r="B653" s="11"/>
      <c r="D653" s="11"/>
      <c r="E653" s="11"/>
      <c r="G653" s="11"/>
      <c r="I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>
      <c r="A654" s="11"/>
      <c r="B654" s="11"/>
      <c r="D654" s="11"/>
      <c r="E654" s="11"/>
      <c r="G654" s="11"/>
      <c r="I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>
      <c r="A655" s="11"/>
      <c r="B655" s="11"/>
      <c r="D655" s="11"/>
      <c r="E655" s="11"/>
      <c r="G655" s="11"/>
      <c r="I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>
      <c r="A656" s="11"/>
      <c r="B656" s="11"/>
      <c r="D656" s="11"/>
      <c r="E656" s="11"/>
      <c r="G656" s="11"/>
      <c r="I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>
      <c r="A657" s="11"/>
      <c r="B657" s="11"/>
      <c r="D657" s="11"/>
      <c r="E657" s="11"/>
      <c r="G657" s="11"/>
      <c r="I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>
      <c r="A658" s="11"/>
      <c r="B658" s="11"/>
      <c r="D658" s="11"/>
      <c r="E658" s="11"/>
      <c r="G658" s="11"/>
      <c r="I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>
      <c r="A659" s="11"/>
      <c r="B659" s="11"/>
      <c r="D659" s="11"/>
      <c r="E659" s="11"/>
      <c r="G659" s="11"/>
      <c r="I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>
      <c r="A660" s="11"/>
      <c r="B660" s="11"/>
      <c r="D660" s="11"/>
      <c r="E660" s="11"/>
      <c r="G660" s="11"/>
      <c r="I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>
      <c r="A661" s="11"/>
      <c r="B661" s="11"/>
      <c r="D661" s="11"/>
      <c r="E661" s="11"/>
      <c r="G661" s="11"/>
      <c r="I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>
      <c r="A662" s="11"/>
      <c r="B662" s="11"/>
      <c r="D662" s="11"/>
      <c r="E662" s="11"/>
      <c r="G662" s="11"/>
      <c r="I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>
      <c r="A663" s="11"/>
      <c r="B663" s="11"/>
      <c r="D663" s="11"/>
      <c r="E663" s="11"/>
      <c r="G663" s="11"/>
      <c r="I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>
      <c r="A664" s="11"/>
      <c r="B664" s="11"/>
      <c r="D664" s="11"/>
      <c r="E664" s="11"/>
      <c r="G664" s="11"/>
      <c r="I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>
      <c r="A665" s="11"/>
      <c r="B665" s="11"/>
      <c r="D665" s="11"/>
      <c r="E665" s="11"/>
      <c r="G665" s="11"/>
      <c r="I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>
      <c r="A666" s="11"/>
      <c r="B666" s="11"/>
      <c r="D666" s="11"/>
      <c r="E666" s="11"/>
      <c r="G666" s="11"/>
      <c r="I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>
      <c r="A667" s="11"/>
      <c r="B667" s="11"/>
      <c r="D667" s="11"/>
      <c r="E667" s="11"/>
      <c r="G667" s="11"/>
      <c r="I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>
      <c r="A668" s="11"/>
      <c r="B668" s="11"/>
      <c r="D668" s="11"/>
      <c r="E668" s="11"/>
      <c r="G668" s="11"/>
      <c r="I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>
      <c r="A669" s="11"/>
      <c r="B669" s="11"/>
      <c r="D669" s="11"/>
      <c r="E669" s="11"/>
      <c r="G669" s="11"/>
      <c r="I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>
      <c r="A670" s="11"/>
      <c r="B670" s="11"/>
      <c r="D670" s="11"/>
      <c r="E670" s="11"/>
      <c r="G670" s="11"/>
      <c r="I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>
      <c r="A671" s="11"/>
      <c r="B671" s="11"/>
      <c r="D671" s="11"/>
      <c r="E671" s="11"/>
      <c r="G671" s="11"/>
      <c r="I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>
      <c r="A672" s="11"/>
      <c r="B672" s="11"/>
      <c r="D672" s="11"/>
      <c r="E672" s="11"/>
      <c r="G672" s="11"/>
      <c r="I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>
      <c r="A673" s="11"/>
      <c r="B673" s="11"/>
      <c r="D673" s="11"/>
      <c r="E673" s="11"/>
      <c r="G673" s="11"/>
      <c r="I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>
      <c r="A674" s="11"/>
      <c r="B674" s="11"/>
      <c r="D674" s="11"/>
      <c r="E674" s="11"/>
      <c r="G674" s="11"/>
      <c r="I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>
      <c r="A675" s="11"/>
      <c r="B675" s="11"/>
      <c r="D675" s="11"/>
      <c r="E675" s="11"/>
      <c r="G675" s="11"/>
      <c r="I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>
      <c r="A676" s="11"/>
      <c r="B676" s="11"/>
      <c r="D676" s="11"/>
      <c r="E676" s="11"/>
      <c r="G676" s="11"/>
      <c r="I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>
      <c r="A677" s="11"/>
      <c r="B677" s="11"/>
      <c r="D677" s="11"/>
      <c r="E677" s="11"/>
      <c r="G677" s="11"/>
      <c r="I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>
      <c r="A678" s="11"/>
      <c r="B678" s="11"/>
      <c r="D678" s="11"/>
      <c r="E678" s="11"/>
      <c r="G678" s="11"/>
      <c r="I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>
      <c r="A679" s="11"/>
      <c r="B679" s="11"/>
      <c r="D679" s="11"/>
      <c r="E679" s="11"/>
      <c r="G679" s="11"/>
      <c r="I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>
      <c r="A680" s="11"/>
      <c r="B680" s="11"/>
      <c r="D680" s="11"/>
      <c r="E680" s="11"/>
      <c r="G680" s="11"/>
      <c r="I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>
      <c r="A681" s="11"/>
      <c r="B681" s="11"/>
      <c r="D681" s="11"/>
      <c r="E681" s="11"/>
      <c r="G681" s="11"/>
      <c r="I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>
      <c r="A682" s="11"/>
      <c r="B682" s="11"/>
      <c r="D682" s="11"/>
      <c r="E682" s="11"/>
      <c r="G682" s="11"/>
      <c r="I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>
      <c r="A683" s="11"/>
      <c r="B683" s="11"/>
      <c r="D683" s="11"/>
      <c r="E683" s="11"/>
      <c r="G683" s="11"/>
      <c r="I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>
      <c r="A684" s="11"/>
      <c r="B684" s="11"/>
      <c r="D684" s="11"/>
      <c r="E684" s="11"/>
      <c r="G684" s="11"/>
      <c r="I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>
      <c r="A685" s="11"/>
      <c r="B685" s="11"/>
      <c r="D685" s="11"/>
      <c r="E685" s="11"/>
      <c r="G685" s="11"/>
      <c r="I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>
      <c r="A686" s="11"/>
      <c r="B686" s="11"/>
      <c r="D686" s="11"/>
      <c r="E686" s="11"/>
      <c r="G686" s="11"/>
      <c r="I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>
      <c r="A687" s="11"/>
      <c r="B687" s="11"/>
      <c r="D687" s="11"/>
      <c r="E687" s="11"/>
      <c r="G687" s="11"/>
      <c r="I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>
      <c r="A688" s="11"/>
      <c r="B688" s="11"/>
      <c r="D688" s="11"/>
      <c r="E688" s="11"/>
      <c r="G688" s="11"/>
      <c r="I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>
      <c r="A689" s="11"/>
      <c r="B689" s="11"/>
      <c r="D689" s="11"/>
      <c r="E689" s="11"/>
      <c r="G689" s="11"/>
      <c r="I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>
      <c r="A690" s="11"/>
      <c r="B690" s="11"/>
      <c r="D690" s="11"/>
      <c r="E690" s="11"/>
      <c r="G690" s="11"/>
      <c r="I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>
      <c r="A691" s="11"/>
      <c r="B691" s="11"/>
      <c r="D691" s="11"/>
      <c r="E691" s="11"/>
      <c r="G691" s="11"/>
      <c r="I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>
      <c r="A692" s="11"/>
      <c r="B692" s="11"/>
      <c r="D692" s="11"/>
      <c r="E692" s="11"/>
      <c r="G692" s="11"/>
      <c r="I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>
      <c r="A693" s="11"/>
      <c r="B693" s="11"/>
      <c r="D693" s="11"/>
      <c r="E693" s="11"/>
      <c r="G693" s="11"/>
      <c r="I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>
      <c r="A694" s="11"/>
      <c r="B694" s="11"/>
      <c r="D694" s="11"/>
      <c r="E694" s="11"/>
      <c r="G694" s="11"/>
      <c r="I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>
      <c r="A695" s="11"/>
      <c r="B695" s="11"/>
      <c r="D695" s="11"/>
      <c r="E695" s="11"/>
      <c r="G695" s="11"/>
      <c r="I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>
      <c r="A696" s="11"/>
      <c r="B696" s="11"/>
      <c r="D696" s="11"/>
      <c r="E696" s="11"/>
      <c r="G696" s="11"/>
      <c r="I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>
      <c r="A697" s="11"/>
      <c r="B697" s="11"/>
      <c r="D697" s="11"/>
      <c r="E697" s="11"/>
      <c r="G697" s="11"/>
      <c r="I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>
      <c r="A698" s="11"/>
      <c r="B698" s="11"/>
      <c r="D698" s="11"/>
      <c r="E698" s="11"/>
      <c r="G698" s="11"/>
      <c r="I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>
      <c r="A699" s="11"/>
      <c r="B699" s="11"/>
      <c r="D699" s="11"/>
      <c r="E699" s="11"/>
      <c r="G699" s="11"/>
      <c r="I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>
      <c r="A700" s="11"/>
      <c r="B700" s="11"/>
      <c r="D700" s="11"/>
      <c r="E700" s="11"/>
      <c r="G700" s="11"/>
      <c r="I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>
      <c r="A701" s="11"/>
      <c r="B701" s="11"/>
      <c r="D701" s="11"/>
      <c r="E701" s="11"/>
      <c r="G701" s="11"/>
      <c r="I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>
      <c r="A702" s="11"/>
      <c r="B702" s="11"/>
      <c r="D702" s="11"/>
      <c r="E702" s="11"/>
      <c r="G702" s="11"/>
      <c r="I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>
      <c r="A703" s="11"/>
      <c r="B703" s="11"/>
      <c r="D703" s="11"/>
      <c r="E703" s="11"/>
      <c r="G703" s="11"/>
      <c r="I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>
      <c r="A704" s="11"/>
      <c r="B704" s="11"/>
      <c r="D704" s="11"/>
      <c r="E704" s="11"/>
      <c r="G704" s="11"/>
      <c r="I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>
      <c r="A705" s="11"/>
      <c r="B705" s="11"/>
      <c r="D705" s="11"/>
      <c r="E705" s="11"/>
      <c r="G705" s="11"/>
      <c r="I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>
      <c r="A706" s="11"/>
      <c r="B706" s="11"/>
      <c r="D706" s="11"/>
      <c r="E706" s="11"/>
      <c r="G706" s="11"/>
      <c r="I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>
      <c r="A707" s="11"/>
      <c r="B707" s="11"/>
      <c r="D707" s="11"/>
      <c r="E707" s="11"/>
      <c r="G707" s="11"/>
      <c r="I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>
      <c r="A708" s="11"/>
      <c r="B708" s="11"/>
      <c r="D708" s="11"/>
      <c r="E708" s="11"/>
      <c r="G708" s="11"/>
      <c r="I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>
      <c r="A709" s="11"/>
      <c r="B709" s="11"/>
      <c r="D709" s="11"/>
      <c r="E709" s="11"/>
      <c r="G709" s="11"/>
      <c r="I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>
      <c r="A710" s="11"/>
      <c r="B710" s="11"/>
      <c r="D710" s="11"/>
      <c r="E710" s="11"/>
      <c r="G710" s="11"/>
      <c r="I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>
      <c r="A711" s="11"/>
      <c r="B711" s="11"/>
      <c r="D711" s="11"/>
      <c r="E711" s="11"/>
      <c r="G711" s="11"/>
      <c r="I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>
      <c r="A712" s="11"/>
      <c r="B712" s="11"/>
      <c r="D712" s="11"/>
      <c r="E712" s="11"/>
      <c r="G712" s="11"/>
      <c r="I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>
      <c r="A713" s="11"/>
      <c r="B713" s="11"/>
      <c r="D713" s="11"/>
      <c r="E713" s="11"/>
      <c r="G713" s="11"/>
      <c r="I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>
      <c r="A714" s="11"/>
      <c r="B714" s="11"/>
      <c r="D714" s="11"/>
      <c r="E714" s="11"/>
      <c r="G714" s="11"/>
      <c r="I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>
      <c r="A715" s="11"/>
      <c r="B715" s="11"/>
      <c r="D715" s="11"/>
      <c r="E715" s="11"/>
      <c r="G715" s="11"/>
      <c r="I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>
      <c r="A716" s="11"/>
      <c r="B716" s="11"/>
      <c r="D716" s="11"/>
      <c r="E716" s="11"/>
      <c r="G716" s="11"/>
      <c r="I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>
      <c r="A717" s="11"/>
      <c r="B717" s="11"/>
      <c r="D717" s="11"/>
      <c r="E717" s="11"/>
      <c r="G717" s="11"/>
      <c r="I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>
      <c r="A718" s="11"/>
      <c r="B718" s="11"/>
      <c r="D718" s="11"/>
      <c r="E718" s="11"/>
      <c r="G718" s="11"/>
      <c r="I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>
      <c r="A719" s="11"/>
      <c r="B719" s="11"/>
      <c r="D719" s="11"/>
      <c r="E719" s="11"/>
      <c r="G719" s="11"/>
      <c r="I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>
      <c r="A720" s="11"/>
      <c r="B720" s="11"/>
      <c r="D720" s="11"/>
      <c r="E720" s="11"/>
      <c r="G720" s="11"/>
      <c r="I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>
      <c r="A721" s="11"/>
      <c r="B721" s="11"/>
      <c r="D721" s="11"/>
      <c r="E721" s="11"/>
      <c r="G721" s="11"/>
      <c r="I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>
      <c r="A722" s="11"/>
      <c r="B722" s="11"/>
      <c r="D722" s="11"/>
      <c r="E722" s="11"/>
      <c r="G722" s="11"/>
      <c r="I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>
      <c r="A723" s="11"/>
      <c r="B723" s="11"/>
      <c r="D723" s="11"/>
      <c r="E723" s="11"/>
      <c r="G723" s="11"/>
      <c r="I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>
      <c r="A724" s="11"/>
      <c r="B724" s="11"/>
      <c r="D724" s="11"/>
      <c r="E724" s="11"/>
      <c r="G724" s="11"/>
      <c r="I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>
      <c r="A725" s="11"/>
      <c r="B725" s="11"/>
      <c r="D725" s="11"/>
      <c r="E725" s="11"/>
      <c r="G725" s="11"/>
      <c r="I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>
      <c r="A726" s="11"/>
      <c r="B726" s="11"/>
      <c r="D726" s="11"/>
      <c r="E726" s="11"/>
      <c r="G726" s="11"/>
      <c r="I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>
      <c r="A727" s="11"/>
      <c r="B727" s="11"/>
      <c r="D727" s="11"/>
      <c r="E727" s="11"/>
      <c r="G727" s="11"/>
      <c r="I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>
      <c r="A728" s="11"/>
      <c r="B728" s="11"/>
      <c r="D728" s="11"/>
      <c r="E728" s="11"/>
      <c r="G728" s="11"/>
      <c r="I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>
      <c r="A729" s="11"/>
      <c r="B729" s="11"/>
      <c r="D729" s="11"/>
      <c r="E729" s="11"/>
      <c r="G729" s="11"/>
      <c r="I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>
      <c r="A730" s="11"/>
      <c r="B730" s="11"/>
      <c r="D730" s="11"/>
      <c r="E730" s="11"/>
      <c r="G730" s="11"/>
      <c r="I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>
      <c r="A731" s="11"/>
      <c r="B731" s="11"/>
      <c r="D731" s="11"/>
      <c r="E731" s="11"/>
      <c r="G731" s="11"/>
      <c r="I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>
      <c r="A732" s="11"/>
      <c r="B732" s="11"/>
      <c r="D732" s="11"/>
      <c r="E732" s="11"/>
      <c r="G732" s="11"/>
      <c r="I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>
      <c r="A733" s="11"/>
      <c r="B733" s="11"/>
      <c r="D733" s="11"/>
      <c r="E733" s="11"/>
      <c r="G733" s="11"/>
      <c r="I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>
      <c r="A734" s="11"/>
      <c r="B734" s="11"/>
      <c r="D734" s="11"/>
      <c r="E734" s="11"/>
      <c r="G734" s="11"/>
      <c r="I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>
      <c r="A735" s="11"/>
      <c r="B735" s="11"/>
      <c r="D735" s="11"/>
      <c r="E735" s="11"/>
      <c r="G735" s="11"/>
      <c r="I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>
      <c r="A736" s="11"/>
      <c r="B736" s="11"/>
      <c r="D736" s="11"/>
      <c r="E736" s="11"/>
      <c r="G736" s="11"/>
      <c r="I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>
      <c r="A737" s="11"/>
      <c r="B737" s="11"/>
      <c r="D737" s="11"/>
      <c r="E737" s="11"/>
      <c r="G737" s="11"/>
      <c r="I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>
      <c r="A738" s="11"/>
      <c r="B738" s="11"/>
      <c r="D738" s="11"/>
      <c r="E738" s="11"/>
      <c r="G738" s="11"/>
      <c r="I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>
      <c r="A739" s="11"/>
      <c r="B739" s="11"/>
      <c r="D739" s="11"/>
      <c r="E739" s="11"/>
      <c r="G739" s="11"/>
      <c r="I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>
      <c r="A740" s="11"/>
      <c r="B740" s="11"/>
      <c r="D740" s="11"/>
      <c r="E740" s="11"/>
      <c r="G740" s="11"/>
      <c r="I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>
      <c r="A741" s="11"/>
      <c r="B741" s="11"/>
      <c r="D741" s="11"/>
      <c r="E741" s="11"/>
      <c r="G741" s="11"/>
      <c r="I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>
      <c r="A742" s="11"/>
      <c r="B742" s="11"/>
      <c r="D742" s="11"/>
      <c r="E742" s="11"/>
      <c r="G742" s="11"/>
      <c r="I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>
      <c r="A743" s="11"/>
      <c r="B743" s="11"/>
      <c r="D743" s="11"/>
      <c r="E743" s="11"/>
      <c r="G743" s="11"/>
      <c r="I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>
      <c r="A744" s="11"/>
      <c r="B744" s="11"/>
      <c r="D744" s="11"/>
      <c r="E744" s="11"/>
      <c r="G744" s="11"/>
      <c r="I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>
      <c r="A745" s="11"/>
      <c r="B745" s="11"/>
      <c r="D745" s="11"/>
      <c r="E745" s="11"/>
      <c r="G745" s="11"/>
      <c r="I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>
      <c r="A746" s="11"/>
      <c r="B746" s="11"/>
      <c r="D746" s="11"/>
      <c r="E746" s="11"/>
      <c r="G746" s="11"/>
      <c r="I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>
      <c r="A747" s="11"/>
      <c r="B747" s="11"/>
      <c r="D747" s="11"/>
      <c r="E747" s="11"/>
      <c r="G747" s="11"/>
      <c r="I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>
      <c r="A748" s="11"/>
      <c r="B748" s="11"/>
      <c r="D748" s="11"/>
      <c r="E748" s="11"/>
      <c r="G748" s="11"/>
      <c r="I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>
      <c r="A749" s="11"/>
      <c r="B749" s="11"/>
      <c r="D749" s="11"/>
      <c r="E749" s="11"/>
      <c r="G749" s="11"/>
      <c r="I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>
      <c r="A750" s="11"/>
      <c r="B750" s="11"/>
      <c r="D750" s="11"/>
      <c r="E750" s="11"/>
      <c r="G750" s="11"/>
      <c r="I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>
      <c r="A751" s="11"/>
      <c r="B751" s="11"/>
      <c r="D751" s="11"/>
      <c r="E751" s="11"/>
      <c r="G751" s="11"/>
      <c r="I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>
      <c r="A752" s="11"/>
      <c r="B752" s="11"/>
      <c r="D752" s="11"/>
      <c r="E752" s="11"/>
      <c r="G752" s="11"/>
      <c r="I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>
      <c r="A753" s="11"/>
      <c r="B753" s="11"/>
      <c r="D753" s="11"/>
      <c r="E753" s="11"/>
      <c r="G753" s="11"/>
      <c r="I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>
      <c r="A754" s="11"/>
      <c r="B754" s="11"/>
      <c r="D754" s="11"/>
      <c r="E754" s="11"/>
      <c r="G754" s="11"/>
      <c r="I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>
      <c r="A755" s="11"/>
      <c r="B755" s="11"/>
      <c r="D755" s="11"/>
      <c r="E755" s="11"/>
      <c r="G755" s="11"/>
      <c r="I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>
      <c r="A756" s="11"/>
      <c r="B756" s="11"/>
      <c r="D756" s="11"/>
      <c r="E756" s="11"/>
      <c r="G756" s="11"/>
      <c r="I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>
      <c r="A757" s="11"/>
      <c r="B757" s="11"/>
      <c r="D757" s="11"/>
      <c r="E757" s="11"/>
      <c r="G757" s="11"/>
      <c r="I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>
      <c r="A758" s="11"/>
      <c r="B758" s="11"/>
      <c r="D758" s="11"/>
      <c r="E758" s="11"/>
      <c r="G758" s="11"/>
      <c r="I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>
      <c r="A759" s="11"/>
      <c r="B759" s="11"/>
      <c r="D759" s="11"/>
      <c r="E759" s="11"/>
      <c r="G759" s="11"/>
      <c r="I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>
      <c r="A760" s="11"/>
      <c r="B760" s="11"/>
      <c r="D760" s="11"/>
      <c r="E760" s="11"/>
      <c r="G760" s="11"/>
      <c r="I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>
      <c r="A761" s="11"/>
      <c r="B761" s="11"/>
      <c r="D761" s="11"/>
      <c r="E761" s="11"/>
      <c r="G761" s="11"/>
      <c r="I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>
      <c r="A762" s="11"/>
      <c r="B762" s="11"/>
      <c r="D762" s="11"/>
      <c r="E762" s="11"/>
      <c r="G762" s="11"/>
      <c r="I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>
      <c r="A763" s="11"/>
      <c r="B763" s="11"/>
      <c r="D763" s="11"/>
      <c r="E763" s="11"/>
      <c r="G763" s="11"/>
      <c r="I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>
      <c r="A764" s="11"/>
      <c r="B764" s="11"/>
      <c r="D764" s="11"/>
      <c r="E764" s="11"/>
      <c r="G764" s="11"/>
      <c r="I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>
      <c r="A765" s="11"/>
      <c r="B765" s="11"/>
      <c r="D765" s="11"/>
      <c r="E765" s="11"/>
      <c r="G765" s="11"/>
      <c r="I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>
      <c r="A766" s="11"/>
      <c r="B766" s="11"/>
      <c r="D766" s="11"/>
      <c r="E766" s="11"/>
      <c r="G766" s="11"/>
      <c r="I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>
      <c r="A767" s="11"/>
      <c r="B767" s="11"/>
      <c r="D767" s="11"/>
      <c r="E767" s="11"/>
      <c r="G767" s="11"/>
      <c r="I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>
      <c r="A768" s="11"/>
      <c r="B768" s="11"/>
      <c r="D768" s="11"/>
      <c r="E768" s="11"/>
      <c r="G768" s="11"/>
      <c r="I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>
      <c r="A769" s="11"/>
      <c r="B769" s="11"/>
      <c r="D769" s="11"/>
      <c r="E769" s="11"/>
      <c r="G769" s="11"/>
      <c r="I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>
      <c r="A770" s="11"/>
      <c r="B770" s="11"/>
      <c r="D770" s="11"/>
      <c r="E770" s="11"/>
      <c r="G770" s="11"/>
      <c r="I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>
      <c r="A771" s="11"/>
      <c r="B771" s="11"/>
      <c r="D771" s="11"/>
      <c r="E771" s="11"/>
      <c r="G771" s="11"/>
      <c r="I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>
      <c r="A772" s="11"/>
      <c r="B772" s="11"/>
      <c r="D772" s="11"/>
      <c r="E772" s="11"/>
      <c r="G772" s="11"/>
      <c r="I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>
      <c r="A773" s="11"/>
      <c r="B773" s="11"/>
      <c r="D773" s="11"/>
      <c r="E773" s="11"/>
      <c r="G773" s="11"/>
      <c r="I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>
      <c r="A774" s="11"/>
      <c r="B774" s="11"/>
      <c r="D774" s="11"/>
      <c r="E774" s="11"/>
      <c r="G774" s="11"/>
      <c r="I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>
      <c r="A775" s="11"/>
      <c r="B775" s="11"/>
      <c r="D775" s="11"/>
      <c r="E775" s="11"/>
      <c r="G775" s="11"/>
      <c r="I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>
      <c r="A776" s="11"/>
      <c r="B776" s="11"/>
      <c r="D776" s="11"/>
      <c r="E776" s="11"/>
      <c r="G776" s="11"/>
      <c r="I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>
      <c r="A777" s="11"/>
      <c r="B777" s="11"/>
      <c r="D777" s="11"/>
      <c r="E777" s="11"/>
      <c r="G777" s="11"/>
      <c r="I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>
      <c r="A778" s="11"/>
      <c r="B778" s="11"/>
      <c r="D778" s="11"/>
      <c r="E778" s="11"/>
      <c r="G778" s="11"/>
      <c r="I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>
      <c r="A779" s="11"/>
      <c r="B779" s="11"/>
      <c r="D779" s="11"/>
      <c r="E779" s="11"/>
      <c r="G779" s="11"/>
      <c r="I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>
      <c r="A780" s="11"/>
      <c r="B780" s="11"/>
      <c r="D780" s="11"/>
      <c r="E780" s="11"/>
      <c r="G780" s="11"/>
      <c r="I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>
      <c r="A781" s="11"/>
      <c r="B781" s="11"/>
      <c r="D781" s="11"/>
      <c r="E781" s="11"/>
      <c r="G781" s="11"/>
      <c r="I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>
      <c r="A782" s="11"/>
      <c r="B782" s="11"/>
      <c r="D782" s="11"/>
      <c r="E782" s="11"/>
      <c r="G782" s="11"/>
      <c r="I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>
      <c r="A783" s="11"/>
      <c r="B783" s="11"/>
      <c r="D783" s="11"/>
      <c r="E783" s="11"/>
      <c r="G783" s="11"/>
      <c r="I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>
      <c r="A784" s="11"/>
      <c r="B784" s="11"/>
      <c r="D784" s="11"/>
      <c r="E784" s="11"/>
      <c r="G784" s="11"/>
      <c r="I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>
      <c r="A785" s="11"/>
      <c r="B785" s="11"/>
      <c r="D785" s="11"/>
      <c r="E785" s="11"/>
      <c r="G785" s="11"/>
      <c r="I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>
      <c r="A786" s="11"/>
      <c r="B786" s="11"/>
      <c r="D786" s="11"/>
      <c r="E786" s="11"/>
      <c r="G786" s="11"/>
      <c r="I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>
      <c r="A787" s="11"/>
      <c r="B787" s="11"/>
      <c r="D787" s="11"/>
      <c r="E787" s="11"/>
      <c r="G787" s="11"/>
      <c r="I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>
      <c r="A788" s="11"/>
      <c r="B788" s="11"/>
      <c r="D788" s="11"/>
      <c r="E788" s="11"/>
      <c r="G788" s="11"/>
      <c r="I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>
      <c r="A789" s="11"/>
      <c r="B789" s="11"/>
      <c r="D789" s="11"/>
      <c r="E789" s="11"/>
      <c r="G789" s="11"/>
      <c r="I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>
      <c r="A790" s="11"/>
      <c r="B790" s="11"/>
      <c r="D790" s="11"/>
      <c r="E790" s="11"/>
      <c r="G790" s="11"/>
      <c r="I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>
      <c r="A791" s="11"/>
      <c r="B791" s="11"/>
      <c r="D791" s="11"/>
      <c r="E791" s="11"/>
      <c r="G791" s="11"/>
      <c r="I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>
      <c r="A792" s="11"/>
      <c r="B792" s="11"/>
      <c r="D792" s="11"/>
      <c r="E792" s="11"/>
      <c r="G792" s="11"/>
      <c r="I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>
      <c r="A793" s="11"/>
      <c r="B793" s="11"/>
      <c r="D793" s="11"/>
      <c r="E793" s="11"/>
      <c r="G793" s="11"/>
      <c r="I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>
      <c r="A794" s="11"/>
      <c r="B794" s="11"/>
      <c r="D794" s="11"/>
      <c r="E794" s="11"/>
      <c r="G794" s="11"/>
      <c r="I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>
      <c r="A795" s="11"/>
      <c r="B795" s="11"/>
      <c r="D795" s="11"/>
      <c r="E795" s="11"/>
      <c r="G795" s="11"/>
      <c r="I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>
      <c r="A796" s="11"/>
      <c r="B796" s="11"/>
      <c r="D796" s="11"/>
      <c r="E796" s="11"/>
      <c r="G796" s="11"/>
      <c r="I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>
      <c r="A797" s="11"/>
      <c r="B797" s="11"/>
      <c r="D797" s="11"/>
      <c r="E797" s="11"/>
      <c r="G797" s="11"/>
      <c r="I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>
      <c r="A798" s="11"/>
      <c r="B798" s="11"/>
      <c r="D798" s="11"/>
      <c r="E798" s="11"/>
      <c r="G798" s="11"/>
      <c r="I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>
      <c r="A799" s="11"/>
      <c r="B799" s="11"/>
      <c r="D799" s="11"/>
      <c r="E799" s="11"/>
      <c r="G799" s="11"/>
      <c r="I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>
      <c r="A800" s="11"/>
      <c r="B800" s="11"/>
      <c r="D800" s="11"/>
      <c r="E800" s="11"/>
      <c r="G800" s="11"/>
      <c r="I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>
      <c r="A801" s="11"/>
      <c r="B801" s="11"/>
      <c r="D801" s="11"/>
      <c r="E801" s="11"/>
      <c r="G801" s="11"/>
      <c r="I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>
      <c r="A802" s="11"/>
      <c r="B802" s="11"/>
      <c r="D802" s="11"/>
      <c r="E802" s="11"/>
      <c r="G802" s="11"/>
      <c r="I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>
      <c r="A803" s="11"/>
      <c r="B803" s="11"/>
      <c r="D803" s="11"/>
      <c r="E803" s="11"/>
      <c r="G803" s="11"/>
      <c r="I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>
      <c r="A804" s="11"/>
      <c r="B804" s="11"/>
      <c r="D804" s="11"/>
      <c r="E804" s="11"/>
      <c r="G804" s="11"/>
      <c r="I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>
      <c r="A805" s="11"/>
      <c r="B805" s="11"/>
      <c r="D805" s="11"/>
      <c r="E805" s="11"/>
      <c r="G805" s="11"/>
      <c r="I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>
      <c r="A806" s="11"/>
      <c r="B806" s="11"/>
      <c r="D806" s="11"/>
      <c r="E806" s="11"/>
      <c r="G806" s="11"/>
      <c r="I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>
      <c r="A807" s="11"/>
      <c r="B807" s="11"/>
      <c r="D807" s="11"/>
      <c r="E807" s="11"/>
      <c r="G807" s="11"/>
      <c r="I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>
      <c r="A808" s="11"/>
      <c r="B808" s="11"/>
      <c r="D808" s="11"/>
      <c r="E808" s="11"/>
      <c r="G808" s="11"/>
      <c r="I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>
      <c r="A809" s="11"/>
      <c r="B809" s="11"/>
      <c r="D809" s="11"/>
      <c r="E809" s="11"/>
      <c r="G809" s="11"/>
      <c r="I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>
      <c r="A810" s="11"/>
      <c r="B810" s="11"/>
      <c r="D810" s="11"/>
      <c r="E810" s="11"/>
      <c r="G810" s="11"/>
      <c r="I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>
      <c r="A811" s="11"/>
      <c r="B811" s="11"/>
      <c r="D811" s="11"/>
      <c r="E811" s="11"/>
      <c r="G811" s="11"/>
      <c r="I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>
      <c r="A812" s="11"/>
      <c r="B812" s="11"/>
      <c r="D812" s="11"/>
      <c r="E812" s="11"/>
      <c r="G812" s="11"/>
      <c r="I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>
      <c r="A813" s="11"/>
      <c r="B813" s="11"/>
      <c r="D813" s="11"/>
      <c r="E813" s="11"/>
      <c r="G813" s="11"/>
      <c r="I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>
      <c r="A814" s="11"/>
      <c r="B814" s="11"/>
      <c r="D814" s="11"/>
      <c r="E814" s="11"/>
      <c r="G814" s="11"/>
      <c r="I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>
      <c r="A815" s="11"/>
      <c r="B815" s="11"/>
      <c r="D815" s="11"/>
      <c r="E815" s="11"/>
      <c r="G815" s="11"/>
      <c r="I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>
      <c r="A816" s="11"/>
      <c r="B816" s="11"/>
      <c r="D816" s="11"/>
      <c r="E816" s="11"/>
      <c r="G816" s="11"/>
      <c r="I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>
      <c r="A817" s="11"/>
      <c r="B817" s="11"/>
      <c r="D817" s="11"/>
      <c r="E817" s="11"/>
      <c r="G817" s="11"/>
      <c r="I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>
      <c r="A818" s="11"/>
      <c r="B818" s="11"/>
      <c r="D818" s="11"/>
      <c r="E818" s="11"/>
      <c r="G818" s="11"/>
      <c r="I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>
      <c r="A819" s="11"/>
      <c r="B819" s="11"/>
      <c r="D819" s="11"/>
      <c r="E819" s="11"/>
      <c r="G819" s="11"/>
      <c r="I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>
      <c r="A820" s="11"/>
      <c r="B820" s="11"/>
      <c r="D820" s="11"/>
      <c r="E820" s="11"/>
      <c r="G820" s="11"/>
      <c r="I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>
      <c r="A821" s="11"/>
      <c r="B821" s="11"/>
      <c r="D821" s="11"/>
      <c r="E821" s="11"/>
      <c r="G821" s="11"/>
      <c r="I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>
      <c r="A822" s="11"/>
      <c r="B822" s="11"/>
      <c r="D822" s="11"/>
      <c r="E822" s="11"/>
      <c r="G822" s="11"/>
      <c r="I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>
      <c r="A823" s="11"/>
      <c r="B823" s="11"/>
      <c r="D823" s="11"/>
      <c r="E823" s="11"/>
      <c r="G823" s="11"/>
      <c r="I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>
      <c r="A824" s="11"/>
      <c r="B824" s="11"/>
      <c r="D824" s="11"/>
      <c r="E824" s="11"/>
      <c r="G824" s="11"/>
      <c r="I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>
      <c r="A825" s="11"/>
      <c r="B825" s="11"/>
      <c r="D825" s="11"/>
      <c r="E825" s="11"/>
      <c r="G825" s="11"/>
      <c r="I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>
      <c r="A826" s="11"/>
      <c r="B826" s="11"/>
      <c r="D826" s="11"/>
      <c r="E826" s="11"/>
      <c r="G826" s="11"/>
      <c r="I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>
      <c r="A827" s="11"/>
      <c r="B827" s="11"/>
      <c r="D827" s="11"/>
      <c r="E827" s="11"/>
      <c r="G827" s="11"/>
      <c r="I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>
      <c r="A828" s="11"/>
      <c r="B828" s="11"/>
      <c r="D828" s="11"/>
      <c r="E828" s="11"/>
      <c r="G828" s="11"/>
      <c r="I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>
      <c r="A829" s="11"/>
      <c r="B829" s="11"/>
      <c r="D829" s="11"/>
      <c r="E829" s="11"/>
      <c r="G829" s="11"/>
      <c r="I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>
      <c r="A830" s="11"/>
      <c r="B830" s="11"/>
      <c r="D830" s="11"/>
      <c r="E830" s="11"/>
      <c r="G830" s="11"/>
      <c r="I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>
      <c r="A831" s="11"/>
      <c r="B831" s="11"/>
      <c r="D831" s="11"/>
      <c r="E831" s="11"/>
      <c r="G831" s="11"/>
      <c r="I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>
      <c r="A832" s="11"/>
      <c r="B832" s="11"/>
      <c r="D832" s="11"/>
      <c r="E832" s="11"/>
      <c r="G832" s="11"/>
      <c r="I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>
      <c r="A833" s="11"/>
      <c r="B833" s="11"/>
      <c r="D833" s="11"/>
      <c r="E833" s="11"/>
      <c r="G833" s="11"/>
      <c r="I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>
      <c r="A834" s="11"/>
      <c r="B834" s="11"/>
      <c r="D834" s="11"/>
      <c r="E834" s="11"/>
      <c r="G834" s="11"/>
      <c r="I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>
      <c r="A835" s="11"/>
      <c r="B835" s="11"/>
      <c r="D835" s="11"/>
      <c r="E835" s="11"/>
      <c r="G835" s="11"/>
      <c r="I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>
      <c r="A836" s="11"/>
      <c r="B836" s="11"/>
      <c r="D836" s="11"/>
      <c r="E836" s="11"/>
      <c r="G836" s="11"/>
      <c r="I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>
      <c r="A837" s="11"/>
      <c r="B837" s="11"/>
      <c r="D837" s="11"/>
      <c r="E837" s="11"/>
      <c r="G837" s="11"/>
      <c r="I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>
      <c r="A838" s="11"/>
      <c r="B838" s="11"/>
      <c r="D838" s="11"/>
      <c r="E838" s="11"/>
      <c r="G838" s="11"/>
      <c r="I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>
      <c r="A839" s="11"/>
      <c r="B839" s="11"/>
      <c r="D839" s="11"/>
      <c r="E839" s="11"/>
      <c r="G839" s="11"/>
      <c r="I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>
      <c r="A840" s="11"/>
      <c r="B840" s="11"/>
      <c r="D840" s="11"/>
      <c r="E840" s="11"/>
      <c r="G840" s="11"/>
      <c r="I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>
      <c r="A841" s="11"/>
      <c r="B841" s="11"/>
      <c r="D841" s="11"/>
      <c r="E841" s="11"/>
      <c r="G841" s="11"/>
      <c r="I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>
      <c r="A842" s="11"/>
      <c r="B842" s="11"/>
      <c r="D842" s="11"/>
      <c r="E842" s="11"/>
      <c r="G842" s="11"/>
      <c r="I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>
      <c r="A843" s="11"/>
      <c r="B843" s="11"/>
      <c r="D843" s="11"/>
      <c r="E843" s="11"/>
      <c r="G843" s="11"/>
      <c r="I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>
      <c r="A844" s="11"/>
      <c r="B844" s="11"/>
      <c r="D844" s="11"/>
      <c r="E844" s="11"/>
      <c r="G844" s="11"/>
      <c r="I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>
      <c r="A845" s="11"/>
      <c r="B845" s="11"/>
      <c r="D845" s="11"/>
      <c r="E845" s="11"/>
      <c r="G845" s="11"/>
      <c r="I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>
      <c r="A846" s="11"/>
      <c r="B846" s="11"/>
      <c r="D846" s="11"/>
      <c r="E846" s="11"/>
      <c r="G846" s="11"/>
      <c r="I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>
      <c r="A847" s="11"/>
      <c r="B847" s="11"/>
      <c r="D847" s="11"/>
      <c r="E847" s="11"/>
      <c r="G847" s="11"/>
      <c r="I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>
      <c r="A848" s="11"/>
      <c r="B848" s="11"/>
      <c r="D848" s="11"/>
      <c r="E848" s="11"/>
      <c r="G848" s="11"/>
      <c r="I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>
      <c r="A849" s="11"/>
      <c r="B849" s="11"/>
      <c r="D849" s="11"/>
      <c r="E849" s="11"/>
      <c r="G849" s="11"/>
      <c r="I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>
      <c r="A850" s="11"/>
      <c r="B850" s="11"/>
      <c r="D850" s="11"/>
      <c r="E850" s="11"/>
      <c r="G850" s="11"/>
      <c r="I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>
      <c r="A851" s="11"/>
      <c r="B851" s="11"/>
      <c r="D851" s="11"/>
      <c r="E851" s="11"/>
      <c r="G851" s="11"/>
      <c r="I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>
      <c r="A852" s="11"/>
      <c r="B852" s="11"/>
      <c r="D852" s="11"/>
      <c r="E852" s="11"/>
      <c r="G852" s="11"/>
      <c r="I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>
      <c r="A853" s="11"/>
      <c r="B853" s="11"/>
      <c r="D853" s="11"/>
      <c r="E853" s="11"/>
      <c r="G853" s="11"/>
      <c r="I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>
      <c r="A854" s="11"/>
      <c r="B854" s="11"/>
      <c r="D854" s="11"/>
      <c r="E854" s="11"/>
      <c r="G854" s="11"/>
      <c r="I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>
      <c r="A855" s="11"/>
      <c r="B855" s="11"/>
      <c r="D855" s="11"/>
      <c r="E855" s="11"/>
      <c r="G855" s="11"/>
      <c r="I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>
      <c r="A856" s="11"/>
      <c r="B856" s="11"/>
      <c r="D856" s="11"/>
      <c r="E856" s="11"/>
      <c r="G856" s="11"/>
      <c r="I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>
      <c r="A857" s="11"/>
      <c r="B857" s="11"/>
      <c r="D857" s="11"/>
      <c r="E857" s="11"/>
      <c r="G857" s="11"/>
      <c r="I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>
      <c r="A858" s="11"/>
      <c r="B858" s="11"/>
      <c r="D858" s="11"/>
      <c r="E858" s="11"/>
      <c r="G858" s="11"/>
      <c r="I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>
      <c r="A859" s="11"/>
      <c r="B859" s="11"/>
      <c r="D859" s="11"/>
      <c r="E859" s="11"/>
      <c r="G859" s="11"/>
      <c r="I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>
      <c r="A860" s="11"/>
      <c r="B860" s="11"/>
      <c r="D860" s="11"/>
      <c r="E860" s="11"/>
      <c r="G860" s="11"/>
      <c r="I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>
      <c r="A861" s="11"/>
      <c r="B861" s="11"/>
      <c r="D861" s="11"/>
      <c r="E861" s="11"/>
      <c r="G861" s="11"/>
      <c r="I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>
      <c r="A862" s="11"/>
      <c r="B862" s="11"/>
      <c r="D862" s="11"/>
      <c r="E862" s="11"/>
      <c r="G862" s="11"/>
      <c r="I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>
      <c r="A863" s="11"/>
      <c r="B863" s="11"/>
      <c r="D863" s="11"/>
      <c r="E863" s="11"/>
      <c r="G863" s="11"/>
      <c r="I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>
      <c r="A864" s="11"/>
      <c r="B864" s="11"/>
      <c r="D864" s="11"/>
      <c r="E864" s="11"/>
      <c r="G864" s="11"/>
      <c r="I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>
      <c r="A865" s="11"/>
      <c r="B865" s="11"/>
      <c r="D865" s="11"/>
      <c r="E865" s="11"/>
      <c r="G865" s="11"/>
      <c r="I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>
      <c r="A866" s="11"/>
      <c r="B866" s="11"/>
      <c r="D866" s="11"/>
      <c r="E866" s="11"/>
      <c r="G866" s="11"/>
      <c r="I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>
      <c r="A867" s="11"/>
      <c r="B867" s="11"/>
      <c r="D867" s="11"/>
      <c r="E867" s="11"/>
      <c r="G867" s="11"/>
      <c r="I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>
      <c r="A868" s="11"/>
      <c r="B868" s="11"/>
      <c r="D868" s="11"/>
      <c r="E868" s="11"/>
      <c r="G868" s="11"/>
      <c r="I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>
      <c r="A869" s="11"/>
      <c r="B869" s="11"/>
      <c r="D869" s="11"/>
      <c r="E869" s="11"/>
      <c r="G869" s="11"/>
      <c r="I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>
      <c r="A870" s="11"/>
      <c r="B870" s="11"/>
      <c r="D870" s="11"/>
      <c r="E870" s="11"/>
      <c r="G870" s="11"/>
      <c r="I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>
      <c r="A871" s="11"/>
      <c r="B871" s="11"/>
      <c r="D871" s="11"/>
      <c r="E871" s="11"/>
      <c r="G871" s="11"/>
      <c r="I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>
      <c r="A872" s="11"/>
      <c r="B872" s="11"/>
      <c r="D872" s="11"/>
      <c r="E872" s="11"/>
      <c r="G872" s="11"/>
      <c r="I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>
      <c r="A873" s="11"/>
      <c r="B873" s="11"/>
      <c r="D873" s="11"/>
      <c r="E873" s="11"/>
      <c r="G873" s="11"/>
      <c r="I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>
      <c r="A874" s="11"/>
      <c r="B874" s="11"/>
      <c r="D874" s="11"/>
      <c r="E874" s="11"/>
      <c r="G874" s="11"/>
      <c r="I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>
      <c r="A875" s="11"/>
      <c r="B875" s="11"/>
      <c r="D875" s="11"/>
      <c r="E875" s="11"/>
      <c r="G875" s="11"/>
      <c r="I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>
      <c r="A876" s="11"/>
      <c r="B876" s="11"/>
      <c r="D876" s="11"/>
      <c r="E876" s="11"/>
      <c r="G876" s="11"/>
      <c r="I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>
      <c r="A877" s="11"/>
      <c r="B877" s="11"/>
      <c r="D877" s="11"/>
      <c r="E877" s="11"/>
      <c r="G877" s="11"/>
      <c r="I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>
      <c r="A878" s="11"/>
      <c r="B878" s="11"/>
      <c r="D878" s="11"/>
      <c r="E878" s="11"/>
      <c r="G878" s="11"/>
      <c r="I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>
      <c r="A879" s="11"/>
      <c r="B879" s="11"/>
      <c r="D879" s="11"/>
      <c r="E879" s="11"/>
      <c r="G879" s="11"/>
      <c r="I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>
      <c r="A880" s="11"/>
      <c r="B880" s="11"/>
      <c r="D880" s="11"/>
      <c r="E880" s="11"/>
      <c r="G880" s="11"/>
      <c r="I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>
      <c r="A881" s="11"/>
      <c r="B881" s="11"/>
      <c r="D881" s="11"/>
      <c r="E881" s="11"/>
      <c r="G881" s="11"/>
      <c r="I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>
      <c r="A882" s="11"/>
      <c r="B882" s="11"/>
      <c r="D882" s="11"/>
      <c r="E882" s="11"/>
      <c r="G882" s="11"/>
      <c r="I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>
      <c r="A883" s="11"/>
      <c r="B883" s="11"/>
      <c r="D883" s="11"/>
      <c r="E883" s="11"/>
      <c r="G883" s="11"/>
      <c r="I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>
      <c r="A884" s="11"/>
      <c r="B884" s="11"/>
      <c r="D884" s="11"/>
      <c r="E884" s="11"/>
      <c r="G884" s="11"/>
      <c r="I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>
      <c r="A885" s="11"/>
      <c r="B885" s="11"/>
      <c r="D885" s="11"/>
      <c r="E885" s="11"/>
      <c r="G885" s="11"/>
      <c r="I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>
      <c r="A886" s="11"/>
      <c r="B886" s="11"/>
      <c r="D886" s="11"/>
      <c r="E886" s="11"/>
      <c r="G886" s="11"/>
      <c r="I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>
      <c r="A887" s="11"/>
      <c r="B887" s="11"/>
      <c r="D887" s="11"/>
      <c r="E887" s="11"/>
      <c r="G887" s="11"/>
      <c r="I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>
      <c r="A888" s="11"/>
      <c r="B888" s="11"/>
      <c r="D888" s="11"/>
      <c r="E888" s="11"/>
      <c r="G888" s="11"/>
      <c r="I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>
      <c r="A889" s="11"/>
      <c r="B889" s="11"/>
      <c r="D889" s="11"/>
      <c r="E889" s="11"/>
      <c r="G889" s="11"/>
      <c r="I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>
      <c r="A890" s="11"/>
      <c r="B890" s="11"/>
      <c r="D890" s="11"/>
      <c r="E890" s="11"/>
      <c r="G890" s="11"/>
      <c r="I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>
      <c r="A891" s="11"/>
      <c r="B891" s="11"/>
      <c r="D891" s="11"/>
      <c r="E891" s="11"/>
      <c r="G891" s="11"/>
      <c r="I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>
      <c r="A892" s="11"/>
      <c r="B892" s="11"/>
      <c r="D892" s="11"/>
      <c r="E892" s="11"/>
      <c r="G892" s="11"/>
      <c r="I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>
      <c r="A893" s="11"/>
      <c r="B893" s="11"/>
      <c r="D893" s="11"/>
      <c r="E893" s="11"/>
      <c r="G893" s="11"/>
      <c r="I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>
      <c r="A894" s="11"/>
      <c r="B894" s="11"/>
      <c r="D894" s="11"/>
      <c r="E894" s="11"/>
      <c r="G894" s="11"/>
      <c r="I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>
      <c r="A895" s="11"/>
      <c r="B895" s="11"/>
      <c r="D895" s="11"/>
      <c r="E895" s="11"/>
      <c r="G895" s="11"/>
      <c r="I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>
      <c r="A896" s="11"/>
      <c r="B896" s="11"/>
      <c r="D896" s="11"/>
      <c r="E896" s="11"/>
      <c r="G896" s="11"/>
      <c r="I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>
      <c r="A897" s="11"/>
      <c r="B897" s="11"/>
      <c r="D897" s="11"/>
      <c r="E897" s="11"/>
      <c r="G897" s="11"/>
      <c r="I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>
      <c r="A898" s="11"/>
      <c r="B898" s="11"/>
      <c r="D898" s="11"/>
      <c r="E898" s="11"/>
      <c r="G898" s="11"/>
      <c r="I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>
      <c r="A899" s="11"/>
      <c r="B899" s="11"/>
      <c r="D899" s="11"/>
      <c r="E899" s="11"/>
      <c r="G899" s="11"/>
      <c r="I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>
      <c r="A900" s="11"/>
      <c r="B900" s="11"/>
      <c r="D900" s="11"/>
      <c r="E900" s="11"/>
      <c r="G900" s="11"/>
      <c r="I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>
      <c r="A901" s="11"/>
      <c r="B901" s="11"/>
      <c r="D901" s="11"/>
      <c r="E901" s="11"/>
      <c r="G901" s="11"/>
      <c r="I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>
      <c r="A902" s="11"/>
      <c r="B902" s="11"/>
      <c r="D902" s="11"/>
      <c r="E902" s="11"/>
      <c r="G902" s="11"/>
      <c r="I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>
      <c r="A903" s="11"/>
      <c r="B903" s="11"/>
      <c r="D903" s="11"/>
      <c r="E903" s="11"/>
      <c r="G903" s="11"/>
      <c r="I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>
      <c r="A904" s="11"/>
      <c r="B904" s="11"/>
      <c r="D904" s="11"/>
      <c r="E904" s="11"/>
      <c r="G904" s="11"/>
      <c r="I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>
      <c r="A905" s="11"/>
      <c r="B905" s="11"/>
      <c r="D905" s="11"/>
      <c r="E905" s="11"/>
      <c r="G905" s="11"/>
      <c r="I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>
      <c r="A906" s="11"/>
      <c r="B906" s="11"/>
      <c r="D906" s="11"/>
      <c r="E906" s="11"/>
      <c r="G906" s="11"/>
      <c r="I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>
      <c r="A907" s="11"/>
      <c r="B907" s="11"/>
      <c r="D907" s="11"/>
      <c r="E907" s="11"/>
      <c r="G907" s="11"/>
      <c r="I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>
      <c r="A908" s="11"/>
      <c r="B908" s="11"/>
      <c r="D908" s="11"/>
      <c r="E908" s="11"/>
      <c r="G908" s="11"/>
      <c r="I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>
      <c r="A909" s="11"/>
      <c r="B909" s="11"/>
      <c r="D909" s="11"/>
      <c r="E909" s="11"/>
      <c r="G909" s="11"/>
      <c r="I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>
      <c r="A910" s="11"/>
      <c r="B910" s="11"/>
      <c r="D910" s="11"/>
      <c r="E910" s="11"/>
      <c r="G910" s="11"/>
      <c r="I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>
      <c r="A911" s="11"/>
      <c r="B911" s="11"/>
      <c r="D911" s="11"/>
      <c r="E911" s="11"/>
      <c r="G911" s="11"/>
      <c r="I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>
      <c r="A912" s="11"/>
      <c r="B912" s="11"/>
      <c r="D912" s="11"/>
      <c r="E912" s="11"/>
      <c r="G912" s="11"/>
      <c r="I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>
      <c r="A913" s="11"/>
      <c r="B913" s="11"/>
      <c r="D913" s="11"/>
      <c r="E913" s="11"/>
      <c r="G913" s="11"/>
      <c r="I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>
      <c r="A914" s="11"/>
      <c r="B914" s="11"/>
      <c r="D914" s="11"/>
      <c r="E914" s="11"/>
      <c r="G914" s="11"/>
      <c r="I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>
      <c r="A915" s="11"/>
      <c r="B915" s="11"/>
      <c r="D915" s="11"/>
      <c r="E915" s="11"/>
      <c r="G915" s="11"/>
      <c r="I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>
      <c r="A916" s="11"/>
      <c r="B916" s="11"/>
      <c r="D916" s="11"/>
      <c r="E916" s="11"/>
      <c r="G916" s="11"/>
      <c r="I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>
      <c r="A917" s="11"/>
      <c r="B917" s="11"/>
      <c r="D917" s="11"/>
      <c r="E917" s="11"/>
      <c r="G917" s="11"/>
      <c r="I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>
      <c r="A918" s="11"/>
      <c r="B918" s="11"/>
      <c r="D918" s="11"/>
      <c r="E918" s="11"/>
      <c r="G918" s="11"/>
      <c r="I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>
      <c r="A919" s="11"/>
      <c r="B919" s="11"/>
      <c r="D919" s="11"/>
      <c r="E919" s="11"/>
      <c r="G919" s="11"/>
      <c r="I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>
      <c r="A920" s="11"/>
      <c r="B920" s="11"/>
      <c r="D920" s="11"/>
      <c r="E920" s="11"/>
      <c r="G920" s="11"/>
      <c r="I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>
      <c r="A921" s="11"/>
      <c r="B921" s="11"/>
      <c r="D921" s="11"/>
      <c r="E921" s="11"/>
      <c r="G921" s="11"/>
      <c r="I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>
      <c r="A922" s="11"/>
      <c r="B922" s="11"/>
      <c r="D922" s="11"/>
      <c r="E922" s="11"/>
      <c r="G922" s="11"/>
      <c r="I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>
      <c r="A923" s="11"/>
      <c r="B923" s="11"/>
      <c r="D923" s="11"/>
      <c r="E923" s="11"/>
      <c r="G923" s="11"/>
      <c r="I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>
      <c r="A924" s="11"/>
      <c r="B924" s="11"/>
      <c r="D924" s="11"/>
      <c r="E924" s="11"/>
      <c r="G924" s="11"/>
      <c r="I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>
      <c r="A925" s="11"/>
      <c r="B925" s="11"/>
      <c r="D925" s="11"/>
      <c r="E925" s="11"/>
      <c r="G925" s="11"/>
      <c r="I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>
      <c r="A926" s="11"/>
      <c r="B926" s="11"/>
      <c r="D926" s="11"/>
      <c r="E926" s="11"/>
      <c r="G926" s="11"/>
      <c r="I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>
      <c r="A927" s="11"/>
      <c r="B927" s="11"/>
      <c r="D927" s="11"/>
      <c r="E927" s="11"/>
      <c r="G927" s="11"/>
      <c r="I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>
      <c r="A928" s="11"/>
      <c r="B928" s="11"/>
      <c r="D928" s="11"/>
      <c r="E928" s="11"/>
      <c r="G928" s="11"/>
      <c r="I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>
      <c r="A929" s="11"/>
      <c r="B929" s="11"/>
      <c r="D929" s="11"/>
      <c r="E929" s="11"/>
      <c r="G929" s="11"/>
      <c r="I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>
      <c r="A930" s="11"/>
      <c r="B930" s="11"/>
      <c r="D930" s="11"/>
      <c r="E930" s="11"/>
      <c r="G930" s="11"/>
      <c r="I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>
      <c r="A931" s="11"/>
      <c r="B931" s="11"/>
      <c r="D931" s="11"/>
      <c r="E931" s="11"/>
      <c r="G931" s="11"/>
      <c r="I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>
      <c r="A932" s="11"/>
      <c r="B932" s="11"/>
      <c r="D932" s="11"/>
      <c r="E932" s="11"/>
      <c r="G932" s="11"/>
      <c r="I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>
      <c r="A933" s="11"/>
      <c r="B933" s="11"/>
      <c r="D933" s="11"/>
      <c r="E933" s="11"/>
      <c r="G933" s="11"/>
      <c r="I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>
      <c r="A934" s="11"/>
      <c r="B934" s="11"/>
      <c r="D934" s="11"/>
      <c r="E934" s="11"/>
      <c r="G934" s="11"/>
      <c r="I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>
      <c r="A935" s="11"/>
      <c r="B935" s="11"/>
      <c r="D935" s="11"/>
      <c r="E935" s="11"/>
      <c r="G935" s="11"/>
      <c r="I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>
      <c r="A936" s="11"/>
      <c r="B936" s="11"/>
      <c r="D936" s="11"/>
      <c r="E936" s="11"/>
      <c r="G936" s="11"/>
      <c r="I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>
      <c r="A937" s="11"/>
      <c r="B937" s="11"/>
      <c r="D937" s="11"/>
      <c r="E937" s="11"/>
      <c r="G937" s="11"/>
      <c r="I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>
      <c r="A938" s="11"/>
      <c r="B938" s="11"/>
      <c r="D938" s="11"/>
      <c r="E938" s="11"/>
      <c r="G938" s="11"/>
      <c r="I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>
      <c r="A939" s="11"/>
      <c r="B939" s="11"/>
      <c r="D939" s="11"/>
      <c r="E939" s="11"/>
      <c r="G939" s="11"/>
      <c r="I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>
      <c r="A940" s="11"/>
      <c r="B940" s="11"/>
      <c r="D940" s="11"/>
      <c r="E940" s="11"/>
      <c r="G940" s="11"/>
      <c r="I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>
      <c r="A941" s="11"/>
      <c r="B941" s="11"/>
      <c r="D941" s="11"/>
      <c r="E941" s="11"/>
      <c r="G941" s="11"/>
      <c r="I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>
      <c r="A942" s="11"/>
      <c r="B942" s="11"/>
      <c r="D942" s="11"/>
      <c r="E942" s="11"/>
      <c r="G942" s="11"/>
      <c r="I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>
      <c r="A943" s="11"/>
      <c r="B943" s="11"/>
      <c r="D943" s="11"/>
      <c r="E943" s="11"/>
      <c r="G943" s="11"/>
      <c r="I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>
      <c r="A944" s="11"/>
      <c r="B944" s="11"/>
      <c r="D944" s="11"/>
      <c r="E944" s="11"/>
      <c r="G944" s="11"/>
      <c r="I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>
      <c r="A945" s="11"/>
      <c r="B945" s="11"/>
      <c r="D945" s="11"/>
      <c r="E945" s="11"/>
      <c r="G945" s="11"/>
      <c r="I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>
      <c r="A946" s="11"/>
      <c r="B946" s="11"/>
      <c r="D946" s="11"/>
      <c r="E946" s="11"/>
      <c r="G946" s="11"/>
      <c r="I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>
      <c r="A947" s="11"/>
      <c r="B947" s="11"/>
      <c r="D947" s="11"/>
      <c r="E947" s="11"/>
      <c r="G947" s="11"/>
      <c r="I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>
      <c r="A948" s="11"/>
      <c r="B948" s="11"/>
      <c r="D948" s="11"/>
      <c r="E948" s="11"/>
      <c r="G948" s="11"/>
      <c r="I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>
      <c r="A949" s="11"/>
      <c r="B949" s="11"/>
      <c r="D949" s="11"/>
      <c r="E949" s="11"/>
      <c r="G949" s="11"/>
      <c r="I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>
      <c r="A950" s="11"/>
      <c r="B950" s="11"/>
      <c r="D950" s="11"/>
      <c r="E950" s="11"/>
      <c r="G950" s="11"/>
      <c r="I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>
      <c r="A951" s="11"/>
      <c r="B951" s="11"/>
      <c r="D951" s="11"/>
      <c r="E951" s="11"/>
      <c r="G951" s="11"/>
      <c r="I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>
      <c r="A952" s="11"/>
      <c r="B952" s="11"/>
      <c r="D952" s="11"/>
      <c r="E952" s="11"/>
      <c r="G952" s="11"/>
      <c r="I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>
      <c r="A953" s="11"/>
      <c r="B953" s="11"/>
      <c r="D953" s="11"/>
      <c r="E953" s="11"/>
      <c r="G953" s="11"/>
      <c r="I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>
      <c r="A954" s="11"/>
      <c r="B954" s="11"/>
      <c r="D954" s="11"/>
      <c r="E954" s="11"/>
      <c r="G954" s="11"/>
      <c r="I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>
      <c r="A955" s="11"/>
      <c r="B955" s="11"/>
      <c r="D955" s="11"/>
      <c r="E955" s="11"/>
      <c r="G955" s="11"/>
      <c r="I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>
      <c r="A956" s="11"/>
      <c r="B956" s="11"/>
      <c r="D956" s="11"/>
      <c r="E956" s="11"/>
      <c r="G956" s="11"/>
      <c r="I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>
      <c r="A957" s="11"/>
      <c r="B957" s="11"/>
      <c r="D957" s="11"/>
      <c r="E957" s="11"/>
      <c r="G957" s="11"/>
      <c r="I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>
      <c r="A958" s="11"/>
      <c r="B958" s="11"/>
      <c r="D958" s="11"/>
      <c r="E958" s="11"/>
      <c r="G958" s="11"/>
      <c r="I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>
      <c r="A959" s="11"/>
      <c r="B959" s="11"/>
      <c r="D959" s="11"/>
      <c r="E959" s="11"/>
      <c r="G959" s="11"/>
      <c r="I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>
      <c r="A960" s="11"/>
      <c r="B960" s="11"/>
      <c r="D960" s="11"/>
      <c r="E960" s="11"/>
      <c r="G960" s="11"/>
      <c r="I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>
      <c r="A961" s="11"/>
      <c r="B961" s="11"/>
      <c r="D961" s="11"/>
      <c r="E961" s="11"/>
      <c r="G961" s="11"/>
      <c r="I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>
      <c r="A962" s="11"/>
      <c r="B962" s="11"/>
      <c r="D962" s="11"/>
      <c r="E962" s="11"/>
      <c r="G962" s="11"/>
      <c r="I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>
      <c r="A963" s="11"/>
      <c r="B963" s="11"/>
      <c r="D963" s="11"/>
      <c r="E963" s="11"/>
      <c r="G963" s="11"/>
      <c r="I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>
      <c r="A964" s="11"/>
      <c r="B964" s="11"/>
      <c r="D964" s="11"/>
      <c r="E964" s="11"/>
      <c r="G964" s="11"/>
      <c r="I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>
      <c r="A965" s="11"/>
      <c r="B965" s="11"/>
      <c r="D965" s="11"/>
      <c r="E965" s="11"/>
      <c r="G965" s="11"/>
      <c r="I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>
      <c r="A966" s="11"/>
      <c r="B966" s="11"/>
      <c r="D966" s="11"/>
      <c r="E966" s="11"/>
      <c r="G966" s="11"/>
      <c r="I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>
      <c r="A967" s="11"/>
      <c r="B967" s="11"/>
      <c r="D967" s="11"/>
      <c r="E967" s="11"/>
      <c r="G967" s="11"/>
      <c r="I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>
      <c r="A968" s="11"/>
      <c r="B968" s="11"/>
      <c r="D968" s="11"/>
      <c r="E968" s="11"/>
      <c r="G968" s="11"/>
      <c r="I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>
      <c r="A969" s="11"/>
      <c r="B969" s="11"/>
      <c r="D969" s="11"/>
      <c r="E969" s="11"/>
      <c r="G969" s="11"/>
      <c r="I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>
      <c r="A970" s="11"/>
      <c r="B970" s="11"/>
      <c r="D970" s="11"/>
      <c r="E970" s="11"/>
      <c r="G970" s="11"/>
      <c r="I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>
      <c r="A971" s="11"/>
      <c r="B971" s="11"/>
      <c r="D971" s="11"/>
      <c r="E971" s="11"/>
      <c r="G971" s="11"/>
      <c r="I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>
      <c r="A972" s="11"/>
      <c r="B972" s="11"/>
      <c r="D972" s="11"/>
      <c r="E972" s="11"/>
      <c r="G972" s="11"/>
      <c r="I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>
      <c r="A973" s="11"/>
      <c r="B973" s="11"/>
      <c r="D973" s="11"/>
      <c r="E973" s="11"/>
      <c r="G973" s="11"/>
      <c r="I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>
      <c r="A974" s="11"/>
      <c r="B974" s="11"/>
      <c r="D974" s="11"/>
      <c r="E974" s="11"/>
      <c r="G974" s="11"/>
      <c r="I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>
      <c r="A975" s="11"/>
      <c r="B975" s="11"/>
      <c r="D975" s="11"/>
      <c r="E975" s="11"/>
      <c r="G975" s="11"/>
      <c r="I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>
      <c r="A976" s="11"/>
      <c r="B976" s="11"/>
      <c r="D976" s="11"/>
      <c r="E976" s="11"/>
      <c r="G976" s="11"/>
      <c r="I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>
      <c r="A977" s="11"/>
      <c r="B977" s="11"/>
      <c r="D977" s="11"/>
      <c r="E977" s="11"/>
      <c r="G977" s="11"/>
      <c r="I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>
      <c r="A978" s="11"/>
      <c r="B978" s="11"/>
      <c r="D978" s="11"/>
      <c r="E978" s="11"/>
      <c r="G978" s="11"/>
      <c r="I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>
      <c r="A979" s="11"/>
      <c r="B979" s="11"/>
      <c r="D979" s="11"/>
      <c r="E979" s="11"/>
      <c r="G979" s="11"/>
      <c r="I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>
      <c r="A980" s="11"/>
      <c r="B980" s="11"/>
      <c r="D980" s="11"/>
      <c r="E980" s="11"/>
      <c r="G980" s="11"/>
      <c r="I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>
      <c r="A981" s="11"/>
      <c r="B981" s="11"/>
      <c r="D981" s="11"/>
      <c r="E981" s="11"/>
      <c r="G981" s="11"/>
      <c r="I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>
      <c r="A982" s="11"/>
      <c r="B982" s="11"/>
      <c r="D982" s="11"/>
      <c r="E982" s="11"/>
      <c r="G982" s="11"/>
      <c r="I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>
      <c r="A983" s="11"/>
      <c r="B983" s="11"/>
      <c r="D983" s="11"/>
      <c r="E983" s="11"/>
      <c r="G983" s="11"/>
      <c r="I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>
      <c r="A984" s="11"/>
      <c r="B984" s="11"/>
      <c r="D984" s="11"/>
      <c r="E984" s="11"/>
      <c r="G984" s="11"/>
      <c r="I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>
      <c r="A985" s="11"/>
      <c r="B985" s="11"/>
      <c r="D985" s="11"/>
      <c r="E985" s="11"/>
      <c r="G985" s="11"/>
      <c r="I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>
      <c r="A986" s="11"/>
      <c r="B986" s="11"/>
      <c r="D986" s="11"/>
      <c r="E986" s="11"/>
      <c r="G986" s="11"/>
      <c r="I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>
      <c r="A987" s="11"/>
      <c r="B987" s="11"/>
      <c r="D987" s="11"/>
      <c r="E987" s="11"/>
      <c r="G987" s="11"/>
      <c r="I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>
      <c r="A988" s="11"/>
      <c r="B988" s="11"/>
      <c r="D988" s="11"/>
      <c r="E988" s="11"/>
      <c r="G988" s="11"/>
      <c r="I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>
      <c r="A989" s="11"/>
      <c r="B989" s="11"/>
      <c r="D989" s="11"/>
      <c r="E989" s="11"/>
      <c r="G989" s="11"/>
      <c r="I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>
      <c r="A990" s="11"/>
      <c r="B990" s="11"/>
      <c r="D990" s="11"/>
      <c r="E990" s="11"/>
      <c r="G990" s="11"/>
      <c r="I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>
      <c r="A991" s="11"/>
      <c r="B991" s="11"/>
      <c r="D991" s="11"/>
      <c r="E991" s="11"/>
      <c r="G991" s="11"/>
      <c r="I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>
      <c r="A992" s="11"/>
      <c r="B992" s="11"/>
      <c r="D992" s="11"/>
      <c r="E992" s="11"/>
      <c r="G992" s="11"/>
      <c r="I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>
      <c r="A993" s="11"/>
      <c r="B993" s="11"/>
      <c r="D993" s="11"/>
      <c r="E993" s="11"/>
      <c r="G993" s="11"/>
      <c r="I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>
      <c r="A994" s="11"/>
      <c r="B994" s="11"/>
      <c r="D994" s="11"/>
      <c r="E994" s="11"/>
      <c r="G994" s="11"/>
      <c r="I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>
      <c r="A995" s="11"/>
      <c r="B995" s="11"/>
      <c r="D995" s="11"/>
      <c r="E995" s="11"/>
      <c r="G995" s="11"/>
      <c r="I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>
      <c r="A996" s="11"/>
      <c r="B996" s="11"/>
      <c r="D996" s="11"/>
      <c r="E996" s="11"/>
      <c r="G996" s="11"/>
      <c r="I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>
      <c r="A997" s="11"/>
      <c r="B997" s="11"/>
      <c r="D997" s="11"/>
      <c r="E997" s="11"/>
      <c r="G997" s="11"/>
      <c r="I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>
      <c r="A998" s="11"/>
      <c r="B998" s="11"/>
      <c r="D998" s="11"/>
      <c r="E998" s="11"/>
      <c r="G998" s="11"/>
      <c r="I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>
      <c r="A999" s="11"/>
      <c r="B999" s="11"/>
      <c r="D999" s="11"/>
      <c r="E999" s="11"/>
      <c r="G999" s="11"/>
      <c r="I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>
      <c r="A1000" s="11"/>
      <c r="B1000" s="11"/>
      <c r="D1000" s="11"/>
      <c r="E1000" s="11"/>
      <c r="G1000" s="11"/>
      <c r="I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</sheetData>
  <mergeCells count="1">
    <mergeCell ref="M1:U1"/>
  </mergeCells>
  <conditionalFormatting sqref="A1:AD1">
    <cfRule type="notContainsBlanks" dxfId="1" priority="1">
      <formula>LEN(TRIM(A1))&gt;0</formula>
    </cfRule>
  </conditionalFormatting>
  <conditionalFormatting sqref="A1:AD1">
    <cfRule type="notContainsBlanks" dxfId="2" priority="2">
      <formula>LEN(TRIM(A1))&gt;0</formula>
    </cfRule>
  </conditionalFormatting>
  <conditionalFormatting sqref="A2:C1000 D2:E11 F2:U1000 D13:E1000">
    <cfRule type="notContainsBlanks" dxfId="0" priority="3">
      <formula>LEN(TRIM(A2))&gt;0</formula>
    </cfRule>
  </conditionalFormatting>
  <dataValidations>
    <dataValidation type="list" allowBlank="1" sqref="I2:I1000">
      <formula1>'All Courses'!$G:$G</formula1>
    </dataValidation>
    <dataValidation type="list" allowBlank="1" showInputMessage="1" prompt="Need the course in this format." sqref="A2:A1000">
      <formula1>'All Courses'!$A:$A</formula1>
    </dataValidation>
    <dataValidation type="list" allowBlank="1" sqref="M2:U1000">
      <formula1>'All Courses'!$A:$A</formula1>
    </dataValidation>
    <dataValidation type="list" allowBlank="1" showInputMessage="1" prompt="Its okay if it isnt one of the courses in the dropdown list." sqref="G2:G1000">
      <formula1>'All Courses'!$C:$C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4" max="4" width="33.43"/>
    <col customWidth="1" min="7" max="7" width="22.0"/>
    <col customWidth="1" min="8" max="8" width="19.86"/>
    <col customWidth="1" min="9" max="9" width="62.86"/>
    <col customWidth="1" min="13" max="13" width="64.29"/>
  </cols>
  <sheetData>
    <row r="1" ht="213.0" customHeight="1">
      <c r="A1" s="1" t="s">
        <v>123</v>
      </c>
      <c r="B1" s="1" t="s">
        <v>1</v>
      </c>
      <c r="C1" s="2"/>
      <c r="D1" s="3" t="s">
        <v>112</v>
      </c>
      <c r="E1" s="1" t="s">
        <v>3</v>
      </c>
      <c r="F1" s="4"/>
      <c r="G1" s="1" t="s">
        <v>124</v>
      </c>
      <c r="H1" s="5"/>
      <c r="I1" s="1" t="s">
        <v>125</v>
      </c>
      <c r="J1" s="2"/>
      <c r="K1" s="3" t="s">
        <v>6</v>
      </c>
      <c r="L1" s="3" t="s">
        <v>7</v>
      </c>
      <c r="M1" s="6" t="s">
        <v>126</v>
      </c>
      <c r="N1" s="7"/>
      <c r="O1" s="7"/>
      <c r="P1" s="7"/>
      <c r="Q1" s="7"/>
      <c r="R1" s="7"/>
      <c r="S1" s="7"/>
      <c r="T1" s="7"/>
      <c r="U1" s="8"/>
      <c r="V1" s="2"/>
      <c r="W1" s="2"/>
      <c r="X1" s="2"/>
      <c r="Y1" s="2"/>
      <c r="Z1" s="2"/>
      <c r="AA1" s="2"/>
      <c r="AB1" s="2"/>
      <c r="AC1" s="2"/>
      <c r="AD1" s="2"/>
    </row>
    <row r="2">
      <c r="A2" s="9" t="s">
        <v>24</v>
      </c>
      <c r="B2" s="9">
        <v>7.0</v>
      </c>
      <c r="D2" s="9" t="s">
        <v>116</v>
      </c>
      <c r="E2" s="9">
        <v>0.0</v>
      </c>
      <c r="G2" s="9" t="s">
        <v>25</v>
      </c>
      <c r="H2" s="13"/>
      <c r="I2" s="9" t="s">
        <v>26</v>
      </c>
      <c r="K2" s="9">
        <v>0.0</v>
      </c>
      <c r="L2" s="9">
        <v>1.0</v>
      </c>
      <c r="M2" s="10" t="s">
        <v>27</v>
      </c>
      <c r="N2" s="10" t="s">
        <v>28</v>
      </c>
      <c r="O2" s="11"/>
      <c r="P2" s="11"/>
      <c r="Q2" s="11"/>
      <c r="R2" s="11"/>
      <c r="S2" s="11"/>
      <c r="T2" s="11"/>
      <c r="U2" s="11"/>
    </row>
    <row r="3">
      <c r="A3" s="9" t="s">
        <v>29</v>
      </c>
      <c r="B3" s="9">
        <v>10.0</v>
      </c>
      <c r="D3" s="10" t="s">
        <v>117</v>
      </c>
      <c r="E3" s="9">
        <v>0.0</v>
      </c>
      <c r="G3" s="9" t="s">
        <v>30</v>
      </c>
      <c r="H3" s="13"/>
      <c r="I3" s="9" t="s">
        <v>31</v>
      </c>
      <c r="K3" s="9">
        <v>0.0</v>
      </c>
      <c r="L3" s="9">
        <v>4.0</v>
      </c>
      <c r="M3" s="10" t="s">
        <v>27</v>
      </c>
      <c r="N3" s="10" t="s">
        <v>32</v>
      </c>
      <c r="O3" s="10" t="s">
        <v>28</v>
      </c>
      <c r="P3" s="10" t="s">
        <v>33</v>
      </c>
      <c r="Q3" s="10" t="s">
        <v>34</v>
      </c>
      <c r="R3" s="11"/>
      <c r="S3" s="11"/>
      <c r="T3" s="11"/>
      <c r="U3" s="11"/>
    </row>
    <row r="4">
      <c r="A4" s="9" t="s">
        <v>33</v>
      </c>
      <c r="B4" s="9">
        <v>7.0</v>
      </c>
      <c r="D4" s="10" t="s">
        <v>118</v>
      </c>
      <c r="E4" s="9">
        <v>0.0</v>
      </c>
      <c r="G4" s="9" t="s">
        <v>35</v>
      </c>
      <c r="H4" s="13"/>
      <c r="I4" s="9" t="s">
        <v>36</v>
      </c>
      <c r="K4" s="9">
        <v>1.0</v>
      </c>
      <c r="L4" s="9">
        <v>1.0</v>
      </c>
      <c r="M4" s="9" t="s">
        <v>29</v>
      </c>
      <c r="N4" s="11"/>
      <c r="O4" s="11"/>
      <c r="P4" s="11"/>
      <c r="Q4" s="11"/>
      <c r="R4" s="11"/>
      <c r="S4" s="11"/>
      <c r="T4" s="11"/>
      <c r="U4" s="11"/>
    </row>
    <row r="5" ht="15.75" customHeight="1">
      <c r="A5" s="9" t="s">
        <v>37</v>
      </c>
      <c r="B5" s="9">
        <v>8.0</v>
      </c>
      <c r="D5" s="10" t="s">
        <v>12</v>
      </c>
      <c r="E5" s="9">
        <v>0.0</v>
      </c>
      <c r="G5" s="9" t="s">
        <v>38</v>
      </c>
      <c r="H5" s="13"/>
      <c r="I5" s="9" t="s">
        <v>39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>
      <c r="A6" s="9" t="s">
        <v>34</v>
      </c>
      <c r="B6" s="9">
        <v>8.0</v>
      </c>
      <c r="D6" s="10" t="s">
        <v>119</v>
      </c>
      <c r="E6" s="9">
        <v>0.0</v>
      </c>
      <c r="G6" s="9" t="s">
        <v>40</v>
      </c>
      <c r="H6" s="13"/>
      <c r="I6" s="9" t="s">
        <v>41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>
      <c r="A7" s="9" t="s">
        <v>27</v>
      </c>
      <c r="B7" s="9">
        <v>8.0</v>
      </c>
      <c r="D7" s="10" t="s">
        <v>120</v>
      </c>
      <c r="E7" s="9">
        <v>0.0</v>
      </c>
      <c r="G7" s="9" t="s">
        <v>42</v>
      </c>
      <c r="H7" s="13"/>
      <c r="I7" s="9" t="s">
        <v>43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>
      <c r="A8" s="9" t="s">
        <v>44</v>
      </c>
      <c r="B8" s="9">
        <v>7.0</v>
      </c>
      <c r="D8" s="10" t="s">
        <v>121</v>
      </c>
      <c r="E8" s="9">
        <v>0.0</v>
      </c>
      <c r="G8" s="9" t="s">
        <v>45</v>
      </c>
      <c r="H8" s="13"/>
      <c r="I8" s="9" t="s">
        <v>46</v>
      </c>
      <c r="K8" s="9">
        <v>1.0</v>
      </c>
      <c r="L8" s="9">
        <v>1.0</v>
      </c>
      <c r="M8" s="9" t="s">
        <v>47</v>
      </c>
      <c r="N8" s="11"/>
      <c r="O8" s="11"/>
      <c r="P8" s="11"/>
      <c r="Q8" s="11"/>
      <c r="R8" s="11"/>
      <c r="S8" s="11"/>
      <c r="T8" s="11"/>
      <c r="U8" s="11"/>
    </row>
    <row r="9">
      <c r="A9" s="9" t="s">
        <v>32</v>
      </c>
      <c r="B9" s="9">
        <v>7.0</v>
      </c>
      <c r="D9" s="10" t="s">
        <v>122</v>
      </c>
      <c r="E9" s="9">
        <v>0.0</v>
      </c>
      <c r="G9" s="9" t="s">
        <v>48</v>
      </c>
      <c r="I9" s="11"/>
      <c r="K9" s="9">
        <v>3.0</v>
      </c>
      <c r="L9" s="9">
        <v>3.0</v>
      </c>
      <c r="M9" s="9" t="s">
        <v>49</v>
      </c>
      <c r="N9" s="11"/>
      <c r="O9" s="11"/>
      <c r="P9" s="11"/>
      <c r="Q9" s="11"/>
      <c r="R9" s="11"/>
      <c r="S9" s="11"/>
      <c r="T9" s="11"/>
      <c r="U9" s="11"/>
    </row>
    <row r="10">
      <c r="A10" s="9" t="s">
        <v>28</v>
      </c>
      <c r="B10" s="9">
        <v>8.0</v>
      </c>
      <c r="D10" s="9" t="s">
        <v>19</v>
      </c>
      <c r="E10" s="9" t="s">
        <v>57</v>
      </c>
      <c r="G10" s="9" t="s">
        <v>50</v>
      </c>
      <c r="I10" s="11"/>
      <c r="K10" s="9" t="s">
        <v>51</v>
      </c>
      <c r="L10" s="9" t="s">
        <v>52</v>
      </c>
      <c r="M10" s="9" t="s">
        <v>53</v>
      </c>
      <c r="N10" s="11"/>
      <c r="O10" s="11"/>
      <c r="P10" s="11"/>
      <c r="Q10" s="11"/>
      <c r="R10" s="11"/>
      <c r="S10" s="11"/>
      <c r="T10" s="11"/>
      <c r="U10" s="11"/>
    </row>
    <row r="11">
      <c r="A11" s="12" t="s">
        <v>54</v>
      </c>
      <c r="B11" s="9">
        <v>8.0</v>
      </c>
      <c r="D11" s="10"/>
      <c r="E11" s="9"/>
      <c r="G11" s="9" t="s">
        <v>55</v>
      </c>
      <c r="I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>
      <c r="A12" s="9" t="s">
        <v>56</v>
      </c>
      <c r="B12" s="9">
        <v>7.0</v>
      </c>
      <c r="D12" s="11"/>
      <c r="E12" s="11"/>
      <c r="G12" s="9" t="s">
        <v>58</v>
      </c>
      <c r="I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>
      <c r="A13" s="9" t="s">
        <v>59</v>
      </c>
      <c r="B13" s="9">
        <v>7.0</v>
      </c>
      <c r="D13" s="11"/>
      <c r="E13" s="11"/>
      <c r="G13" s="9" t="s">
        <v>60</v>
      </c>
      <c r="I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>
      <c r="A14" s="9" t="s">
        <v>61</v>
      </c>
      <c r="B14" s="9">
        <v>8.0</v>
      </c>
      <c r="D14" s="11"/>
      <c r="E14" s="11"/>
      <c r="G14" s="9" t="s">
        <v>62</v>
      </c>
      <c r="I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>
      <c r="A15" s="11"/>
      <c r="B15" s="11"/>
      <c r="D15" s="11"/>
      <c r="E15" s="11"/>
      <c r="G15" s="9" t="s">
        <v>63</v>
      </c>
      <c r="I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>
      <c r="A16" s="11"/>
      <c r="B16" s="11"/>
      <c r="D16" s="11"/>
      <c r="E16" s="11"/>
      <c r="G16" s="9" t="s">
        <v>64</v>
      </c>
      <c r="I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>
      <c r="A17" s="11"/>
      <c r="B17" s="11"/>
      <c r="D17" s="11"/>
      <c r="E17" s="11"/>
      <c r="G17" s="9" t="s">
        <v>65</v>
      </c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>
      <c r="A18" s="11"/>
      <c r="B18" s="11"/>
      <c r="D18" s="11"/>
      <c r="E18" s="11"/>
      <c r="G18" s="9" t="s">
        <v>66</v>
      </c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>
      <c r="A19" s="11"/>
      <c r="B19" s="11"/>
      <c r="D19" s="11"/>
      <c r="E19" s="11"/>
      <c r="G19" s="9" t="s">
        <v>67</v>
      </c>
      <c r="I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>
      <c r="A20" s="11"/>
      <c r="B20" s="11"/>
      <c r="D20" s="11"/>
      <c r="E20" s="11"/>
      <c r="G20" s="9" t="s">
        <v>68</v>
      </c>
      <c r="I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>
      <c r="A21" s="11"/>
      <c r="B21" s="11"/>
      <c r="D21" s="11"/>
      <c r="E21" s="11"/>
      <c r="G21" s="9" t="s">
        <v>69</v>
      </c>
      <c r="I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>
      <c r="A22" s="11"/>
      <c r="B22" s="11"/>
      <c r="D22" s="11"/>
      <c r="E22" s="11"/>
      <c r="G22" s="9" t="s">
        <v>70</v>
      </c>
      <c r="I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>
      <c r="A23" s="11"/>
      <c r="B23" s="11"/>
      <c r="D23" s="11"/>
      <c r="E23" s="11"/>
      <c r="G23" s="9" t="s">
        <v>71</v>
      </c>
      <c r="I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>
      <c r="A24" s="11"/>
      <c r="B24" s="11"/>
      <c r="D24" s="11"/>
      <c r="E24" s="11"/>
      <c r="G24" s="9" t="s">
        <v>72</v>
      </c>
      <c r="I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>
      <c r="A25" s="11"/>
      <c r="B25" s="11"/>
      <c r="D25" s="11"/>
      <c r="E25" s="11"/>
      <c r="G25" s="9" t="s">
        <v>73</v>
      </c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>
      <c r="A26" s="11"/>
      <c r="B26" s="11"/>
      <c r="D26" s="11"/>
      <c r="E26" s="11"/>
      <c r="G26" s="9" t="s">
        <v>74</v>
      </c>
      <c r="I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>
      <c r="A27" s="11"/>
      <c r="B27" s="11"/>
      <c r="D27" s="11"/>
      <c r="E27" s="11"/>
      <c r="G27" s="9" t="s">
        <v>75</v>
      </c>
      <c r="I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>
      <c r="A28" s="11"/>
      <c r="B28" s="11"/>
      <c r="D28" s="11"/>
      <c r="E28" s="11"/>
      <c r="G28" s="9" t="s">
        <v>76</v>
      </c>
      <c r="I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>
      <c r="A29" s="11"/>
      <c r="B29" s="11"/>
      <c r="D29" s="11"/>
      <c r="E29" s="11"/>
      <c r="G29" s="9" t="s">
        <v>77</v>
      </c>
      <c r="I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>
      <c r="A30" s="11"/>
      <c r="B30" s="11"/>
      <c r="D30" s="11"/>
      <c r="E30" s="11"/>
      <c r="G30" s="9" t="s">
        <v>78</v>
      </c>
      <c r="I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>
      <c r="A31" s="11"/>
      <c r="B31" s="11"/>
      <c r="D31" s="11"/>
      <c r="E31" s="11"/>
      <c r="G31" s="9" t="s">
        <v>69</v>
      </c>
      <c r="I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>
      <c r="A32" s="11"/>
      <c r="B32" s="11"/>
      <c r="D32" s="11"/>
      <c r="E32" s="11"/>
      <c r="G32" s="9" t="s">
        <v>79</v>
      </c>
      <c r="I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>
      <c r="A33" s="11"/>
      <c r="B33" s="11"/>
      <c r="D33" s="11"/>
      <c r="E33" s="11"/>
      <c r="G33" s="9" t="s">
        <v>80</v>
      </c>
      <c r="I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>
      <c r="A34" s="11"/>
      <c r="B34" s="11"/>
      <c r="D34" s="11"/>
      <c r="E34" s="11"/>
      <c r="G34" s="9" t="s">
        <v>81</v>
      </c>
      <c r="I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>
      <c r="A35" s="11"/>
      <c r="B35" s="11"/>
      <c r="D35" s="11"/>
      <c r="E35" s="11"/>
      <c r="G35" s="9" t="s">
        <v>82</v>
      </c>
      <c r="I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>
      <c r="A36" s="11"/>
      <c r="B36" s="11"/>
      <c r="D36" s="11"/>
      <c r="E36" s="11"/>
      <c r="G36" s="9" t="s">
        <v>83</v>
      </c>
      <c r="I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>
      <c r="A37" s="11"/>
      <c r="B37" s="11"/>
      <c r="D37" s="11"/>
      <c r="E37" s="11"/>
      <c r="G37" s="9" t="s">
        <v>84</v>
      </c>
      <c r="I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>
      <c r="A38" s="11"/>
      <c r="B38" s="11"/>
      <c r="D38" s="11"/>
      <c r="E38" s="11"/>
      <c r="G38" s="9" t="s">
        <v>85</v>
      </c>
      <c r="I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>
      <c r="A39" s="11"/>
      <c r="B39" s="11"/>
      <c r="D39" s="11"/>
      <c r="E39" s="11"/>
      <c r="G39" s="9" t="s">
        <v>86</v>
      </c>
      <c r="I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>
      <c r="A40" s="11"/>
      <c r="B40" s="11"/>
      <c r="D40" s="11"/>
      <c r="E40" s="11"/>
      <c r="G40" s="9" t="s">
        <v>87</v>
      </c>
      <c r="I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>
      <c r="A41" s="11"/>
      <c r="B41" s="11"/>
      <c r="D41" s="11"/>
      <c r="E41" s="11"/>
      <c r="G41" s="9" t="s">
        <v>88</v>
      </c>
      <c r="I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>
      <c r="A42" s="11"/>
      <c r="B42" s="11"/>
      <c r="D42" s="11"/>
      <c r="E42" s="11"/>
      <c r="G42" s="9" t="s">
        <v>89</v>
      </c>
      <c r="I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>
      <c r="A43" s="11"/>
      <c r="B43" s="11"/>
      <c r="D43" s="11"/>
      <c r="E43" s="11"/>
      <c r="G43" s="9" t="s">
        <v>90</v>
      </c>
      <c r="I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>
      <c r="A44" s="11"/>
      <c r="B44" s="11"/>
      <c r="D44" s="11"/>
      <c r="E44" s="11"/>
      <c r="G44" s="9" t="s">
        <v>91</v>
      </c>
      <c r="I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>
      <c r="A45" s="11"/>
      <c r="B45" s="11"/>
      <c r="D45" s="11"/>
      <c r="E45" s="11"/>
      <c r="G45" s="9" t="s">
        <v>92</v>
      </c>
      <c r="I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>
      <c r="A46" s="11"/>
      <c r="B46" s="11"/>
      <c r="D46" s="11"/>
      <c r="E46" s="11"/>
      <c r="G46" s="9" t="s">
        <v>93</v>
      </c>
      <c r="I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>
      <c r="A47" s="11"/>
      <c r="B47" s="11"/>
      <c r="D47" s="11"/>
      <c r="E47" s="11"/>
      <c r="G47" s="9" t="s">
        <v>94</v>
      </c>
      <c r="I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>
      <c r="A48" s="11"/>
      <c r="B48" s="11"/>
      <c r="D48" s="11"/>
      <c r="E48" s="11"/>
      <c r="G48" s="11"/>
      <c r="I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>
      <c r="A49" s="11"/>
      <c r="B49" s="11"/>
      <c r="D49" s="11"/>
      <c r="E49" s="11"/>
      <c r="G49" s="11"/>
      <c r="I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>
      <c r="A50" s="11"/>
      <c r="B50" s="11"/>
      <c r="D50" s="11"/>
      <c r="E50" s="11"/>
      <c r="G50" s="11"/>
      <c r="I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>
      <c r="A51" s="11"/>
      <c r="B51" s="11"/>
      <c r="D51" s="11"/>
      <c r="E51" s="11"/>
      <c r="G51" s="11"/>
      <c r="I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>
      <c r="A52" s="11"/>
      <c r="B52" s="11"/>
      <c r="D52" s="11"/>
      <c r="E52" s="11"/>
      <c r="G52" s="11"/>
      <c r="I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>
      <c r="A53" s="11"/>
      <c r="B53" s="11"/>
      <c r="D53" s="11"/>
      <c r="E53" s="11"/>
      <c r="G53" s="11"/>
      <c r="I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>
      <c r="A54" s="11"/>
      <c r="B54" s="11"/>
      <c r="D54" s="11"/>
      <c r="E54" s="11"/>
      <c r="G54" s="11"/>
      <c r="I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>
      <c r="A55" s="11"/>
      <c r="B55" s="11"/>
      <c r="D55" s="11"/>
      <c r="E55" s="11"/>
      <c r="G55" s="11"/>
      <c r="I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>
      <c r="A56" s="11"/>
      <c r="B56" s="11"/>
      <c r="D56" s="11"/>
      <c r="E56" s="11"/>
      <c r="G56" s="11"/>
      <c r="I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>
      <c r="A57" s="11"/>
      <c r="B57" s="11"/>
      <c r="D57" s="11"/>
      <c r="E57" s="11"/>
      <c r="G57" s="11"/>
      <c r="I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>
      <c r="A58" s="11"/>
      <c r="B58" s="11"/>
      <c r="D58" s="11"/>
      <c r="E58" s="11"/>
      <c r="G58" s="11"/>
      <c r="I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>
      <c r="A59" s="11"/>
      <c r="B59" s="11"/>
      <c r="D59" s="11"/>
      <c r="E59" s="11"/>
      <c r="G59" s="11"/>
      <c r="I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>
      <c r="A60" s="11"/>
      <c r="B60" s="11"/>
      <c r="D60" s="11"/>
      <c r="E60" s="11"/>
      <c r="G60" s="11"/>
      <c r="I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>
      <c r="A61" s="11"/>
      <c r="B61" s="11"/>
      <c r="D61" s="11"/>
      <c r="E61" s="11"/>
      <c r="G61" s="11"/>
      <c r="I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>
      <c r="A62" s="11"/>
      <c r="B62" s="11"/>
      <c r="D62" s="11"/>
      <c r="E62" s="11"/>
      <c r="G62" s="11"/>
      <c r="I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>
      <c r="A63" s="11"/>
      <c r="B63" s="11"/>
      <c r="D63" s="11"/>
      <c r="E63" s="11"/>
      <c r="G63" s="11"/>
      <c r="I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>
      <c r="A64" s="11"/>
      <c r="B64" s="11"/>
      <c r="D64" s="11"/>
      <c r="E64" s="11"/>
      <c r="G64" s="11"/>
      <c r="I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>
      <c r="A65" s="11"/>
      <c r="B65" s="11"/>
      <c r="D65" s="11"/>
      <c r="E65" s="11"/>
      <c r="G65" s="11"/>
      <c r="I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>
      <c r="A66" s="11"/>
      <c r="B66" s="11"/>
      <c r="D66" s="11"/>
      <c r="E66" s="11"/>
      <c r="G66" s="11"/>
      <c r="I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>
      <c r="A67" s="11"/>
      <c r="B67" s="11"/>
      <c r="D67" s="11"/>
      <c r="E67" s="11"/>
      <c r="G67" s="11"/>
      <c r="I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>
      <c r="A68" s="11"/>
      <c r="B68" s="11"/>
      <c r="D68" s="11"/>
      <c r="E68" s="11"/>
      <c r="G68" s="11"/>
      <c r="I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>
      <c r="A69" s="11"/>
      <c r="B69" s="11"/>
      <c r="D69" s="11"/>
      <c r="E69" s="11"/>
      <c r="G69" s="11"/>
      <c r="I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>
      <c r="A70" s="11"/>
      <c r="B70" s="11"/>
      <c r="D70" s="11"/>
      <c r="E70" s="11"/>
      <c r="G70" s="11"/>
      <c r="I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>
      <c r="A71" s="11"/>
      <c r="B71" s="11"/>
      <c r="D71" s="11"/>
      <c r="E71" s="11"/>
      <c r="G71" s="11"/>
      <c r="I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>
      <c r="A72" s="11"/>
      <c r="B72" s="11"/>
      <c r="D72" s="11"/>
      <c r="E72" s="11"/>
      <c r="G72" s="11"/>
      <c r="I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>
      <c r="A73" s="11"/>
      <c r="B73" s="11"/>
      <c r="D73" s="11"/>
      <c r="E73" s="11"/>
      <c r="G73" s="11"/>
      <c r="I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>
      <c r="A74" s="11"/>
      <c r="B74" s="11"/>
      <c r="D74" s="11"/>
      <c r="E74" s="11"/>
      <c r="G74" s="11"/>
      <c r="I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>
      <c r="A75" s="11"/>
      <c r="B75" s="11"/>
      <c r="D75" s="11"/>
      <c r="E75" s="11"/>
      <c r="G75" s="11"/>
      <c r="I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>
      <c r="A76" s="11"/>
      <c r="B76" s="11"/>
      <c r="D76" s="11"/>
      <c r="E76" s="11"/>
      <c r="G76" s="11"/>
      <c r="I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>
      <c r="A77" s="11"/>
      <c r="B77" s="11"/>
      <c r="D77" s="11"/>
      <c r="E77" s="11"/>
      <c r="G77" s="11"/>
      <c r="I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>
      <c r="A78" s="11"/>
      <c r="B78" s="11"/>
      <c r="D78" s="11"/>
      <c r="E78" s="11"/>
      <c r="G78" s="11"/>
      <c r="I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>
      <c r="A79" s="11"/>
      <c r="B79" s="11"/>
      <c r="D79" s="11"/>
      <c r="E79" s="11"/>
      <c r="G79" s="11"/>
      <c r="I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>
      <c r="A80" s="11"/>
      <c r="B80" s="11"/>
      <c r="D80" s="11"/>
      <c r="E80" s="11"/>
      <c r="G80" s="11"/>
      <c r="I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>
      <c r="A81" s="11"/>
      <c r="B81" s="11"/>
      <c r="D81" s="11"/>
      <c r="E81" s="11"/>
      <c r="G81" s="11"/>
      <c r="I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>
      <c r="A82" s="11"/>
      <c r="B82" s="11"/>
      <c r="D82" s="11"/>
      <c r="E82" s="11"/>
      <c r="G82" s="11"/>
      <c r="I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>
      <c r="A83" s="11"/>
      <c r="B83" s="11"/>
      <c r="D83" s="11"/>
      <c r="E83" s="11"/>
      <c r="G83" s="11"/>
      <c r="I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>
      <c r="A84" s="11"/>
      <c r="B84" s="11"/>
      <c r="D84" s="11"/>
      <c r="E84" s="11"/>
      <c r="G84" s="11"/>
      <c r="I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>
      <c r="A85" s="11"/>
      <c r="B85" s="11"/>
      <c r="D85" s="11"/>
      <c r="E85" s="11"/>
      <c r="G85" s="11"/>
      <c r="I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>
      <c r="A86" s="11"/>
      <c r="B86" s="11"/>
      <c r="D86" s="11"/>
      <c r="E86" s="11"/>
      <c r="G86" s="11"/>
      <c r="I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>
      <c r="A87" s="11"/>
      <c r="B87" s="11"/>
      <c r="D87" s="11"/>
      <c r="E87" s="11"/>
      <c r="G87" s="11"/>
      <c r="I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>
      <c r="A88" s="11"/>
      <c r="B88" s="11"/>
      <c r="D88" s="11"/>
      <c r="E88" s="11"/>
      <c r="G88" s="11"/>
      <c r="I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>
      <c r="A89" s="11"/>
      <c r="B89" s="11"/>
      <c r="D89" s="11"/>
      <c r="E89" s="11"/>
      <c r="G89" s="11"/>
      <c r="I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>
      <c r="A90" s="11"/>
      <c r="B90" s="11"/>
      <c r="D90" s="11"/>
      <c r="E90" s="11"/>
      <c r="G90" s="11"/>
      <c r="I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>
      <c r="A91" s="11"/>
      <c r="B91" s="11"/>
      <c r="D91" s="11"/>
      <c r="E91" s="11"/>
      <c r="G91" s="11"/>
      <c r="I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>
      <c r="A92" s="11"/>
      <c r="B92" s="11"/>
      <c r="D92" s="11"/>
      <c r="E92" s="11"/>
      <c r="G92" s="11"/>
      <c r="I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>
      <c r="A93" s="11"/>
      <c r="B93" s="11"/>
      <c r="D93" s="11"/>
      <c r="E93" s="11"/>
      <c r="G93" s="11"/>
      <c r="I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>
      <c r="A94" s="11"/>
      <c r="B94" s="11"/>
      <c r="D94" s="11"/>
      <c r="E94" s="11"/>
      <c r="G94" s="11"/>
      <c r="I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>
      <c r="A95" s="11"/>
      <c r="B95" s="11"/>
      <c r="D95" s="11"/>
      <c r="E95" s="11"/>
      <c r="G95" s="11"/>
      <c r="I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>
      <c r="A96" s="11"/>
      <c r="B96" s="11"/>
      <c r="D96" s="11"/>
      <c r="E96" s="11"/>
      <c r="G96" s="11"/>
      <c r="I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>
      <c r="A97" s="11"/>
      <c r="B97" s="11"/>
      <c r="D97" s="11"/>
      <c r="E97" s="11"/>
      <c r="G97" s="11"/>
      <c r="I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>
      <c r="A98" s="11"/>
      <c r="B98" s="11"/>
      <c r="D98" s="11"/>
      <c r="E98" s="11"/>
      <c r="G98" s="11"/>
      <c r="I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>
      <c r="A99" s="11"/>
      <c r="B99" s="11"/>
      <c r="D99" s="11"/>
      <c r="E99" s="11"/>
      <c r="G99" s="11"/>
      <c r="I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>
      <c r="A100" s="11"/>
      <c r="B100" s="11"/>
      <c r="D100" s="11"/>
      <c r="E100" s="11"/>
      <c r="G100" s="11"/>
      <c r="I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>
      <c r="A101" s="11"/>
      <c r="B101" s="11"/>
      <c r="D101" s="11"/>
      <c r="E101" s="11"/>
      <c r="G101" s="11"/>
      <c r="I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>
      <c r="A102" s="11"/>
      <c r="B102" s="11"/>
      <c r="D102" s="11"/>
      <c r="E102" s="11"/>
      <c r="G102" s="11"/>
      <c r="I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>
      <c r="A103" s="11"/>
      <c r="B103" s="11"/>
      <c r="D103" s="11"/>
      <c r="E103" s="11"/>
      <c r="G103" s="11"/>
      <c r="I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>
      <c r="A104" s="11"/>
      <c r="B104" s="11"/>
      <c r="D104" s="11"/>
      <c r="E104" s="11"/>
      <c r="G104" s="11"/>
      <c r="I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>
      <c r="A105" s="11"/>
      <c r="B105" s="11"/>
      <c r="D105" s="11"/>
      <c r="E105" s="11"/>
      <c r="G105" s="11"/>
      <c r="I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>
      <c r="A106" s="11"/>
      <c r="B106" s="11"/>
      <c r="D106" s="11"/>
      <c r="E106" s="11"/>
      <c r="G106" s="11"/>
      <c r="I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>
      <c r="A107" s="11"/>
      <c r="B107" s="11"/>
      <c r="D107" s="11"/>
      <c r="E107" s="11"/>
      <c r="G107" s="11"/>
      <c r="I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>
      <c r="A108" s="11"/>
      <c r="B108" s="11"/>
      <c r="D108" s="11"/>
      <c r="E108" s="11"/>
      <c r="G108" s="11"/>
      <c r="I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>
      <c r="A109" s="11"/>
      <c r="B109" s="11"/>
      <c r="D109" s="11"/>
      <c r="E109" s="11"/>
      <c r="G109" s="11"/>
      <c r="I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>
      <c r="A110" s="11"/>
      <c r="B110" s="11"/>
      <c r="D110" s="11"/>
      <c r="E110" s="11"/>
      <c r="G110" s="11"/>
      <c r="I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>
      <c r="A111" s="11"/>
      <c r="B111" s="11"/>
      <c r="D111" s="11"/>
      <c r="E111" s="11"/>
      <c r="G111" s="11"/>
      <c r="I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>
      <c r="A112" s="11"/>
      <c r="B112" s="11"/>
      <c r="D112" s="11"/>
      <c r="E112" s="11"/>
      <c r="G112" s="11"/>
      <c r="I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>
      <c r="A113" s="11"/>
      <c r="B113" s="11"/>
      <c r="D113" s="11"/>
      <c r="E113" s="11"/>
      <c r="G113" s="11"/>
      <c r="I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>
      <c r="A114" s="11"/>
      <c r="B114" s="11"/>
      <c r="D114" s="11"/>
      <c r="E114" s="11"/>
      <c r="G114" s="11"/>
      <c r="I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>
      <c r="A115" s="11"/>
      <c r="B115" s="11"/>
      <c r="D115" s="11"/>
      <c r="E115" s="11"/>
      <c r="G115" s="11"/>
      <c r="I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>
      <c r="A116" s="11"/>
      <c r="B116" s="11"/>
      <c r="D116" s="11"/>
      <c r="E116" s="11"/>
      <c r="G116" s="11"/>
      <c r="I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>
      <c r="A117" s="11"/>
      <c r="B117" s="11"/>
      <c r="D117" s="11"/>
      <c r="E117" s="11"/>
      <c r="G117" s="11"/>
      <c r="I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>
      <c r="A118" s="11"/>
      <c r="B118" s="11"/>
      <c r="D118" s="11"/>
      <c r="E118" s="11"/>
      <c r="G118" s="11"/>
      <c r="I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>
      <c r="A119" s="11"/>
      <c r="B119" s="11"/>
      <c r="D119" s="11"/>
      <c r="E119" s="11"/>
      <c r="G119" s="11"/>
      <c r="I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>
      <c r="A120" s="11"/>
      <c r="B120" s="11"/>
      <c r="D120" s="11"/>
      <c r="E120" s="11"/>
      <c r="G120" s="11"/>
      <c r="I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>
      <c r="A121" s="11"/>
      <c r="B121" s="11"/>
      <c r="D121" s="11"/>
      <c r="E121" s="11"/>
      <c r="G121" s="11"/>
      <c r="I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>
      <c r="A122" s="11"/>
      <c r="B122" s="11"/>
      <c r="D122" s="11"/>
      <c r="E122" s="11"/>
      <c r="G122" s="11"/>
      <c r="I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>
      <c r="A123" s="11"/>
      <c r="B123" s="11"/>
      <c r="D123" s="11"/>
      <c r="E123" s="11"/>
      <c r="G123" s="11"/>
      <c r="I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>
      <c r="A124" s="11"/>
      <c r="B124" s="11"/>
      <c r="D124" s="11"/>
      <c r="E124" s="11"/>
      <c r="G124" s="11"/>
      <c r="I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>
      <c r="A125" s="11"/>
      <c r="B125" s="11"/>
      <c r="D125" s="11"/>
      <c r="E125" s="11"/>
      <c r="G125" s="11"/>
      <c r="I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>
      <c r="A126" s="11"/>
      <c r="B126" s="11"/>
      <c r="D126" s="11"/>
      <c r="E126" s="11"/>
      <c r="G126" s="11"/>
      <c r="I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>
      <c r="A127" s="11"/>
      <c r="B127" s="11"/>
      <c r="D127" s="11"/>
      <c r="E127" s="11"/>
      <c r="G127" s="11"/>
      <c r="I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>
      <c r="A128" s="11"/>
      <c r="B128" s="11"/>
      <c r="D128" s="11"/>
      <c r="E128" s="11"/>
      <c r="G128" s="11"/>
      <c r="I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>
      <c r="A129" s="11"/>
      <c r="B129" s="11"/>
      <c r="D129" s="11"/>
      <c r="E129" s="11"/>
      <c r="G129" s="11"/>
      <c r="I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>
      <c r="A130" s="11"/>
      <c r="B130" s="11"/>
      <c r="D130" s="11"/>
      <c r="E130" s="11"/>
      <c r="G130" s="11"/>
      <c r="I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>
      <c r="A131" s="11"/>
      <c r="B131" s="11"/>
      <c r="D131" s="11"/>
      <c r="E131" s="11"/>
      <c r="G131" s="11"/>
      <c r="I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>
      <c r="A132" s="11"/>
      <c r="B132" s="11"/>
      <c r="D132" s="11"/>
      <c r="E132" s="11"/>
      <c r="G132" s="11"/>
      <c r="I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>
      <c r="A133" s="11"/>
      <c r="B133" s="11"/>
      <c r="D133" s="11"/>
      <c r="E133" s="11"/>
      <c r="G133" s="11"/>
      <c r="I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>
      <c r="A134" s="11"/>
      <c r="B134" s="11"/>
      <c r="D134" s="11"/>
      <c r="E134" s="11"/>
      <c r="G134" s="11"/>
      <c r="I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>
      <c r="A135" s="11"/>
      <c r="B135" s="11"/>
      <c r="D135" s="11"/>
      <c r="E135" s="11"/>
      <c r="G135" s="11"/>
      <c r="I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>
      <c r="A136" s="11"/>
      <c r="B136" s="11"/>
      <c r="D136" s="11"/>
      <c r="E136" s="11"/>
      <c r="G136" s="11"/>
      <c r="I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>
      <c r="A137" s="11"/>
      <c r="B137" s="11"/>
      <c r="D137" s="11"/>
      <c r="E137" s="11"/>
      <c r="G137" s="11"/>
      <c r="I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>
      <c r="A138" s="11"/>
      <c r="B138" s="11"/>
      <c r="D138" s="11"/>
      <c r="E138" s="11"/>
      <c r="G138" s="11"/>
      <c r="I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>
      <c r="A139" s="11"/>
      <c r="B139" s="11"/>
      <c r="D139" s="11"/>
      <c r="E139" s="11"/>
      <c r="G139" s="11"/>
      <c r="I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>
      <c r="A140" s="11"/>
      <c r="B140" s="11"/>
      <c r="D140" s="11"/>
      <c r="E140" s="11"/>
      <c r="G140" s="11"/>
      <c r="I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>
      <c r="A141" s="11"/>
      <c r="B141" s="11"/>
      <c r="D141" s="11"/>
      <c r="E141" s="11"/>
      <c r="G141" s="11"/>
      <c r="I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>
      <c r="A142" s="11"/>
      <c r="B142" s="11"/>
      <c r="D142" s="11"/>
      <c r="E142" s="11"/>
      <c r="G142" s="11"/>
      <c r="I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>
      <c r="A143" s="11"/>
      <c r="B143" s="11"/>
      <c r="D143" s="11"/>
      <c r="E143" s="11"/>
      <c r="G143" s="11"/>
      <c r="I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>
      <c r="A144" s="11"/>
      <c r="B144" s="11"/>
      <c r="D144" s="11"/>
      <c r="E144" s="11"/>
      <c r="G144" s="11"/>
      <c r="I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>
      <c r="A145" s="11"/>
      <c r="B145" s="11"/>
      <c r="D145" s="11"/>
      <c r="E145" s="11"/>
      <c r="G145" s="11"/>
      <c r="I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>
      <c r="A146" s="11"/>
      <c r="B146" s="11"/>
      <c r="D146" s="11"/>
      <c r="E146" s="11"/>
      <c r="G146" s="11"/>
      <c r="I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>
      <c r="A147" s="11"/>
      <c r="B147" s="11"/>
      <c r="D147" s="11"/>
      <c r="E147" s="11"/>
      <c r="G147" s="11"/>
      <c r="I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>
      <c r="A148" s="11"/>
      <c r="B148" s="11"/>
      <c r="D148" s="11"/>
      <c r="E148" s="11"/>
      <c r="G148" s="11"/>
      <c r="I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>
      <c r="A149" s="11"/>
      <c r="B149" s="11"/>
      <c r="D149" s="11"/>
      <c r="E149" s="11"/>
      <c r="G149" s="11"/>
      <c r="I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>
      <c r="A150" s="11"/>
      <c r="B150" s="11"/>
      <c r="D150" s="11"/>
      <c r="E150" s="11"/>
      <c r="G150" s="11"/>
      <c r="I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>
      <c r="A151" s="11"/>
      <c r="B151" s="11"/>
      <c r="D151" s="11"/>
      <c r="E151" s="11"/>
      <c r="G151" s="11"/>
      <c r="I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>
      <c r="A152" s="11"/>
      <c r="B152" s="11"/>
      <c r="D152" s="11"/>
      <c r="E152" s="11"/>
      <c r="G152" s="11"/>
      <c r="I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>
      <c r="A153" s="11"/>
      <c r="B153" s="11"/>
      <c r="D153" s="11"/>
      <c r="E153" s="11"/>
      <c r="G153" s="11"/>
      <c r="I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>
      <c r="A154" s="11"/>
      <c r="B154" s="11"/>
      <c r="D154" s="11"/>
      <c r="E154" s="11"/>
      <c r="G154" s="11"/>
      <c r="I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>
      <c r="A155" s="11"/>
      <c r="B155" s="11"/>
      <c r="D155" s="11"/>
      <c r="E155" s="11"/>
      <c r="G155" s="11"/>
      <c r="I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>
      <c r="A156" s="11"/>
      <c r="B156" s="11"/>
      <c r="D156" s="11"/>
      <c r="E156" s="11"/>
      <c r="G156" s="11"/>
      <c r="I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>
      <c r="A157" s="11"/>
      <c r="B157" s="11"/>
      <c r="D157" s="11"/>
      <c r="E157" s="11"/>
      <c r="G157" s="11"/>
      <c r="I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>
      <c r="A158" s="11"/>
      <c r="B158" s="11"/>
      <c r="D158" s="11"/>
      <c r="E158" s="11"/>
      <c r="G158" s="11"/>
      <c r="I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>
      <c r="A159" s="11"/>
      <c r="B159" s="11"/>
      <c r="D159" s="11"/>
      <c r="E159" s="11"/>
      <c r="G159" s="11"/>
      <c r="I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>
      <c r="A160" s="11"/>
      <c r="B160" s="11"/>
      <c r="D160" s="11"/>
      <c r="E160" s="11"/>
      <c r="G160" s="11"/>
      <c r="I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>
      <c r="A161" s="11"/>
      <c r="B161" s="11"/>
      <c r="D161" s="11"/>
      <c r="E161" s="11"/>
      <c r="G161" s="11"/>
      <c r="I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>
      <c r="A162" s="11"/>
      <c r="B162" s="11"/>
      <c r="D162" s="11"/>
      <c r="E162" s="11"/>
      <c r="G162" s="11"/>
      <c r="I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>
      <c r="A163" s="11"/>
      <c r="B163" s="11"/>
      <c r="D163" s="11"/>
      <c r="E163" s="11"/>
      <c r="G163" s="11"/>
      <c r="I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>
      <c r="A164" s="11"/>
      <c r="B164" s="11"/>
      <c r="D164" s="11"/>
      <c r="E164" s="11"/>
      <c r="G164" s="11"/>
      <c r="I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>
      <c r="A165" s="11"/>
      <c r="B165" s="11"/>
      <c r="D165" s="11"/>
      <c r="E165" s="11"/>
      <c r="G165" s="11"/>
      <c r="I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>
      <c r="A166" s="11"/>
      <c r="B166" s="11"/>
      <c r="D166" s="11"/>
      <c r="E166" s="11"/>
      <c r="G166" s="11"/>
      <c r="I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>
      <c r="A167" s="11"/>
      <c r="B167" s="11"/>
      <c r="D167" s="11"/>
      <c r="E167" s="11"/>
      <c r="G167" s="11"/>
      <c r="I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>
      <c r="A168" s="11"/>
      <c r="B168" s="11"/>
      <c r="D168" s="11"/>
      <c r="E168" s="11"/>
      <c r="G168" s="11"/>
      <c r="I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>
      <c r="A169" s="11"/>
      <c r="B169" s="11"/>
      <c r="D169" s="11"/>
      <c r="E169" s="11"/>
      <c r="G169" s="11"/>
      <c r="I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>
      <c r="A170" s="11"/>
      <c r="B170" s="11"/>
      <c r="D170" s="11"/>
      <c r="E170" s="11"/>
      <c r="G170" s="11"/>
      <c r="I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>
      <c r="A171" s="11"/>
      <c r="B171" s="11"/>
      <c r="D171" s="11"/>
      <c r="E171" s="11"/>
      <c r="G171" s="11"/>
      <c r="I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>
      <c r="A172" s="11"/>
      <c r="B172" s="11"/>
      <c r="D172" s="11"/>
      <c r="E172" s="11"/>
      <c r="G172" s="11"/>
      <c r="I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>
      <c r="A173" s="11"/>
      <c r="B173" s="11"/>
      <c r="D173" s="11"/>
      <c r="E173" s="11"/>
      <c r="G173" s="11"/>
      <c r="I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>
      <c r="A174" s="11"/>
      <c r="B174" s="11"/>
      <c r="D174" s="11"/>
      <c r="E174" s="11"/>
      <c r="G174" s="11"/>
      <c r="I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>
      <c r="A175" s="11"/>
      <c r="B175" s="11"/>
      <c r="D175" s="11"/>
      <c r="E175" s="11"/>
      <c r="G175" s="11"/>
      <c r="I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>
      <c r="A176" s="11"/>
      <c r="B176" s="11"/>
      <c r="D176" s="11"/>
      <c r="E176" s="11"/>
      <c r="G176" s="11"/>
      <c r="I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>
      <c r="A177" s="11"/>
      <c r="B177" s="11"/>
      <c r="D177" s="11"/>
      <c r="E177" s="11"/>
      <c r="G177" s="11"/>
      <c r="I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>
      <c r="A178" s="11"/>
      <c r="B178" s="11"/>
      <c r="D178" s="11"/>
      <c r="E178" s="11"/>
      <c r="G178" s="11"/>
      <c r="I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>
      <c r="A179" s="11"/>
      <c r="B179" s="11"/>
      <c r="D179" s="11"/>
      <c r="E179" s="11"/>
      <c r="G179" s="11"/>
      <c r="I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>
      <c r="A180" s="11"/>
      <c r="B180" s="11"/>
      <c r="D180" s="11"/>
      <c r="E180" s="11"/>
      <c r="G180" s="11"/>
      <c r="I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>
      <c r="A181" s="11"/>
      <c r="B181" s="11"/>
      <c r="D181" s="11"/>
      <c r="E181" s="11"/>
      <c r="G181" s="11"/>
      <c r="I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>
      <c r="A182" s="11"/>
      <c r="B182" s="11"/>
      <c r="D182" s="11"/>
      <c r="E182" s="11"/>
      <c r="G182" s="11"/>
      <c r="I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>
      <c r="A183" s="11"/>
      <c r="B183" s="11"/>
      <c r="D183" s="11"/>
      <c r="E183" s="11"/>
      <c r="G183" s="11"/>
      <c r="I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>
      <c r="A184" s="11"/>
      <c r="B184" s="11"/>
      <c r="D184" s="11"/>
      <c r="E184" s="11"/>
      <c r="G184" s="11"/>
      <c r="I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>
      <c r="A185" s="11"/>
      <c r="B185" s="11"/>
      <c r="D185" s="11"/>
      <c r="E185" s="11"/>
      <c r="G185" s="11"/>
      <c r="I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>
      <c r="A186" s="11"/>
      <c r="B186" s="11"/>
      <c r="D186" s="11"/>
      <c r="E186" s="11"/>
      <c r="G186" s="11"/>
      <c r="I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>
      <c r="A187" s="11"/>
      <c r="B187" s="11"/>
      <c r="D187" s="11"/>
      <c r="E187" s="11"/>
      <c r="G187" s="11"/>
      <c r="I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>
      <c r="A188" s="11"/>
      <c r="B188" s="11"/>
      <c r="D188" s="11"/>
      <c r="E188" s="11"/>
      <c r="G188" s="11"/>
      <c r="I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>
      <c r="A189" s="11"/>
      <c r="B189" s="11"/>
      <c r="D189" s="11"/>
      <c r="E189" s="11"/>
      <c r="G189" s="11"/>
      <c r="I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>
      <c r="A190" s="11"/>
      <c r="B190" s="11"/>
      <c r="D190" s="11"/>
      <c r="E190" s="11"/>
      <c r="G190" s="11"/>
      <c r="I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>
      <c r="A191" s="11"/>
      <c r="B191" s="11"/>
      <c r="D191" s="11"/>
      <c r="E191" s="11"/>
      <c r="G191" s="11"/>
      <c r="I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>
      <c r="A192" s="11"/>
      <c r="B192" s="11"/>
      <c r="D192" s="11"/>
      <c r="E192" s="11"/>
      <c r="G192" s="11"/>
      <c r="I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>
      <c r="A193" s="11"/>
      <c r="B193" s="11"/>
      <c r="D193" s="11"/>
      <c r="E193" s="11"/>
      <c r="G193" s="11"/>
      <c r="I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>
      <c r="A194" s="11"/>
      <c r="B194" s="11"/>
      <c r="D194" s="11"/>
      <c r="E194" s="11"/>
      <c r="G194" s="11"/>
      <c r="I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>
      <c r="A195" s="11"/>
      <c r="B195" s="11"/>
      <c r="D195" s="11"/>
      <c r="E195" s="11"/>
      <c r="G195" s="11"/>
      <c r="I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>
      <c r="A196" s="11"/>
      <c r="B196" s="11"/>
      <c r="D196" s="11"/>
      <c r="E196" s="11"/>
      <c r="G196" s="11"/>
      <c r="I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>
      <c r="A197" s="11"/>
      <c r="B197" s="11"/>
      <c r="D197" s="11"/>
      <c r="E197" s="11"/>
      <c r="G197" s="11"/>
      <c r="I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>
      <c r="A198" s="11"/>
      <c r="B198" s="11"/>
      <c r="D198" s="11"/>
      <c r="E198" s="11"/>
      <c r="G198" s="11"/>
      <c r="I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>
      <c r="A199" s="11"/>
      <c r="B199" s="11"/>
      <c r="D199" s="11"/>
      <c r="E199" s="11"/>
      <c r="G199" s="11"/>
      <c r="I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>
      <c r="A200" s="11"/>
      <c r="B200" s="11"/>
      <c r="D200" s="11"/>
      <c r="E200" s="11"/>
      <c r="G200" s="11"/>
      <c r="I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>
      <c r="A201" s="11"/>
      <c r="B201" s="11"/>
      <c r="D201" s="11"/>
      <c r="E201" s="11"/>
      <c r="G201" s="11"/>
      <c r="I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>
      <c r="A202" s="11"/>
      <c r="B202" s="11"/>
      <c r="D202" s="11"/>
      <c r="E202" s="11"/>
      <c r="G202" s="11"/>
      <c r="I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>
      <c r="A203" s="11"/>
      <c r="B203" s="11"/>
      <c r="D203" s="11"/>
      <c r="E203" s="11"/>
      <c r="G203" s="11"/>
      <c r="I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>
      <c r="A204" s="11"/>
      <c r="B204" s="11"/>
      <c r="D204" s="11"/>
      <c r="E204" s="11"/>
      <c r="G204" s="11"/>
      <c r="I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>
      <c r="A205" s="11"/>
      <c r="B205" s="11"/>
      <c r="D205" s="11"/>
      <c r="E205" s="11"/>
      <c r="G205" s="11"/>
      <c r="I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>
      <c r="A206" s="11"/>
      <c r="B206" s="11"/>
      <c r="D206" s="11"/>
      <c r="E206" s="11"/>
      <c r="G206" s="11"/>
      <c r="I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>
      <c r="A207" s="11"/>
      <c r="B207" s="11"/>
      <c r="D207" s="11"/>
      <c r="E207" s="11"/>
      <c r="G207" s="11"/>
      <c r="I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>
      <c r="A208" s="11"/>
      <c r="B208" s="11"/>
      <c r="D208" s="11"/>
      <c r="E208" s="11"/>
      <c r="G208" s="11"/>
      <c r="I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>
      <c r="A209" s="11"/>
      <c r="B209" s="11"/>
      <c r="D209" s="11"/>
      <c r="E209" s="11"/>
      <c r="G209" s="11"/>
      <c r="I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>
      <c r="A210" s="11"/>
      <c r="B210" s="11"/>
      <c r="D210" s="11"/>
      <c r="E210" s="11"/>
      <c r="G210" s="11"/>
      <c r="I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>
      <c r="A211" s="11"/>
      <c r="B211" s="11"/>
      <c r="D211" s="11"/>
      <c r="E211" s="11"/>
      <c r="G211" s="11"/>
      <c r="I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>
      <c r="A212" s="11"/>
      <c r="B212" s="11"/>
      <c r="D212" s="11"/>
      <c r="E212" s="11"/>
      <c r="G212" s="11"/>
      <c r="I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>
      <c r="A213" s="11"/>
      <c r="B213" s="11"/>
      <c r="D213" s="11"/>
      <c r="E213" s="11"/>
      <c r="G213" s="11"/>
      <c r="I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>
      <c r="A214" s="11"/>
      <c r="B214" s="11"/>
      <c r="D214" s="11"/>
      <c r="E214" s="11"/>
      <c r="G214" s="11"/>
      <c r="I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>
      <c r="A215" s="11"/>
      <c r="B215" s="11"/>
      <c r="D215" s="11"/>
      <c r="E215" s="11"/>
      <c r="G215" s="11"/>
      <c r="I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>
      <c r="A216" s="11"/>
      <c r="B216" s="11"/>
      <c r="D216" s="11"/>
      <c r="E216" s="11"/>
      <c r="G216" s="11"/>
      <c r="I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>
      <c r="A217" s="11"/>
      <c r="B217" s="11"/>
      <c r="D217" s="11"/>
      <c r="E217" s="11"/>
      <c r="G217" s="11"/>
      <c r="I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>
      <c r="A218" s="11"/>
      <c r="B218" s="11"/>
      <c r="D218" s="11"/>
      <c r="E218" s="11"/>
      <c r="G218" s="11"/>
      <c r="I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>
      <c r="A219" s="11"/>
      <c r="B219" s="11"/>
      <c r="D219" s="11"/>
      <c r="E219" s="11"/>
      <c r="G219" s="11"/>
      <c r="I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>
      <c r="A220" s="11"/>
      <c r="B220" s="11"/>
      <c r="D220" s="11"/>
      <c r="E220" s="11"/>
      <c r="G220" s="11"/>
      <c r="I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>
      <c r="A221" s="11"/>
      <c r="B221" s="11"/>
      <c r="D221" s="11"/>
      <c r="E221" s="11"/>
      <c r="G221" s="11"/>
      <c r="I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>
      <c r="A222" s="11"/>
      <c r="B222" s="11"/>
      <c r="D222" s="11"/>
      <c r="E222" s="11"/>
      <c r="G222" s="11"/>
      <c r="I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>
      <c r="A223" s="11"/>
      <c r="B223" s="11"/>
      <c r="D223" s="11"/>
      <c r="E223" s="11"/>
      <c r="G223" s="11"/>
      <c r="I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>
      <c r="A224" s="11"/>
      <c r="B224" s="11"/>
      <c r="D224" s="11"/>
      <c r="E224" s="11"/>
      <c r="G224" s="11"/>
      <c r="I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>
      <c r="A225" s="11"/>
      <c r="B225" s="11"/>
      <c r="D225" s="11"/>
      <c r="E225" s="11"/>
      <c r="G225" s="11"/>
      <c r="I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>
      <c r="A226" s="11"/>
      <c r="B226" s="11"/>
      <c r="D226" s="11"/>
      <c r="E226" s="11"/>
      <c r="G226" s="11"/>
      <c r="I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>
      <c r="A227" s="11"/>
      <c r="B227" s="11"/>
      <c r="D227" s="11"/>
      <c r="E227" s="11"/>
      <c r="G227" s="11"/>
      <c r="I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>
      <c r="A228" s="11"/>
      <c r="B228" s="11"/>
      <c r="D228" s="11"/>
      <c r="E228" s="11"/>
      <c r="G228" s="11"/>
      <c r="I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>
      <c r="A229" s="11"/>
      <c r="B229" s="11"/>
      <c r="D229" s="11"/>
      <c r="E229" s="11"/>
      <c r="G229" s="11"/>
      <c r="I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>
      <c r="A230" s="11"/>
      <c r="B230" s="11"/>
      <c r="D230" s="11"/>
      <c r="E230" s="11"/>
      <c r="G230" s="11"/>
      <c r="I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>
      <c r="A231" s="11"/>
      <c r="B231" s="11"/>
      <c r="D231" s="11"/>
      <c r="E231" s="11"/>
      <c r="G231" s="11"/>
      <c r="I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>
      <c r="A232" s="11"/>
      <c r="B232" s="11"/>
      <c r="D232" s="11"/>
      <c r="E232" s="11"/>
      <c r="G232" s="11"/>
      <c r="I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>
      <c r="A233" s="11"/>
      <c r="B233" s="11"/>
      <c r="D233" s="11"/>
      <c r="E233" s="11"/>
      <c r="G233" s="11"/>
      <c r="I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>
      <c r="A234" s="11"/>
      <c r="B234" s="11"/>
      <c r="D234" s="11"/>
      <c r="E234" s="11"/>
      <c r="G234" s="11"/>
      <c r="I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>
      <c r="A235" s="11"/>
      <c r="B235" s="11"/>
      <c r="D235" s="11"/>
      <c r="E235" s="11"/>
      <c r="G235" s="11"/>
      <c r="I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>
      <c r="A236" s="11"/>
      <c r="B236" s="11"/>
      <c r="D236" s="11"/>
      <c r="E236" s="11"/>
      <c r="G236" s="11"/>
      <c r="I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>
      <c r="A237" s="11"/>
      <c r="B237" s="11"/>
      <c r="D237" s="11"/>
      <c r="E237" s="11"/>
      <c r="G237" s="11"/>
      <c r="I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>
      <c r="A238" s="11"/>
      <c r="B238" s="11"/>
      <c r="D238" s="11"/>
      <c r="E238" s="11"/>
      <c r="G238" s="11"/>
      <c r="I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>
      <c r="A239" s="11"/>
      <c r="B239" s="11"/>
      <c r="D239" s="11"/>
      <c r="E239" s="11"/>
      <c r="G239" s="11"/>
      <c r="I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>
      <c r="A240" s="11"/>
      <c r="B240" s="11"/>
      <c r="D240" s="11"/>
      <c r="E240" s="11"/>
      <c r="G240" s="11"/>
      <c r="I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>
      <c r="A241" s="11"/>
      <c r="B241" s="11"/>
      <c r="D241" s="11"/>
      <c r="E241" s="11"/>
      <c r="G241" s="11"/>
      <c r="I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>
      <c r="A242" s="11"/>
      <c r="B242" s="11"/>
      <c r="D242" s="11"/>
      <c r="E242" s="11"/>
      <c r="G242" s="11"/>
      <c r="I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>
      <c r="A243" s="11"/>
      <c r="B243" s="11"/>
      <c r="D243" s="11"/>
      <c r="E243" s="11"/>
      <c r="G243" s="11"/>
      <c r="I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>
      <c r="A244" s="11"/>
      <c r="B244" s="11"/>
      <c r="D244" s="11"/>
      <c r="E244" s="11"/>
      <c r="G244" s="11"/>
      <c r="I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>
      <c r="A245" s="11"/>
      <c r="B245" s="11"/>
      <c r="D245" s="11"/>
      <c r="E245" s="11"/>
      <c r="G245" s="11"/>
      <c r="I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>
      <c r="A246" s="11"/>
      <c r="B246" s="11"/>
      <c r="D246" s="11"/>
      <c r="E246" s="11"/>
      <c r="G246" s="11"/>
      <c r="I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>
      <c r="A247" s="11"/>
      <c r="B247" s="11"/>
      <c r="D247" s="11"/>
      <c r="E247" s="11"/>
      <c r="G247" s="11"/>
      <c r="I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>
      <c r="A248" s="11"/>
      <c r="B248" s="11"/>
      <c r="D248" s="11"/>
      <c r="E248" s="11"/>
      <c r="G248" s="11"/>
      <c r="I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>
      <c r="A249" s="11"/>
      <c r="B249" s="11"/>
      <c r="D249" s="11"/>
      <c r="E249" s="11"/>
      <c r="G249" s="11"/>
      <c r="I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>
      <c r="A250" s="11"/>
      <c r="B250" s="11"/>
      <c r="D250" s="11"/>
      <c r="E250" s="11"/>
      <c r="G250" s="11"/>
      <c r="I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>
      <c r="A251" s="11"/>
      <c r="B251" s="11"/>
      <c r="D251" s="11"/>
      <c r="E251" s="11"/>
      <c r="G251" s="11"/>
      <c r="I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>
      <c r="A252" s="11"/>
      <c r="B252" s="11"/>
      <c r="D252" s="11"/>
      <c r="E252" s="11"/>
      <c r="G252" s="11"/>
      <c r="I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>
      <c r="A253" s="11"/>
      <c r="B253" s="11"/>
      <c r="D253" s="11"/>
      <c r="E253" s="11"/>
      <c r="G253" s="11"/>
      <c r="I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>
      <c r="A254" s="11"/>
      <c r="B254" s="11"/>
      <c r="D254" s="11"/>
      <c r="E254" s="11"/>
      <c r="G254" s="11"/>
      <c r="I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>
      <c r="A255" s="11"/>
      <c r="B255" s="11"/>
      <c r="D255" s="11"/>
      <c r="E255" s="11"/>
      <c r="G255" s="11"/>
      <c r="I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>
      <c r="A256" s="11"/>
      <c r="B256" s="11"/>
      <c r="D256" s="11"/>
      <c r="E256" s="11"/>
      <c r="G256" s="11"/>
      <c r="I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>
      <c r="A257" s="11"/>
      <c r="B257" s="11"/>
      <c r="D257" s="11"/>
      <c r="E257" s="11"/>
      <c r="G257" s="11"/>
      <c r="I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>
      <c r="A258" s="11"/>
      <c r="B258" s="11"/>
      <c r="D258" s="11"/>
      <c r="E258" s="11"/>
      <c r="G258" s="11"/>
      <c r="I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>
      <c r="A259" s="11"/>
      <c r="B259" s="11"/>
      <c r="D259" s="11"/>
      <c r="E259" s="11"/>
      <c r="G259" s="11"/>
      <c r="I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>
      <c r="A260" s="11"/>
      <c r="B260" s="11"/>
      <c r="D260" s="11"/>
      <c r="E260" s="11"/>
      <c r="G260" s="11"/>
      <c r="I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>
      <c r="A261" s="11"/>
      <c r="B261" s="11"/>
      <c r="D261" s="11"/>
      <c r="E261" s="11"/>
      <c r="G261" s="11"/>
      <c r="I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>
      <c r="A262" s="11"/>
      <c r="B262" s="11"/>
      <c r="D262" s="11"/>
      <c r="E262" s="11"/>
      <c r="G262" s="11"/>
      <c r="I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>
      <c r="A263" s="11"/>
      <c r="B263" s="11"/>
      <c r="D263" s="11"/>
      <c r="E263" s="11"/>
      <c r="G263" s="11"/>
      <c r="I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>
      <c r="A264" s="11"/>
      <c r="B264" s="11"/>
      <c r="D264" s="11"/>
      <c r="E264" s="11"/>
      <c r="G264" s="11"/>
      <c r="I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>
      <c r="A265" s="11"/>
      <c r="B265" s="11"/>
      <c r="D265" s="11"/>
      <c r="E265" s="11"/>
      <c r="G265" s="11"/>
      <c r="I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>
      <c r="A266" s="11"/>
      <c r="B266" s="11"/>
      <c r="D266" s="11"/>
      <c r="E266" s="11"/>
      <c r="G266" s="11"/>
      <c r="I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>
      <c r="A267" s="11"/>
      <c r="B267" s="11"/>
      <c r="D267" s="11"/>
      <c r="E267" s="11"/>
      <c r="G267" s="11"/>
      <c r="I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>
      <c r="A268" s="11"/>
      <c r="B268" s="11"/>
      <c r="D268" s="11"/>
      <c r="E268" s="11"/>
      <c r="G268" s="11"/>
      <c r="I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>
      <c r="A269" s="11"/>
      <c r="B269" s="11"/>
      <c r="D269" s="11"/>
      <c r="E269" s="11"/>
      <c r="G269" s="11"/>
      <c r="I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>
      <c r="A270" s="11"/>
      <c r="B270" s="11"/>
      <c r="D270" s="11"/>
      <c r="E270" s="11"/>
      <c r="G270" s="11"/>
      <c r="I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>
      <c r="A271" s="11"/>
      <c r="B271" s="11"/>
      <c r="D271" s="11"/>
      <c r="E271" s="11"/>
      <c r="G271" s="11"/>
      <c r="I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>
      <c r="A272" s="11"/>
      <c r="B272" s="11"/>
      <c r="D272" s="11"/>
      <c r="E272" s="11"/>
      <c r="G272" s="11"/>
      <c r="I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>
      <c r="A273" s="11"/>
      <c r="B273" s="11"/>
      <c r="D273" s="11"/>
      <c r="E273" s="11"/>
      <c r="G273" s="11"/>
      <c r="I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>
      <c r="A274" s="11"/>
      <c r="B274" s="11"/>
      <c r="D274" s="11"/>
      <c r="E274" s="11"/>
      <c r="G274" s="11"/>
      <c r="I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>
      <c r="A275" s="11"/>
      <c r="B275" s="11"/>
      <c r="D275" s="11"/>
      <c r="E275" s="11"/>
      <c r="G275" s="11"/>
      <c r="I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>
      <c r="A276" s="11"/>
      <c r="B276" s="11"/>
      <c r="D276" s="11"/>
      <c r="E276" s="11"/>
      <c r="G276" s="11"/>
      <c r="I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>
      <c r="A277" s="11"/>
      <c r="B277" s="11"/>
      <c r="D277" s="11"/>
      <c r="E277" s="11"/>
      <c r="G277" s="11"/>
      <c r="I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>
      <c r="A278" s="11"/>
      <c r="B278" s="11"/>
      <c r="D278" s="11"/>
      <c r="E278" s="11"/>
      <c r="G278" s="11"/>
      <c r="I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>
      <c r="A279" s="11"/>
      <c r="B279" s="11"/>
      <c r="D279" s="11"/>
      <c r="E279" s="11"/>
      <c r="G279" s="11"/>
      <c r="I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>
      <c r="A280" s="11"/>
      <c r="B280" s="11"/>
      <c r="D280" s="11"/>
      <c r="E280" s="11"/>
      <c r="G280" s="11"/>
      <c r="I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>
      <c r="A281" s="11"/>
      <c r="B281" s="11"/>
      <c r="D281" s="11"/>
      <c r="E281" s="11"/>
      <c r="G281" s="11"/>
      <c r="I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>
      <c r="A282" s="11"/>
      <c r="B282" s="11"/>
      <c r="D282" s="11"/>
      <c r="E282" s="11"/>
      <c r="G282" s="11"/>
      <c r="I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>
      <c r="A283" s="11"/>
      <c r="B283" s="11"/>
      <c r="D283" s="11"/>
      <c r="E283" s="11"/>
      <c r="G283" s="11"/>
      <c r="I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>
      <c r="A284" s="11"/>
      <c r="B284" s="11"/>
      <c r="D284" s="11"/>
      <c r="E284" s="11"/>
      <c r="G284" s="11"/>
      <c r="I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>
      <c r="A285" s="11"/>
      <c r="B285" s="11"/>
      <c r="D285" s="11"/>
      <c r="E285" s="11"/>
      <c r="G285" s="11"/>
      <c r="I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>
      <c r="A286" s="11"/>
      <c r="B286" s="11"/>
      <c r="D286" s="11"/>
      <c r="E286" s="11"/>
      <c r="G286" s="11"/>
      <c r="I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>
      <c r="A287" s="11"/>
      <c r="B287" s="11"/>
      <c r="D287" s="11"/>
      <c r="E287" s="11"/>
      <c r="G287" s="11"/>
      <c r="I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>
      <c r="A288" s="11"/>
      <c r="B288" s="11"/>
      <c r="D288" s="11"/>
      <c r="E288" s="11"/>
      <c r="G288" s="11"/>
      <c r="I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>
      <c r="A289" s="11"/>
      <c r="B289" s="11"/>
      <c r="D289" s="11"/>
      <c r="E289" s="11"/>
      <c r="G289" s="11"/>
      <c r="I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>
      <c r="A290" s="11"/>
      <c r="B290" s="11"/>
      <c r="D290" s="11"/>
      <c r="E290" s="11"/>
      <c r="G290" s="11"/>
      <c r="I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>
      <c r="A291" s="11"/>
      <c r="B291" s="11"/>
      <c r="D291" s="11"/>
      <c r="E291" s="11"/>
      <c r="G291" s="11"/>
      <c r="I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>
      <c r="A292" s="11"/>
      <c r="B292" s="11"/>
      <c r="D292" s="11"/>
      <c r="E292" s="11"/>
      <c r="G292" s="11"/>
      <c r="I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>
      <c r="A293" s="11"/>
      <c r="B293" s="11"/>
      <c r="D293" s="11"/>
      <c r="E293" s="11"/>
      <c r="G293" s="11"/>
      <c r="I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>
      <c r="A294" s="11"/>
      <c r="B294" s="11"/>
      <c r="D294" s="11"/>
      <c r="E294" s="11"/>
      <c r="G294" s="11"/>
      <c r="I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>
      <c r="A295" s="11"/>
      <c r="B295" s="11"/>
      <c r="D295" s="11"/>
      <c r="E295" s="11"/>
      <c r="G295" s="11"/>
      <c r="I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>
      <c r="A296" s="11"/>
      <c r="B296" s="11"/>
      <c r="D296" s="11"/>
      <c r="E296" s="11"/>
      <c r="G296" s="11"/>
      <c r="I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>
      <c r="A297" s="11"/>
      <c r="B297" s="11"/>
      <c r="D297" s="11"/>
      <c r="E297" s="11"/>
      <c r="G297" s="11"/>
      <c r="I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>
      <c r="A298" s="11"/>
      <c r="B298" s="11"/>
      <c r="D298" s="11"/>
      <c r="E298" s="11"/>
      <c r="G298" s="11"/>
      <c r="I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>
      <c r="A299" s="11"/>
      <c r="B299" s="11"/>
      <c r="D299" s="11"/>
      <c r="E299" s="11"/>
      <c r="G299" s="11"/>
      <c r="I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>
      <c r="A300" s="11"/>
      <c r="B300" s="11"/>
      <c r="D300" s="11"/>
      <c r="E300" s="11"/>
      <c r="G300" s="11"/>
      <c r="I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>
      <c r="A301" s="11"/>
      <c r="B301" s="11"/>
      <c r="D301" s="11"/>
      <c r="E301" s="11"/>
      <c r="G301" s="11"/>
      <c r="I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>
      <c r="A302" s="11"/>
      <c r="B302" s="11"/>
      <c r="D302" s="11"/>
      <c r="E302" s="11"/>
      <c r="G302" s="11"/>
      <c r="I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>
      <c r="A303" s="11"/>
      <c r="B303" s="11"/>
      <c r="D303" s="11"/>
      <c r="E303" s="11"/>
      <c r="G303" s="11"/>
      <c r="I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>
      <c r="A304" s="11"/>
      <c r="B304" s="11"/>
      <c r="D304" s="11"/>
      <c r="E304" s="11"/>
      <c r="G304" s="11"/>
      <c r="I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>
      <c r="A305" s="11"/>
      <c r="B305" s="11"/>
      <c r="D305" s="11"/>
      <c r="E305" s="11"/>
      <c r="G305" s="11"/>
      <c r="I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>
      <c r="A306" s="11"/>
      <c r="B306" s="11"/>
      <c r="D306" s="11"/>
      <c r="E306" s="11"/>
      <c r="G306" s="11"/>
      <c r="I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>
      <c r="A307" s="11"/>
      <c r="B307" s="11"/>
      <c r="D307" s="11"/>
      <c r="E307" s="11"/>
      <c r="G307" s="11"/>
      <c r="I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>
      <c r="A308" s="11"/>
      <c r="B308" s="11"/>
      <c r="D308" s="11"/>
      <c r="E308" s="11"/>
      <c r="G308" s="11"/>
      <c r="I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>
      <c r="A309" s="11"/>
      <c r="B309" s="11"/>
      <c r="D309" s="11"/>
      <c r="E309" s="11"/>
      <c r="G309" s="11"/>
      <c r="I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>
      <c r="A310" s="11"/>
      <c r="B310" s="11"/>
      <c r="D310" s="11"/>
      <c r="E310" s="11"/>
      <c r="G310" s="11"/>
      <c r="I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>
      <c r="A311" s="11"/>
      <c r="B311" s="11"/>
      <c r="D311" s="11"/>
      <c r="E311" s="11"/>
      <c r="G311" s="11"/>
      <c r="I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>
      <c r="A312" s="11"/>
      <c r="B312" s="11"/>
      <c r="D312" s="11"/>
      <c r="E312" s="11"/>
      <c r="G312" s="11"/>
      <c r="I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>
      <c r="A313" s="11"/>
      <c r="B313" s="11"/>
      <c r="D313" s="11"/>
      <c r="E313" s="11"/>
      <c r="G313" s="11"/>
      <c r="I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>
      <c r="A314" s="11"/>
      <c r="B314" s="11"/>
      <c r="D314" s="11"/>
      <c r="E314" s="11"/>
      <c r="G314" s="11"/>
      <c r="I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>
      <c r="A315" s="11"/>
      <c r="B315" s="11"/>
      <c r="D315" s="11"/>
      <c r="E315" s="11"/>
      <c r="G315" s="11"/>
      <c r="I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>
      <c r="A316" s="11"/>
      <c r="B316" s="11"/>
      <c r="D316" s="11"/>
      <c r="E316" s="11"/>
      <c r="G316" s="11"/>
      <c r="I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>
      <c r="A317" s="11"/>
      <c r="B317" s="11"/>
      <c r="D317" s="11"/>
      <c r="E317" s="11"/>
      <c r="G317" s="11"/>
      <c r="I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>
      <c r="A318" s="11"/>
      <c r="B318" s="11"/>
      <c r="D318" s="11"/>
      <c r="E318" s="11"/>
      <c r="G318" s="11"/>
      <c r="I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>
      <c r="A319" s="11"/>
      <c r="B319" s="11"/>
      <c r="D319" s="11"/>
      <c r="E319" s="11"/>
      <c r="G319" s="11"/>
      <c r="I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>
      <c r="A320" s="11"/>
      <c r="B320" s="11"/>
      <c r="D320" s="11"/>
      <c r="E320" s="11"/>
      <c r="G320" s="11"/>
      <c r="I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>
      <c r="A321" s="11"/>
      <c r="B321" s="11"/>
      <c r="D321" s="11"/>
      <c r="E321" s="11"/>
      <c r="G321" s="11"/>
      <c r="I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>
      <c r="A322" s="11"/>
      <c r="B322" s="11"/>
      <c r="D322" s="11"/>
      <c r="E322" s="11"/>
      <c r="G322" s="11"/>
      <c r="I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>
      <c r="A323" s="11"/>
      <c r="B323" s="11"/>
      <c r="D323" s="11"/>
      <c r="E323" s="11"/>
      <c r="G323" s="11"/>
      <c r="I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>
      <c r="A324" s="11"/>
      <c r="B324" s="11"/>
      <c r="D324" s="11"/>
      <c r="E324" s="11"/>
      <c r="G324" s="11"/>
      <c r="I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>
      <c r="A325" s="11"/>
      <c r="B325" s="11"/>
      <c r="D325" s="11"/>
      <c r="E325" s="11"/>
      <c r="G325" s="11"/>
      <c r="I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>
      <c r="A326" s="11"/>
      <c r="B326" s="11"/>
      <c r="D326" s="11"/>
      <c r="E326" s="11"/>
      <c r="G326" s="11"/>
      <c r="I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>
      <c r="A327" s="11"/>
      <c r="B327" s="11"/>
      <c r="D327" s="11"/>
      <c r="E327" s="11"/>
      <c r="G327" s="11"/>
      <c r="I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>
      <c r="A328" s="11"/>
      <c r="B328" s="11"/>
      <c r="D328" s="11"/>
      <c r="E328" s="11"/>
      <c r="G328" s="11"/>
      <c r="I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>
      <c r="A329" s="11"/>
      <c r="B329" s="11"/>
      <c r="D329" s="11"/>
      <c r="E329" s="11"/>
      <c r="G329" s="11"/>
      <c r="I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>
      <c r="A330" s="11"/>
      <c r="B330" s="11"/>
      <c r="D330" s="11"/>
      <c r="E330" s="11"/>
      <c r="G330" s="11"/>
      <c r="I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>
      <c r="A331" s="11"/>
      <c r="B331" s="11"/>
      <c r="D331" s="11"/>
      <c r="E331" s="11"/>
      <c r="G331" s="11"/>
      <c r="I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>
      <c r="A332" s="11"/>
      <c r="B332" s="11"/>
      <c r="D332" s="11"/>
      <c r="E332" s="11"/>
      <c r="G332" s="11"/>
      <c r="I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>
      <c r="A333" s="11"/>
      <c r="B333" s="11"/>
      <c r="D333" s="11"/>
      <c r="E333" s="11"/>
      <c r="G333" s="11"/>
      <c r="I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>
      <c r="A334" s="11"/>
      <c r="B334" s="11"/>
      <c r="D334" s="11"/>
      <c r="E334" s="11"/>
      <c r="G334" s="11"/>
      <c r="I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>
      <c r="A335" s="11"/>
      <c r="B335" s="11"/>
      <c r="D335" s="11"/>
      <c r="E335" s="11"/>
      <c r="G335" s="11"/>
      <c r="I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>
      <c r="A336" s="11"/>
      <c r="B336" s="11"/>
      <c r="D336" s="11"/>
      <c r="E336" s="11"/>
      <c r="G336" s="11"/>
      <c r="I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>
      <c r="A337" s="11"/>
      <c r="B337" s="11"/>
      <c r="D337" s="11"/>
      <c r="E337" s="11"/>
      <c r="G337" s="11"/>
      <c r="I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>
      <c r="A338" s="11"/>
      <c r="B338" s="11"/>
      <c r="D338" s="11"/>
      <c r="E338" s="11"/>
      <c r="G338" s="11"/>
      <c r="I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>
      <c r="A339" s="11"/>
      <c r="B339" s="11"/>
      <c r="D339" s="11"/>
      <c r="E339" s="11"/>
      <c r="G339" s="11"/>
      <c r="I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>
      <c r="A340" s="11"/>
      <c r="B340" s="11"/>
      <c r="D340" s="11"/>
      <c r="E340" s="11"/>
      <c r="G340" s="11"/>
      <c r="I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>
      <c r="A341" s="11"/>
      <c r="B341" s="11"/>
      <c r="D341" s="11"/>
      <c r="E341" s="11"/>
      <c r="G341" s="11"/>
      <c r="I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>
      <c r="A342" s="11"/>
      <c r="B342" s="11"/>
      <c r="D342" s="11"/>
      <c r="E342" s="11"/>
      <c r="G342" s="11"/>
      <c r="I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>
      <c r="A343" s="11"/>
      <c r="B343" s="11"/>
      <c r="D343" s="11"/>
      <c r="E343" s="11"/>
      <c r="G343" s="11"/>
      <c r="I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>
      <c r="A344" s="11"/>
      <c r="B344" s="11"/>
      <c r="D344" s="11"/>
      <c r="E344" s="11"/>
      <c r="G344" s="11"/>
      <c r="I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>
      <c r="A345" s="11"/>
      <c r="B345" s="11"/>
      <c r="D345" s="11"/>
      <c r="E345" s="11"/>
      <c r="G345" s="11"/>
      <c r="I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>
      <c r="A346" s="11"/>
      <c r="B346" s="11"/>
      <c r="D346" s="11"/>
      <c r="E346" s="11"/>
      <c r="G346" s="11"/>
      <c r="I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>
      <c r="A347" s="11"/>
      <c r="B347" s="11"/>
      <c r="D347" s="11"/>
      <c r="E347" s="11"/>
      <c r="G347" s="11"/>
      <c r="I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>
      <c r="A348" s="11"/>
      <c r="B348" s="11"/>
      <c r="D348" s="11"/>
      <c r="E348" s="11"/>
      <c r="G348" s="11"/>
      <c r="I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>
      <c r="A349" s="11"/>
      <c r="B349" s="11"/>
      <c r="D349" s="11"/>
      <c r="E349" s="11"/>
      <c r="G349" s="11"/>
      <c r="I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>
      <c r="A350" s="11"/>
      <c r="B350" s="11"/>
      <c r="D350" s="11"/>
      <c r="E350" s="11"/>
      <c r="G350" s="11"/>
      <c r="I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>
      <c r="A351" s="11"/>
      <c r="B351" s="11"/>
      <c r="D351" s="11"/>
      <c r="E351" s="11"/>
      <c r="G351" s="11"/>
      <c r="I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>
      <c r="A352" s="11"/>
      <c r="B352" s="11"/>
      <c r="D352" s="11"/>
      <c r="E352" s="11"/>
      <c r="G352" s="11"/>
      <c r="I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>
      <c r="A353" s="11"/>
      <c r="B353" s="11"/>
      <c r="D353" s="11"/>
      <c r="E353" s="11"/>
      <c r="G353" s="11"/>
      <c r="I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>
      <c r="A354" s="11"/>
      <c r="B354" s="11"/>
      <c r="D354" s="11"/>
      <c r="E354" s="11"/>
      <c r="G354" s="11"/>
      <c r="I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>
      <c r="A355" s="11"/>
      <c r="B355" s="11"/>
      <c r="D355" s="11"/>
      <c r="E355" s="11"/>
      <c r="G355" s="11"/>
      <c r="I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>
      <c r="A356" s="11"/>
      <c r="B356" s="11"/>
      <c r="D356" s="11"/>
      <c r="E356" s="11"/>
      <c r="G356" s="11"/>
      <c r="I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>
      <c r="A357" s="11"/>
      <c r="B357" s="11"/>
      <c r="D357" s="11"/>
      <c r="E357" s="11"/>
      <c r="G357" s="11"/>
      <c r="I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>
      <c r="A358" s="11"/>
      <c r="B358" s="11"/>
      <c r="D358" s="11"/>
      <c r="E358" s="11"/>
      <c r="G358" s="11"/>
      <c r="I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>
      <c r="A359" s="11"/>
      <c r="B359" s="11"/>
      <c r="D359" s="11"/>
      <c r="E359" s="11"/>
      <c r="G359" s="11"/>
      <c r="I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>
      <c r="A360" s="11"/>
      <c r="B360" s="11"/>
      <c r="D360" s="11"/>
      <c r="E360" s="11"/>
      <c r="G360" s="11"/>
      <c r="I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>
      <c r="A361" s="11"/>
      <c r="B361" s="11"/>
      <c r="D361" s="11"/>
      <c r="E361" s="11"/>
      <c r="G361" s="11"/>
      <c r="I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>
      <c r="A362" s="11"/>
      <c r="B362" s="11"/>
      <c r="D362" s="11"/>
      <c r="E362" s="11"/>
      <c r="G362" s="11"/>
      <c r="I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>
      <c r="A363" s="11"/>
      <c r="B363" s="11"/>
      <c r="D363" s="11"/>
      <c r="E363" s="11"/>
      <c r="G363" s="11"/>
      <c r="I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>
      <c r="A364" s="11"/>
      <c r="B364" s="11"/>
      <c r="D364" s="11"/>
      <c r="E364" s="11"/>
      <c r="G364" s="11"/>
      <c r="I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>
      <c r="A365" s="11"/>
      <c r="B365" s="11"/>
      <c r="D365" s="11"/>
      <c r="E365" s="11"/>
      <c r="G365" s="11"/>
      <c r="I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>
      <c r="A366" s="11"/>
      <c r="B366" s="11"/>
      <c r="D366" s="11"/>
      <c r="E366" s="11"/>
      <c r="G366" s="11"/>
      <c r="I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>
      <c r="A367" s="11"/>
      <c r="B367" s="11"/>
      <c r="D367" s="11"/>
      <c r="E367" s="11"/>
      <c r="G367" s="11"/>
      <c r="I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>
      <c r="A368" s="11"/>
      <c r="B368" s="11"/>
      <c r="D368" s="11"/>
      <c r="E368" s="11"/>
      <c r="G368" s="11"/>
      <c r="I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>
      <c r="A369" s="11"/>
      <c r="B369" s="11"/>
      <c r="D369" s="11"/>
      <c r="E369" s="11"/>
      <c r="G369" s="11"/>
      <c r="I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>
      <c r="A370" s="11"/>
      <c r="B370" s="11"/>
      <c r="D370" s="11"/>
      <c r="E370" s="11"/>
      <c r="G370" s="11"/>
      <c r="I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>
      <c r="A371" s="11"/>
      <c r="B371" s="11"/>
      <c r="D371" s="11"/>
      <c r="E371" s="11"/>
      <c r="G371" s="11"/>
      <c r="I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>
      <c r="A372" s="11"/>
      <c r="B372" s="11"/>
      <c r="D372" s="11"/>
      <c r="E372" s="11"/>
      <c r="G372" s="11"/>
      <c r="I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>
      <c r="A373" s="11"/>
      <c r="B373" s="11"/>
      <c r="D373" s="11"/>
      <c r="E373" s="11"/>
      <c r="G373" s="11"/>
      <c r="I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>
      <c r="A374" s="11"/>
      <c r="B374" s="11"/>
      <c r="D374" s="11"/>
      <c r="E374" s="11"/>
      <c r="G374" s="11"/>
      <c r="I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>
      <c r="A375" s="11"/>
      <c r="B375" s="11"/>
      <c r="D375" s="11"/>
      <c r="E375" s="11"/>
      <c r="G375" s="11"/>
      <c r="I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>
      <c r="A376" s="11"/>
      <c r="B376" s="11"/>
      <c r="D376" s="11"/>
      <c r="E376" s="11"/>
      <c r="G376" s="11"/>
      <c r="I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>
      <c r="A377" s="11"/>
      <c r="B377" s="11"/>
      <c r="D377" s="11"/>
      <c r="E377" s="11"/>
      <c r="G377" s="11"/>
      <c r="I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>
      <c r="A378" s="11"/>
      <c r="B378" s="11"/>
      <c r="D378" s="11"/>
      <c r="E378" s="11"/>
      <c r="G378" s="11"/>
      <c r="I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>
      <c r="A379" s="11"/>
      <c r="B379" s="11"/>
      <c r="D379" s="11"/>
      <c r="E379" s="11"/>
      <c r="G379" s="11"/>
      <c r="I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>
      <c r="A380" s="11"/>
      <c r="B380" s="11"/>
      <c r="D380" s="11"/>
      <c r="E380" s="11"/>
      <c r="G380" s="11"/>
      <c r="I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>
      <c r="A381" s="11"/>
      <c r="B381" s="11"/>
      <c r="D381" s="11"/>
      <c r="E381" s="11"/>
      <c r="G381" s="11"/>
      <c r="I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>
      <c r="A382" s="11"/>
      <c r="B382" s="11"/>
      <c r="D382" s="11"/>
      <c r="E382" s="11"/>
      <c r="G382" s="11"/>
      <c r="I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>
      <c r="A383" s="11"/>
      <c r="B383" s="11"/>
      <c r="D383" s="11"/>
      <c r="E383" s="11"/>
      <c r="G383" s="11"/>
      <c r="I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>
      <c r="A384" s="11"/>
      <c r="B384" s="11"/>
      <c r="D384" s="11"/>
      <c r="E384" s="11"/>
      <c r="G384" s="11"/>
      <c r="I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>
      <c r="A385" s="11"/>
      <c r="B385" s="11"/>
      <c r="D385" s="11"/>
      <c r="E385" s="11"/>
      <c r="G385" s="11"/>
      <c r="I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>
      <c r="A386" s="11"/>
      <c r="B386" s="11"/>
      <c r="D386" s="11"/>
      <c r="E386" s="11"/>
      <c r="G386" s="11"/>
      <c r="I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>
      <c r="A387" s="11"/>
      <c r="B387" s="11"/>
      <c r="D387" s="11"/>
      <c r="E387" s="11"/>
      <c r="G387" s="11"/>
      <c r="I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>
      <c r="A388" s="11"/>
      <c r="B388" s="11"/>
      <c r="D388" s="11"/>
      <c r="E388" s="11"/>
      <c r="G388" s="11"/>
      <c r="I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>
      <c r="A389" s="11"/>
      <c r="B389" s="11"/>
      <c r="D389" s="11"/>
      <c r="E389" s="11"/>
      <c r="G389" s="11"/>
      <c r="I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>
      <c r="A390" s="11"/>
      <c r="B390" s="11"/>
      <c r="D390" s="11"/>
      <c r="E390" s="11"/>
      <c r="G390" s="11"/>
      <c r="I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>
      <c r="A391" s="11"/>
      <c r="B391" s="11"/>
      <c r="D391" s="11"/>
      <c r="E391" s="11"/>
      <c r="G391" s="11"/>
      <c r="I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>
      <c r="A392" s="11"/>
      <c r="B392" s="11"/>
      <c r="D392" s="11"/>
      <c r="E392" s="11"/>
      <c r="G392" s="11"/>
      <c r="I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>
      <c r="A393" s="11"/>
      <c r="B393" s="11"/>
      <c r="D393" s="11"/>
      <c r="E393" s="11"/>
      <c r="G393" s="11"/>
      <c r="I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>
      <c r="A394" s="11"/>
      <c r="B394" s="11"/>
      <c r="D394" s="11"/>
      <c r="E394" s="11"/>
      <c r="G394" s="11"/>
      <c r="I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>
      <c r="A395" s="11"/>
      <c r="B395" s="11"/>
      <c r="D395" s="11"/>
      <c r="E395" s="11"/>
      <c r="G395" s="11"/>
      <c r="I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>
      <c r="A396" s="11"/>
      <c r="B396" s="11"/>
      <c r="D396" s="11"/>
      <c r="E396" s="11"/>
      <c r="G396" s="11"/>
      <c r="I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>
      <c r="A397" s="11"/>
      <c r="B397" s="11"/>
      <c r="D397" s="11"/>
      <c r="E397" s="11"/>
      <c r="G397" s="11"/>
      <c r="I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>
      <c r="A398" s="11"/>
      <c r="B398" s="11"/>
      <c r="D398" s="11"/>
      <c r="E398" s="11"/>
      <c r="G398" s="11"/>
      <c r="I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>
      <c r="A399" s="11"/>
      <c r="B399" s="11"/>
      <c r="D399" s="11"/>
      <c r="E399" s="11"/>
      <c r="G399" s="11"/>
      <c r="I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>
      <c r="A400" s="11"/>
      <c r="B400" s="11"/>
      <c r="D400" s="11"/>
      <c r="E400" s="11"/>
      <c r="G400" s="11"/>
      <c r="I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>
      <c r="A401" s="11"/>
      <c r="B401" s="11"/>
      <c r="D401" s="11"/>
      <c r="E401" s="11"/>
      <c r="G401" s="11"/>
      <c r="I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>
      <c r="A402" s="11"/>
      <c r="B402" s="11"/>
      <c r="D402" s="11"/>
      <c r="E402" s="11"/>
      <c r="G402" s="11"/>
      <c r="I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>
      <c r="A403" s="11"/>
      <c r="B403" s="11"/>
      <c r="D403" s="11"/>
      <c r="E403" s="11"/>
      <c r="G403" s="11"/>
      <c r="I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>
      <c r="A404" s="11"/>
      <c r="B404" s="11"/>
      <c r="D404" s="11"/>
      <c r="E404" s="11"/>
      <c r="G404" s="11"/>
      <c r="I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>
      <c r="A405" s="11"/>
      <c r="B405" s="11"/>
      <c r="D405" s="11"/>
      <c r="E405" s="11"/>
      <c r="G405" s="11"/>
      <c r="I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>
      <c r="A406" s="11"/>
      <c r="B406" s="11"/>
      <c r="D406" s="11"/>
      <c r="E406" s="11"/>
      <c r="G406" s="11"/>
      <c r="I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>
      <c r="A407" s="11"/>
      <c r="B407" s="11"/>
      <c r="D407" s="11"/>
      <c r="E407" s="11"/>
      <c r="G407" s="11"/>
      <c r="I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>
      <c r="A408" s="11"/>
      <c r="B408" s="11"/>
      <c r="D408" s="11"/>
      <c r="E408" s="11"/>
      <c r="G408" s="11"/>
      <c r="I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>
      <c r="A409" s="11"/>
      <c r="B409" s="11"/>
      <c r="D409" s="11"/>
      <c r="E409" s="11"/>
      <c r="G409" s="11"/>
      <c r="I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>
      <c r="A410" s="11"/>
      <c r="B410" s="11"/>
      <c r="D410" s="11"/>
      <c r="E410" s="11"/>
      <c r="G410" s="11"/>
      <c r="I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>
      <c r="A411" s="11"/>
      <c r="B411" s="11"/>
      <c r="D411" s="11"/>
      <c r="E411" s="11"/>
      <c r="G411" s="11"/>
      <c r="I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>
      <c r="A412" s="11"/>
      <c r="B412" s="11"/>
      <c r="D412" s="11"/>
      <c r="E412" s="11"/>
      <c r="G412" s="11"/>
      <c r="I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>
      <c r="A413" s="11"/>
      <c r="B413" s="11"/>
      <c r="D413" s="11"/>
      <c r="E413" s="11"/>
      <c r="G413" s="11"/>
      <c r="I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>
      <c r="A414" s="11"/>
      <c r="B414" s="11"/>
      <c r="D414" s="11"/>
      <c r="E414" s="11"/>
      <c r="G414" s="11"/>
      <c r="I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>
      <c r="A415" s="11"/>
      <c r="B415" s="11"/>
      <c r="D415" s="11"/>
      <c r="E415" s="11"/>
      <c r="G415" s="11"/>
      <c r="I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>
      <c r="A416" s="11"/>
      <c r="B416" s="11"/>
      <c r="D416" s="11"/>
      <c r="E416" s="11"/>
      <c r="G416" s="11"/>
      <c r="I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>
      <c r="A417" s="11"/>
      <c r="B417" s="11"/>
      <c r="D417" s="11"/>
      <c r="E417" s="11"/>
      <c r="G417" s="11"/>
      <c r="I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>
      <c r="A418" s="11"/>
      <c r="B418" s="11"/>
      <c r="D418" s="11"/>
      <c r="E418" s="11"/>
      <c r="G418" s="11"/>
      <c r="I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>
      <c r="A419" s="11"/>
      <c r="B419" s="11"/>
      <c r="D419" s="11"/>
      <c r="E419" s="11"/>
      <c r="G419" s="11"/>
      <c r="I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>
      <c r="A420" s="11"/>
      <c r="B420" s="11"/>
      <c r="D420" s="11"/>
      <c r="E420" s="11"/>
      <c r="G420" s="11"/>
      <c r="I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>
      <c r="A421" s="11"/>
      <c r="B421" s="11"/>
      <c r="D421" s="11"/>
      <c r="E421" s="11"/>
      <c r="G421" s="11"/>
      <c r="I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>
      <c r="A422" s="11"/>
      <c r="B422" s="11"/>
      <c r="D422" s="11"/>
      <c r="E422" s="11"/>
      <c r="G422" s="11"/>
      <c r="I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>
      <c r="A423" s="11"/>
      <c r="B423" s="11"/>
      <c r="D423" s="11"/>
      <c r="E423" s="11"/>
      <c r="G423" s="11"/>
      <c r="I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>
      <c r="A424" s="11"/>
      <c r="B424" s="11"/>
      <c r="D424" s="11"/>
      <c r="E424" s="11"/>
      <c r="G424" s="11"/>
      <c r="I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>
      <c r="A425" s="11"/>
      <c r="B425" s="11"/>
      <c r="D425" s="11"/>
      <c r="E425" s="11"/>
      <c r="G425" s="11"/>
      <c r="I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>
      <c r="A426" s="11"/>
      <c r="B426" s="11"/>
      <c r="D426" s="11"/>
      <c r="E426" s="11"/>
      <c r="G426" s="11"/>
      <c r="I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>
      <c r="A427" s="11"/>
      <c r="B427" s="11"/>
      <c r="D427" s="11"/>
      <c r="E427" s="11"/>
      <c r="G427" s="11"/>
      <c r="I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>
      <c r="A428" s="11"/>
      <c r="B428" s="11"/>
      <c r="D428" s="11"/>
      <c r="E428" s="11"/>
      <c r="G428" s="11"/>
      <c r="I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>
      <c r="A429" s="11"/>
      <c r="B429" s="11"/>
      <c r="D429" s="11"/>
      <c r="E429" s="11"/>
      <c r="G429" s="11"/>
      <c r="I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>
      <c r="A430" s="11"/>
      <c r="B430" s="11"/>
      <c r="D430" s="11"/>
      <c r="E430" s="11"/>
      <c r="G430" s="11"/>
      <c r="I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>
      <c r="A431" s="11"/>
      <c r="B431" s="11"/>
      <c r="D431" s="11"/>
      <c r="E431" s="11"/>
      <c r="G431" s="11"/>
      <c r="I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>
      <c r="A432" s="11"/>
      <c r="B432" s="11"/>
      <c r="D432" s="11"/>
      <c r="E432" s="11"/>
      <c r="G432" s="11"/>
      <c r="I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>
      <c r="A433" s="11"/>
      <c r="B433" s="11"/>
      <c r="D433" s="11"/>
      <c r="E433" s="11"/>
      <c r="G433" s="11"/>
      <c r="I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>
      <c r="A434" s="11"/>
      <c r="B434" s="11"/>
      <c r="D434" s="11"/>
      <c r="E434" s="11"/>
      <c r="G434" s="11"/>
      <c r="I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>
      <c r="A435" s="11"/>
      <c r="B435" s="11"/>
      <c r="D435" s="11"/>
      <c r="E435" s="11"/>
      <c r="G435" s="11"/>
      <c r="I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>
      <c r="A436" s="11"/>
      <c r="B436" s="11"/>
      <c r="D436" s="11"/>
      <c r="E436" s="11"/>
      <c r="G436" s="11"/>
      <c r="I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>
      <c r="A437" s="11"/>
      <c r="B437" s="11"/>
      <c r="D437" s="11"/>
      <c r="E437" s="11"/>
      <c r="G437" s="11"/>
      <c r="I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>
      <c r="A438" s="11"/>
      <c r="B438" s="11"/>
      <c r="D438" s="11"/>
      <c r="E438" s="11"/>
      <c r="G438" s="11"/>
      <c r="I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>
      <c r="A439" s="11"/>
      <c r="B439" s="11"/>
      <c r="D439" s="11"/>
      <c r="E439" s="11"/>
      <c r="G439" s="11"/>
      <c r="I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>
      <c r="A440" s="11"/>
      <c r="B440" s="11"/>
      <c r="D440" s="11"/>
      <c r="E440" s="11"/>
      <c r="G440" s="11"/>
      <c r="I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>
      <c r="A441" s="11"/>
      <c r="B441" s="11"/>
      <c r="D441" s="11"/>
      <c r="E441" s="11"/>
      <c r="G441" s="11"/>
      <c r="I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>
      <c r="A442" s="11"/>
      <c r="B442" s="11"/>
      <c r="D442" s="11"/>
      <c r="E442" s="11"/>
      <c r="G442" s="11"/>
      <c r="I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>
      <c r="A443" s="11"/>
      <c r="B443" s="11"/>
      <c r="D443" s="11"/>
      <c r="E443" s="11"/>
      <c r="G443" s="11"/>
      <c r="I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>
      <c r="A444" s="11"/>
      <c r="B444" s="11"/>
      <c r="D444" s="11"/>
      <c r="E444" s="11"/>
      <c r="G444" s="11"/>
      <c r="I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>
      <c r="A445" s="11"/>
      <c r="B445" s="11"/>
      <c r="D445" s="11"/>
      <c r="E445" s="11"/>
      <c r="G445" s="11"/>
      <c r="I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>
      <c r="A446" s="11"/>
      <c r="B446" s="11"/>
      <c r="D446" s="11"/>
      <c r="E446" s="11"/>
      <c r="G446" s="11"/>
      <c r="I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>
      <c r="A447" s="11"/>
      <c r="B447" s="11"/>
      <c r="D447" s="11"/>
      <c r="E447" s="11"/>
      <c r="G447" s="11"/>
      <c r="I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>
      <c r="A448" s="11"/>
      <c r="B448" s="11"/>
      <c r="D448" s="11"/>
      <c r="E448" s="11"/>
      <c r="G448" s="11"/>
      <c r="I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>
      <c r="A449" s="11"/>
      <c r="B449" s="11"/>
      <c r="D449" s="11"/>
      <c r="E449" s="11"/>
      <c r="G449" s="11"/>
      <c r="I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>
      <c r="A450" s="11"/>
      <c r="B450" s="11"/>
      <c r="D450" s="11"/>
      <c r="E450" s="11"/>
      <c r="G450" s="11"/>
      <c r="I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>
      <c r="A451" s="11"/>
      <c r="B451" s="11"/>
      <c r="D451" s="11"/>
      <c r="E451" s="11"/>
      <c r="G451" s="11"/>
      <c r="I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>
      <c r="A452" s="11"/>
      <c r="B452" s="11"/>
      <c r="D452" s="11"/>
      <c r="E452" s="11"/>
      <c r="G452" s="11"/>
      <c r="I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>
      <c r="A453" s="11"/>
      <c r="B453" s="11"/>
      <c r="D453" s="11"/>
      <c r="E453" s="11"/>
      <c r="G453" s="11"/>
      <c r="I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>
      <c r="A454" s="11"/>
      <c r="B454" s="11"/>
      <c r="D454" s="11"/>
      <c r="E454" s="11"/>
      <c r="G454" s="11"/>
      <c r="I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>
      <c r="A455" s="11"/>
      <c r="B455" s="11"/>
      <c r="D455" s="11"/>
      <c r="E455" s="11"/>
      <c r="G455" s="11"/>
      <c r="I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>
      <c r="A456" s="11"/>
      <c r="B456" s="11"/>
      <c r="D456" s="11"/>
      <c r="E456" s="11"/>
      <c r="G456" s="11"/>
      <c r="I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>
      <c r="A457" s="11"/>
      <c r="B457" s="11"/>
      <c r="D457" s="11"/>
      <c r="E457" s="11"/>
      <c r="G457" s="11"/>
      <c r="I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>
      <c r="A458" s="11"/>
      <c r="B458" s="11"/>
      <c r="D458" s="11"/>
      <c r="E458" s="11"/>
      <c r="G458" s="11"/>
      <c r="I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>
      <c r="A459" s="11"/>
      <c r="B459" s="11"/>
      <c r="D459" s="11"/>
      <c r="E459" s="11"/>
      <c r="G459" s="11"/>
      <c r="I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>
      <c r="A460" s="11"/>
      <c r="B460" s="11"/>
      <c r="D460" s="11"/>
      <c r="E460" s="11"/>
      <c r="G460" s="11"/>
      <c r="I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>
      <c r="A461" s="11"/>
      <c r="B461" s="11"/>
      <c r="D461" s="11"/>
      <c r="E461" s="11"/>
      <c r="G461" s="11"/>
      <c r="I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>
      <c r="A462" s="11"/>
      <c r="B462" s="11"/>
      <c r="D462" s="11"/>
      <c r="E462" s="11"/>
      <c r="G462" s="11"/>
      <c r="I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>
      <c r="A463" s="11"/>
      <c r="B463" s="11"/>
      <c r="D463" s="11"/>
      <c r="E463" s="11"/>
      <c r="G463" s="11"/>
      <c r="I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>
      <c r="A464" s="11"/>
      <c r="B464" s="11"/>
      <c r="D464" s="11"/>
      <c r="E464" s="11"/>
      <c r="G464" s="11"/>
      <c r="I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>
      <c r="A465" s="11"/>
      <c r="B465" s="11"/>
      <c r="D465" s="11"/>
      <c r="E465" s="11"/>
      <c r="G465" s="11"/>
      <c r="I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>
      <c r="A466" s="11"/>
      <c r="B466" s="11"/>
      <c r="D466" s="11"/>
      <c r="E466" s="11"/>
      <c r="G466" s="11"/>
      <c r="I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>
      <c r="A467" s="11"/>
      <c r="B467" s="11"/>
      <c r="D467" s="11"/>
      <c r="E467" s="11"/>
      <c r="G467" s="11"/>
      <c r="I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>
      <c r="A468" s="11"/>
      <c r="B468" s="11"/>
      <c r="D468" s="11"/>
      <c r="E468" s="11"/>
      <c r="G468" s="11"/>
      <c r="I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>
      <c r="A469" s="11"/>
      <c r="B469" s="11"/>
      <c r="D469" s="11"/>
      <c r="E469" s="11"/>
      <c r="G469" s="11"/>
      <c r="I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>
      <c r="A470" s="11"/>
      <c r="B470" s="11"/>
      <c r="D470" s="11"/>
      <c r="E470" s="11"/>
      <c r="G470" s="11"/>
      <c r="I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>
      <c r="A471" s="11"/>
      <c r="B471" s="11"/>
      <c r="D471" s="11"/>
      <c r="E471" s="11"/>
      <c r="G471" s="11"/>
      <c r="I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>
      <c r="A472" s="11"/>
      <c r="B472" s="11"/>
      <c r="D472" s="11"/>
      <c r="E472" s="11"/>
      <c r="G472" s="11"/>
      <c r="I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>
      <c r="A473" s="11"/>
      <c r="B473" s="11"/>
      <c r="D473" s="11"/>
      <c r="E473" s="11"/>
      <c r="G473" s="11"/>
      <c r="I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>
      <c r="A474" s="11"/>
      <c r="B474" s="11"/>
      <c r="D474" s="11"/>
      <c r="E474" s="11"/>
      <c r="G474" s="11"/>
      <c r="I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>
      <c r="A475" s="11"/>
      <c r="B475" s="11"/>
      <c r="D475" s="11"/>
      <c r="E475" s="11"/>
      <c r="G475" s="11"/>
      <c r="I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>
      <c r="A476" s="11"/>
      <c r="B476" s="11"/>
      <c r="D476" s="11"/>
      <c r="E476" s="11"/>
      <c r="G476" s="11"/>
      <c r="I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>
      <c r="A477" s="11"/>
      <c r="B477" s="11"/>
      <c r="D477" s="11"/>
      <c r="E477" s="11"/>
      <c r="G477" s="11"/>
      <c r="I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>
      <c r="A478" s="11"/>
      <c r="B478" s="11"/>
      <c r="D478" s="11"/>
      <c r="E478" s="11"/>
      <c r="G478" s="11"/>
      <c r="I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>
      <c r="A479" s="11"/>
      <c r="B479" s="11"/>
      <c r="D479" s="11"/>
      <c r="E479" s="11"/>
      <c r="G479" s="11"/>
      <c r="I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>
      <c r="A480" s="11"/>
      <c r="B480" s="11"/>
      <c r="D480" s="11"/>
      <c r="E480" s="11"/>
      <c r="G480" s="11"/>
      <c r="I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>
      <c r="A481" s="11"/>
      <c r="B481" s="11"/>
      <c r="D481" s="11"/>
      <c r="E481" s="11"/>
      <c r="G481" s="11"/>
      <c r="I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>
      <c r="A482" s="11"/>
      <c r="B482" s="11"/>
      <c r="D482" s="11"/>
      <c r="E482" s="11"/>
      <c r="G482" s="11"/>
      <c r="I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>
      <c r="A483" s="11"/>
      <c r="B483" s="11"/>
      <c r="D483" s="11"/>
      <c r="E483" s="11"/>
      <c r="G483" s="11"/>
      <c r="I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>
      <c r="A484" s="11"/>
      <c r="B484" s="11"/>
      <c r="D484" s="11"/>
      <c r="E484" s="11"/>
      <c r="G484" s="11"/>
      <c r="I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>
      <c r="A485" s="11"/>
      <c r="B485" s="11"/>
      <c r="D485" s="11"/>
      <c r="E485" s="11"/>
      <c r="G485" s="11"/>
      <c r="I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>
      <c r="A486" s="11"/>
      <c r="B486" s="11"/>
      <c r="D486" s="11"/>
      <c r="E486" s="11"/>
      <c r="G486" s="11"/>
      <c r="I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>
      <c r="A487" s="11"/>
      <c r="B487" s="11"/>
      <c r="D487" s="11"/>
      <c r="E487" s="11"/>
      <c r="G487" s="11"/>
      <c r="I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>
      <c r="A488" s="11"/>
      <c r="B488" s="11"/>
      <c r="D488" s="11"/>
      <c r="E488" s="11"/>
      <c r="G488" s="11"/>
      <c r="I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>
      <c r="A489" s="11"/>
      <c r="B489" s="11"/>
      <c r="D489" s="11"/>
      <c r="E489" s="11"/>
      <c r="G489" s="11"/>
      <c r="I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>
      <c r="A490" s="11"/>
      <c r="B490" s="11"/>
      <c r="D490" s="11"/>
      <c r="E490" s="11"/>
      <c r="G490" s="11"/>
      <c r="I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>
      <c r="A491" s="11"/>
      <c r="B491" s="11"/>
      <c r="D491" s="11"/>
      <c r="E491" s="11"/>
      <c r="G491" s="11"/>
      <c r="I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>
      <c r="A492" s="11"/>
      <c r="B492" s="11"/>
      <c r="D492" s="11"/>
      <c r="E492" s="11"/>
      <c r="G492" s="11"/>
      <c r="I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>
      <c r="A493" s="11"/>
      <c r="B493" s="11"/>
      <c r="D493" s="11"/>
      <c r="E493" s="11"/>
      <c r="G493" s="11"/>
      <c r="I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>
      <c r="A494" s="11"/>
      <c r="B494" s="11"/>
      <c r="D494" s="11"/>
      <c r="E494" s="11"/>
      <c r="G494" s="11"/>
      <c r="I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>
      <c r="A495" s="11"/>
      <c r="B495" s="11"/>
      <c r="D495" s="11"/>
      <c r="E495" s="11"/>
      <c r="G495" s="11"/>
      <c r="I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>
      <c r="A496" s="11"/>
      <c r="B496" s="11"/>
      <c r="D496" s="11"/>
      <c r="E496" s="11"/>
      <c r="G496" s="11"/>
      <c r="I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>
      <c r="A497" s="11"/>
      <c r="B497" s="11"/>
      <c r="D497" s="11"/>
      <c r="E497" s="11"/>
      <c r="G497" s="11"/>
      <c r="I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>
      <c r="A498" s="11"/>
      <c r="B498" s="11"/>
      <c r="D498" s="11"/>
      <c r="E498" s="11"/>
      <c r="G498" s="11"/>
      <c r="I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>
      <c r="A499" s="11"/>
      <c r="B499" s="11"/>
      <c r="D499" s="11"/>
      <c r="E499" s="11"/>
      <c r="G499" s="11"/>
      <c r="I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>
      <c r="A500" s="11"/>
      <c r="B500" s="11"/>
      <c r="D500" s="11"/>
      <c r="E500" s="11"/>
      <c r="G500" s="11"/>
      <c r="I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>
      <c r="A501" s="11"/>
      <c r="B501" s="11"/>
      <c r="D501" s="11"/>
      <c r="E501" s="11"/>
      <c r="G501" s="11"/>
      <c r="I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>
      <c r="A502" s="11"/>
      <c r="B502" s="11"/>
      <c r="D502" s="11"/>
      <c r="E502" s="11"/>
      <c r="G502" s="11"/>
      <c r="I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>
      <c r="A503" s="11"/>
      <c r="B503" s="11"/>
      <c r="D503" s="11"/>
      <c r="E503" s="11"/>
      <c r="G503" s="11"/>
      <c r="I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>
      <c r="A504" s="11"/>
      <c r="B504" s="11"/>
      <c r="D504" s="11"/>
      <c r="E504" s="11"/>
      <c r="G504" s="11"/>
      <c r="I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>
      <c r="A505" s="11"/>
      <c r="B505" s="11"/>
      <c r="D505" s="11"/>
      <c r="E505" s="11"/>
      <c r="G505" s="11"/>
      <c r="I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>
      <c r="A506" s="11"/>
      <c r="B506" s="11"/>
      <c r="D506" s="11"/>
      <c r="E506" s="11"/>
      <c r="G506" s="11"/>
      <c r="I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>
      <c r="A507" s="11"/>
      <c r="B507" s="11"/>
      <c r="D507" s="11"/>
      <c r="E507" s="11"/>
      <c r="G507" s="11"/>
      <c r="I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>
      <c r="A508" s="11"/>
      <c r="B508" s="11"/>
      <c r="D508" s="11"/>
      <c r="E508" s="11"/>
      <c r="G508" s="11"/>
      <c r="I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>
      <c r="A509" s="11"/>
      <c r="B509" s="11"/>
      <c r="D509" s="11"/>
      <c r="E509" s="11"/>
      <c r="G509" s="11"/>
      <c r="I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>
      <c r="A510" s="11"/>
      <c r="B510" s="11"/>
      <c r="D510" s="11"/>
      <c r="E510" s="11"/>
      <c r="G510" s="11"/>
      <c r="I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>
      <c r="A511" s="11"/>
      <c r="B511" s="11"/>
      <c r="D511" s="11"/>
      <c r="E511" s="11"/>
      <c r="G511" s="11"/>
      <c r="I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>
      <c r="A512" s="11"/>
      <c r="B512" s="11"/>
      <c r="D512" s="11"/>
      <c r="E512" s="11"/>
      <c r="G512" s="11"/>
      <c r="I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>
      <c r="A513" s="11"/>
      <c r="B513" s="11"/>
      <c r="D513" s="11"/>
      <c r="E513" s="11"/>
      <c r="G513" s="11"/>
      <c r="I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>
      <c r="A514" s="11"/>
      <c r="B514" s="11"/>
      <c r="D514" s="11"/>
      <c r="E514" s="11"/>
      <c r="G514" s="11"/>
      <c r="I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>
      <c r="A515" s="11"/>
      <c r="B515" s="11"/>
      <c r="D515" s="11"/>
      <c r="E515" s="11"/>
      <c r="G515" s="11"/>
      <c r="I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>
      <c r="A516" s="11"/>
      <c r="B516" s="11"/>
      <c r="D516" s="11"/>
      <c r="E516" s="11"/>
      <c r="G516" s="11"/>
      <c r="I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>
      <c r="A517" s="11"/>
      <c r="B517" s="11"/>
      <c r="D517" s="11"/>
      <c r="E517" s="11"/>
      <c r="G517" s="11"/>
      <c r="I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>
      <c r="A518" s="11"/>
      <c r="B518" s="11"/>
      <c r="D518" s="11"/>
      <c r="E518" s="11"/>
      <c r="G518" s="11"/>
      <c r="I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>
      <c r="A519" s="11"/>
      <c r="B519" s="11"/>
      <c r="D519" s="11"/>
      <c r="E519" s="11"/>
      <c r="G519" s="11"/>
      <c r="I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>
      <c r="A520" s="11"/>
      <c r="B520" s="11"/>
      <c r="D520" s="11"/>
      <c r="E520" s="11"/>
      <c r="G520" s="11"/>
      <c r="I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>
      <c r="A521" s="11"/>
      <c r="B521" s="11"/>
      <c r="D521" s="11"/>
      <c r="E521" s="11"/>
      <c r="G521" s="11"/>
      <c r="I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>
      <c r="A522" s="11"/>
      <c r="B522" s="11"/>
      <c r="D522" s="11"/>
      <c r="E522" s="11"/>
      <c r="G522" s="11"/>
      <c r="I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>
      <c r="A523" s="11"/>
      <c r="B523" s="11"/>
      <c r="D523" s="11"/>
      <c r="E523" s="11"/>
      <c r="G523" s="11"/>
      <c r="I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>
      <c r="A524" s="11"/>
      <c r="B524" s="11"/>
      <c r="D524" s="11"/>
      <c r="E524" s="11"/>
      <c r="G524" s="11"/>
      <c r="I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>
      <c r="A525" s="11"/>
      <c r="B525" s="11"/>
      <c r="D525" s="11"/>
      <c r="E525" s="11"/>
      <c r="G525" s="11"/>
      <c r="I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>
      <c r="A526" s="11"/>
      <c r="B526" s="11"/>
      <c r="D526" s="11"/>
      <c r="E526" s="11"/>
      <c r="G526" s="11"/>
      <c r="I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>
      <c r="A527" s="11"/>
      <c r="B527" s="11"/>
      <c r="D527" s="11"/>
      <c r="E527" s="11"/>
      <c r="G527" s="11"/>
      <c r="I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>
      <c r="A528" s="11"/>
      <c r="B528" s="11"/>
      <c r="D528" s="11"/>
      <c r="E528" s="11"/>
      <c r="G528" s="11"/>
      <c r="I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>
      <c r="A529" s="11"/>
      <c r="B529" s="11"/>
      <c r="D529" s="11"/>
      <c r="E529" s="11"/>
      <c r="G529" s="11"/>
      <c r="I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>
      <c r="A530" s="11"/>
      <c r="B530" s="11"/>
      <c r="D530" s="11"/>
      <c r="E530" s="11"/>
      <c r="G530" s="11"/>
      <c r="I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>
      <c r="A531" s="11"/>
      <c r="B531" s="11"/>
      <c r="D531" s="11"/>
      <c r="E531" s="11"/>
      <c r="G531" s="11"/>
      <c r="I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>
      <c r="A532" s="11"/>
      <c r="B532" s="11"/>
      <c r="D532" s="11"/>
      <c r="E532" s="11"/>
      <c r="G532" s="11"/>
      <c r="I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>
      <c r="A533" s="11"/>
      <c r="B533" s="11"/>
      <c r="D533" s="11"/>
      <c r="E533" s="11"/>
      <c r="G533" s="11"/>
      <c r="I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>
      <c r="A534" s="11"/>
      <c r="B534" s="11"/>
      <c r="D534" s="11"/>
      <c r="E534" s="11"/>
      <c r="G534" s="11"/>
      <c r="I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>
      <c r="A535" s="11"/>
      <c r="B535" s="11"/>
      <c r="D535" s="11"/>
      <c r="E535" s="11"/>
      <c r="G535" s="11"/>
      <c r="I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>
      <c r="A536" s="11"/>
      <c r="B536" s="11"/>
      <c r="D536" s="11"/>
      <c r="E536" s="11"/>
      <c r="G536" s="11"/>
      <c r="I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>
      <c r="A537" s="11"/>
      <c r="B537" s="11"/>
      <c r="D537" s="11"/>
      <c r="E537" s="11"/>
      <c r="G537" s="11"/>
      <c r="I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>
      <c r="A538" s="11"/>
      <c r="B538" s="11"/>
      <c r="D538" s="11"/>
      <c r="E538" s="11"/>
      <c r="G538" s="11"/>
      <c r="I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>
      <c r="A539" s="11"/>
      <c r="B539" s="11"/>
      <c r="D539" s="11"/>
      <c r="E539" s="11"/>
      <c r="G539" s="11"/>
      <c r="I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>
      <c r="A540" s="11"/>
      <c r="B540" s="11"/>
      <c r="D540" s="11"/>
      <c r="E540" s="11"/>
      <c r="G540" s="11"/>
      <c r="I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>
      <c r="A541" s="11"/>
      <c r="B541" s="11"/>
      <c r="D541" s="11"/>
      <c r="E541" s="11"/>
      <c r="G541" s="11"/>
      <c r="I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>
      <c r="A542" s="11"/>
      <c r="B542" s="11"/>
      <c r="D542" s="11"/>
      <c r="E542" s="11"/>
      <c r="G542" s="11"/>
      <c r="I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>
      <c r="A543" s="11"/>
      <c r="B543" s="11"/>
      <c r="D543" s="11"/>
      <c r="E543" s="11"/>
      <c r="G543" s="11"/>
      <c r="I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>
      <c r="A544" s="11"/>
      <c r="B544" s="11"/>
      <c r="D544" s="11"/>
      <c r="E544" s="11"/>
      <c r="G544" s="11"/>
      <c r="I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>
      <c r="A545" s="11"/>
      <c r="B545" s="11"/>
      <c r="D545" s="11"/>
      <c r="E545" s="11"/>
      <c r="G545" s="11"/>
      <c r="I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>
      <c r="A546" s="11"/>
      <c r="B546" s="11"/>
      <c r="D546" s="11"/>
      <c r="E546" s="11"/>
      <c r="G546" s="11"/>
      <c r="I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>
      <c r="A547" s="11"/>
      <c r="B547" s="11"/>
      <c r="D547" s="11"/>
      <c r="E547" s="11"/>
      <c r="G547" s="11"/>
      <c r="I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>
      <c r="A548" s="11"/>
      <c r="B548" s="11"/>
      <c r="D548" s="11"/>
      <c r="E548" s="11"/>
      <c r="G548" s="11"/>
      <c r="I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>
      <c r="A549" s="11"/>
      <c r="B549" s="11"/>
      <c r="D549" s="11"/>
      <c r="E549" s="11"/>
      <c r="G549" s="11"/>
      <c r="I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>
      <c r="A550" s="11"/>
      <c r="B550" s="11"/>
      <c r="D550" s="11"/>
      <c r="E550" s="11"/>
      <c r="G550" s="11"/>
      <c r="I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>
      <c r="A551" s="11"/>
      <c r="B551" s="11"/>
      <c r="D551" s="11"/>
      <c r="E551" s="11"/>
      <c r="G551" s="11"/>
      <c r="I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>
      <c r="A552" s="11"/>
      <c r="B552" s="11"/>
      <c r="D552" s="11"/>
      <c r="E552" s="11"/>
      <c r="G552" s="11"/>
      <c r="I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>
      <c r="A553" s="11"/>
      <c r="B553" s="11"/>
      <c r="D553" s="11"/>
      <c r="E553" s="11"/>
      <c r="G553" s="11"/>
      <c r="I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>
      <c r="A554" s="11"/>
      <c r="B554" s="11"/>
      <c r="D554" s="11"/>
      <c r="E554" s="11"/>
      <c r="G554" s="11"/>
      <c r="I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>
      <c r="A555" s="11"/>
      <c r="B555" s="11"/>
      <c r="D555" s="11"/>
      <c r="E555" s="11"/>
      <c r="G555" s="11"/>
      <c r="I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>
      <c r="A556" s="11"/>
      <c r="B556" s="11"/>
      <c r="D556" s="11"/>
      <c r="E556" s="11"/>
      <c r="G556" s="11"/>
      <c r="I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>
      <c r="A557" s="11"/>
      <c r="B557" s="11"/>
      <c r="D557" s="11"/>
      <c r="E557" s="11"/>
      <c r="G557" s="11"/>
      <c r="I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>
      <c r="A558" s="11"/>
      <c r="B558" s="11"/>
      <c r="D558" s="11"/>
      <c r="E558" s="11"/>
      <c r="G558" s="11"/>
      <c r="I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>
      <c r="A559" s="11"/>
      <c r="B559" s="11"/>
      <c r="D559" s="11"/>
      <c r="E559" s="11"/>
      <c r="G559" s="11"/>
      <c r="I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>
      <c r="A560" s="11"/>
      <c r="B560" s="11"/>
      <c r="D560" s="11"/>
      <c r="E560" s="11"/>
      <c r="G560" s="11"/>
      <c r="I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>
      <c r="A561" s="11"/>
      <c r="B561" s="11"/>
      <c r="D561" s="11"/>
      <c r="E561" s="11"/>
      <c r="G561" s="11"/>
      <c r="I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>
      <c r="A562" s="11"/>
      <c r="B562" s="11"/>
      <c r="D562" s="11"/>
      <c r="E562" s="11"/>
      <c r="G562" s="11"/>
      <c r="I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>
      <c r="A563" s="11"/>
      <c r="B563" s="11"/>
      <c r="D563" s="11"/>
      <c r="E563" s="11"/>
      <c r="G563" s="11"/>
      <c r="I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>
      <c r="A564" s="11"/>
      <c r="B564" s="11"/>
      <c r="D564" s="11"/>
      <c r="E564" s="11"/>
      <c r="G564" s="11"/>
      <c r="I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>
      <c r="A565" s="11"/>
      <c r="B565" s="11"/>
      <c r="D565" s="11"/>
      <c r="E565" s="11"/>
      <c r="G565" s="11"/>
      <c r="I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>
      <c r="A566" s="11"/>
      <c r="B566" s="11"/>
      <c r="D566" s="11"/>
      <c r="E566" s="11"/>
      <c r="G566" s="11"/>
      <c r="I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>
      <c r="A567" s="11"/>
      <c r="B567" s="11"/>
      <c r="D567" s="11"/>
      <c r="E567" s="11"/>
      <c r="G567" s="11"/>
      <c r="I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>
      <c r="A568" s="11"/>
      <c r="B568" s="11"/>
      <c r="D568" s="11"/>
      <c r="E568" s="11"/>
      <c r="G568" s="11"/>
      <c r="I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>
      <c r="A569" s="11"/>
      <c r="B569" s="11"/>
      <c r="D569" s="11"/>
      <c r="E569" s="11"/>
      <c r="G569" s="11"/>
      <c r="I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>
      <c r="A570" s="11"/>
      <c r="B570" s="11"/>
      <c r="D570" s="11"/>
      <c r="E570" s="11"/>
      <c r="G570" s="11"/>
      <c r="I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>
      <c r="A571" s="11"/>
      <c r="B571" s="11"/>
      <c r="D571" s="11"/>
      <c r="E571" s="11"/>
      <c r="G571" s="11"/>
      <c r="I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>
      <c r="A572" s="11"/>
      <c r="B572" s="11"/>
      <c r="D572" s="11"/>
      <c r="E572" s="11"/>
      <c r="G572" s="11"/>
      <c r="I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>
      <c r="A573" s="11"/>
      <c r="B573" s="11"/>
      <c r="D573" s="11"/>
      <c r="E573" s="11"/>
      <c r="G573" s="11"/>
      <c r="I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>
      <c r="A574" s="11"/>
      <c r="B574" s="11"/>
      <c r="D574" s="11"/>
      <c r="E574" s="11"/>
      <c r="G574" s="11"/>
      <c r="I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>
      <c r="A575" s="11"/>
      <c r="B575" s="11"/>
      <c r="D575" s="11"/>
      <c r="E575" s="11"/>
      <c r="G575" s="11"/>
      <c r="I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>
      <c r="A576" s="11"/>
      <c r="B576" s="11"/>
      <c r="D576" s="11"/>
      <c r="E576" s="11"/>
      <c r="G576" s="11"/>
      <c r="I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>
      <c r="A577" s="11"/>
      <c r="B577" s="11"/>
      <c r="D577" s="11"/>
      <c r="E577" s="11"/>
      <c r="G577" s="11"/>
      <c r="I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>
      <c r="A578" s="11"/>
      <c r="B578" s="11"/>
      <c r="D578" s="11"/>
      <c r="E578" s="11"/>
      <c r="G578" s="11"/>
      <c r="I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>
      <c r="A579" s="11"/>
      <c r="B579" s="11"/>
      <c r="D579" s="11"/>
      <c r="E579" s="11"/>
      <c r="G579" s="11"/>
      <c r="I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>
      <c r="A580" s="11"/>
      <c r="B580" s="11"/>
      <c r="D580" s="11"/>
      <c r="E580" s="11"/>
      <c r="G580" s="11"/>
      <c r="I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>
      <c r="A581" s="11"/>
      <c r="B581" s="11"/>
      <c r="D581" s="11"/>
      <c r="E581" s="11"/>
      <c r="G581" s="11"/>
      <c r="I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>
      <c r="A582" s="11"/>
      <c r="B582" s="11"/>
      <c r="D582" s="11"/>
      <c r="E582" s="11"/>
      <c r="G582" s="11"/>
      <c r="I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>
      <c r="A583" s="11"/>
      <c r="B583" s="11"/>
      <c r="D583" s="11"/>
      <c r="E583" s="11"/>
      <c r="G583" s="11"/>
      <c r="I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>
      <c r="A584" s="11"/>
      <c r="B584" s="11"/>
      <c r="D584" s="11"/>
      <c r="E584" s="11"/>
      <c r="G584" s="11"/>
      <c r="I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>
      <c r="A585" s="11"/>
      <c r="B585" s="11"/>
      <c r="D585" s="11"/>
      <c r="E585" s="11"/>
      <c r="G585" s="11"/>
      <c r="I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>
      <c r="A586" s="11"/>
      <c r="B586" s="11"/>
      <c r="D586" s="11"/>
      <c r="E586" s="11"/>
      <c r="G586" s="11"/>
      <c r="I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>
      <c r="A587" s="11"/>
      <c r="B587" s="11"/>
      <c r="D587" s="11"/>
      <c r="E587" s="11"/>
      <c r="G587" s="11"/>
      <c r="I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>
      <c r="A588" s="11"/>
      <c r="B588" s="11"/>
      <c r="D588" s="11"/>
      <c r="E588" s="11"/>
      <c r="G588" s="11"/>
      <c r="I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>
      <c r="A589" s="11"/>
      <c r="B589" s="11"/>
      <c r="D589" s="11"/>
      <c r="E589" s="11"/>
      <c r="G589" s="11"/>
      <c r="I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>
      <c r="A590" s="11"/>
      <c r="B590" s="11"/>
      <c r="D590" s="11"/>
      <c r="E590" s="11"/>
      <c r="G590" s="11"/>
      <c r="I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>
      <c r="A591" s="11"/>
      <c r="B591" s="11"/>
      <c r="D591" s="11"/>
      <c r="E591" s="11"/>
      <c r="G591" s="11"/>
      <c r="I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>
      <c r="A592" s="11"/>
      <c r="B592" s="11"/>
      <c r="D592" s="11"/>
      <c r="E592" s="11"/>
      <c r="G592" s="11"/>
      <c r="I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>
      <c r="A593" s="11"/>
      <c r="B593" s="11"/>
      <c r="D593" s="11"/>
      <c r="E593" s="11"/>
      <c r="G593" s="11"/>
      <c r="I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>
      <c r="A594" s="11"/>
      <c r="B594" s="11"/>
      <c r="D594" s="11"/>
      <c r="E594" s="11"/>
      <c r="G594" s="11"/>
      <c r="I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>
      <c r="A595" s="11"/>
      <c r="B595" s="11"/>
      <c r="D595" s="11"/>
      <c r="E595" s="11"/>
      <c r="G595" s="11"/>
      <c r="I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>
      <c r="A596" s="11"/>
      <c r="B596" s="11"/>
      <c r="D596" s="11"/>
      <c r="E596" s="11"/>
      <c r="G596" s="11"/>
      <c r="I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>
      <c r="A597" s="11"/>
      <c r="B597" s="11"/>
      <c r="D597" s="11"/>
      <c r="E597" s="11"/>
      <c r="G597" s="11"/>
      <c r="I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>
      <c r="A598" s="11"/>
      <c r="B598" s="11"/>
      <c r="D598" s="11"/>
      <c r="E598" s="11"/>
      <c r="G598" s="11"/>
      <c r="I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>
      <c r="A599" s="11"/>
      <c r="B599" s="11"/>
      <c r="D599" s="11"/>
      <c r="E599" s="11"/>
      <c r="G599" s="11"/>
      <c r="I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>
      <c r="A600" s="11"/>
      <c r="B600" s="11"/>
      <c r="D600" s="11"/>
      <c r="E600" s="11"/>
      <c r="G600" s="11"/>
      <c r="I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>
      <c r="A601" s="11"/>
      <c r="B601" s="11"/>
      <c r="D601" s="11"/>
      <c r="E601" s="11"/>
      <c r="G601" s="11"/>
      <c r="I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>
      <c r="A602" s="11"/>
      <c r="B602" s="11"/>
      <c r="D602" s="11"/>
      <c r="E602" s="11"/>
      <c r="G602" s="11"/>
      <c r="I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>
      <c r="A603" s="11"/>
      <c r="B603" s="11"/>
      <c r="D603" s="11"/>
      <c r="E603" s="11"/>
      <c r="G603" s="11"/>
      <c r="I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>
      <c r="A604" s="11"/>
      <c r="B604" s="11"/>
      <c r="D604" s="11"/>
      <c r="E604" s="11"/>
      <c r="G604" s="11"/>
      <c r="I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>
      <c r="A605" s="11"/>
      <c r="B605" s="11"/>
      <c r="D605" s="11"/>
      <c r="E605" s="11"/>
      <c r="G605" s="11"/>
      <c r="I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>
      <c r="A606" s="11"/>
      <c r="B606" s="11"/>
      <c r="D606" s="11"/>
      <c r="E606" s="11"/>
      <c r="G606" s="11"/>
      <c r="I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>
      <c r="A607" s="11"/>
      <c r="B607" s="11"/>
      <c r="D607" s="11"/>
      <c r="E607" s="11"/>
      <c r="G607" s="11"/>
      <c r="I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>
      <c r="A608" s="11"/>
      <c r="B608" s="11"/>
      <c r="D608" s="11"/>
      <c r="E608" s="11"/>
      <c r="G608" s="11"/>
      <c r="I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>
      <c r="A609" s="11"/>
      <c r="B609" s="11"/>
      <c r="D609" s="11"/>
      <c r="E609" s="11"/>
      <c r="G609" s="11"/>
      <c r="I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>
      <c r="A610" s="11"/>
      <c r="B610" s="11"/>
      <c r="D610" s="11"/>
      <c r="E610" s="11"/>
      <c r="G610" s="11"/>
      <c r="I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>
      <c r="A611" s="11"/>
      <c r="B611" s="11"/>
      <c r="D611" s="11"/>
      <c r="E611" s="11"/>
      <c r="G611" s="11"/>
      <c r="I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>
      <c r="A612" s="11"/>
      <c r="B612" s="11"/>
      <c r="D612" s="11"/>
      <c r="E612" s="11"/>
      <c r="G612" s="11"/>
      <c r="I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>
      <c r="A613" s="11"/>
      <c r="B613" s="11"/>
      <c r="D613" s="11"/>
      <c r="E613" s="11"/>
      <c r="G613" s="11"/>
      <c r="I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>
      <c r="A614" s="11"/>
      <c r="B614" s="11"/>
      <c r="D614" s="11"/>
      <c r="E614" s="11"/>
      <c r="G614" s="11"/>
      <c r="I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>
      <c r="A615" s="11"/>
      <c r="B615" s="11"/>
      <c r="D615" s="11"/>
      <c r="E615" s="11"/>
      <c r="G615" s="11"/>
      <c r="I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>
      <c r="A616" s="11"/>
      <c r="B616" s="11"/>
      <c r="D616" s="11"/>
      <c r="E616" s="11"/>
      <c r="G616" s="11"/>
      <c r="I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>
      <c r="A617" s="11"/>
      <c r="B617" s="11"/>
      <c r="D617" s="11"/>
      <c r="E617" s="11"/>
      <c r="G617" s="11"/>
      <c r="I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>
      <c r="A618" s="11"/>
      <c r="B618" s="11"/>
      <c r="D618" s="11"/>
      <c r="E618" s="11"/>
      <c r="G618" s="11"/>
      <c r="I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>
      <c r="A619" s="11"/>
      <c r="B619" s="11"/>
      <c r="D619" s="11"/>
      <c r="E619" s="11"/>
      <c r="G619" s="11"/>
      <c r="I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>
      <c r="A620" s="11"/>
      <c r="B620" s="11"/>
      <c r="D620" s="11"/>
      <c r="E620" s="11"/>
      <c r="G620" s="11"/>
      <c r="I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>
      <c r="A621" s="11"/>
      <c r="B621" s="11"/>
      <c r="D621" s="11"/>
      <c r="E621" s="11"/>
      <c r="G621" s="11"/>
      <c r="I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>
      <c r="A622" s="11"/>
      <c r="B622" s="11"/>
      <c r="D622" s="11"/>
      <c r="E622" s="11"/>
      <c r="G622" s="11"/>
      <c r="I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>
      <c r="A623" s="11"/>
      <c r="B623" s="11"/>
      <c r="D623" s="11"/>
      <c r="E623" s="11"/>
      <c r="G623" s="11"/>
      <c r="I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>
      <c r="A624" s="11"/>
      <c r="B624" s="11"/>
      <c r="D624" s="11"/>
      <c r="E624" s="11"/>
      <c r="G624" s="11"/>
      <c r="I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>
      <c r="A625" s="11"/>
      <c r="B625" s="11"/>
      <c r="D625" s="11"/>
      <c r="E625" s="11"/>
      <c r="G625" s="11"/>
      <c r="I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>
      <c r="A626" s="11"/>
      <c r="B626" s="11"/>
      <c r="D626" s="11"/>
      <c r="E626" s="11"/>
      <c r="G626" s="11"/>
      <c r="I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>
      <c r="A627" s="11"/>
      <c r="B627" s="11"/>
      <c r="D627" s="11"/>
      <c r="E627" s="11"/>
      <c r="G627" s="11"/>
      <c r="I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>
      <c r="A628" s="11"/>
      <c r="B628" s="11"/>
      <c r="D628" s="11"/>
      <c r="E628" s="11"/>
      <c r="G628" s="11"/>
      <c r="I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>
      <c r="A629" s="11"/>
      <c r="B629" s="11"/>
      <c r="D629" s="11"/>
      <c r="E629" s="11"/>
      <c r="G629" s="11"/>
      <c r="I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>
      <c r="A630" s="11"/>
      <c r="B630" s="11"/>
      <c r="D630" s="11"/>
      <c r="E630" s="11"/>
      <c r="G630" s="11"/>
      <c r="I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>
      <c r="A631" s="11"/>
      <c r="B631" s="11"/>
      <c r="D631" s="11"/>
      <c r="E631" s="11"/>
      <c r="G631" s="11"/>
      <c r="I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>
      <c r="A632" s="11"/>
      <c r="B632" s="11"/>
      <c r="D632" s="11"/>
      <c r="E632" s="11"/>
      <c r="G632" s="11"/>
      <c r="I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>
      <c r="A633" s="11"/>
      <c r="B633" s="11"/>
      <c r="D633" s="11"/>
      <c r="E633" s="11"/>
      <c r="G633" s="11"/>
      <c r="I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>
      <c r="A634" s="11"/>
      <c r="B634" s="11"/>
      <c r="D634" s="11"/>
      <c r="E634" s="11"/>
      <c r="G634" s="11"/>
      <c r="I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>
      <c r="A635" s="11"/>
      <c r="B635" s="11"/>
      <c r="D635" s="11"/>
      <c r="E635" s="11"/>
      <c r="G635" s="11"/>
      <c r="I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>
      <c r="A636" s="11"/>
      <c r="B636" s="11"/>
      <c r="D636" s="11"/>
      <c r="E636" s="11"/>
      <c r="G636" s="11"/>
      <c r="I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>
      <c r="A637" s="11"/>
      <c r="B637" s="11"/>
      <c r="D637" s="11"/>
      <c r="E637" s="11"/>
      <c r="G637" s="11"/>
      <c r="I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>
      <c r="A638" s="11"/>
      <c r="B638" s="11"/>
      <c r="D638" s="11"/>
      <c r="E638" s="11"/>
      <c r="G638" s="11"/>
      <c r="I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>
      <c r="A639" s="11"/>
      <c r="B639" s="11"/>
      <c r="D639" s="11"/>
      <c r="E639" s="11"/>
      <c r="G639" s="11"/>
      <c r="I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>
      <c r="A640" s="11"/>
      <c r="B640" s="11"/>
      <c r="D640" s="11"/>
      <c r="E640" s="11"/>
      <c r="G640" s="11"/>
      <c r="I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>
      <c r="A641" s="11"/>
      <c r="B641" s="11"/>
      <c r="D641" s="11"/>
      <c r="E641" s="11"/>
      <c r="G641" s="11"/>
      <c r="I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>
      <c r="A642" s="11"/>
      <c r="B642" s="11"/>
      <c r="D642" s="11"/>
      <c r="E642" s="11"/>
      <c r="G642" s="11"/>
      <c r="I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>
      <c r="A643" s="11"/>
      <c r="B643" s="11"/>
      <c r="D643" s="11"/>
      <c r="E643" s="11"/>
      <c r="G643" s="11"/>
      <c r="I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>
      <c r="A644" s="11"/>
      <c r="B644" s="11"/>
      <c r="D644" s="11"/>
      <c r="E644" s="11"/>
      <c r="G644" s="11"/>
      <c r="I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>
      <c r="A645" s="11"/>
      <c r="B645" s="11"/>
      <c r="D645" s="11"/>
      <c r="E645" s="11"/>
      <c r="G645" s="11"/>
      <c r="I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>
      <c r="A646" s="11"/>
      <c r="B646" s="11"/>
      <c r="D646" s="11"/>
      <c r="E646" s="11"/>
      <c r="G646" s="11"/>
      <c r="I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>
      <c r="A647" s="11"/>
      <c r="B647" s="11"/>
      <c r="D647" s="11"/>
      <c r="E647" s="11"/>
      <c r="G647" s="11"/>
      <c r="I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>
      <c r="A648" s="11"/>
      <c r="B648" s="11"/>
      <c r="D648" s="11"/>
      <c r="E648" s="11"/>
      <c r="G648" s="11"/>
      <c r="I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>
      <c r="A649" s="11"/>
      <c r="B649" s="11"/>
      <c r="D649" s="11"/>
      <c r="E649" s="11"/>
      <c r="G649" s="11"/>
      <c r="I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>
      <c r="A650" s="11"/>
      <c r="B650" s="11"/>
      <c r="D650" s="11"/>
      <c r="E650" s="11"/>
      <c r="G650" s="11"/>
      <c r="I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>
      <c r="A651" s="11"/>
      <c r="B651" s="11"/>
      <c r="D651" s="11"/>
      <c r="E651" s="11"/>
      <c r="G651" s="11"/>
      <c r="I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>
      <c r="A652" s="11"/>
      <c r="B652" s="11"/>
      <c r="D652" s="11"/>
      <c r="E652" s="11"/>
      <c r="G652" s="11"/>
      <c r="I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>
      <c r="A653" s="11"/>
      <c r="B653" s="11"/>
      <c r="D653" s="11"/>
      <c r="E653" s="11"/>
      <c r="G653" s="11"/>
      <c r="I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>
      <c r="A654" s="11"/>
      <c r="B654" s="11"/>
      <c r="D654" s="11"/>
      <c r="E654" s="11"/>
      <c r="G654" s="11"/>
      <c r="I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>
      <c r="A655" s="11"/>
      <c r="B655" s="11"/>
      <c r="D655" s="11"/>
      <c r="E655" s="11"/>
      <c r="G655" s="11"/>
      <c r="I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>
      <c r="A656" s="11"/>
      <c r="B656" s="11"/>
      <c r="D656" s="11"/>
      <c r="E656" s="11"/>
      <c r="G656" s="11"/>
      <c r="I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>
      <c r="A657" s="11"/>
      <c r="B657" s="11"/>
      <c r="D657" s="11"/>
      <c r="E657" s="11"/>
      <c r="G657" s="11"/>
      <c r="I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>
      <c r="A658" s="11"/>
      <c r="B658" s="11"/>
      <c r="D658" s="11"/>
      <c r="E658" s="11"/>
      <c r="G658" s="11"/>
      <c r="I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>
      <c r="A659" s="11"/>
      <c r="B659" s="11"/>
      <c r="D659" s="11"/>
      <c r="E659" s="11"/>
      <c r="G659" s="11"/>
      <c r="I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>
      <c r="A660" s="11"/>
      <c r="B660" s="11"/>
      <c r="D660" s="11"/>
      <c r="E660" s="11"/>
      <c r="G660" s="11"/>
      <c r="I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>
      <c r="A661" s="11"/>
      <c r="B661" s="11"/>
      <c r="D661" s="11"/>
      <c r="E661" s="11"/>
      <c r="G661" s="11"/>
      <c r="I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>
      <c r="A662" s="11"/>
      <c r="B662" s="11"/>
      <c r="D662" s="11"/>
      <c r="E662" s="11"/>
      <c r="G662" s="11"/>
      <c r="I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>
      <c r="A663" s="11"/>
      <c r="B663" s="11"/>
      <c r="D663" s="11"/>
      <c r="E663" s="11"/>
      <c r="G663" s="11"/>
      <c r="I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>
      <c r="A664" s="11"/>
      <c r="B664" s="11"/>
      <c r="D664" s="11"/>
      <c r="E664" s="11"/>
      <c r="G664" s="11"/>
      <c r="I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>
      <c r="A665" s="11"/>
      <c r="B665" s="11"/>
      <c r="D665" s="11"/>
      <c r="E665" s="11"/>
      <c r="G665" s="11"/>
      <c r="I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>
      <c r="A666" s="11"/>
      <c r="B666" s="11"/>
      <c r="D666" s="11"/>
      <c r="E666" s="11"/>
      <c r="G666" s="11"/>
      <c r="I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>
      <c r="A667" s="11"/>
      <c r="B667" s="11"/>
      <c r="D667" s="11"/>
      <c r="E667" s="11"/>
      <c r="G667" s="11"/>
      <c r="I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>
      <c r="A668" s="11"/>
      <c r="B668" s="11"/>
      <c r="D668" s="11"/>
      <c r="E668" s="11"/>
      <c r="G668" s="11"/>
      <c r="I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>
      <c r="A669" s="11"/>
      <c r="B669" s="11"/>
      <c r="D669" s="11"/>
      <c r="E669" s="11"/>
      <c r="G669" s="11"/>
      <c r="I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>
      <c r="A670" s="11"/>
      <c r="B670" s="11"/>
      <c r="D670" s="11"/>
      <c r="E670" s="11"/>
      <c r="G670" s="11"/>
      <c r="I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>
      <c r="A671" s="11"/>
      <c r="B671" s="11"/>
      <c r="D671" s="11"/>
      <c r="E671" s="11"/>
      <c r="G671" s="11"/>
      <c r="I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>
      <c r="A672" s="11"/>
      <c r="B672" s="11"/>
      <c r="D672" s="11"/>
      <c r="E672" s="11"/>
      <c r="G672" s="11"/>
      <c r="I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>
      <c r="A673" s="11"/>
      <c r="B673" s="11"/>
      <c r="D673" s="11"/>
      <c r="E673" s="11"/>
      <c r="G673" s="11"/>
      <c r="I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>
      <c r="A674" s="11"/>
      <c r="B674" s="11"/>
      <c r="D674" s="11"/>
      <c r="E674" s="11"/>
      <c r="G674" s="11"/>
      <c r="I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>
      <c r="A675" s="11"/>
      <c r="B675" s="11"/>
      <c r="D675" s="11"/>
      <c r="E675" s="11"/>
      <c r="G675" s="11"/>
      <c r="I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>
      <c r="A676" s="11"/>
      <c r="B676" s="11"/>
      <c r="D676" s="11"/>
      <c r="E676" s="11"/>
      <c r="G676" s="11"/>
      <c r="I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>
      <c r="A677" s="11"/>
      <c r="B677" s="11"/>
      <c r="D677" s="11"/>
      <c r="E677" s="11"/>
      <c r="G677" s="11"/>
      <c r="I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>
      <c r="A678" s="11"/>
      <c r="B678" s="11"/>
      <c r="D678" s="11"/>
      <c r="E678" s="11"/>
      <c r="G678" s="11"/>
      <c r="I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>
      <c r="A679" s="11"/>
      <c r="B679" s="11"/>
      <c r="D679" s="11"/>
      <c r="E679" s="11"/>
      <c r="G679" s="11"/>
      <c r="I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>
      <c r="A680" s="11"/>
      <c r="B680" s="11"/>
      <c r="D680" s="11"/>
      <c r="E680" s="11"/>
      <c r="G680" s="11"/>
      <c r="I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>
      <c r="A681" s="11"/>
      <c r="B681" s="11"/>
      <c r="D681" s="11"/>
      <c r="E681" s="11"/>
      <c r="G681" s="11"/>
      <c r="I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>
      <c r="A682" s="11"/>
      <c r="B682" s="11"/>
      <c r="D682" s="11"/>
      <c r="E682" s="11"/>
      <c r="G682" s="11"/>
      <c r="I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>
      <c r="A683" s="11"/>
      <c r="B683" s="11"/>
      <c r="D683" s="11"/>
      <c r="E683" s="11"/>
      <c r="G683" s="11"/>
      <c r="I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>
      <c r="A684" s="11"/>
      <c r="B684" s="11"/>
      <c r="D684" s="11"/>
      <c r="E684" s="11"/>
      <c r="G684" s="11"/>
      <c r="I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>
      <c r="A685" s="11"/>
      <c r="B685" s="11"/>
      <c r="D685" s="11"/>
      <c r="E685" s="11"/>
      <c r="G685" s="11"/>
      <c r="I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>
      <c r="A686" s="11"/>
      <c r="B686" s="11"/>
      <c r="D686" s="11"/>
      <c r="E686" s="11"/>
      <c r="G686" s="11"/>
      <c r="I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>
      <c r="A687" s="11"/>
      <c r="B687" s="11"/>
      <c r="D687" s="11"/>
      <c r="E687" s="11"/>
      <c r="G687" s="11"/>
      <c r="I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>
      <c r="A688" s="11"/>
      <c r="B688" s="11"/>
      <c r="D688" s="11"/>
      <c r="E688" s="11"/>
      <c r="G688" s="11"/>
      <c r="I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>
      <c r="A689" s="11"/>
      <c r="B689" s="11"/>
      <c r="D689" s="11"/>
      <c r="E689" s="11"/>
      <c r="G689" s="11"/>
      <c r="I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>
      <c r="A690" s="11"/>
      <c r="B690" s="11"/>
      <c r="D690" s="11"/>
      <c r="E690" s="11"/>
      <c r="G690" s="11"/>
      <c r="I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>
      <c r="A691" s="11"/>
      <c r="B691" s="11"/>
      <c r="D691" s="11"/>
      <c r="E691" s="11"/>
      <c r="G691" s="11"/>
      <c r="I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>
      <c r="A692" s="11"/>
      <c r="B692" s="11"/>
      <c r="D692" s="11"/>
      <c r="E692" s="11"/>
      <c r="G692" s="11"/>
      <c r="I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>
      <c r="A693" s="11"/>
      <c r="B693" s="11"/>
      <c r="D693" s="11"/>
      <c r="E693" s="11"/>
      <c r="G693" s="11"/>
      <c r="I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>
      <c r="A694" s="11"/>
      <c r="B694" s="11"/>
      <c r="D694" s="11"/>
      <c r="E694" s="11"/>
      <c r="G694" s="11"/>
      <c r="I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>
      <c r="A695" s="11"/>
      <c r="B695" s="11"/>
      <c r="D695" s="11"/>
      <c r="E695" s="11"/>
      <c r="G695" s="11"/>
      <c r="I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>
      <c r="A696" s="11"/>
      <c r="B696" s="11"/>
      <c r="D696" s="11"/>
      <c r="E696" s="11"/>
      <c r="G696" s="11"/>
      <c r="I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>
      <c r="A697" s="11"/>
      <c r="B697" s="11"/>
      <c r="D697" s="11"/>
      <c r="E697" s="11"/>
      <c r="G697" s="11"/>
      <c r="I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>
      <c r="A698" s="11"/>
      <c r="B698" s="11"/>
      <c r="D698" s="11"/>
      <c r="E698" s="11"/>
      <c r="G698" s="11"/>
      <c r="I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>
      <c r="A699" s="11"/>
      <c r="B699" s="11"/>
      <c r="D699" s="11"/>
      <c r="E699" s="11"/>
      <c r="G699" s="11"/>
      <c r="I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>
      <c r="A700" s="11"/>
      <c r="B700" s="11"/>
      <c r="D700" s="11"/>
      <c r="E700" s="11"/>
      <c r="G700" s="11"/>
      <c r="I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>
      <c r="A701" s="11"/>
      <c r="B701" s="11"/>
      <c r="D701" s="11"/>
      <c r="E701" s="11"/>
      <c r="G701" s="11"/>
      <c r="I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>
      <c r="A702" s="11"/>
      <c r="B702" s="11"/>
      <c r="D702" s="11"/>
      <c r="E702" s="11"/>
      <c r="G702" s="11"/>
      <c r="I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>
      <c r="A703" s="11"/>
      <c r="B703" s="11"/>
      <c r="D703" s="11"/>
      <c r="E703" s="11"/>
      <c r="G703" s="11"/>
      <c r="I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>
      <c r="A704" s="11"/>
      <c r="B704" s="11"/>
      <c r="D704" s="11"/>
      <c r="E704" s="11"/>
      <c r="G704" s="11"/>
      <c r="I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>
      <c r="A705" s="11"/>
      <c r="B705" s="11"/>
      <c r="D705" s="11"/>
      <c r="E705" s="11"/>
      <c r="G705" s="11"/>
      <c r="I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>
      <c r="A706" s="11"/>
      <c r="B706" s="11"/>
      <c r="D706" s="11"/>
      <c r="E706" s="11"/>
      <c r="G706" s="11"/>
      <c r="I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>
      <c r="A707" s="11"/>
      <c r="B707" s="11"/>
      <c r="D707" s="11"/>
      <c r="E707" s="11"/>
      <c r="G707" s="11"/>
      <c r="I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>
      <c r="A708" s="11"/>
      <c r="B708" s="11"/>
      <c r="D708" s="11"/>
      <c r="E708" s="11"/>
      <c r="G708" s="11"/>
      <c r="I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>
      <c r="A709" s="11"/>
      <c r="B709" s="11"/>
      <c r="D709" s="11"/>
      <c r="E709" s="11"/>
      <c r="G709" s="11"/>
      <c r="I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>
      <c r="A710" s="11"/>
      <c r="B710" s="11"/>
      <c r="D710" s="11"/>
      <c r="E710" s="11"/>
      <c r="G710" s="11"/>
      <c r="I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>
      <c r="A711" s="11"/>
      <c r="B711" s="11"/>
      <c r="D711" s="11"/>
      <c r="E711" s="11"/>
      <c r="G711" s="11"/>
      <c r="I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>
      <c r="A712" s="11"/>
      <c r="B712" s="11"/>
      <c r="D712" s="11"/>
      <c r="E712" s="11"/>
      <c r="G712" s="11"/>
      <c r="I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>
      <c r="A713" s="11"/>
      <c r="B713" s="11"/>
      <c r="D713" s="11"/>
      <c r="E713" s="11"/>
      <c r="G713" s="11"/>
      <c r="I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>
      <c r="A714" s="11"/>
      <c r="B714" s="11"/>
      <c r="D714" s="11"/>
      <c r="E714" s="11"/>
      <c r="G714" s="11"/>
      <c r="I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>
      <c r="A715" s="11"/>
      <c r="B715" s="11"/>
      <c r="D715" s="11"/>
      <c r="E715" s="11"/>
      <c r="G715" s="11"/>
      <c r="I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>
      <c r="A716" s="11"/>
      <c r="B716" s="11"/>
      <c r="D716" s="11"/>
      <c r="E716" s="11"/>
      <c r="G716" s="11"/>
      <c r="I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>
      <c r="A717" s="11"/>
      <c r="B717" s="11"/>
      <c r="D717" s="11"/>
      <c r="E717" s="11"/>
      <c r="G717" s="11"/>
      <c r="I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>
      <c r="A718" s="11"/>
      <c r="B718" s="11"/>
      <c r="D718" s="11"/>
      <c r="E718" s="11"/>
      <c r="G718" s="11"/>
      <c r="I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>
      <c r="A719" s="11"/>
      <c r="B719" s="11"/>
      <c r="D719" s="11"/>
      <c r="E719" s="11"/>
      <c r="G719" s="11"/>
      <c r="I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>
      <c r="A720" s="11"/>
      <c r="B720" s="11"/>
      <c r="D720" s="11"/>
      <c r="E720" s="11"/>
      <c r="G720" s="11"/>
      <c r="I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>
      <c r="A721" s="11"/>
      <c r="B721" s="11"/>
      <c r="D721" s="11"/>
      <c r="E721" s="11"/>
      <c r="G721" s="11"/>
      <c r="I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>
      <c r="A722" s="11"/>
      <c r="B722" s="11"/>
      <c r="D722" s="11"/>
      <c r="E722" s="11"/>
      <c r="G722" s="11"/>
      <c r="I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>
      <c r="A723" s="11"/>
      <c r="B723" s="11"/>
      <c r="D723" s="11"/>
      <c r="E723" s="11"/>
      <c r="G723" s="11"/>
      <c r="I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>
      <c r="A724" s="11"/>
      <c r="B724" s="11"/>
      <c r="D724" s="11"/>
      <c r="E724" s="11"/>
      <c r="G724" s="11"/>
      <c r="I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>
      <c r="A725" s="11"/>
      <c r="B725" s="11"/>
      <c r="D725" s="11"/>
      <c r="E725" s="11"/>
      <c r="G725" s="11"/>
      <c r="I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>
      <c r="A726" s="11"/>
      <c r="B726" s="11"/>
      <c r="D726" s="11"/>
      <c r="E726" s="11"/>
      <c r="G726" s="11"/>
      <c r="I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>
      <c r="A727" s="11"/>
      <c r="B727" s="11"/>
      <c r="D727" s="11"/>
      <c r="E727" s="11"/>
      <c r="G727" s="11"/>
      <c r="I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>
      <c r="A728" s="11"/>
      <c r="B728" s="11"/>
      <c r="D728" s="11"/>
      <c r="E728" s="11"/>
      <c r="G728" s="11"/>
      <c r="I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>
      <c r="A729" s="11"/>
      <c r="B729" s="11"/>
      <c r="D729" s="11"/>
      <c r="E729" s="11"/>
      <c r="G729" s="11"/>
      <c r="I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>
      <c r="A730" s="11"/>
      <c r="B730" s="11"/>
      <c r="D730" s="11"/>
      <c r="E730" s="11"/>
      <c r="G730" s="11"/>
      <c r="I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>
      <c r="A731" s="11"/>
      <c r="B731" s="11"/>
      <c r="D731" s="11"/>
      <c r="E731" s="11"/>
      <c r="G731" s="11"/>
      <c r="I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>
      <c r="A732" s="11"/>
      <c r="B732" s="11"/>
      <c r="D732" s="11"/>
      <c r="E732" s="11"/>
      <c r="G732" s="11"/>
      <c r="I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>
      <c r="A733" s="11"/>
      <c r="B733" s="11"/>
      <c r="D733" s="11"/>
      <c r="E733" s="11"/>
      <c r="G733" s="11"/>
      <c r="I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>
      <c r="A734" s="11"/>
      <c r="B734" s="11"/>
      <c r="D734" s="11"/>
      <c r="E734" s="11"/>
      <c r="G734" s="11"/>
      <c r="I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>
      <c r="A735" s="11"/>
      <c r="B735" s="11"/>
      <c r="D735" s="11"/>
      <c r="E735" s="11"/>
      <c r="G735" s="11"/>
      <c r="I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>
      <c r="A736" s="11"/>
      <c r="B736" s="11"/>
      <c r="D736" s="11"/>
      <c r="E736" s="11"/>
      <c r="G736" s="11"/>
      <c r="I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>
      <c r="A737" s="11"/>
      <c r="B737" s="11"/>
      <c r="D737" s="11"/>
      <c r="E737" s="11"/>
      <c r="G737" s="11"/>
      <c r="I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>
      <c r="A738" s="11"/>
      <c r="B738" s="11"/>
      <c r="D738" s="11"/>
      <c r="E738" s="11"/>
      <c r="G738" s="11"/>
      <c r="I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>
      <c r="A739" s="11"/>
      <c r="B739" s="11"/>
      <c r="D739" s="11"/>
      <c r="E739" s="11"/>
      <c r="G739" s="11"/>
      <c r="I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>
      <c r="A740" s="11"/>
      <c r="B740" s="11"/>
      <c r="D740" s="11"/>
      <c r="E740" s="11"/>
      <c r="G740" s="11"/>
      <c r="I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>
      <c r="A741" s="11"/>
      <c r="B741" s="11"/>
      <c r="D741" s="11"/>
      <c r="E741" s="11"/>
      <c r="G741" s="11"/>
      <c r="I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>
      <c r="A742" s="11"/>
      <c r="B742" s="11"/>
      <c r="D742" s="11"/>
      <c r="E742" s="11"/>
      <c r="G742" s="11"/>
      <c r="I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>
      <c r="A743" s="11"/>
      <c r="B743" s="11"/>
      <c r="D743" s="11"/>
      <c r="E743" s="11"/>
      <c r="G743" s="11"/>
      <c r="I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>
      <c r="A744" s="11"/>
      <c r="B744" s="11"/>
      <c r="D744" s="11"/>
      <c r="E744" s="11"/>
      <c r="G744" s="11"/>
      <c r="I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>
      <c r="A745" s="11"/>
      <c r="B745" s="11"/>
      <c r="D745" s="11"/>
      <c r="E745" s="11"/>
      <c r="G745" s="11"/>
      <c r="I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>
      <c r="A746" s="11"/>
      <c r="B746" s="11"/>
      <c r="D746" s="11"/>
      <c r="E746" s="11"/>
      <c r="G746" s="11"/>
      <c r="I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>
      <c r="A747" s="11"/>
      <c r="B747" s="11"/>
      <c r="D747" s="11"/>
      <c r="E747" s="11"/>
      <c r="G747" s="11"/>
      <c r="I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>
      <c r="A748" s="11"/>
      <c r="B748" s="11"/>
      <c r="D748" s="11"/>
      <c r="E748" s="11"/>
      <c r="G748" s="11"/>
      <c r="I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>
      <c r="A749" s="11"/>
      <c r="B749" s="11"/>
      <c r="D749" s="11"/>
      <c r="E749" s="11"/>
      <c r="G749" s="11"/>
      <c r="I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>
      <c r="A750" s="11"/>
      <c r="B750" s="11"/>
      <c r="D750" s="11"/>
      <c r="E750" s="11"/>
      <c r="G750" s="11"/>
      <c r="I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>
      <c r="A751" s="11"/>
      <c r="B751" s="11"/>
      <c r="D751" s="11"/>
      <c r="E751" s="11"/>
      <c r="G751" s="11"/>
      <c r="I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>
      <c r="A752" s="11"/>
      <c r="B752" s="11"/>
      <c r="D752" s="11"/>
      <c r="E752" s="11"/>
      <c r="G752" s="11"/>
      <c r="I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>
      <c r="A753" s="11"/>
      <c r="B753" s="11"/>
      <c r="D753" s="11"/>
      <c r="E753" s="11"/>
      <c r="G753" s="11"/>
      <c r="I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>
      <c r="A754" s="11"/>
      <c r="B754" s="11"/>
      <c r="D754" s="11"/>
      <c r="E754" s="11"/>
      <c r="G754" s="11"/>
      <c r="I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>
      <c r="A755" s="11"/>
      <c r="B755" s="11"/>
      <c r="D755" s="11"/>
      <c r="E755" s="11"/>
      <c r="G755" s="11"/>
      <c r="I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>
      <c r="A756" s="11"/>
      <c r="B756" s="11"/>
      <c r="D756" s="11"/>
      <c r="E756" s="11"/>
      <c r="G756" s="11"/>
      <c r="I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>
      <c r="A757" s="11"/>
      <c r="B757" s="11"/>
      <c r="D757" s="11"/>
      <c r="E757" s="11"/>
      <c r="G757" s="11"/>
      <c r="I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>
      <c r="A758" s="11"/>
      <c r="B758" s="11"/>
      <c r="D758" s="11"/>
      <c r="E758" s="11"/>
      <c r="G758" s="11"/>
      <c r="I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>
      <c r="A759" s="11"/>
      <c r="B759" s="11"/>
      <c r="D759" s="11"/>
      <c r="E759" s="11"/>
      <c r="G759" s="11"/>
      <c r="I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>
      <c r="A760" s="11"/>
      <c r="B760" s="11"/>
      <c r="D760" s="11"/>
      <c r="E760" s="11"/>
      <c r="G760" s="11"/>
      <c r="I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>
      <c r="A761" s="11"/>
      <c r="B761" s="11"/>
      <c r="D761" s="11"/>
      <c r="E761" s="11"/>
      <c r="G761" s="11"/>
      <c r="I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>
      <c r="A762" s="11"/>
      <c r="B762" s="11"/>
      <c r="D762" s="11"/>
      <c r="E762" s="11"/>
      <c r="G762" s="11"/>
      <c r="I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>
      <c r="A763" s="11"/>
      <c r="B763" s="11"/>
      <c r="D763" s="11"/>
      <c r="E763" s="11"/>
      <c r="G763" s="11"/>
      <c r="I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>
      <c r="A764" s="11"/>
      <c r="B764" s="11"/>
      <c r="D764" s="11"/>
      <c r="E764" s="11"/>
      <c r="G764" s="11"/>
      <c r="I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>
      <c r="A765" s="11"/>
      <c r="B765" s="11"/>
      <c r="D765" s="11"/>
      <c r="E765" s="11"/>
      <c r="G765" s="11"/>
      <c r="I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>
      <c r="A766" s="11"/>
      <c r="B766" s="11"/>
      <c r="D766" s="11"/>
      <c r="E766" s="11"/>
      <c r="G766" s="11"/>
      <c r="I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>
      <c r="A767" s="11"/>
      <c r="B767" s="11"/>
      <c r="D767" s="11"/>
      <c r="E767" s="11"/>
      <c r="G767" s="11"/>
      <c r="I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>
      <c r="A768" s="11"/>
      <c r="B768" s="11"/>
      <c r="D768" s="11"/>
      <c r="E768" s="11"/>
      <c r="G768" s="11"/>
      <c r="I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>
      <c r="A769" s="11"/>
      <c r="B769" s="11"/>
      <c r="D769" s="11"/>
      <c r="E769" s="11"/>
      <c r="G769" s="11"/>
      <c r="I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>
      <c r="A770" s="11"/>
      <c r="B770" s="11"/>
      <c r="D770" s="11"/>
      <c r="E770" s="11"/>
      <c r="G770" s="11"/>
      <c r="I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>
      <c r="A771" s="11"/>
      <c r="B771" s="11"/>
      <c r="D771" s="11"/>
      <c r="E771" s="11"/>
      <c r="G771" s="11"/>
      <c r="I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>
      <c r="A772" s="11"/>
      <c r="B772" s="11"/>
      <c r="D772" s="11"/>
      <c r="E772" s="11"/>
      <c r="G772" s="11"/>
      <c r="I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>
      <c r="A773" s="11"/>
      <c r="B773" s="11"/>
      <c r="D773" s="11"/>
      <c r="E773" s="11"/>
      <c r="G773" s="11"/>
      <c r="I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>
      <c r="A774" s="11"/>
      <c r="B774" s="11"/>
      <c r="D774" s="11"/>
      <c r="E774" s="11"/>
      <c r="G774" s="11"/>
      <c r="I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>
      <c r="A775" s="11"/>
      <c r="B775" s="11"/>
      <c r="D775" s="11"/>
      <c r="E775" s="11"/>
      <c r="G775" s="11"/>
      <c r="I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>
      <c r="A776" s="11"/>
      <c r="B776" s="11"/>
      <c r="D776" s="11"/>
      <c r="E776" s="11"/>
      <c r="G776" s="11"/>
      <c r="I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>
      <c r="A777" s="11"/>
      <c r="B777" s="11"/>
      <c r="D777" s="11"/>
      <c r="E777" s="11"/>
      <c r="G777" s="11"/>
      <c r="I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>
      <c r="A778" s="11"/>
      <c r="B778" s="11"/>
      <c r="D778" s="11"/>
      <c r="E778" s="11"/>
      <c r="G778" s="11"/>
      <c r="I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>
      <c r="A779" s="11"/>
      <c r="B779" s="11"/>
      <c r="D779" s="11"/>
      <c r="E779" s="11"/>
      <c r="G779" s="11"/>
      <c r="I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>
      <c r="A780" s="11"/>
      <c r="B780" s="11"/>
      <c r="D780" s="11"/>
      <c r="E780" s="11"/>
      <c r="G780" s="11"/>
      <c r="I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>
      <c r="A781" s="11"/>
      <c r="B781" s="11"/>
      <c r="D781" s="11"/>
      <c r="E781" s="11"/>
      <c r="G781" s="11"/>
      <c r="I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>
      <c r="A782" s="11"/>
      <c r="B782" s="11"/>
      <c r="D782" s="11"/>
      <c r="E782" s="11"/>
      <c r="G782" s="11"/>
      <c r="I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>
      <c r="A783" s="11"/>
      <c r="B783" s="11"/>
      <c r="D783" s="11"/>
      <c r="E783" s="11"/>
      <c r="G783" s="11"/>
      <c r="I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>
      <c r="A784" s="11"/>
      <c r="B784" s="11"/>
      <c r="D784" s="11"/>
      <c r="E784" s="11"/>
      <c r="G784" s="11"/>
      <c r="I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>
      <c r="A785" s="11"/>
      <c r="B785" s="11"/>
      <c r="D785" s="11"/>
      <c r="E785" s="11"/>
      <c r="G785" s="11"/>
      <c r="I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>
      <c r="A786" s="11"/>
      <c r="B786" s="11"/>
      <c r="D786" s="11"/>
      <c r="E786" s="11"/>
      <c r="G786" s="11"/>
      <c r="I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>
      <c r="A787" s="11"/>
      <c r="B787" s="11"/>
      <c r="D787" s="11"/>
      <c r="E787" s="11"/>
      <c r="G787" s="11"/>
      <c r="I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>
      <c r="A788" s="11"/>
      <c r="B788" s="11"/>
      <c r="D788" s="11"/>
      <c r="E788" s="11"/>
      <c r="G788" s="11"/>
      <c r="I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>
      <c r="A789" s="11"/>
      <c r="B789" s="11"/>
      <c r="D789" s="11"/>
      <c r="E789" s="11"/>
      <c r="G789" s="11"/>
      <c r="I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>
      <c r="A790" s="11"/>
      <c r="B790" s="11"/>
      <c r="D790" s="11"/>
      <c r="E790" s="11"/>
      <c r="G790" s="11"/>
      <c r="I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>
      <c r="A791" s="11"/>
      <c r="B791" s="11"/>
      <c r="D791" s="11"/>
      <c r="E791" s="11"/>
      <c r="G791" s="11"/>
      <c r="I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>
      <c r="A792" s="11"/>
      <c r="B792" s="11"/>
      <c r="D792" s="11"/>
      <c r="E792" s="11"/>
      <c r="G792" s="11"/>
      <c r="I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>
      <c r="A793" s="11"/>
      <c r="B793" s="11"/>
      <c r="D793" s="11"/>
      <c r="E793" s="11"/>
      <c r="G793" s="11"/>
      <c r="I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>
      <c r="A794" s="11"/>
      <c r="B794" s="11"/>
      <c r="D794" s="11"/>
      <c r="E794" s="11"/>
      <c r="G794" s="11"/>
      <c r="I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>
      <c r="A795" s="11"/>
      <c r="B795" s="11"/>
      <c r="D795" s="11"/>
      <c r="E795" s="11"/>
      <c r="G795" s="11"/>
      <c r="I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>
      <c r="A796" s="11"/>
      <c r="B796" s="11"/>
      <c r="D796" s="11"/>
      <c r="E796" s="11"/>
      <c r="G796" s="11"/>
      <c r="I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>
      <c r="A797" s="11"/>
      <c r="B797" s="11"/>
      <c r="D797" s="11"/>
      <c r="E797" s="11"/>
      <c r="G797" s="11"/>
      <c r="I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>
      <c r="A798" s="11"/>
      <c r="B798" s="11"/>
      <c r="D798" s="11"/>
      <c r="E798" s="11"/>
      <c r="G798" s="11"/>
      <c r="I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>
      <c r="A799" s="11"/>
      <c r="B799" s="11"/>
      <c r="D799" s="11"/>
      <c r="E799" s="11"/>
      <c r="G799" s="11"/>
      <c r="I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>
      <c r="A800" s="11"/>
      <c r="B800" s="11"/>
      <c r="D800" s="11"/>
      <c r="E800" s="11"/>
      <c r="G800" s="11"/>
      <c r="I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>
      <c r="A801" s="11"/>
      <c r="B801" s="11"/>
      <c r="D801" s="11"/>
      <c r="E801" s="11"/>
      <c r="G801" s="11"/>
      <c r="I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>
      <c r="A802" s="11"/>
      <c r="B802" s="11"/>
      <c r="D802" s="11"/>
      <c r="E802" s="11"/>
      <c r="G802" s="11"/>
      <c r="I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>
      <c r="A803" s="11"/>
      <c r="B803" s="11"/>
      <c r="D803" s="11"/>
      <c r="E803" s="11"/>
      <c r="G803" s="11"/>
      <c r="I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>
      <c r="A804" s="11"/>
      <c r="B804" s="11"/>
      <c r="D804" s="11"/>
      <c r="E804" s="11"/>
      <c r="G804" s="11"/>
      <c r="I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>
      <c r="A805" s="11"/>
      <c r="B805" s="11"/>
      <c r="D805" s="11"/>
      <c r="E805" s="11"/>
      <c r="G805" s="11"/>
      <c r="I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>
      <c r="A806" s="11"/>
      <c r="B806" s="11"/>
      <c r="D806" s="11"/>
      <c r="E806" s="11"/>
      <c r="G806" s="11"/>
      <c r="I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>
      <c r="A807" s="11"/>
      <c r="B807" s="11"/>
      <c r="D807" s="11"/>
      <c r="E807" s="11"/>
      <c r="G807" s="11"/>
      <c r="I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>
      <c r="A808" s="11"/>
      <c r="B808" s="11"/>
      <c r="D808" s="11"/>
      <c r="E808" s="11"/>
      <c r="G808" s="11"/>
      <c r="I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>
      <c r="A809" s="11"/>
      <c r="B809" s="11"/>
      <c r="D809" s="11"/>
      <c r="E809" s="11"/>
      <c r="G809" s="11"/>
      <c r="I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>
      <c r="A810" s="11"/>
      <c r="B810" s="11"/>
      <c r="D810" s="11"/>
      <c r="E810" s="11"/>
      <c r="G810" s="11"/>
      <c r="I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>
      <c r="A811" s="11"/>
      <c r="B811" s="11"/>
      <c r="D811" s="11"/>
      <c r="E811" s="11"/>
      <c r="G811" s="11"/>
      <c r="I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>
      <c r="A812" s="11"/>
      <c r="B812" s="11"/>
      <c r="D812" s="11"/>
      <c r="E812" s="11"/>
      <c r="G812" s="11"/>
      <c r="I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>
      <c r="A813" s="11"/>
      <c r="B813" s="11"/>
      <c r="D813" s="11"/>
      <c r="E813" s="11"/>
      <c r="G813" s="11"/>
      <c r="I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>
      <c r="A814" s="11"/>
      <c r="B814" s="11"/>
      <c r="D814" s="11"/>
      <c r="E814" s="11"/>
      <c r="G814" s="11"/>
      <c r="I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>
      <c r="A815" s="11"/>
      <c r="B815" s="11"/>
      <c r="D815" s="11"/>
      <c r="E815" s="11"/>
      <c r="G815" s="11"/>
      <c r="I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>
      <c r="A816" s="11"/>
      <c r="B816" s="11"/>
      <c r="D816" s="11"/>
      <c r="E816" s="11"/>
      <c r="G816" s="11"/>
      <c r="I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>
      <c r="A817" s="11"/>
      <c r="B817" s="11"/>
      <c r="D817" s="11"/>
      <c r="E817" s="11"/>
      <c r="G817" s="11"/>
      <c r="I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>
      <c r="A818" s="11"/>
      <c r="B818" s="11"/>
      <c r="D818" s="11"/>
      <c r="E818" s="11"/>
      <c r="G818" s="11"/>
      <c r="I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>
      <c r="A819" s="11"/>
      <c r="B819" s="11"/>
      <c r="D819" s="11"/>
      <c r="E819" s="11"/>
      <c r="G819" s="11"/>
      <c r="I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>
      <c r="A820" s="11"/>
      <c r="B820" s="11"/>
      <c r="D820" s="11"/>
      <c r="E820" s="11"/>
      <c r="G820" s="11"/>
      <c r="I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>
      <c r="A821" s="11"/>
      <c r="B821" s="11"/>
      <c r="D821" s="11"/>
      <c r="E821" s="11"/>
      <c r="G821" s="11"/>
      <c r="I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>
      <c r="A822" s="11"/>
      <c r="B822" s="11"/>
      <c r="D822" s="11"/>
      <c r="E822" s="11"/>
      <c r="G822" s="11"/>
      <c r="I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>
      <c r="A823" s="11"/>
      <c r="B823" s="11"/>
      <c r="D823" s="11"/>
      <c r="E823" s="11"/>
      <c r="G823" s="11"/>
      <c r="I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>
      <c r="A824" s="11"/>
      <c r="B824" s="11"/>
      <c r="D824" s="11"/>
      <c r="E824" s="11"/>
      <c r="G824" s="11"/>
      <c r="I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>
      <c r="A825" s="11"/>
      <c r="B825" s="11"/>
      <c r="D825" s="11"/>
      <c r="E825" s="11"/>
      <c r="G825" s="11"/>
      <c r="I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>
      <c r="A826" s="11"/>
      <c r="B826" s="11"/>
      <c r="D826" s="11"/>
      <c r="E826" s="11"/>
      <c r="G826" s="11"/>
      <c r="I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>
      <c r="A827" s="11"/>
      <c r="B827" s="11"/>
      <c r="D827" s="11"/>
      <c r="E827" s="11"/>
      <c r="G827" s="11"/>
      <c r="I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>
      <c r="A828" s="11"/>
      <c r="B828" s="11"/>
      <c r="D828" s="11"/>
      <c r="E828" s="11"/>
      <c r="G828" s="11"/>
      <c r="I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>
      <c r="A829" s="11"/>
      <c r="B829" s="11"/>
      <c r="D829" s="11"/>
      <c r="E829" s="11"/>
      <c r="G829" s="11"/>
      <c r="I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>
      <c r="A830" s="11"/>
      <c r="B830" s="11"/>
      <c r="D830" s="11"/>
      <c r="E830" s="11"/>
      <c r="G830" s="11"/>
      <c r="I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>
      <c r="A831" s="11"/>
      <c r="B831" s="11"/>
      <c r="D831" s="11"/>
      <c r="E831" s="11"/>
      <c r="G831" s="11"/>
      <c r="I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>
      <c r="A832" s="11"/>
      <c r="B832" s="11"/>
      <c r="D832" s="11"/>
      <c r="E832" s="11"/>
      <c r="G832" s="11"/>
      <c r="I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>
      <c r="A833" s="11"/>
      <c r="B833" s="11"/>
      <c r="D833" s="11"/>
      <c r="E833" s="11"/>
      <c r="G833" s="11"/>
      <c r="I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>
      <c r="A834" s="11"/>
      <c r="B834" s="11"/>
      <c r="D834" s="11"/>
      <c r="E834" s="11"/>
      <c r="G834" s="11"/>
      <c r="I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>
      <c r="A835" s="11"/>
      <c r="B835" s="11"/>
      <c r="D835" s="11"/>
      <c r="E835" s="11"/>
      <c r="G835" s="11"/>
      <c r="I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>
      <c r="A836" s="11"/>
      <c r="B836" s="11"/>
      <c r="D836" s="11"/>
      <c r="E836" s="11"/>
      <c r="G836" s="11"/>
      <c r="I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>
      <c r="A837" s="11"/>
      <c r="B837" s="11"/>
      <c r="D837" s="11"/>
      <c r="E837" s="11"/>
      <c r="G837" s="11"/>
      <c r="I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>
      <c r="A838" s="11"/>
      <c r="B838" s="11"/>
      <c r="D838" s="11"/>
      <c r="E838" s="11"/>
      <c r="G838" s="11"/>
      <c r="I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>
      <c r="A839" s="11"/>
      <c r="B839" s="11"/>
      <c r="D839" s="11"/>
      <c r="E839" s="11"/>
      <c r="G839" s="11"/>
      <c r="I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>
      <c r="A840" s="11"/>
      <c r="B840" s="11"/>
      <c r="D840" s="11"/>
      <c r="E840" s="11"/>
      <c r="G840" s="11"/>
      <c r="I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>
      <c r="A841" s="11"/>
      <c r="B841" s="11"/>
      <c r="D841" s="11"/>
      <c r="E841" s="11"/>
      <c r="G841" s="11"/>
      <c r="I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>
      <c r="A842" s="11"/>
      <c r="B842" s="11"/>
      <c r="D842" s="11"/>
      <c r="E842" s="11"/>
      <c r="G842" s="11"/>
      <c r="I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>
      <c r="A843" s="11"/>
      <c r="B843" s="11"/>
      <c r="D843" s="11"/>
      <c r="E843" s="11"/>
      <c r="G843" s="11"/>
      <c r="I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>
      <c r="A844" s="11"/>
      <c r="B844" s="11"/>
      <c r="D844" s="11"/>
      <c r="E844" s="11"/>
      <c r="G844" s="11"/>
      <c r="I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>
      <c r="A845" s="11"/>
      <c r="B845" s="11"/>
      <c r="D845" s="11"/>
      <c r="E845" s="11"/>
      <c r="G845" s="11"/>
      <c r="I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>
      <c r="A846" s="11"/>
      <c r="B846" s="11"/>
      <c r="D846" s="11"/>
      <c r="E846" s="11"/>
      <c r="G846" s="11"/>
      <c r="I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>
      <c r="A847" s="11"/>
      <c r="B847" s="11"/>
      <c r="D847" s="11"/>
      <c r="E847" s="11"/>
      <c r="G847" s="11"/>
      <c r="I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>
      <c r="A848" s="11"/>
      <c r="B848" s="11"/>
      <c r="D848" s="11"/>
      <c r="E848" s="11"/>
      <c r="G848" s="11"/>
      <c r="I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>
      <c r="A849" s="11"/>
      <c r="B849" s="11"/>
      <c r="D849" s="11"/>
      <c r="E849" s="11"/>
      <c r="G849" s="11"/>
      <c r="I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>
      <c r="A850" s="11"/>
      <c r="B850" s="11"/>
      <c r="D850" s="11"/>
      <c r="E850" s="11"/>
      <c r="G850" s="11"/>
      <c r="I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>
      <c r="A851" s="11"/>
      <c r="B851" s="11"/>
      <c r="D851" s="11"/>
      <c r="E851" s="11"/>
      <c r="G851" s="11"/>
      <c r="I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>
      <c r="A852" s="11"/>
      <c r="B852" s="11"/>
      <c r="D852" s="11"/>
      <c r="E852" s="11"/>
      <c r="G852" s="11"/>
      <c r="I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>
      <c r="A853" s="11"/>
      <c r="B853" s="11"/>
      <c r="D853" s="11"/>
      <c r="E853" s="11"/>
      <c r="G853" s="11"/>
      <c r="I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>
      <c r="A854" s="11"/>
      <c r="B854" s="11"/>
      <c r="D854" s="11"/>
      <c r="E854" s="11"/>
      <c r="G854" s="11"/>
      <c r="I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>
      <c r="A855" s="11"/>
      <c r="B855" s="11"/>
      <c r="D855" s="11"/>
      <c r="E855" s="11"/>
      <c r="G855" s="11"/>
      <c r="I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>
      <c r="A856" s="11"/>
      <c r="B856" s="11"/>
      <c r="D856" s="11"/>
      <c r="E856" s="11"/>
      <c r="G856" s="11"/>
      <c r="I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>
      <c r="A857" s="11"/>
      <c r="B857" s="11"/>
      <c r="D857" s="11"/>
      <c r="E857" s="11"/>
      <c r="G857" s="11"/>
      <c r="I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>
      <c r="A858" s="11"/>
      <c r="B858" s="11"/>
      <c r="D858" s="11"/>
      <c r="E858" s="11"/>
      <c r="G858" s="11"/>
      <c r="I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>
      <c r="A859" s="11"/>
      <c r="B859" s="11"/>
      <c r="D859" s="11"/>
      <c r="E859" s="11"/>
      <c r="G859" s="11"/>
      <c r="I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>
      <c r="A860" s="11"/>
      <c r="B860" s="11"/>
      <c r="D860" s="11"/>
      <c r="E860" s="11"/>
      <c r="G860" s="11"/>
      <c r="I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>
      <c r="A861" s="11"/>
      <c r="B861" s="11"/>
      <c r="D861" s="11"/>
      <c r="E861" s="11"/>
      <c r="G861" s="11"/>
      <c r="I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>
      <c r="A862" s="11"/>
      <c r="B862" s="11"/>
      <c r="D862" s="11"/>
      <c r="E862" s="11"/>
      <c r="G862" s="11"/>
      <c r="I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>
      <c r="A863" s="11"/>
      <c r="B863" s="11"/>
      <c r="D863" s="11"/>
      <c r="E863" s="11"/>
      <c r="G863" s="11"/>
      <c r="I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>
      <c r="A864" s="11"/>
      <c r="B864" s="11"/>
      <c r="D864" s="11"/>
      <c r="E864" s="11"/>
      <c r="G864" s="11"/>
      <c r="I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>
      <c r="A865" s="11"/>
      <c r="B865" s="11"/>
      <c r="D865" s="11"/>
      <c r="E865" s="11"/>
      <c r="G865" s="11"/>
      <c r="I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>
      <c r="A866" s="11"/>
      <c r="B866" s="11"/>
      <c r="D866" s="11"/>
      <c r="E866" s="11"/>
      <c r="G866" s="11"/>
      <c r="I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>
      <c r="A867" s="11"/>
      <c r="B867" s="11"/>
      <c r="D867" s="11"/>
      <c r="E867" s="11"/>
      <c r="G867" s="11"/>
      <c r="I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>
      <c r="A868" s="11"/>
      <c r="B868" s="11"/>
      <c r="D868" s="11"/>
      <c r="E868" s="11"/>
      <c r="G868" s="11"/>
      <c r="I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>
      <c r="A869" s="11"/>
      <c r="B869" s="11"/>
      <c r="D869" s="11"/>
      <c r="E869" s="11"/>
      <c r="G869" s="11"/>
      <c r="I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>
      <c r="A870" s="11"/>
      <c r="B870" s="11"/>
      <c r="D870" s="11"/>
      <c r="E870" s="11"/>
      <c r="G870" s="11"/>
      <c r="I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>
      <c r="A871" s="11"/>
      <c r="B871" s="11"/>
      <c r="D871" s="11"/>
      <c r="E871" s="11"/>
      <c r="G871" s="11"/>
      <c r="I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>
      <c r="A872" s="11"/>
      <c r="B872" s="11"/>
      <c r="D872" s="11"/>
      <c r="E872" s="11"/>
      <c r="G872" s="11"/>
      <c r="I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>
      <c r="A873" s="11"/>
      <c r="B873" s="11"/>
      <c r="D873" s="11"/>
      <c r="E873" s="11"/>
      <c r="G873" s="11"/>
      <c r="I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>
      <c r="A874" s="11"/>
      <c r="B874" s="11"/>
      <c r="D874" s="11"/>
      <c r="E874" s="11"/>
      <c r="G874" s="11"/>
      <c r="I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>
      <c r="A875" s="11"/>
      <c r="B875" s="11"/>
      <c r="D875" s="11"/>
      <c r="E875" s="11"/>
      <c r="G875" s="11"/>
      <c r="I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>
      <c r="A876" s="11"/>
      <c r="B876" s="11"/>
      <c r="D876" s="11"/>
      <c r="E876" s="11"/>
      <c r="G876" s="11"/>
      <c r="I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>
      <c r="A877" s="11"/>
      <c r="B877" s="11"/>
      <c r="D877" s="11"/>
      <c r="E877" s="11"/>
      <c r="G877" s="11"/>
      <c r="I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>
      <c r="A878" s="11"/>
      <c r="B878" s="11"/>
      <c r="D878" s="11"/>
      <c r="E878" s="11"/>
      <c r="G878" s="11"/>
      <c r="I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>
      <c r="A879" s="11"/>
      <c r="B879" s="11"/>
      <c r="D879" s="11"/>
      <c r="E879" s="11"/>
      <c r="G879" s="11"/>
      <c r="I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>
      <c r="A880" s="11"/>
      <c r="B880" s="11"/>
      <c r="D880" s="11"/>
      <c r="E880" s="11"/>
      <c r="G880" s="11"/>
      <c r="I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>
      <c r="A881" s="11"/>
      <c r="B881" s="11"/>
      <c r="D881" s="11"/>
      <c r="E881" s="11"/>
      <c r="G881" s="11"/>
      <c r="I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>
      <c r="A882" s="11"/>
      <c r="B882" s="11"/>
      <c r="D882" s="11"/>
      <c r="E882" s="11"/>
      <c r="G882" s="11"/>
      <c r="I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>
      <c r="A883" s="11"/>
      <c r="B883" s="11"/>
      <c r="D883" s="11"/>
      <c r="E883" s="11"/>
      <c r="G883" s="11"/>
      <c r="I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>
      <c r="A884" s="11"/>
      <c r="B884" s="11"/>
      <c r="D884" s="11"/>
      <c r="E884" s="11"/>
      <c r="G884" s="11"/>
      <c r="I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>
      <c r="A885" s="11"/>
      <c r="B885" s="11"/>
      <c r="D885" s="11"/>
      <c r="E885" s="11"/>
      <c r="G885" s="11"/>
      <c r="I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>
      <c r="A886" s="11"/>
      <c r="B886" s="11"/>
      <c r="D886" s="11"/>
      <c r="E886" s="11"/>
      <c r="G886" s="11"/>
      <c r="I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>
      <c r="A887" s="11"/>
      <c r="B887" s="11"/>
      <c r="D887" s="11"/>
      <c r="E887" s="11"/>
      <c r="G887" s="11"/>
      <c r="I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>
      <c r="A888" s="11"/>
      <c r="B888" s="11"/>
      <c r="D888" s="11"/>
      <c r="E888" s="11"/>
      <c r="G888" s="11"/>
      <c r="I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>
      <c r="A889" s="11"/>
      <c r="B889" s="11"/>
      <c r="D889" s="11"/>
      <c r="E889" s="11"/>
      <c r="G889" s="11"/>
      <c r="I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>
      <c r="A890" s="11"/>
      <c r="B890" s="11"/>
      <c r="D890" s="11"/>
      <c r="E890" s="11"/>
      <c r="G890" s="11"/>
      <c r="I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>
      <c r="A891" s="11"/>
      <c r="B891" s="11"/>
      <c r="D891" s="11"/>
      <c r="E891" s="11"/>
      <c r="G891" s="11"/>
      <c r="I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>
      <c r="A892" s="11"/>
      <c r="B892" s="11"/>
      <c r="D892" s="11"/>
      <c r="E892" s="11"/>
      <c r="G892" s="11"/>
      <c r="I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>
      <c r="A893" s="11"/>
      <c r="B893" s="11"/>
      <c r="D893" s="11"/>
      <c r="E893" s="11"/>
      <c r="G893" s="11"/>
      <c r="I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>
      <c r="A894" s="11"/>
      <c r="B894" s="11"/>
      <c r="D894" s="11"/>
      <c r="E894" s="11"/>
      <c r="G894" s="11"/>
      <c r="I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>
      <c r="A895" s="11"/>
      <c r="B895" s="11"/>
      <c r="D895" s="11"/>
      <c r="E895" s="11"/>
      <c r="G895" s="11"/>
      <c r="I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>
      <c r="A896" s="11"/>
      <c r="B896" s="11"/>
      <c r="D896" s="11"/>
      <c r="E896" s="11"/>
      <c r="G896" s="11"/>
      <c r="I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>
      <c r="A897" s="11"/>
      <c r="B897" s="11"/>
      <c r="D897" s="11"/>
      <c r="E897" s="11"/>
      <c r="G897" s="11"/>
      <c r="I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>
      <c r="A898" s="11"/>
      <c r="B898" s="11"/>
      <c r="D898" s="11"/>
      <c r="E898" s="11"/>
      <c r="G898" s="11"/>
      <c r="I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>
      <c r="A899" s="11"/>
      <c r="B899" s="11"/>
      <c r="D899" s="11"/>
      <c r="E899" s="11"/>
      <c r="G899" s="11"/>
      <c r="I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>
      <c r="A900" s="11"/>
      <c r="B900" s="11"/>
      <c r="D900" s="11"/>
      <c r="E900" s="11"/>
      <c r="G900" s="11"/>
      <c r="I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>
      <c r="A901" s="11"/>
      <c r="B901" s="11"/>
      <c r="D901" s="11"/>
      <c r="E901" s="11"/>
      <c r="G901" s="11"/>
      <c r="I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>
      <c r="A902" s="11"/>
      <c r="B902" s="11"/>
      <c r="D902" s="11"/>
      <c r="E902" s="11"/>
      <c r="G902" s="11"/>
      <c r="I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>
      <c r="A903" s="11"/>
      <c r="B903" s="11"/>
      <c r="D903" s="11"/>
      <c r="E903" s="11"/>
      <c r="G903" s="11"/>
      <c r="I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>
      <c r="A904" s="11"/>
      <c r="B904" s="11"/>
      <c r="D904" s="11"/>
      <c r="E904" s="11"/>
      <c r="G904" s="11"/>
      <c r="I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>
      <c r="A905" s="11"/>
      <c r="B905" s="11"/>
      <c r="D905" s="11"/>
      <c r="E905" s="11"/>
      <c r="G905" s="11"/>
      <c r="I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>
      <c r="A906" s="11"/>
      <c r="B906" s="11"/>
      <c r="D906" s="11"/>
      <c r="E906" s="11"/>
      <c r="G906" s="11"/>
      <c r="I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>
      <c r="A907" s="11"/>
      <c r="B907" s="11"/>
      <c r="D907" s="11"/>
      <c r="E907" s="11"/>
      <c r="G907" s="11"/>
      <c r="I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>
      <c r="A908" s="11"/>
      <c r="B908" s="11"/>
      <c r="D908" s="11"/>
      <c r="E908" s="11"/>
      <c r="G908" s="11"/>
      <c r="I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>
      <c r="A909" s="11"/>
      <c r="B909" s="11"/>
      <c r="D909" s="11"/>
      <c r="E909" s="11"/>
      <c r="G909" s="11"/>
      <c r="I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>
      <c r="A910" s="11"/>
      <c r="B910" s="11"/>
      <c r="D910" s="11"/>
      <c r="E910" s="11"/>
      <c r="G910" s="11"/>
      <c r="I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>
      <c r="A911" s="11"/>
      <c r="B911" s="11"/>
      <c r="D911" s="11"/>
      <c r="E911" s="11"/>
      <c r="G911" s="11"/>
      <c r="I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>
      <c r="A912" s="11"/>
      <c r="B912" s="11"/>
      <c r="D912" s="11"/>
      <c r="E912" s="11"/>
      <c r="G912" s="11"/>
      <c r="I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>
      <c r="A913" s="11"/>
      <c r="B913" s="11"/>
      <c r="D913" s="11"/>
      <c r="E913" s="11"/>
      <c r="G913" s="11"/>
      <c r="I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>
      <c r="A914" s="11"/>
      <c r="B914" s="11"/>
      <c r="D914" s="11"/>
      <c r="E914" s="11"/>
      <c r="G914" s="11"/>
      <c r="I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>
      <c r="A915" s="11"/>
      <c r="B915" s="11"/>
      <c r="D915" s="11"/>
      <c r="E915" s="11"/>
      <c r="G915" s="11"/>
      <c r="I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>
      <c r="A916" s="11"/>
      <c r="B916" s="11"/>
      <c r="D916" s="11"/>
      <c r="E916" s="11"/>
      <c r="G916" s="11"/>
      <c r="I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>
      <c r="A917" s="11"/>
      <c r="B917" s="11"/>
      <c r="D917" s="11"/>
      <c r="E917" s="11"/>
      <c r="G917" s="11"/>
      <c r="I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>
      <c r="A918" s="11"/>
      <c r="B918" s="11"/>
      <c r="D918" s="11"/>
      <c r="E918" s="11"/>
      <c r="G918" s="11"/>
      <c r="I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>
      <c r="A919" s="11"/>
      <c r="B919" s="11"/>
      <c r="D919" s="11"/>
      <c r="E919" s="11"/>
      <c r="G919" s="11"/>
      <c r="I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>
      <c r="A920" s="11"/>
      <c r="B920" s="11"/>
      <c r="D920" s="11"/>
      <c r="E920" s="11"/>
      <c r="G920" s="11"/>
      <c r="I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>
      <c r="A921" s="11"/>
      <c r="B921" s="11"/>
      <c r="D921" s="11"/>
      <c r="E921" s="11"/>
      <c r="G921" s="11"/>
      <c r="I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>
      <c r="A922" s="11"/>
      <c r="B922" s="11"/>
      <c r="D922" s="11"/>
      <c r="E922" s="11"/>
      <c r="G922" s="11"/>
      <c r="I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>
      <c r="A923" s="11"/>
      <c r="B923" s="11"/>
      <c r="D923" s="11"/>
      <c r="E923" s="11"/>
      <c r="G923" s="11"/>
      <c r="I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>
      <c r="A924" s="11"/>
      <c r="B924" s="11"/>
      <c r="D924" s="11"/>
      <c r="E924" s="11"/>
      <c r="G924" s="11"/>
      <c r="I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>
      <c r="A925" s="11"/>
      <c r="B925" s="11"/>
      <c r="D925" s="11"/>
      <c r="E925" s="11"/>
      <c r="G925" s="11"/>
      <c r="I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>
      <c r="A926" s="11"/>
      <c r="B926" s="11"/>
      <c r="D926" s="11"/>
      <c r="E926" s="11"/>
      <c r="G926" s="11"/>
      <c r="I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>
      <c r="A927" s="11"/>
      <c r="B927" s="11"/>
      <c r="D927" s="11"/>
      <c r="E927" s="11"/>
      <c r="G927" s="11"/>
      <c r="I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>
      <c r="A928" s="11"/>
      <c r="B928" s="11"/>
      <c r="D928" s="11"/>
      <c r="E928" s="11"/>
      <c r="G928" s="11"/>
      <c r="I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>
      <c r="A929" s="11"/>
      <c r="B929" s="11"/>
      <c r="D929" s="11"/>
      <c r="E929" s="11"/>
      <c r="G929" s="11"/>
      <c r="I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>
      <c r="A930" s="11"/>
      <c r="B930" s="11"/>
      <c r="D930" s="11"/>
      <c r="E930" s="11"/>
      <c r="G930" s="11"/>
      <c r="I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>
      <c r="A931" s="11"/>
      <c r="B931" s="11"/>
      <c r="D931" s="11"/>
      <c r="E931" s="11"/>
      <c r="G931" s="11"/>
      <c r="I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>
      <c r="A932" s="11"/>
      <c r="B932" s="11"/>
      <c r="D932" s="11"/>
      <c r="E932" s="11"/>
      <c r="G932" s="11"/>
      <c r="I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>
      <c r="A933" s="11"/>
      <c r="B933" s="11"/>
      <c r="D933" s="11"/>
      <c r="E933" s="11"/>
      <c r="G933" s="11"/>
      <c r="I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>
      <c r="A934" s="11"/>
      <c r="B934" s="11"/>
      <c r="D934" s="11"/>
      <c r="E934" s="11"/>
      <c r="G934" s="11"/>
      <c r="I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>
      <c r="A935" s="11"/>
      <c r="B935" s="11"/>
      <c r="D935" s="11"/>
      <c r="E935" s="11"/>
      <c r="G935" s="11"/>
      <c r="I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>
      <c r="A936" s="11"/>
      <c r="B936" s="11"/>
      <c r="D936" s="11"/>
      <c r="E936" s="11"/>
      <c r="G936" s="11"/>
      <c r="I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>
      <c r="A937" s="11"/>
      <c r="B937" s="11"/>
      <c r="D937" s="11"/>
      <c r="E937" s="11"/>
      <c r="G937" s="11"/>
      <c r="I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>
      <c r="A938" s="11"/>
      <c r="B938" s="11"/>
      <c r="D938" s="11"/>
      <c r="E938" s="11"/>
      <c r="G938" s="11"/>
      <c r="I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>
      <c r="A939" s="11"/>
      <c r="B939" s="11"/>
      <c r="D939" s="11"/>
      <c r="E939" s="11"/>
      <c r="G939" s="11"/>
      <c r="I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>
      <c r="A940" s="11"/>
      <c r="B940" s="11"/>
      <c r="D940" s="11"/>
      <c r="E940" s="11"/>
      <c r="G940" s="11"/>
      <c r="I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>
      <c r="A941" s="11"/>
      <c r="B941" s="11"/>
      <c r="D941" s="11"/>
      <c r="E941" s="11"/>
      <c r="G941" s="11"/>
      <c r="I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>
      <c r="A942" s="11"/>
      <c r="B942" s="11"/>
      <c r="D942" s="11"/>
      <c r="E942" s="11"/>
      <c r="G942" s="11"/>
      <c r="I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>
      <c r="A943" s="11"/>
      <c r="B943" s="11"/>
      <c r="D943" s="11"/>
      <c r="E943" s="11"/>
      <c r="G943" s="11"/>
      <c r="I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>
      <c r="A944" s="11"/>
      <c r="B944" s="11"/>
      <c r="D944" s="11"/>
      <c r="E944" s="11"/>
      <c r="G944" s="11"/>
      <c r="I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>
      <c r="A945" s="11"/>
      <c r="B945" s="11"/>
      <c r="D945" s="11"/>
      <c r="E945" s="11"/>
      <c r="G945" s="11"/>
      <c r="I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>
      <c r="A946" s="11"/>
      <c r="B946" s="11"/>
      <c r="D946" s="11"/>
      <c r="E946" s="11"/>
      <c r="G946" s="11"/>
      <c r="I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>
      <c r="A947" s="11"/>
      <c r="B947" s="11"/>
      <c r="D947" s="11"/>
      <c r="E947" s="11"/>
      <c r="G947" s="11"/>
      <c r="I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>
      <c r="A948" s="11"/>
      <c r="B948" s="11"/>
      <c r="D948" s="11"/>
      <c r="E948" s="11"/>
      <c r="G948" s="11"/>
      <c r="I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>
      <c r="A949" s="11"/>
      <c r="B949" s="11"/>
      <c r="D949" s="11"/>
      <c r="E949" s="11"/>
      <c r="G949" s="11"/>
      <c r="I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>
      <c r="A950" s="11"/>
      <c r="B950" s="11"/>
      <c r="D950" s="11"/>
      <c r="E950" s="11"/>
      <c r="G950" s="11"/>
      <c r="I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>
      <c r="A951" s="11"/>
      <c r="B951" s="11"/>
      <c r="D951" s="11"/>
      <c r="E951" s="11"/>
      <c r="G951" s="11"/>
      <c r="I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>
      <c r="A952" s="11"/>
      <c r="B952" s="11"/>
      <c r="D952" s="11"/>
      <c r="E952" s="11"/>
      <c r="G952" s="11"/>
      <c r="I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>
      <c r="A953" s="11"/>
      <c r="B953" s="11"/>
      <c r="D953" s="11"/>
      <c r="E953" s="11"/>
      <c r="G953" s="11"/>
      <c r="I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>
      <c r="A954" s="11"/>
      <c r="B954" s="11"/>
      <c r="D954" s="11"/>
      <c r="E954" s="11"/>
      <c r="G954" s="11"/>
      <c r="I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>
      <c r="A955" s="11"/>
      <c r="B955" s="11"/>
      <c r="D955" s="11"/>
      <c r="E955" s="11"/>
      <c r="G955" s="11"/>
      <c r="I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>
      <c r="A956" s="11"/>
      <c r="B956" s="11"/>
      <c r="D956" s="11"/>
      <c r="E956" s="11"/>
      <c r="G956" s="11"/>
      <c r="I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>
      <c r="A957" s="11"/>
      <c r="B957" s="11"/>
      <c r="D957" s="11"/>
      <c r="E957" s="11"/>
      <c r="G957" s="11"/>
      <c r="I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>
      <c r="A958" s="11"/>
      <c r="B958" s="11"/>
      <c r="D958" s="11"/>
      <c r="E958" s="11"/>
      <c r="G958" s="11"/>
      <c r="I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>
      <c r="A959" s="11"/>
      <c r="B959" s="11"/>
      <c r="D959" s="11"/>
      <c r="E959" s="11"/>
      <c r="G959" s="11"/>
      <c r="I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>
      <c r="A960" s="11"/>
      <c r="B960" s="11"/>
      <c r="D960" s="11"/>
      <c r="E960" s="11"/>
      <c r="G960" s="11"/>
      <c r="I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>
      <c r="A961" s="11"/>
      <c r="B961" s="11"/>
      <c r="D961" s="11"/>
      <c r="E961" s="11"/>
      <c r="G961" s="11"/>
      <c r="I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>
      <c r="A962" s="11"/>
      <c r="B962" s="11"/>
      <c r="D962" s="11"/>
      <c r="E962" s="11"/>
      <c r="G962" s="11"/>
      <c r="I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>
      <c r="A963" s="11"/>
      <c r="B963" s="11"/>
      <c r="D963" s="11"/>
      <c r="E963" s="11"/>
      <c r="G963" s="11"/>
      <c r="I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>
      <c r="A964" s="11"/>
      <c r="B964" s="11"/>
      <c r="D964" s="11"/>
      <c r="E964" s="11"/>
      <c r="G964" s="11"/>
      <c r="I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>
      <c r="A965" s="11"/>
      <c r="B965" s="11"/>
      <c r="D965" s="11"/>
      <c r="E965" s="11"/>
      <c r="G965" s="11"/>
      <c r="I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>
      <c r="A966" s="11"/>
      <c r="B966" s="11"/>
      <c r="D966" s="11"/>
      <c r="E966" s="11"/>
      <c r="G966" s="11"/>
      <c r="I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>
      <c r="A967" s="11"/>
      <c r="B967" s="11"/>
      <c r="D967" s="11"/>
      <c r="E967" s="11"/>
      <c r="G967" s="11"/>
      <c r="I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>
      <c r="A968" s="11"/>
      <c r="B968" s="11"/>
      <c r="D968" s="11"/>
      <c r="E968" s="11"/>
      <c r="G968" s="11"/>
      <c r="I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>
      <c r="A969" s="11"/>
      <c r="B969" s="11"/>
      <c r="D969" s="11"/>
      <c r="E969" s="11"/>
      <c r="G969" s="11"/>
      <c r="I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>
      <c r="A970" s="11"/>
      <c r="B970" s="11"/>
      <c r="D970" s="11"/>
      <c r="E970" s="11"/>
      <c r="G970" s="11"/>
      <c r="I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>
      <c r="A971" s="11"/>
      <c r="B971" s="11"/>
      <c r="D971" s="11"/>
      <c r="E971" s="11"/>
      <c r="G971" s="11"/>
      <c r="I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>
      <c r="A972" s="11"/>
      <c r="B972" s="11"/>
      <c r="D972" s="11"/>
      <c r="E972" s="11"/>
      <c r="G972" s="11"/>
      <c r="I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>
      <c r="A973" s="11"/>
      <c r="B973" s="11"/>
      <c r="D973" s="11"/>
      <c r="E973" s="11"/>
      <c r="G973" s="11"/>
      <c r="I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>
      <c r="A974" s="11"/>
      <c r="B974" s="11"/>
      <c r="D974" s="11"/>
      <c r="E974" s="11"/>
      <c r="G974" s="11"/>
      <c r="I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>
      <c r="A975" s="11"/>
      <c r="B975" s="11"/>
      <c r="D975" s="11"/>
      <c r="E975" s="11"/>
      <c r="G975" s="11"/>
      <c r="I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>
      <c r="A976" s="11"/>
      <c r="B976" s="11"/>
      <c r="D976" s="11"/>
      <c r="E976" s="11"/>
      <c r="G976" s="11"/>
      <c r="I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>
      <c r="A977" s="11"/>
      <c r="B977" s="11"/>
      <c r="D977" s="11"/>
      <c r="E977" s="11"/>
      <c r="G977" s="11"/>
      <c r="I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>
      <c r="A978" s="11"/>
      <c r="B978" s="11"/>
      <c r="D978" s="11"/>
      <c r="E978" s="11"/>
      <c r="G978" s="11"/>
      <c r="I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>
      <c r="A979" s="11"/>
      <c r="B979" s="11"/>
      <c r="D979" s="11"/>
      <c r="E979" s="11"/>
      <c r="G979" s="11"/>
      <c r="I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>
      <c r="A980" s="11"/>
      <c r="B980" s="11"/>
      <c r="D980" s="11"/>
      <c r="E980" s="11"/>
      <c r="G980" s="11"/>
      <c r="I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>
      <c r="A981" s="11"/>
      <c r="B981" s="11"/>
      <c r="D981" s="11"/>
      <c r="E981" s="11"/>
      <c r="G981" s="11"/>
      <c r="I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>
      <c r="A982" s="11"/>
      <c r="B982" s="11"/>
      <c r="D982" s="11"/>
      <c r="E982" s="11"/>
      <c r="G982" s="11"/>
      <c r="I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>
      <c r="A983" s="11"/>
      <c r="B983" s="11"/>
      <c r="D983" s="11"/>
      <c r="E983" s="11"/>
      <c r="G983" s="11"/>
      <c r="I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>
      <c r="A984" s="11"/>
      <c r="B984" s="11"/>
      <c r="D984" s="11"/>
      <c r="E984" s="11"/>
      <c r="G984" s="11"/>
      <c r="I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>
      <c r="A985" s="11"/>
      <c r="B985" s="11"/>
      <c r="D985" s="11"/>
      <c r="E985" s="11"/>
      <c r="G985" s="11"/>
      <c r="I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>
      <c r="A986" s="11"/>
      <c r="B986" s="11"/>
      <c r="D986" s="11"/>
      <c r="E986" s="11"/>
      <c r="G986" s="11"/>
      <c r="I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>
      <c r="A987" s="11"/>
      <c r="B987" s="11"/>
      <c r="D987" s="11"/>
      <c r="E987" s="11"/>
      <c r="G987" s="11"/>
      <c r="I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>
      <c r="A988" s="11"/>
      <c r="B988" s="11"/>
      <c r="D988" s="11"/>
      <c r="E988" s="11"/>
      <c r="G988" s="11"/>
      <c r="I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>
      <c r="A989" s="11"/>
      <c r="B989" s="11"/>
      <c r="D989" s="11"/>
      <c r="E989" s="11"/>
      <c r="G989" s="11"/>
      <c r="I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>
      <c r="A990" s="11"/>
      <c r="B990" s="11"/>
      <c r="D990" s="11"/>
      <c r="E990" s="11"/>
      <c r="G990" s="11"/>
      <c r="I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>
      <c r="A991" s="11"/>
      <c r="B991" s="11"/>
      <c r="D991" s="11"/>
      <c r="E991" s="11"/>
      <c r="G991" s="11"/>
      <c r="I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>
      <c r="A992" s="11"/>
      <c r="B992" s="11"/>
      <c r="D992" s="11"/>
      <c r="E992" s="11"/>
      <c r="G992" s="11"/>
      <c r="I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>
      <c r="A993" s="11"/>
      <c r="B993" s="11"/>
      <c r="D993" s="11"/>
      <c r="E993" s="11"/>
      <c r="G993" s="11"/>
      <c r="I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>
      <c r="A994" s="11"/>
      <c r="B994" s="11"/>
      <c r="D994" s="11"/>
      <c r="E994" s="11"/>
      <c r="G994" s="11"/>
      <c r="I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>
      <c r="A995" s="11"/>
      <c r="B995" s="11"/>
      <c r="D995" s="11"/>
      <c r="E995" s="11"/>
      <c r="G995" s="11"/>
      <c r="I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>
      <c r="A996" s="11"/>
      <c r="B996" s="11"/>
      <c r="D996" s="11"/>
      <c r="E996" s="11"/>
      <c r="G996" s="11"/>
      <c r="I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>
      <c r="A997" s="11"/>
      <c r="B997" s="11"/>
      <c r="D997" s="11"/>
      <c r="E997" s="11"/>
      <c r="G997" s="11"/>
      <c r="I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>
      <c r="A998" s="11"/>
      <c r="B998" s="11"/>
      <c r="D998" s="11"/>
      <c r="E998" s="11"/>
      <c r="G998" s="11"/>
      <c r="I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>
      <c r="A999" s="11"/>
      <c r="B999" s="11"/>
      <c r="D999" s="11"/>
      <c r="E999" s="11"/>
      <c r="G999" s="11"/>
      <c r="I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>
      <c r="A1000" s="11"/>
      <c r="B1000" s="11"/>
      <c r="D1000" s="11"/>
      <c r="E1000" s="11"/>
      <c r="G1000" s="11"/>
      <c r="I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</sheetData>
  <mergeCells count="1">
    <mergeCell ref="M1:U1"/>
  </mergeCells>
  <conditionalFormatting sqref="A1:AD1">
    <cfRule type="notContainsBlanks" dxfId="1" priority="1">
      <formula>LEN(TRIM(A1))&gt;0</formula>
    </cfRule>
  </conditionalFormatting>
  <conditionalFormatting sqref="A1:AD1">
    <cfRule type="notContainsBlanks" dxfId="2" priority="2">
      <formula>LEN(TRIM(A1))&gt;0</formula>
    </cfRule>
  </conditionalFormatting>
  <conditionalFormatting sqref="A2:C1000 D2:E11 F2:U1000 D13:E1000">
    <cfRule type="notContainsBlanks" dxfId="0" priority="3">
      <formula>LEN(TRIM(A2))&gt;0</formula>
    </cfRule>
  </conditionalFormatting>
  <dataValidations>
    <dataValidation type="list" allowBlank="1" sqref="I2:I1000">
      <formula1>'All Courses'!$G:$G</formula1>
    </dataValidation>
    <dataValidation type="list" allowBlank="1" showInputMessage="1" prompt="Need the course in this format." sqref="A2:A1000">
      <formula1>'All Courses'!$A:$A</formula1>
    </dataValidation>
    <dataValidation type="list" allowBlank="1" sqref="M2:U1000">
      <formula1>'All Courses'!$A:$A</formula1>
    </dataValidation>
    <dataValidation type="list" allowBlank="1" showInputMessage="1" prompt="Its okay if it isnt one of the courses in the dropdown list." sqref="G2:G1000">
      <formula1>'All Courses'!$C:$C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54.0"/>
  </cols>
  <sheetData>
    <row r="1">
      <c r="A1" s="14" t="s">
        <v>127</v>
      </c>
      <c r="C1" s="14" t="s">
        <v>128</v>
      </c>
      <c r="E1" s="14" t="s">
        <v>129</v>
      </c>
      <c r="G1" s="15" t="str">
        <f>IFERROR(__xludf.DUMMYFUNCTION("UNIQUE({A:A; C:C; E:E})"),"AFRI 010AC AF-01")</f>
        <v>AFRI 010AC AF-01</v>
      </c>
      <c r="J1" s="16" t="s">
        <v>130</v>
      </c>
    </row>
    <row r="2">
      <c r="A2" s="14" t="s">
        <v>131</v>
      </c>
      <c r="C2" s="14" t="s">
        <v>132</v>
      </c>
      <c r="E2" s="14" t="s">
        <v>133</v>
      </c>
      <c r="G2" s="15" t="str">
        <f>IFERROR(__xludf.DUMMYFUNCTION("""COMPUTED_VALUE"""),"AFRI 010B AF-01")</f>
        <v>AFRI 010B AF-01</v>
      </c>
    </row>
    <row r="3">
      <c r="A3" s="14" t="s">
        <v>134</v>
      </c>
      <c r="C3" s="14" t="s">
        <v>135</v>
      </c>
      <c r="E3" s="14" t="s">
        <v>136</v>
      </c>
      <c r="G3" s="15" t="str">
        <f>IFERROR(__xludf.DUMMYFUNCTION("""COMPUTED_VALUE"""),"AFRI 121 AF-01")</f>
        <v>AFRI 121 AF-01</v>
      </c>
    </row>
    <row r="4">
      <c r="A4" s="14" t="s">
        <v>137</v>
      </c>
      <c r="C4" s="14" t="s">
        <v>138</v>
      </c>
      <c r="E4" s="14" t="s">
        <v>139</v>
      </c>
      <c r="G4" s="15" t="str">
        <f>IFERROR(__xludf.DUMMYFUNCTION("""COMPUTED_VALUE"""),"AFRI 191 SC-01")</f>
        <v>AFRI 191 SC-01</v>
      </c>
    </row>
    <row r="5">
      <c r="A5" s="14" t="s">
        <v>140</v>
      </c>
      <c r="C5" s="14" t="s">
        <v>141</v>
      </c>
      <c r="E5" s="14" t="s">
        <v>142</v>
      </c>
      <c r="G5" s="15" t="str">
        <f>IFERROR(__xludf.DUMMYFUNCTION("""COMPUTED_VALUE"""),"AMST 103 SC-01")</f>
        <v>AMST 103 SC-01</v>
      </c>
    </row>
    <row r="6">
      <c r="A6" s="14" t="s">
        <v>143</v>
      </c>
      <c r="C6" s="14" t="s">
        <v>144</v>
      </c>
      <c r="E6" s="14" t="s">
        <v>145</v>
      </c>
      <c r="G6" s="15" t="str">
        <f>IFERROR(__xludf.DUMMYFUNCTION("""COMPUTED_VALUE"""),"AMST 180 SC-01")</f>
        <v>AMST 180 SC-01</v>
      </c>
    </row>
    <row r="7">
      <c r="A7" s="14" t="s">
        <v>146</v>
      </c>
      <c r="C7" s="14" t="s">
        <v>147</v>
      </c>
      <c r="E7" s="14" t="s">
        <v>148</v>
      </c>
      <c r="G7" s="15" t="str">
        <f>IFERROR(__xludf.DUMMYFUNCTION("""COMPUTED_VALUE"""),"AMST 191 SC-01")</f>
        <v>AMST 191 SC-01</v>
      </c>
    </row>
    <row r="8">
      <c r="A8" s="14" t="s">
        <v>149</v>
      </c>
      <c r="C8" s="14" t="s">
        <v>150</v>
      </c>
      <c r="E8" s="14" t="s">
        <v>151</v>
      </c>
      <c r="G8" s="15" t="str">
        <f>IFERROR(__xludf.DUMMYFUNCTION("""COMPUTED_VALUE"""),"ANTH 001 PZ-01")</f>
        <v>ANTH 001 PZ-01</v>
      </c>
    </row>
    <row r="9">
      <c r="A9" s="14" t="s">
        <v>152</v>
      </c>
      <c r="C9" s="14" t="s">
        <v>153</v>
      </c>
      <c r="E9" s="14" t="s">
        <v>154</v>
      </c>
      <c r="G9" s="15" t="str">
        <f>IFERROR(__xludf.DUMMYFUNCTION("""COMPUTED_VALUE"""),"ANTH 002 PO-01")</f>
        <v>ANTH 002 PO-01</v>
      </c>
    </row>
    <row r="10">
      <c r="A10" s="14" t="s">
        <v>155</v>
      </c>
      <c r="C10" s="14" t="s">
        <v>153</v>
      </c>
      <c r="E10" s="14" t="s">
        <v>156</v>
      </c>
      <c r="G10" s="15" t="str">
        <f>IFERROR(__xludf.DUMMYFUNCTION("""COMPUTED_VALUE"""),"ANTH 002 PO-02")</f>
        <v>ANTH 002 PO-02</v>
      </c>
    </row>
    <row r="11">
      <c r="A11" s="14" t="s">
        <v>157</v>
      </c>
      <c r="C11" s="14" t="s">
        <v>153</v>
      </c>
      <c r="E11" s="14" t="s">
        <v>158</v>
      </c>
      <c r="G11" s="15" t="str">
        <f>IFERROR(__xludf.DUMMYFUNCTION("""COMPUTED_VALUE"""),"ANTH 002 PO-03")</f>
        <v>ANTH 002 PO-03</v>
      </c>
    </row>
    <row r="12">
      <c r="A12" s="14" t="s">
        <v>159</v>
      </c>
      <c r="C12" s="14" t="s">
        <v>153</v>
      </c>
      <c r="E12" s="14" t="s">
        <v>160</v>
      </c>
      <c r="G12" s="15" t="str">
        <f>IFERROR(__xludf.DUMMYFUNCTION("""COMPUTED_VALUE"""),"ANTH 002 PZ-01")</f>
        <v>ANTH 002 PZ-01</v>
      </c>
    </row>
    <row r="13">
      <c r="A13" s="14" t="s">
        <v>161</v>
      </c>
      <c r="C13" s="14" t="s">
        <v>153</v>
      </c>
      <c r="E13" s="14" t="s">
        <v>162</v>
      </c>
      <c r="G13" s="15" t="str">
        <f>IFERROR(__xludf.DUMMYFUNCTION("""COMPUTED_VALUE"""),"ANTH 002 SC-01")</f>
        <v>ANTH 002 SC-01</v>
      </c>
    </row>
    <row r="14">
      <c r="A14" s="14" t="s">
        <v>163</v>
      </c>
      <c r="C14" s="14" t="s">
        <v>164</v>
      </c>
      <c r="E14" s="14" t="s">
        <v>165</v>
      </c>
      <c r="G14" s="15" t="str">
        <f>IFERROR(__xludf.DUMMYFUNCTION("""COMPUTED_VALUE"""),"ANTH 009 PZ-01")</f>
        <v>ANTH 009 PZ-01</v>
      </c>
    </row>
    <row r="15">
      <c r="A15" s="14" t="s">
        <v>166</v>
      </c>
      <c r="C15" s="14" t="s">
        <v>167</v>
      </c>
      <c r="E15" s="14" t="s">
        <v>168</v>
      </c>
      <c r="G15" s="15" t="str">
        <f>IFERROR(__xludf.DUMMYFUNCTION("""COMPUTED_VALUE"""),"ANTH 012 PZ-01")</f>
        <v>ANTH 012 PZ-01</v>
      </c>
    </row>
    <row r="16">
      <c r="A16" s="14" t="s">
        <v>169</v>
      </c>
      <c r="C16" s="14" t="s">
        <v>170</v>
      </c>
      <c r="E16" s="14" t="s">
        <v>171</v>
      </c>
      <c r="G16" s="15" t="str">
        <f>IFERROR(__xludf.DUMMYFUNCTION("""COMPUTED_VALUE"""),"ANTH 025 SC-01")</f>
        <v>ANTH 025 SC-01</v>
      </c>
    </row>
    <row r="17">
      <c r="A17" s="14" t="s">
        <v>172</v>
      </c>
      <c r="C17" s="14" t="s">
        <v>173</v>
      </c>
      <c r="E17" s="14" t="s">
        <v>174</v>
      </c>
      <c r="G17" s="15" t="str">
        <f>IFERROR(__xludf.DUMMYFUNCTION("""COMPUTED_VALUE"""),"ANTH 050 PZ-01")</f>
        <v>ANTH 050 PZ-01</v>
      </c>
    </row>
    <row r="18">
      <c r="A18" s="14" t="s">
        <v>175</v>
      </c>
      <c r="C18" s="14" t="s">
        <v>176</v>
      </c>
      <c r="E18" s="14" t="s">
        <v>177</v>
      </c>
      <c r="G18" s="15" t="str">
        <f>IFERROR(__xludf.DUMMYFUNCTION("""COMPUTED_VALUE"""),"ANTH 051 PZ-01")</f>
        <v>ANTH 051 PZ-01</v>
      </c>
    </row>
    <row r="19">
      <c r="A19" s="14" t="s">
        <v>178</v>
      </c>
      <c r="C19" s="14" t="s">
        <v>179</v>
      </c>
      <c r="E19" s="14" t="s">
        <v>180</v>
      </c>
      <c r="G19" s="15" t="str">
        <f>IFERROR(__xludf.DUMMYFUNCTION("""COMPUTED_VALUE"""),"ANTH 098 PZ-01")</f>
        <v>ANTH 098 PZ-01</v>
      </c>
    </row>
    <row r="20">
      <c r="A20" s="14" t="s">
        <v>181</v>
      </c>
      <c r="C20" s="14" t="s">
        <v>182</v>
      </c>
      <c r="E20" s="14" t="s">
        <v>183</v>
      </c>
      <c r="G20" s="15" t="str">
        <f>IFERROR(__xludf.DUMMYFUNCTION("""COMPUTED_VALUE"""),"ANTH 101 PO-01")</f>
        <v>ANTH 101 PO-01</v>
      </c>
    </row>
    <row r="21">
      <c r="A21" s="14" t="s">
        <v>184</v>
      </c>
      <c r="C21" s="14" t="s">
        <v>185</v>
      </c>
      <c r="E21" s="14" t="s">
        <v>186</v>
      </c>
      <c r="G21" s="15" t="str">
        <f>IFERROR(__xludf.DUMMYFUNCTION("""COMPUTED_VALUE"""),"ANTH 105 PO-01")</f>
        <v>ANTH 105 PO-01</v>
      </c>
    </row>
    <row r="22">
      <c r="A22" s="14" t="s">
        <v>187</v>
      </c>
      <c r="C22" s="14" t="s">
        <v>188</v>
      </c>
      <c r="E22" s="14" t="s">
        <v>189</v>
      </c>
      <c r="G22" s="15" t="str">
        <f>IFERROR(__xludf.DUMMYFUNCTION("""COMPUTED_VALUE"""),"ANTH 108 PO-01")</f>
        <v>ANTH 108 PO-01</v>
      </c>
    </row>
    <row r="23">
      <c r="A23" s="14" t="s">
        <v>190</v>
      </c>
      <c r="C23" s="14" t="s">
        <v>191</v>
      </c>
      <c r="E23" s="14" t="s">
        <v>192</v>
      </c>
      <c r="G23" s="15" t="str">
        <f>IFERROR(__xludf.DUMMYFUNCTION("""COMPUTED_VALUE"""),"ANTH 112 PZ-01")</f>
        <v>ANTH 112 PZ-01</v>
      </c>
    </row>
    <row r="24">
      <c r="A24" s="14" t="s">
        <v>193</v>
      </c>
      <c r="C24" s="14" t="s">
        <v>194</v>
      </c>
      <c r="E24" s="14" t="s">
        <v>195</v>
      </c>
      <c r="G24" s="15" t="str">
        <f>IFERROR(__xludf.DUMMYFUNCTION("""COMPUTED_VALUE"""),"ANTH 118 SC-01")</f>
        <v>ANTH 118 SC-01</v>
      </c>
    </row>
    <row r="25">
      <c r="A25" s="14" t="s">
        <v>196</v>
      </c>
      <c r="C25" s="14" t="s">
        <v>197</v>
      </c>
      <c r="E25" s="14" t="s">
        <v>198</v>
      </c>
      <c r="G25" s="15" t="str">
        <f>IFERROR(__xludf.DUMMYFUNCTION("""COMPUTED_VALUE"""),"ANTH 121 PO-01")</f>
        <v>ANTH 121 PO-01</v>
      </c>
    </row>
    <row r="26">
      <c r="A26" s="14" t="s">
        <v>199</v>
      </c>
      <c r="C26" s="14" t="s">
        <v>200</v>
      </c>
      <c r="E26" s="14" t="s">
        <v>201</v>
      </c>
      <c r="G26" s="15" t="str">
        <f>IFERROR(__xludf.DUMMYFUNCTION("""COMPUTED_VALUE"""),"ANTH 150 PO-01")</f>
        <v>ANTH 150 PO-01</v>
      </c>
    </row>
    <row r="27">
      <c r="A27" s="14" t="s">
        <v>202</v>
      </c>
      <c r="C27" s="14" t="s">
        <v>203</v>
      </c>
      <c r="E27" s="14" t="s">
        <v>57</v>
      </c>
      <c r="G27" s="15" t="str">
        <f>IFERROR(__xludf.DUMMYFUNCTION("""COMPUTED_VALUE"""),"ANTH 158 PO-01")</f>
        <v>ANTH 158 PO-01</v>
      </c>
    </row>
    <row r="28">
      <c r="A28" s="14" t="s">
        <v>204</v>
      </c>
      <c r="C28" s="14" t="s">
        <v>205</v>
      </c>
      <c r="E28" s="14" t="s">
        <v>206</v>
      </c>
      <c r="G28" s="15" t="str">
        <f>IFERROR(__xludf.DUMMYFUNCTION("""COMPUTED_VALUE"""),"ANTH 185 PO-01")</f>
        <v>ANTH 185 PO-01</v>
      </c>
    </row>
    <row r="29">
      <c r="A29" s="14" t="s">
        <v>207</v>
      </c>
      <c r="C29" s="14" t="s">
        <v>208</v>
      </c>
      <c r="E29" s="14" t="s">
        <v>209</v>
      </c>
      <c r="G29" s="15" t="str">
        <f>IFERROR(__xludf.DUMMYFUNCTION("""COMPUTED_VALUE"""),"ANTH 189L PO-01")</f>
        <v>ANTH 189L PO-01</v>
      </c>
    </row>
    <row r="30">
      <c r="A30" s="14" t="s">
        <v>210</v>
      </c>
      <c r="C30" s="14" t="s">
        <v>211</v>
      </c>
      <c r="E30" s="14" t="s">
        <v>212</v>
      </c>
      <c r="G30" s="15" t="str">
        <f>IFERROR(__xludf.DUMMYFUNCTION("""COMPUTED_VALUE"""),"ANTH 191 PO-04")</f>
        <v>ANTH 191 PO-04</v>
      </c>
    </row>
    <row r="31">
      <c r="A31" s="14" t="s">
        <v>213</v>
      </c>
      <c r="C31" s="14" t="s">
        <v>211</v>
      </c>
      <c r="E31" s="14" t="s">
        <v>214</v>
      </c>
      <c r="G31" s="15" t="str">
        <f>IFERROR(__xludf.DUMMYFUNCTION("""COMPUTED_VALUE"""),"ANTH 191 SC-01")</f>
        <v>ANTH 191 SC-01</v>
      </c>
    </row>
    <row r="32">
      <c r="A32" s="14" t="s">
        <v>215</v>
      </c>
      <c r="C32" s="14" t="s">
        <v>216</v>
      </c>
      <c r="E32" s="14" t="s">
        <v>217</v>
      </c>
      <c r="G32" s="15" t="str">
        <f>IFERROR(__xludf.DUMMYFUNCTION("""COMPUTED_VALUE"""),"ANTH 192 PO-04")</f>
        <v>ANTH 192 PO-04</v>
      </c>
    </row>
    <row r="33">
      <c r="A33" s="14" t="s">
        <v>218</v>
      </c>
      <c r="C33" s="14" t="s">
        <v>219</v>
      </c>
      <c r="E33" s="14" t="s">
        <v>220</v>
      </c>
      <c r="G33" s="15" t="str">
        <f>IFERROR(__xludf.DUMMYFUNCTION("""COMPUTED_VALUE"""),"ARBC 002 CM-01")</f>
        <v>ARBC 002 CM-01</v>
      </c>
    </row>
    <row r="34">
      <c r="A34" s="14" t="s">
        <v>221</v>
      </c>
      <c r="C34" s="14" t="s">
        <v>219</v>
      </c>
      <c r="E34" s="14" t="s">
        <v>222</v>
      </c>
      <c r="G34" s="15" t="str">
        <f>IFERROR(__xludf.DUMMYFUNCTION("""COMPUTED_VALUE"""),"ARBC 002 CM-02")</f>
        <v>ARBC 002 CM-02</v>
      </c>
    </row>
    <row r="35">
      <c r="A35" s="14" t="s">
        <v>223</v>
      </c>
      <c r="C35" s="14" t="s">
        <v>224</v>
      </c>
      <c r="E35" s="14" t="s">
        <v>225</v>
      </c>
      <c r="G35" s="15" t="str">
        <f>IFERROR(__xludf.DUMMYFUNCTION("""COMPUTED_VALUE"""),"ARBC 012 CM-01")</f>
        <v>ARBC 012 CM-01</v>
      </c>
    </row>
    <row r="36">
      <c r="A36" s="14" t="s">
        <v>226</v>
      </c>
      <c r="C36" s="14" t="s">
        <v>227</v>
      </c>
      <c r="E36" s="14" t="s">
        <v>228</v>
      </c>
      <c r="G36" s="15" t="str">
        <f>IFERROR(__xludf.DUMMYFUNCTION("""COMPUTED_VALUE"""),"ARBC 014 CM-01")</f>
        <v>ARBC 014 CM-01</v>
      </c>
    </row>
    <row r="37">
      <c r="A37" s="14" t="s">
        <v>229</v>
      </c>
      <c r="C37" s="14" t="s">
        <v>230</v>
      </c>
      <c r="E37" s="14" t="s">
        <v>231</v>
      </c>
      <c r="G37" s="15" t="str">
        <f>IFERROR(__xludf.DUMMYFUNCTION("""COMPUTED_VALUE"""),"ARBC 016 CM-01")</f>
        <v>ARBC 016 CM-01</v>
      </c>
    </row>
    <row r="38">
      <c r="A38" s="14" t="s">
        <v>232</v>
      </c>
      <c r="C38" s="14" t="s">
        <v>233</v>
      </c>
      <c r="E38" s="14" t="s">
        <v>234</v>
      </c>
      <c r="G38" s="15" t="str">
        <f>IFERROR(__xludf.DUMMYFUNCTION("""COMPUTED_VALUE"""),"ARBC 044 CM-01")</f>
        <v>ARBC 044 CM-01</v>
      </c>
    </row>
    <row r="39">
      <c r="A39" s="14" t="s">
        <v>235</v>
      </c>
      <c r="C39" s="14" t="s">
        <v>236</v>
      </c>
      <c r="E39" s="14" t="s">
        <v>237</v>
      </c>
      <c r="G39" s="15" t="str">
        <f>IFERROR(__xludf.DUMMYFUNCTION("""COMPUTED_VALUE"""),"ARBC 148 CM-01")</f>
        <v>ARBC 148 CM-01</v>
      </c>
    </row>
    <row r="40">
      <c r="A40" s="14" t="s">
        <v>238</v>
      </c>
      <c r="C40" s="14" t="s">
        <v>239</v>
      </c>
      <c r="E40" s="14" t="s">
        <v>240</v>
      </c>
      <c r="G40" s="15" t="str">
        <f>IFERROR(__xludf.DUMMYFUNCTION("""COMPUTED_VALUE"""),"ARBT 148 CM-01")</f>
        <v>ARBT 148 CM-01</v>
      </c>
    </row>
    <row r="41">
      <c r="A41" s="14" t="s">
        <v>241</v>
      </c>
      <c r="C41" s="14" t="s">
        <v>242</v>
      </c>
      <c r="E41" s="14" t="s">
        <v>243</v>
      </c>
      <c r="G41" s="15" t="str">
        <f>IFERROR(__xludf.DUMMYFUNCTION("""COMPUTED_VALUE"""),"ARCN 125 SC-01")</f>
        <v>ARCN 125 SC-01</v>
      </c>
    </row>
    <row r="42">
      <c r="A42" s="14" t="s">
        <v>244</v>
      </c>
      <c r="C42" s="14" t="s">
        <v>245</v>
      </c>
      <c r="E42" s="14" t="s">
        <v>246</v>
      </c>
      <c r="G42" s="15" t="str">
        <f>IFERROR(__xludf.DUMMYFUNCTION("""COMPUTED_VALUE"""),"ARCN 191 SC-01")</f>
        <v>ARCN 191 SC-01</v>
      </c>
    </row>
    <row r="43">
      <c r="A43" s="14" t="s">
        <v>247</v>
      </c>
      <c r="C43" s="14" t="s">
        <v>248</v>
      </c>
      <c r="E43" s="14" t="s">
        <v>249</v>
      </c>
      <c r="G43" s="15" t="str">
        <f>IFERROR(__xludf.DUMMYFUNCTION("""COMPUTED_VALUE"""),"ARHI 001B PO-01")</f>
        <v>ARHI 001B PO-01</v>
      </c>
    </row>
    <row r="44">
      <c r="A44" s="14" t="s">
        <v>250</v>
      </c>
      <c r="C44" s="14" t="s">
        <v>251</v>
      </c>
      <c r="E44" s="14" t="s">
        <v>252</v>
      </c>
      <c r="G44" s="15" t="str">
        <f>IFERROR(__xludf.DUMMYFUNCTION("""COMPUTED_VALUE"""),"ARHI 120 PO-01")</f>
        <v>ARHI 120 PO-01</v>
      </c>
    </row>
    <row r="45">
      <c r="A45" s="14" t="s">
        <v>253</v>
      </c>
      <c r="C45" s="14" t="s">
        <v>254</v>
      </c>
      <c r="E45" s="14" t="s">
        <v>255</v>
      </c>
      <c r="G45" s="15" t="str">
        <f>IFERROR(__xludf.DUMMYFUNCTION("""COMPUTED_VALUE"""),"ARHI 131 PO-01")</f>
        <v>ARHI 131 PO-01</v>
      </c>
    </row>
    <row r="46">
      <c r="A46" s="14" t="s">
        <v>256</v>
      </c>
      <c r="C46" s="14" t="s">
        <v>257</v>
      </c>
      <c r="E46" s="14" t="s">
        <v>258</v>
      </c>
      <c r="G46" s="15" t="str">
        <f>IFERROR(__xludf.DUMMYFUNCTION("""COMPUTED_VALUE"""),"ARHI 140 PO-01")</f>
        <v>ARHI 140 PO-01</v>
      </c>
    </row>
    <row r="47">
      <c r="A47" s="14" t="s">
        <v>259</v>
      </c>
      <c r="C47" s="14" t="s">
        <v>260</v>
      </c>
      <c r="E47" s="14" t="s">
        <v>261</v>
      </c>
      <c r="G47" s="15" t="str">
        <f>IFERROR(__xludf.DUMMYFUNCTION("""COMPUTED_VALUE"""),"ARHI 153 SC-01")</f>
        <v>ARHI 153 SC-01</v>
      </c>
    </row>
    <row r="48">
      <c r="A48" s="14" t="s">
        <v>262</v>
      </c>
      <c r="C48" s="14" t="s">
        <v>263</v>
      </c>
      <c r="E48" s="14" t="s">
        <v>264</v>
      </c>
      <c r="G48" s="15" t="str">
        <f>IFERROR(__xludf.DUMMYFUNCTION("""COMPUTED_VALUE"""),"ARHI 162 SC-01")</f>
        <v>ARHI 162 SC-01</v>
      </c>
    </row>
    <row r="49">
      <c r="A49" s="14" t="s">
        <v>265</v>
      </c>
      <c r="C49" s="14" t="s">
        <v>266</v>
      </c>
      <c r="E49" s="14" t="s">
        <v>267</v>
      </c>
      <c r="G49" s="15" t="str">
        <f>IFERROR(__xludf.DUMMYFUNCTION("""COMPUTED_VALUE"""),"ARHI 177 PZ-01")</f>
        <v>ARHI 177 PZ-01</v>
      </c>
    </row>
    <row r="50">
      <c r="A50" s="14" t="s">
        <v>268</v>
      </c>
      <c r="C50" s="14" t="s">
        <v>269</v>
      </c>
      <c r="E50" s="14" t="s">
        <v>270</v>
      </c>
      <c r="G50" s="15" t="str">
        <f>IFERROR(__xludf.DUMMYFUNCTION("""COMPUTED_VALUE"""),"ARHI 180R SC-01")</f>
        <v>ARHI 180R SC-01</v>
      </c>
    </row>
    <row r="51">
      <c r="A51" s="14" t="s">
        <v>271</v>
      </c>
      <c r="C51" s="14" t="s">
        <v>272</v>
      </c>
      <c r="E51" s="14" t="s">
        <v>273</v>
      </c>
      <c r="G51" s="15" t="str">
        <f>IFERROR(__xludf.DUMMYFUNCTION("""COMPUTED_VALUE"""),"ARHI 184 SC-01")</f>
        <v>ARHI 184 SC-01</v>
      </c>
    </row>
    <row r="52">
      <c r="A52" s="14" t="s">
        <v>274</v>
      </c>
      <c r="C52" s="14" t="s">
        <v>275</v>
      </c>
      <c r="E52" s="14" t="s">
        <v>276</v>
      </c>
      <c r="G52" s="15" t="str">
        <f>IFERROR(__xludf.DUMMYFUNCTION("""COMPUTED_VALUE"""),"ARHI 185 SC-01")</f>
        <v>ARHI 185 SC-01</v>
      </c>
    </row>
    <row r="53">
      <c r="A53" s="14" t="s">
        <v>277</v>
      </c>
      <c r="C53" s="14" t="s">
        <v>278</v>
      </c>
      <c r="E53" s="14" t="s">
        <v>279</v>
      </c>
      <c r="G53" s="15" t="str">
        <f>IFERROR(__xludf.DUMMYFUNCTION("""COMPUTED_VALUE"""),"ARHI 186A PZ-01")</f>
        <v>ARHI 186A PZ-01</v>
      </c>
    </row>
    <row r="54">
      <c r="A54" s="14" t="s">
        <v>280</v>
      </c>
      <c r="C54" s="14" t="s">
        <v>281</v>
      </c>
      <c r="E54" s="14" t="s">
        <v>282</v>
      </c>
      <c r="G54" s="15" t="str">
        <f>IFERROR(__xludf.DUMMYFUNCTION("""COMPUTED_VALUE"""),"ARHI 186B PZ-01")</f>
        <v>ARHI 186B PZ-01</v>
      </c>
    </row>
    <row r="55">
      <c r="A55" s="14" t="s">
        <v>283</v>
      </c>
      <c r="C55" s="14" t="s">
        <v>284</v>
      </c>
      <c r="E55" s="14" t="s">
        <v>285</v>
      </c>
      <c r="G55" s="15" t="str">
        <f>IFERROR(__xludf.DUMMYFUNCTION("""COMPUTED_VALUE"""),"ARHI 186G PO-01")</f>
        <v>ARHI 186G PO-01</v>
      </c>
    </row>
    <row r="56">
      <c r="A56" s="14" t="s">
        <v>286</v>
      </c>
      <c r="C56" s="14" t="s">
        <v>287</v>
      </c>
      <c r="E56" s="14" t="s">
        <v>288</v>
      </c>
      <c r="G56" s="15" t="str">
        <f>IFERROR(__xludf.DUMMYFUNCTION("""COMPUTED_VALUE"""),"ARHI 186L PO-01")</f>
        <v>ARHI 186L PO-01</v>
      </c>
    </row>
    <row r="57">
      <c r="A57" s="14" t="s">
        <v>289</v>
      </c>
      <c r="C57" s="14" t="s">
        <v>290</v>
      </c>
      <c r="E57" s="14" t="s">
        <v>291</v>
      </c>
      <c r="G57" s="15" t="str">
        <f>IFERROR(__xludf.DUMMYFUNCTION("""COMPUTED_VALUE"""),"ARHI 186M SC-01")</f>
        <v>ARHI 186M SC-01</v>
      </c>
    </row>
    <row r="58">
      <c r="A58" s="14" t="s">
        <v>292</v>
      </c>
      <c r="C58" s="14" t="s">
        <v>293</v>
      </c>
      <c r="E58" s="14" t="s">
        <v>294</v>
      </c>
      <c r="G58" s="15" t="str">
        <f>IFERROR(__xludf.DUMMYFUNCTION("""COMPUTED_VALUE"""),"ARHI 191 PO-04")</f>
        <v>ARHI 191 PO-04</v>
      </c>
    </row>
    <row r="59">
      <c r="A59" s="14" t="s">
        <v>295</v>
      </c>
      <c r="C59" s="14" t="s">
        <v>293</v>
      </c>
      <c r="E59" s="14" t="s">
        <v>296</v>
      </c>
      <c r="G59" s="15" t="str">
        <f>IFERROR(__xludf.DUMMYFUNCTION("""COMPUTED_VALUE"""),"ARHI 191 SC-01")</f>
        <v>ARHI 191 SC-01</v>
      </c>
    </row>
    <row r="60">
      <c r="A60" s="14" t="s">
        <v>297</v>
      </c>
      <c r="C60" s="14" t="s">
        <v>298</v>
      </c>
      <c r="E60" s="14" t="s">
        <v>299</v>
      </c>
      <c r="G60" s="15" t="str">
        <f>IFERROR(__xludf.DUMMYFUNCTION("""COMPUTED_VALUE"""),"ART 005 PO-01")</f>
        <v>ART 005 PO-01</v>
      </c>
    </row>
    <row r="61">
      <c r="A61" s="14" t="s">
        <v>300</v>
      </c>
      <c r="C61" s="14" t="s">
        <v>301</v>
      </c>
      <c r="E61" s="14" t="s">
        <v>302</v>
      </c>
      <c r="G61" s="15" t="str">
        <f>IFERROR(__xludf.DUMMYFUNCTION("""COMPUTED_VALUE"""),"ART 010 PO-01")</f>
        <v>ART 010 PO-01</v>
      </c>
    </row>
    <row r="62">
      <c r="A62" s="14" t="s">
        <v>303</v>
      </c>
      <c r="C62" s="14" t="s">
        <v>304</v>
      </c>
      <c r="E62" s="14" t="s">
        <v>305</v>
      </c>
      <c r="G62" s="15" t="str">
        <f>IFERROR(__xludf.DUMMYFUNCTION("""COMPUTED_VALUE"""),"ART 021 PO-01")</f>
        <v>ART 021 PO-01</v>
      </c>
    </row>
    <row r="63">
      <c r="A63" s="14" t="s">
        <v>306</v>
      </c>
      <c r="C63" s="14" t="s">
        <v>304</v>
      </c>
      <c r="E63" s="14" t="s">
        <v>307</v>
      </c>
      <c r="G63" s="15" t="str">
        <f>IFERROR(__xludf.DUMMYFUNCTION("""COMPUTED_VALUE"""),"ART 021 PO-02")</f>
        <v>ART 021 PO-02</v>
      </c>
    </row>
    <row r="64">
      <c r="A64" s="14" t="s">
        <v>308</v>
      </c>
      <c r="C64" s="14" t="s">
        <v>309</v>
      </c>
      <c r="E64" s="14" t="s">
        <v>310</v>
      </c>
      <c r="G64" s="15" t="str">
        <f>IFERROR(__xludf.DUMMYFUNCTION("""COMPUTED_VALUE"""),"ART 025A PO-01")</f>
        <v>ART 025A PO-01</v>
      </c>
    </row>
    <row r="65">
      <c r="A65" s="14" t="s">
        <v>311</v>
      </c>
      <c r="C65" s="14" t="s">
        <v>312</v>
      </c>
      <c r="E65" s="14" t="s">
        <v>313</v>
      </c>
      <c r="G65" s="15" t="str">
        <f>IFERROR(__xludf.DUMMYFUNCTION("""COMPUTED_VALUE"""),"ART 028 PO-01")</f>
        <v>ART 028 PO-01</v>
      </c>
    </row>
    <row r="66">
      <c r="A66" s="14" t="s">
        <v>314</v>
      </c>
      <c r="C66" s="14" t="s">
        <v>312</v>
      </c>
      <c r="E66" s="14" t="s">
        <v>315</v>
      </c>
      <c r="G66" s="15" t="str">
        <f>IFERROR(__xludf.DUMMYFUNCTION("""COMPUTED_VALUE"""),"ART 028 PO-02")</f>
        <v>ART 028 PO-02</v>
      </c>
    </row>
    <row r="67">
      <c r="A67" s="14" t="s">
        <v>316</v>
      </c>
      <c r="C67" s="14" t="s">
        <v>317</v>
      </c>
      <c r="E67" s="14" t="s">
        <v>318</v>
      </c>
      <c r="G67" s="15" t="str">
        <f>IFERROR(__xludf.DUMMYFUNCTION("""COMPUTED_VALUE"""),"ART 030 PZ-01")</f>
        <v>ART 030 PZ-01</v>
      </c>
    </row>
    <row r="68">
      <c r="A68" s="14" t="s">
        <v>319</v>
      </c>
      <c r="C68" s="14" t="s">
        <v>317</v>
      </c>
      <c r="E68" s="14" t="s">
        <v>320</v>
      </c>
      <c r="G68" s="15" t="str">
        <f>IFERROR(__xludf.DUMMYFUNCTION("""COMPUTED_VALUE"""),"ART 030 PZ-02")</f>
        <v>ART 030 PZ-02</v>
      </c>
    </row>
    <row r="69">
      <c r="A69" s="14" t="s">
        <v>321</v>
      </c>
      <c r="C69" s="14" t="s">
        <v>322</v>
      </c>
      <c r="E69" s="14" t="s">
        <v>323</v>
      </c>
      <c r="G69" s="15" t="str">
        <f>IFERROR(__xludf.DUMMYFUNCTION("""COMPUTED_VALUE"""),"ART 105 SC-01")</f>
        <v>ART 105 SC-01</v>
      </c>
    </row>
    <row r="70">
      <c r="A70" s="14" t="s">
        <v>324</v>
      </c>
      <c r="C70" s="14" t="s">
        <v>322</v>
      </c>
      <c r="E70" s="14" t="s">
        <v>325</v>
      </c>
      <c r="G70" s="15" t="str">
        <f>IFERROR(__xludf.DUMMYFUNCTION("""COMPUTED_VALUE"""),"ART 105 SC-02")</f>
        <v>ART 105 SC-02</v>
      </c>
    </row>
    <row r="71">
      <c r="A71" s="14" t="s">
        <v>326</v>
      </c>
      <c r="C71" s="14" t="s">
        <v>327</v>
      </c>
      <c r="E71" s="14" t="s">
        <v>328</v>
      </c>
      <c r="G71" s="15" t="str">
        <f>IFERROR(__xludf.DUMMYFUNCTION("""COMPUTED_VALUE"""),"ART 111 PO-01")</f>
        <v>ART 111 PO-01</v>
      </c>
    </row>
    <row r="72">
      <c r="A72" s="14" t="s">
        <v>329</v>
      </c>
      <c r="C72" s="14" t="s">
        <v>330</v>
      </c>
      <c r="E72" s="14" t="s">
        <v>331</v>
      </c>
      <c r="G72" s="15" t="str">
        <f>IFERROR(__xludf.DUMMYFUNCTION("""COMPUTED_VALUE"""),"ART 116 SC-01")</f>
        <v>ART 116 SC-01</v>
      </c>
    </row>
    <row r="73">
      <c r="A73" s="14" t="s">
        <v>332</v>
      </c>
      <c r="C73" s="14" t="s">
        <v>333</v>
      </c>
      <c r="E73" s="14" t="s">
        <v>334</v>
      </c>
      <c r="G73" s="15" t="str">
        <f>IFERROR(__xludf.DUMMYFUNCTION("""COMPUTED_VALUE"""),"ART 121 SC-01")</f>
        <v>ART 121 SC-01</v>
      </c>
    </row>
    <row r="74">
      <c r="A74" s="14" t="s">
        <v>335</v>
      </c>
      <c r="C74" s="14" t="s">
        <v>333</v>
      </c>
      <c r="E74" s="14" t="s">
        <v>336</v>
      </c>
      <c r="G74" s="15" t="str">
        <f>IFERROR(__xludf.DUMMYFUNCTION("""COMPUTED_VALUE"""),"ART 121 SC-02")</f>
        <v>ART 121 SC-02</v>
      </c>
    </row>
    <row r="75">
      <c r="A75" s="14" t="s">
        <v>337</v>
      </c>
      <c r="C75" s="14" t="s">
        <v>338</v>
      </c>
      <c r="E75" s="14" t="s">
        <v>339</v>
      </c>
      <c r="G75" s="15" t="str">
        <f>IFERROR(__xludf.DUMMYFUNCTION("""COMPUTED_VALUE"""),"ART 139 PO-01")</f>
        <v>ART 139 PO-01</v>
      </c>
    </row>
    <row r="76">
      <c r="A76" s="14" t="s">
        <v>340</v>
      </c>
      <c r="C76" s="14" t="s">
        <v>341</v>
      </c>
      <c r="E76" s="14" t="s">
        <v>342</v>
      </c>
      <c r="G76" s="15" t="str">
        <f>IFERROR(__xludf.DUMMYFUNCTION("""COMPUTED_VALUE"""),"ART 141 SC-01")</f>
        <v>ART 141 SC-01</v>
      </c>
    </row>
    <row r="77">
      <c r="A77" s="14" t="s">
        <v>343</v>
      </c>
      <c r="C77" s="14" t="s">
        <v>341</v>
      </c>
      <c r="E77" s="14" t="s">
        <v>344</v>
      </c>
      <c r="G77" s="15" t="str">
        <f>IFERROR(__xludf.DUMMYFUNCTION("""COMPUTED_VALUE"""),"ART 141 SC-02")</f>
        <v>ART 141 SC-02</v>
      </c>
    </row>
    <row r="78">
      <c r="A78" s="14" t="s">
        <v>345</v>
      </c>
      <c r="C78" s="14" t="s">
        <v>346</v>
      </c>
      <c r="E78" s="14" t="s">
        <v>347</v>
      </c>
      <c r="G78" s="15" t="str">
        <f>IFERROR(__xludf.DUMMYFUNCTION("""COMPUTED_VALUE"""),"ART 142 SC-01")</f>
        <v>ART 142 SC-01</v>
      </c>
    </row>
    <row r="79">
      <c r="A79" s="14" t="s">
        <v>348</v>
      </c>
      <c r="C79" s="14" t="s">
        <v>349</v>
      </c>
      <c r="E79" s="14" t="s">
        <v>350</v>
      </c>
      <c r="G79" s="15" t="str">
        <f>IFERROR(__xludf.DUMMYFUNCTION("""COMPUTED_VALUE"""),"ART 143 SC-01")</f>
        <v>ART 143 SC-01</v>
      </c>
    </row>
    <row r="80">
      <c r="A80" s="14" t="s">
        <v>351</v>
      </c>
      <c r="C80" s="14" t="s">
        <v>352</v>
      </c>
      <c r="E80" s="14" t="s">
        <v>353</v>
      </c>
      <c r="G80" s="15" t="str">
        <f>IFERROR(__xludf.DUMMYFUNCTION("""COMPUTED_VALUE"""),"ART 147 SC-01")</f>
        <v>ART 147 SC-01</v>
      </c>
    </row>
    <row r="81">
      <c r="A81" s="14" t="s">
        <v>354</v>
      </c>
      <c r="C81" s="14" t="s">
        <v>355</v>
      </c>
      <c r="E81" s="14" t="s">
        <v>356</v>
      </c>
      <c r="G81" s="15" t="str">
        <f>IFERROR(__xludf.DUMMYFUNCTION("""COMPUTED_VALUE"""),"ART 151 PZ-01")</f>
        <v>ART 151 PZ-01</v>
      </c>
    </row>
    <row r="82">
      <c r="A82" s="14" t="s">
        <v>357</v>
      </c>
      <c r="C82" s="14" t="s">
        <v>355</v>
      </c>
      <c r="E82" s="14" t="s">
        <v>358</v>
      </c>
      <c r="G82" s="15" t="str">
        <f>IFERROR(__xludf.DUMMYFUNCTION("""COMPUTED_VALUE"""),"ART 151 PZ-02")</f>
        <v>ART 151 PZ-02</v>
      </c>
    </row>
    <row r="83">
      <c r="A83" s="14" t="s">
        <v>359</v>
      </c>
      <c r="C83" s="14" t="s">
        <v>360</v>
      </c>
      <c r="E83" s="14" t="s">
        <v>361</v>
      </c>
      <c r="G83" s="15" t="str">
        <f>IFERROR(__xludf.DUMMYFUNCTION("""COMPUTED_VALUE"""),"ART 179G HM-01")</f>
        <v>ART 179G HM-01</v>
      </c>
    </row>
    <row r="84">
      <c r="A84" s="14" t="s">
        <v>362</v>
      </c>
      <c r="C84" s="14" t="s">
        <v>363</v>
      </c>
      <c r="E84" s="14" t="s">
        <v>364</v>
      </c>
      <c r="G84" s="15" t="str">
        <f>IFERROR(__xludf.DUMMYFUNCTION("""COMPUTED_VALUE"""),"ART 181 SC-01")</f>
        <v>ART 181 SC-01</v>
      </c>
    </row>
    <row r="85">
      <c r="A85" s="14" t="s">
        <v>365</v>
      </c>
      <c r="C85" s="14" t="s">
        <v>366</v>
      </c>
      <c r="E85" s="14" t="s">
        <v>367</v>
      </c>
      <c r="G85" s="15" t="str">
        <f>IFERROR(__xludf.DUMMYFUNCTION("""COMPUTED_VALUE"""),"ART 181M SC-01")</f>
        <v>ART 181M SC-01</v>
      </c>
    </row>
    <row r="86">
      <c r="A86" s="14" t="s">
        <v>368</v>
      </c>
      <c r="C86" s="14" t="s">
        <v>369</v>
      </c>
      <c r="E86" s="14" t="s">
        <v>370</v>
      </c>
      <c r="G86" s="15" t="str">
        <f>IFERROR(__xludf.DUMMYFUNCTION("""COMPUTED_VALUE"""),"ART 189A PO-01")</f>
        <v>ART 189A PO-01</v>
      </c>
    </row>
    <row r="87">
      <c r="A87" s="14" t="s">
        <v>371</v>
      </c>
      <c r="C87" s="14" t="s">
        <v>372</v>
      </c>
      <c r="E87" s="14" t="s">
        <v>373</v>
      </c>
      <c r="G87" s="15" t="str">
        <f>IFERROR(__xludf.DUMMYFUNCTION("""COMPUTED_VALUE"""),"ART 190 PO-01")</f>
        <v>ART 190 PO-01</v>
      </c>
    </row>
    <row r="88">
      <c r="A88" s="14" t="s">
        <v>374</v>
      </c>
      <c r="C88" s="14" t="s">
        <v>375</v>
      </c>
      <c r="E88" s="14" t="s">
        <v>376</v>
      </c>
      <c r="G88" s="15" t="str">
        <f>IFERROR(__xludf.DUMMYFUNCTION("""COMPUTED_VALUE"""),"ART 193 SC-01")</f>
        <v>ART 193 SC-01</v>
      </c>
    </row>
    <row r="89">
      <c r="A89" s="14" t="s">
        <v>377</v>
      </c>
      <c r="C89" s="14" t="s">
        <v>378</v>
      </c>
      <c r="E89" s="14" t="s">
        <v>379</v>
      </c>
      <c r="G89" s="15" t="str">
        <f>IFERROR(__xludf.DUMMYFUNCTION("""COMPUTED_VALUE"""),"ART 196 PZ-01")</f>
        <v>ART 196 PZ-01</v>
      </c>
    </row>
    <row r="90">
      <c r="A90" s="14" t="s">
        <v>380</v>
      </c>
      <c r="C90" s="14" t="s">
        <v>381</v>
      </c>
      <c r="E90" s="14" t="s">
        <v>382</v>
      </c>
      <c r="G90" s="15" t="str">
        <f>IFERROR(__xludf.DUMMYFUNCTION("""COMPUTED_VALUE"""),"ART 199 PZ-01")</f>
        <v>ART 199 PZ-01</v>
      </c>
    </row>
    <row r="91">
      <c r="A91" s="14" t="s">
        <v>383</v>
      </c>
      <c r="C91" s="14" t="s">
        <v>384</v>
      </c>
      <c r="E91" s="14" t="s">
        <v>385</v>
      </c>
      <c r="G91" s="15" t="str">
        <f>IFERROR(__xludf.DUMMYFUNCTION("""COMPUTED_VALUE"""),"ASAM 077B PZ-01")</f>
        <v>ASAM 077B PZ-01</v>
      </c>
    </row>
    <row r="92">
      <c r="A92" s="14" t="s">
        <v>386</v>
      </c>
      <c r="C92" s="14" t="s">
        <v>387</v>
      </c>
      <c r="E92" s="14" t="s">
        <v>388</v>
      </c>
      <c r="G92" s="15" t="str">
        <f>IFERROR(__xludf.DUMMYFUNCTION("""COMPUTED_VALUE"""),"ASAM 090 PZ-01")</f>
        <v>ASAM 090 PZ-01</v>
      </c>
    </row>
    <row r="93">
      <c r="A93" s="14" t="s">
        <v>389</v>
      </c>
      <c r="C93" s="14" t="s">
        <v>390</v>
      </c>
      <c r="E93" s="14" t="s">
        <v>391</v>
      </c>
      <c r="G93" s="15" t="str">
        <f>IFERROR(__xludf.DUMMYFUNCTION("""COMPUTED_VALUE"""),"ASAM 105B PZ-01")</f>
        <v>ASAM 105B PZ-01</v>
      </c>
    </row>
    <row r="94">
      <c r="A94" s="14" t="s">
        <v>392</v>
      </c>
      <c r="C94" s="14" t="s">
        <v>393</v>
      </c>
      <c r="E94" s="14" t="s">
        <v>394</v>
      </c>
      <c r="G94" s="15" t="str">
        <f>IFERROR(__xludf.DUMMYFUNCTION("""COMPUTED_VALUE"""),"ASAM 115 PZ-01")</f>
        <v>ASAM 115 PZ-01</v>
      </c>
    </row>
    <row r="95">
      <c r="A95" s="14" t="s">
        <v>395</v>
      </c>
      <c r="C95" s="14" t="s">
        <v>396</v>
      </c>
      <c r="E95" s="14" t="s">
        <v>397</v>
      </c>
      <c r="G95" s="15" t="str">
        <f>IFERROR(__xludf.DUMMYFUNCTION("""COMPUTED_VALUE"""),"ASAM 125 AA-01")</f>
        <v>ASAM 125 AA-01</v>
      </c>
    </row>
    <row r="96">
      <c r="A96" s="14" t="s">
        <v>398</v>
      </c>
      <c r="C96" s="14" t="s">
        <v>399</v>
      </c>
      <c r="G96" s="15" t="str">
        <f>IFERROR(__xludf.DUMMYFUNCTION("""COMPUTED_VALUE"""),"ASAM 160 AA-01")</f>
        <v>ASAM 160 AA-01</v>
      </c>
    </row>
    <row r="97">
      <c r="A97" s="14" t="s">
        <v>400</v>
      </c>
      <c r="C97" s="14" t="s">
        <v>401</v>
      </c>
      <c r="G97" s="15" t="str">
        <f>IFERROR(__xludf.DUMMYFUNCTION("""COMPUTED_VALUE"""),"ASAM 179G AA-01")</f>
        <v>ASAM 179G AA-01</v>
      </c>
    </row>
    <row r="98">
      <c r="A98" s="14" t="s">
        <v>402</v>
      </c>
      <c r="C98" s="14" t="s">
        <v>403</v>
      </c>
      <c r="G98" s="15" t="str">
        <f>IFERROR(__xludf.DUMMYFUNCTION("""COMPUTED_VALUE"""),"ASAM 189C PO-01")</f>
        <v>ASAM 189C PO-01</v>
      </c>
    </row>
    <row r="99">
      <c r="A99" s="14" t="s">
        <v>404</v>
      </c>
      <c r="C99" s="14" t="s">
        <v>405</v>
      </c>
      <c r="G99" s="15" t="str">
        <f>IFERROR(__xludf.DUMMYFUNCTION("""COMPUTED_VALUE"""),"ASAM 191 PO-04")</f>
        <v>ASAM 191 PO-04</v>
      </c>
    </row>
    <row r="100">
      <c r="A100" s="14" t="s">
        <v>406</v>
      </c>
      <c r="C100" s="14" t="s">
        <v>405</v>
      </c>
      <c r="G100" s="15" t="str">
        <f>IFERROR(__xludf.DUMMYFUNCTION("""COMPUTED_VALUE"""),"ASAM 191 SC-01")</f>
        <v>ASAM 191 SC-01</v>
      </c>
    </row>
    <row r="101">
      <c r="A101" s="14" t="s">
        <v>407</v>
      </c>
      <c r="C101" s="14" t="s">
        <v>408</v>
      </c>
      <c r="G101" s="15" t="str">
        <f>IFERROR(__xludf.DUMMYFUNCTION("""COMPUTED_VALUE"""),"ASIA 191 PO-04")</f>
        <v>ASIA 191 PO-04</v>
      </c>
    </row>
    <row r="102">
      <c r="A102" s="14" t="s">
        <v>409</v>
      </c>
      <c r="C102" s="14" t="s">
        <v>408</v>
      </c>
      <c r="G102" s="15" t="str">
        <f>IFERROR(__xludf.DUMMYFUNCTION("""COMPUTED_VALUE"""),"ASIA 191 SC-01")</f>
        <v>ASIA 191 SC-01</v>
      </c>
    </row>
    <row r="103">
      <c r="A103" s="14" t="s">
        <v>410</v>
      </c>
      <c r="C103" s="14" t="s">
        <v>411</v>
      </c>
      <c r="G103" s="15" t="str">
        <f>IFERROR(__xludf.DUMMYFUNCTION("""COMPUTED_VALUE"""),"ASIA 192 PO-04")</f>
        <v>ASIA 192 PO-04</v>
      </c>
    </row>
    <row r="104">
      <c r="A104" s="14" t="s">
        <v>412</v>
      </c>
      <c r="C104" s="14" t="s">
        <v>413</v>
      </c>
      <c r="G104" s="15" t="str">
        <f>IFERROR(__xludf.DUMMYFUNCTION("""COMPUTED_VALUE"""),"ASTR 001 PO-01")</f>
        <v>ASTR 001 PO-01</v>
      </c>
    </row>
    <row r="105">
      <c r="A105" s="14" t="s">
        <v>414</v>
      </c>
      <c r="C105" s="14" t="s">
        <v>415</v>
      </c>
      <c r="G105" s="15" t="str">
        <f>IFERROR(__xludf.DUMMYFUNCTION("""COMPUTED_VALUE"""),"ASTR 001L PO-01")</f>
        <v>ASTR 001L PO-01</v>
      </c>
    </row>
    <row r="106">
      <c r="A106" s="14" t="s">
        <v>416</v>
      </c>
      <c r="C106" s="14" t="s">
        <v>417</v>
      </c>
      <c r="G106" s="15" t="str">
        <f>IFERROR(__xludf.DUMMYFUNCTION("""COMPUTED_VALUE"""),"ASTR 051 PO-01")</f>
        <v>ASTR 051 PO-01</v>
      </c>
    </row>
    <row r="107">
      <c r="A107" s="14" t="s">
        <v>418</v>
      </c>
      <c r="C107" s="14" t="s">
        <v>419</v>
      </c>
      <c r="G107" s="15" t="str">
        <f>IFERROR(__xludf.DUMMYFUNCTION("""COMPUTED_VALUE"""),"ASTR 051L PO-01")</f>
        <v>ASTR 051L PO-01</v>
      </c>
    </row>
    <row r="108">
      <c r="A108" s="14" t="s">
        <v>420</v>
      </c>
      <c r="C108" s="14" t="s">
        <v>421</v>
      </c>
      <c r="G108" s="15" t="str">
        <f>IFERROR(__xludf.DUMMYFUNCTION("""COMPUTED_VALUE"""),"ASTR 062 HM-01")</f>
        <v>ASTR 062 HM-01</v>
      </c>
    </row>
    <row r="109">
      <c r="A109" s="14" t="s">
        <v>422</v>
      </c>
      <c r="C109" s="14" t="s">
        <v>423</v>
      </c>
      <c r="G109" s="15" t="str">
        <f>IFERROR(__xludf.DUMMYFUNCTION("""COMPUTED_VALUE"""),"ASTR 123 PO-01")</f>
        <v>ASTR 123 PO-01</v>
      </c>
    </row>
    <row r="110">
      <c r="A110" s="14" t="s">
        <v>424</v>
      </c>
      <c r="C110" s="14" t="s">
        <v>425</v>
      </c>
      <c r="G110" s="15" t="str">
        <f>IFERROR(__xludf.DUMMYFUNCTION("""COMPUTED_VALUE"""),"ASTR 124 HM-01")</f>
        <v>ASTR 124 HM-01</v>
      </c>
    </row>
    <row r="111">
      <c r="A111" s="14" t="s">
        <v>426</v>
      </c>
      <c r="C111" s="14" t="s">
        <v>427</v>
      </c>
      <c r="G111" s="15" t="str">
        <f>IFERROR(__xludf.DUMMYFUNCTION("""COMPUTED_VALUE"""),"BIOL 001A PO-01")</f>
        <v>BIOL 001A PO-01</v>
      </c>
    </row>
    <row r="112">
      <c r="A112" s="14" t="s">
        <v>428</v>
      </c>
      <c r="C112" s="14" t="s">
        <v>429</v>
      </c>
      <c r="G112" s="15" t="str">
        <f>IFERROR(__xludf.DUMMYFUNCTION("""COMPUTED_VALUE"""),"BIOL 001D PO-01")</f>
        <v>BIOL 001D PO-01</v>
      </c>
    </row>
    <row r="113">
      <c r="A113" s="14" t="s">
        <v>430</v>
      </c>
      <c r="C113" s="14" t="s">
        <v>25</v>
      </c>
      <c r="G113" s="15" t="str">
        <f>IFERROR(__xludf.DUMMYFUNCTION("""COMPUTED_VALUE"""),"BIOL 023 HM-01")</f>
        <v>BIOL 023 HM-01</v>
      </c>
    </row>
    <row r="114">
      <c r="A114" s="14" t="s">
        <v>431</v>
      </c>
      <c r="C114" s="14" t="s">
        <v>25</v>
      </c>
      <c r="G114" s="15" t="str">
        <f>IFERROR(__xludf.DUMMYFUNCTION("""COMPUTED_VALUE"""),"BIOL 023 HM-02")</f>
        <v>BIOL 023 HM-02</v>
      </c>
    </row>
    <row r="115">
      <c r="A115" s="14" t="s">
        <v>432</v>
      </c>
      <c r="C115" s="14" t="s">
        <v>25</v>
      </c>
      <c r="G115" s="15" t="str">
        <f>IFERROR(__xludf.DUMMYFUNCTION("""COMPUTED_VALUE"""),"BIOL 023 HM-03")</f>
        <v>BIOL 023 HM-03</v>
      </c>
    </row>
    <row r="116">
      <c r="A116" s="14" t="s">
        <v>433</v>
      </c>
      <c r="C116" s="14" t="s">
        <v>25</v>
      </c>
      <c r="G116" s="15" t="str">
        <f>IFERROR(__xludf.DUMMYFUNCTION("""COMPUTED_VALUE"""),"BIOL 023 HM-04")</f>
        <v>BIOL 023 HM-04</v>
      </c>
    </row>
    <row r="117">
      <c r="A117" s="14" t="s">
        <v>434</v>
      </c>
      <c r="C117" s="14" t="s">
        <v>25</v>
      </c>
      <c r="G117" s="15" t="str">
        <f>IFERROR(__xludf.DUMMYFUNCTION("""COMPUTED_VALUE"""),"BIOL 023 HM-05")</f>
        <v>BIOL 023 HM-05</v>
      </c>
    </row>
    <row r="118">
      <c r="A118" s="14" t="s">
        <v>435</v>
      </c>
      <c r="C118" s="14" t="s">
        <v>25</v>
      </c>
      <c r="G118" s="15" t="str">
        <f>IFERROR(__xludf.DUMMYFUNCTION("""COMPUTED_VALUE"""),"BIOL 023 HM-06")</f>
        <v>BIOL 023 HM-06</v>
      </c>
    </row>
    <row r="119">
      <c r="A119" s="14" t="s">
        <v>436</v>
      </c>
      <c r="C119" s="14" t="s">
        <v>437</v>
      </c>
      <c r="G119" s="15" t="str">
        <f>IFERROR(__xludf.DUMMYFUNCTION("""COMPUTED_VALUE"""),"BIOL 039L KS-01")</f>
        <v>BIOL 039L KS-01</v>
      </c>
    </row>
    <row r="120">
      <c r="A120" s="14" t="s">
        <v>438</v>
      </c>
      <c r="C120" s="14" t="s">
        <v>439</v>
      </c>
      <c r="G120" s="15" t="str">
        <f>IFERROR(__xludf.DUMMYFUNCTION("""COMPUTED_VALUE"""),"BIOL 041C PO-02")</f>
        <v>BIOL 041C PO-02</v>
      </c>
    </row>
    <row r="121">
      <c r="A121" s="14" t="s">
        <v>440</v>
      </c>
      <c r="C121" s="14" t="s">
        <v>439</v>
      </c>
      <c r="G121" s="15" t="str">
        <f>IFERROR(__xludf.DUMMYFUNCTION("""COMPUTED_VALUE"""),"BIOL 041C PO-03")</f>
        <v>BIOL 041C PO-03</v>
      </c>
    </row>
    <row r="122">
      <c r="A122" s="14" t="s">
        <v>441</v>
      </c>
      <c r="C122" s="14" t="s">
        <v>439</v>
      </c>
      <c r="G122" s="15" t="str">
        <f>IFERROR(__xludf.DUMMYFUNCTION("""COMPUTED_VALUE"""),"BIOL 041C PO-04")</f>
        <v>BIOL 041C PO-04</v>
      </c>
    </row>
    <row r="123">
      <c r="A123" s="14" t="s">
        <v>442</v>
      </c>
      <c r="C123" s="14" t="s">
        <v>443</v>
      </c>
      <c r="G123" s="15" t="str">
        <f>IFERROR(__xludf.DUMMYFUNCTION("""COMPUTED_VALUE"""),"BIOL 041E PO-01")</f>
        <v>BIOL 041E PO-01</v>
      </c>
    </row>
    <row r="124">
      <c r="A124" s="14" t="s">
        <v>444</v>
      </c>
      <c r="C124" s="14" t="s">
        <v>443</v>
      </c>
      <c r="G124" s="15" t="str">
        <f>IFERROR(__xludf.DUMMYFUNCTION("""COMPUTED_VALUE"""),"BIOL 041E PO-02")</f>
        <v>BIOL 041E PO-02</v>
      </c>
    </row>
    <row r="125">
      <c r="A125" s="14" t="s">
        <v>445</v>
      </c>
      <c r="C125" s="14" t="s">
        <v>446</v>
      </c>
      <c r="G125" s="15" t="str">
        <f>IFERROR(__xludf.DUMMYFUNCTION("""COMPUTED_VALUE"""),"BIOL 042L KS-01")</f>
        <v>BIOL 042L KS-01</v>
      </c>
    </row>
    <row r="126">
      <c r="A126" s="14" t="s">
        <v>447</v>
      </c>
      <c r="C126" s="14" t="s">
        <v>446</v>
      </c>
      <c r="G126" s="15" t="str">
        <f>IFERROR(__xludf.DUMMYFUNCTION("""COMPUTED_VALUE"""),"BIOL 042L KS-02")</f>
        <v>BIOL 042L KS-02</v>
      </c>
    </row>
    <row r="127">
      <c r="A127" s="14" t="s">
        <v>448</v>
      </c>
      <c r="C127" s="14" t="s">
        <v>449</v>
      </c>
      <c r="G127" s="15" t="str">
        <f>IFERROR(__xludf.DUMMYFUNCTION("""COMPUTED_VALUE"""),"BIOL 044L KS-01")</f>
        <v>BIOL 044L KS-01</v>
      </c>
    </row>
    <row r="128">
      <c r="A128" s="14" t="s">
        <v>450</v>
      </c>
      <c r="C128" s="14" t="s">
        <v>449</v>
      </c>
      <c r="G128" s="15" t="str">
        <f>IFERROR(__xludf.DUMMYFUNCTION("""COMPUTED_VALUE"""),"BIOL 044L KS-02")</f>
        <v>BIOL 044L KS-02</v>
      </c>
    </row>
    <row r="129">
      <c r="A129" s="14" t="s">
        <v>451</v>
      </c>
      <c r="C129" s="14" t="s">
        <v>449</v>
      </c>
      <c r="G129" s="15" t="str">
        <f>IFERROR(__xludf.DUMMYFUNCTION("""COMPUTED_VALUE"""),"BIOL 044L KS-03")</f>
        <v>BIOL 044L KS-03</v>
      </c>
    </row>
    <row r="130">
      <c r="A130" s="14" t="s">
        <v>452</v>
      </c>
      <c r="C130" s="14" t="s">
        <v>449</v>
      </c>
      <c r="G130" s="15" t="str">
        <f>IFERROR(__xludf.DUMMYFUNCTION("""COMPUTED_VALUE"""),"BIOL 044L KS-04")</f>
        <v>BIOL 044L KS-04</v>
      </c>
    </row>
    <row r="131">
      <c r="A131" s="14" t="s">
        <v>453</v>
      </c>
      <c r="C131" s="14" t="s">
        <v>449</v>
      </c>
      <c r="G131" s="15" t="str">
        <f>IFERROR(__xludf.DUMMYFUNCTION("""COMPUTED_VALUE"""),"BIOL 044L KS-05")</f>
        <v>BIOL 044L KS-05</v>
      </c>
    </row>
    <row r="132">
      <c r="A132" s="14" t="s">
        <v>454</v>
      </c>
      <c r="C132" s="14" t="s">
        <v>455</v>
      </c>
      <c r="G132" s="15" t="str">
        <f>IFERROR(__xludf.DUMMYFUNCTION("""COMPUTED_VALUE"""),"BIOL 044LX KS-01")</f>
        <v>BIOL 044LX KS-01</v>
      </c>
    </row>
    <row r="133">
      <c r="A133" s="14" t="s">
        <v>456</v>
      </c>
      <c r="C133" s="14" t="s">
        <v>455</v>
      </c>
      <c r="G133" s="15" t="str">
        <f>IFERROR(__xludf.DUMMYFUNCTION("""COMPUTED_VALUE"""),"BIOL 044LX KS-02")</f>
        <v>BIOL 044LX KS-02</v>
      </c>
    </row>
    <row r="134">
      <c r="A134" s="14" t="s">
        <v>457</v>
      </c>
      <c r="C134" s="14" t="s">
        <v>455</v>
      </c>
      <c r="G134" s="15" t="str">
        <f>IFERROR(__xludf.DUMMYFUNCTION("""COMPUTED_VALUE"""),"BIOL 044LX KS-03")</f>
        <v>BIOL 044LX KS-03</v>
      </c>
    </row>
    <row r="135">
      <c r="A135" s="14" t="s">
        <v>458</v>
      </c>
      <c r="C135" s="14" t="s">
        <v>455</v>
      </c>
      <c r="G135" s="15" t="str">
        <f>IFERROR(__xludf.DUMMYFUNCTION("""COMPUTED_VALUE"""),"BIOL 044LX KS-04")</f>
        <v>BIOL 044LX KS-04</v>
      </c>
    </row>
    <row r="136">
      <c r="A136" s="14" t="s">
        <v>459</v>
      </c>
      <c r="C136" s="14" t="s">
        <v>455</v>
      </c>
      <c r="G136" s="15" t="str">
        <f>IFERROR(__xludf.DUMMYFUNCTION("""COMPUTED_VALUE"""),"BIOL 044LX KS-05")</f>
        <v>BIOL 044LX KS-05</v>
      </c>
    </row>
    <row r="137">
      <c r="A137" s="14" t="s">
        <v>460</v>
      </c>
      <c r="C137" s="14" t="s">
        <v>455</v>
      </c>
      <c r="G137" s="15" t="str">
        <f>IFERROR(__xludf.DUMMYFUNCTION("""COMPUTED_VALUE"""),"BIOL 044LX KS-06")</f>
        <v>BIOL 044LX KS-06</v>
      </c>
    </row>
    <row r="138">
      <c r="A138" s="14" t="s">
        <v>461</v>
      </c>
      <c r="C138" s="14" t="s">
        <v>455</v>
      </c>
      <c r="G138" s="15" t="str">
        <f>IFERROR(__xludf.DUMMYFUNCTION("""COMPUTED_VALUE"""),"BIOL 044LX KS-07")</f>
        <v>BIOL 044LX KS-07</v>
      </c>
    </row>
    <row r="139">
      <c r="A139" s="14" t="s">
        <v>462</v>
      </c>
      <c r="C139" s="14" t="s">
        <v>455</v>
      </c>
      <c r="G139" s="15" t="str">
        <f>IFERROR(__xludf.DUMMYFUNCTION("""COMPUTED_VALUE"""),"BIOL 044LX KS-08")</f>
        <v>BIOL 044LX KS-08</v>
      </c>
    </row>
    <row r="140">
      <c r="A140" s="14" t="s">
        <v>463</v>
      </c>
      <c r="C140" s="14" t="s">
        <v>455</v>
      </c>
      <c r="G140" s="15" t="str">
        <f>IFERROR(__xludf.DUMMYFUNCTION("""COMPUTED_VALUE"""),"BIOL 044LX KS-09")</f>
        <v>BIOL 044LX KS-09</v>
      </c>
    </row>
    <row r="141">
      <c r="A141" s="14" t="s">
        <v>464</v>
      </c>
      <c r="C141" s="14" t="s">
        <v>455</v>
      </c>
      <c r="G141" s="15" t="str">
        <f>IFERROR(__xludf.DUMMYFUNCTION("""COMPUTED_VALUE"""),"BIOL 044LX KS-10")</f>
        <v>BIOL 044LX KS-10</v>
      </c>
    </row>
    <row r="142">
      <c r="A142" s="14" t="s">
        <v>465</v>
      </c>
      <c r="C142" s="14" t="s">
        <v>60</v>
      </c>
      <c r="G142" s="15" t="str">
        <f>IFERROR(__xludf.DUMMYFUNCTION("""COMPUTED_VALUE"""),"BIOL 052 HM-01")</f>
        <v>BIOL 052 HM-01</v>
      </c>
    </row>
    <row r="143">
      <c r="A143" s="14" t="s">
        <v>466</v>
      </c>
      <c r="C143" s="14" t="s">
        <v>467</v>
      </c>
      <c r="G143" s="15" t="str">
        <f>IFERROR(__xludf.DUMMYFUNCTION("""COMPUTED_VALUE"""),"BIOL 052R HM-01")</f>
        <v>BIOL 052R HM-01</v>
      </c>
    </row>
    <row r="144">
      <c r="A144" s="14" t="s">
        <v>468</v>
      </c>
      <c r="C144" s="14" t="s">
        <v>467</v>
      </c>
      <c r="G144" s="15" t="str">
        <f>IFERROR(__xludf.DUMMYFUNCTION("""COMPUTED_VALUE"""),"BIOL 052R HM-02")</f>
        <v>BIOL 052R HM-02</v>
      </c>
    </row>
    <row r="145">
      <c r="A145" s="14" t="s">
        <v>469</v>
      </c>
      <c r="C145" s="14" t="s">
        <v>467</v>
      </c>
      <c r="G145" s="15" t="str">
        <f>IFERROR(__xludf.DUMMYFUNCTION("""COMPUTED_VALUE"""),"BIOL 052R HM-03")</f>
        <v>BIOL 052R HM-03</v>
      </c>
    </row>
    <row r="146">
      <c r="A146" s="14" t="s">
        <v>470</v>
      </c>
      <c r="C146" s="14" t="s">
        <v>467</v>
      </c>
      <c r="G146" s="15" t="str">
        <f>IFERROR(__xludf.DUMMYFUNCTION("""COMPUTED_VALUE"""),"BIOL 052R HM-04")</f>
        <v>BIOL 052R HM-04</v>
      </c>
    </row>
    <row r="147">
      <c r="A147" s="14" t="s">
        <v>471</v>
      </c>
      <c r="C147" s="14" t="s">
        <v>467</v>
      </c>
      <c r="G147" s="15" t="str">
        <f>IFERROR(__xludf.DUMMYFUNCTION("""COMPUTED_VALUE"""),"BIOL 052R HM-05")</f>
        <v>BIOL 052R HM-05</v>
      </c>
    </row>
    <row r="148">
      <c r="A148" s="14" t="s">
        <v>472</v>
      </c>
      <c r="C148" s="14" t="s">
        <v>467</v>
      </c>
      <c r="G148" s="15" t="str">
        <f>IFERROR(__xludf.DUMMYFUNCTION("""COMPUTED_VALUE"""),"BIOL 052R HM-06")</f>
        <v>BIOL 052R HM-06</v>
      </c>
    </row>
    <row r="149">
      <c r="A149" s="14" t="s">
        <v>473</v>
      </c>
      <c r="C149" s="14" t="s">
        <v>467</v>
      </c>
      <c r="G149" s="15" t="str">
        <f>IFERROR(__xludf.DUMMYFUNCTION("""COMPUTED_VALUE"""),"BIOL 052R HM-07")</f>
        <v>BIOL 052R HM-07</v>
      </c>
    </row>
    <row r="150">
      <c r="A150" s="14" t="s">
        <v>474</v>
      </c>
      <c r="C150" s="14" t="s">
        <v>467</v>
      </c>
      <c r="G150" s="15" t="str">
        <f>IFERROR(__xludf.DUMMYFUNCTION("""COMPUTED_VALUE"""),"BIOL 052R HM-08")</f>
        <v>BIOL 052R HM-08</v>
      </c>
    </row>
    <row r="151">
      <c r="A151" s="14" t="s">
        <v>475</v>
      </c>
      <c r="C151" s="14" t="s">
        <v>476</v>
      </c>
      <c r="G151" s="15" t="str">
        <f>IFERROR(__xludf.DUMMYFUNCTION("""COMPUTED_VALUE"""),"BIOL 054 HM-01")</f>
        <v>BIOL 054 HM-01</v>
      </c>
    </row>
    <row r="152">
      <c r="A152" s="14" t="s">
        <v>477</v>
      </c>
      <c r="C152" s="14" t="s">
        <v>476</v>
      </c>
      <c r="G152" s="15" t="str">
        <f>IFERROR(__xludf.DUMMYFUNCTION("""COMPUTED_VALUE"""),"BIOL 054 HM-02")</f>
        <v>BIOL 054 HM-02</v>
      </c>
    </row>
    <row r="153">
      <c r="A153" s="14" t="s">
        <v>478</v>
      </c>
      <c r="C153" s="14" t="s">
        <v>479</v>
      </c>
      <c r="G153" s="15" t="str">
        <f>IFERROR(__xludf.DUMMYFUNCTION("""COMPUTED_VALUE"""),"BIOL 063L KS-01")</f>
        <v>BIOL 063L KS-01</v>
      </c>
    </row>
    <row r="154">
      <c r="A154" s="14" t="s">
        <v>480</v>
      </c>
      <c r="C154" s="14" t="s">
        <v>481</v>
      </c>
      <c r="G154" s="15" t="str">
        <f>IFERROR(__xludf.DUMMYFUNCTION("""COMPUTED_VALUE"""),"BIOL 099 KS-01")</f>
        <v>BIOL 099 KS-01</v>
      </c>
    </row>
    <row r="155">
      <c r="A155" s="14" t="s">
        <v>482</v>
      </c>
      <c r="C155" s="14" t="s">
        <v>483</v>
      </c>
      <c r="G155" s="15" t="str">
        <f>IFERROR(__xludf.DUMMYFUNCTION("""COMPUTED_VALUE"""),"BIOL 101 HM-01")</f>
        <v>BIOL 101 HM-01</v>
      </c>
    </row>
    <row r="156">
      <c r="A156" s="14" t="s">
        <v>484</v>
      </c>
      <c r="C156" s="14" t="s">
        <v>485</v>
      </c>
      <c r="G156" s="15" t="str">
        <f>IFERROR(__xludf.DUMMYFUNCTION("""COMPUTED_VALUE"""),"BIOL 104 PO-01")</f>
        <v>BIOL 104 PO-01</v>
      </c>
    </row>
    <row r="157">
      <c r="A157" s="14" t="s">
        <v>486</v>
      </c>
      <c r="C157" s="14" t="s">
        <v>487</v>
      </c>
      <c r="G157" s="15" t="str">
        <f>IFERROR(__xludf.DUMMYFUNCTION("""COMPUTED_VALUE"""),"BIOL 108 HM-01")</f>
        <v>BIOL 108 HM-01</v>
      </c>
    </row>
    <row r="158">
      <c r="A158" s="14" t="s">
        <v>488</v>
      </c>
      <c r="C158" s="14" t="s">
        <v>489</v>
      </c>
      <c r="G158" s="15" t="str">
        <f>IFERROR(__xludf.DUMMYFUNCTION("""COMPUTED_VALUE"""),"BIOL 129 KS-01")</f>
        <v>BIOL 129 KS-01</v>
      </c>
    </row>
    <row r="159">
      <c r="A159" s="14" t="s">
        <v>490</v>
      </c>
      <c r="C159" s="14" t="s">
        <v>491</v>
      </c>
      <c r="G159" s="15" t="str">
        <f>IFERROR(__xludf.DUMMYFUNCTION("""COMPUTED_VALUE"""),"BIOL 131L KS-01")</f>
        <v>BIOL 131L KS-01</v>
      </c>
    </row>
    <row r="160">
      <c r="A160" s="14" t="s">
        <v>492</v>
      </c>
      <c r="C160" s="14" t="s">
        <v>493</v>
      </c>
      <c r="G160" s="15" t="str">
        <f>IFERROR(__xludf.DUMMYFUNCTION("""COMPUTED_VALUE"""),"BIOL 138 KS-01")</f>
        <v>BIOL 138 KS-01</v>
      </c>
    </row>
    <row r="161">
      <c r="A161" s="14" t="s">
        <v>494</v>
      </c>
      <c r="C161" s="14" t="s">
        <v>495</v>
      </c>
      <c r="G161" s="15" t="str">
        <f>IFERROR(__xludf.DUMMYFUNCTION("""COMPUTED_VALUE"""),"BIOL 138L KS-01")</f>
        <v>BIOL 138L KS-01</v>
      </c>
    </row>
    <row r="162">
      <c r="A162" s="14" t="s">
        <v>496</v>
      </c>
      <c r="C162" s="14" t="s">
        <v>497</v>
      </c>
      <c r="G162" s="15" t="str">
        <f>IFERROR(__xludf.DUMMYFUNCTION("""COMPUTED_VALUE"""),"BIOL 140 KS-01")</f>
        <v>BIOL 140 KS-01</v>
      </c>
    </row>
    <row r="163">
      <c r="A163" s="14" t="s">
        <v>498</v>
      </c>
      <c r="C163" s="14" t="s">
        <v>499</v>
      </c>
      <c r="G163" s="15" t="str">
        <f>IFERROR(__xludf.DUMMYFUNCTION("""COMPUTED_VALUE"""),"BIOL 143 KS-01")</f>
        <v>BIOL 143 KS-01</v>
      </c>
    </row>
    <row r="164">
      <c r="A164" s="14" t="s">
        <v>500</v>
      </c>
      <c r="C164" s="14" t="s">
        <v>501</v>
      </c>
      <c r="G164" s="15" t="str">
        <f>IFERROR(__xludf.DUMMYFUNCTION("""COMPUTED_VALUE"""),"BIOL 148L KS-01")</f>
        <v>BIOL 148L KS-01</v>
      </c>
    </row>
    <row r="165">
      <c r="A165" s="14" t="s">
        <v>502</v>
      </c>
      <c r="C165" s="14" t="s">
        <v>503</v>
      </c>
      <c r="G165" s="15" t="str">
        <f>IFERROR(__xludf.DUMMYFUNCTION("""COMPUTED_VALUE"""),"BIOL 149 KS-01")</f>
        <v>BIOL 149 KS-01</v>
      </c>
    </row>
    <row r="166">
      <c r="A166" s="14" t="s">
        <v>504</v>
      </c>
      <c r="C166" s="14" t="s">
        <v>505</v>
      </c>
      <c r="G166" s="15" t="str">
        <f>IFERROR(__xludf.DUMMYFUNCTION("""COMPUTED_VALUE"""),"BIOL 154 HM-01")</f>
        <v>BIOL 154 HM-01</v>
      </c>
    </row>
    <row r="167">
      <c r="A167" s="14" t="s">
        <v>506</v>
      </c>
      <c r="C167" s="14" t="s">
        <v>507</v>
      </c>
      <c r="G167" s="15" t="str">
        <f>IFERROR(__xludf.DUMMYFUNCTION("""COMPUTED_VALUE"""),"BIOL 156L KS-01")</f>
        <v>BIOL 156L KS-01</v>
      </c>
    </row>
    <row r="168">
      <c r="A168" s="14" t="s">
        <v>508</v>
      </c>
      <c r="C168" s="14" t="s">
        <v>509</v>
      </c>
      <c r="G168" s="15" t="str">
        <f>IFERROR(__xludf.DUMMYFUNCTION("""COMPUTED_VALUE"""),"BIOL 157L KS-01")</f>
        <v>BIOL 157L KS-01</v>
      </c>
    </row>
    <row r="169">
      <c r="A169" s="14" t="s">
        <v>510</v>
      </c>
      <c r="C169" s="14" t="s">
        <v>511</v>
      </c>
      <c r="G169" s="15" t="str">
        <f>IFERROR(__xludf.DUMMYFUNCTION("""COMPUTED_VALUE"""),"BIOL 160 HM-01")</f>
        <v>BIOL 160 HM-01</v>
      </c>
    </row>
    <row r="170">
      <c r="A170" s="14" t="s">
        <v>512</v>
      </c>
      <c r="C170" s="14" t="s">
        <v>513</v>
      </c>
      <c r="G170" s="15" t="str">
        <f>IFERROR(__xludf.DUMMYFUNCTION("""COMPUTED_VALUE"""),"BIOL 161 HM-01")</f>
        <v>BIOL 161 HM-01</v>
      </c>
    </row>
    <row r="171">
      <c r="A171" s="14" t="s">
        <v>514</v>
      </c>
      <c r="C171" s="14" t="s">
        <v>515</v>
      </c>
      <c r="G171" s="15" t="str">
        <f>IFERROR(__xludf.DUMMYFUNCTION("""COMPUTED_VALUE"""),"BIOL 164 KS-01")</f>
        <v>BIOL 164 KS-01</v>
      </c>
    </row>
    <row r="172">
      <c r="A172" s="14" t="s">
        <v>516</v>
      </c>
      <c r="C172" s="14" t="s">
        <v>517</v>
      </c>
      <c r="G172" s="15" t="str">
        <f>IFERROR(__xludf.DUMMYFUNCTION("""COMPUTED_VALUE"""),"BIOL 165A PO-01")</f>
        <v>BIOL 165A PO-01</v>
      </c>
    </row>
    <row r="173">
      <c r="A173" s="14" t="s">
        <v>518</v>
      </c>
      <c r="C173" s="14" t="s">
        <v>519</v>
      </c>
      <c r="G173" s="15" t="str">
        <f>IFERROR(__xludf.DUMMYFUNCTION("""COMPUTED_VALUE"""),"BIOL 167 KS-01")</f>
        <v>BIOL 167 KS-01</v>
      </c>
    </row>
    <row r="174">
      <c r="A174" s="14" t="s">
        <v>520</v>
      </c>
      <c r="C174" s="14" t="s">
        <v>521</v>
      </c>
      <c r="G174" s="15" t="str">
        <f>IFERROR(__xludf.DUMMYFUNCTION("""COMPUTED_VALUE"""),"BIOL 168L KS-01")</f>
        <v>BIOL 168L KS-01</v>
      </c>
    </row>
    <row r="175">
      <c r="A175" s="14" t="s">
        <v>522</v>
      </c>
      <c r="C175" s="14" t="s">
        <v>523</v>
      </c>
      <c r="G175" s="15" t="str">
        <f>IFERROR(__xludf.DUMMYFUNCTION("""COMPUTED_VALUE"""),"BIOL 169 PO-01")</f>
        <v>BIOL 169 PO-01</v>
      </c>
    </row>
    <row r="176">
      <c r="A176" s="14" t="s">
        <v>524</v>
      </c>
      <c r="C176" s="14" t="s">
        <v>525</v>
      </c>
      <c r="G176" s="15" t="str">
        <f>IFERROR(__xludf.DUMMYFUNCTION("""COMPUTED_VALUE"""),"BIOL 169L PO-01")</f>
        <v>BIOL 169L PO-01</v>
      </c>
    </row>
    <row r="177">
      <c r="A177" s="14" t="s">
        <v>526</v>
      </c>
      <c r="C177" s="14" t="s">
        <v>527</v>
      </c>
      <c r="G177" s="15" t="str">
        <f>IFERROR(__xludf.DUMMYFUNCTION("""COMPUTED_VALUE"""),"BIOL 170L KS-01")</f>
        <v>BIOL 170L KS-01</v>
      </c>
    </row>
    <row r="178">
      <c r="A178" s="14" t="s">
        <v>528</v>
      </c>
      <c r="C178" s="14" t="s">
        <v>529</v>
      </c>
      <c r="G178" s="15" t="str">
        <f>IFERROR(__xludf.DUMMYFUNCTION("""COMPUTED_VALUE"""),"BIOL 171 KS-01")</f>
        <v>BIOL 171 KS-01</v>
      </c>
    </row>
    <row r="179">
      <c r="A179" s="14" t="s">
        <v>530</v>
      </c>
      <c r="C179" s="14" t="s">
        <v>531</v>
      </c>
      <c r="G179" s="15" t="str">
        <f>IFERROR(__xludf.DUMMYFUNCTION("""COMPUTED_VALUE"""),"BIOL 173B PO-01")</f>
        <v>BIOL 173B PO-01</v>
      </c>
    </row>
    <row r="180">
      <c r="A180" s="14" t="s">
        <v>532</v>
      </c>
      <c r="C180" s="14" t="s">
        <v>533</v>
      </c>
      <c r="G180" s="15" t="str">
        <f>IFERROR(__xludf.DUMMYFUNCTION("""COMPUTED_VALUE"""),"BIOL 173L KS-01")</f>
        <v>BIOL 173L KS-01</v>
      </c>
    </row>
    <row r="181">
      <c r="A181" s="14" t="s">
        <v>534</v>
      </c>
      <c r="C181" s="14" t="s">
        <v>535</v>
      </c>
      <c r="G181" s="15" t="str">
        <f>IFERROR(__xludf.DUMMYFUNCTION("""COMPUTED_VALUE"""),"BIOL 175 KS-01")</f>
        <v>BIOL 175 KS-01</v>
      </c>
    </row>
    <row r="182">
      <c r="A182" s="14" t="s">
        <v>536</v>
      </c>
      <c r="C182" s="14" t="s">
        <v>537</v>
      </c>
      <c r="G182" s="15" t="str">
        <f>IFERROR(__xludf.DUMMYFUNCTION("""COMPUTED_VALUE"""),"BIOL 176 KS-01")</f>
        <v>BIOL 176 KS-01</v>
      </c>
    </row>
    <row r="183">
      <c r="A183" s="14" t="s">
        <v>538</v>
      </c>
      <c r="C183" s="14" t="s">
        <v>539</v>
      </c>
      <c r="G183" s="15" t="str">
        <f>IFERROR(__xludf.DUMMYFUNCTION("""COMPUTED_VALUE"""),"BIOL 177 KS-01")</f>
        <v>BIOL 177 KS-01</v>
      </c>
    </row>
    <row r="184">
      <c r="A184" s="14" t="s">
        <v>540</v>
      </c>
      <c r="C184" s="14" t="s">
        <v>541</v>
      </c>
      <c r="G184" s="15" t="str">
        <f>IFERROR(__xludf.DUMMYFUNCTION("""COMPUTED_VALUE"""),"BIOL 180 PO-01")</f>
        <v>BIOL 180 PO-01</v>
      </c>
    </row>
    <row r="185">
      <c r="A185" s="14" t="s">
        <v>542</v>
      </c>
      <c r="C185" s="14" t="s">
        <v>543</v>
      </c>
      <c r="G185" s="15" t="str">
        <f>IFERROR(__xludf.DUMMYFUNCTION("""COMPUTED_VALUE"""),"BIOL 181 KS-01")</f>
        <v>BIOL 181 KS-01</v>
      </c>
    </row>
    <row r="186">
      <c r="A186" s="14" t="s">
        <v>544</v>
      </c>
      <c r="C186" s="14" t="s">
        <v>545</v>
      </c>
      <c r="G186" s="15" t="str">
        <f>IFERROR(__xludf.DUMMYFUNCTION("""COMPUTED_VALUE"""),"BIOL 182 HM-01")</f>
        <v>BIOL 182 HM-01</v>
      </c>
    </row>
    <row r="187">
      <c r="A187" s="14" t="s">
        <v>546</v>
      </c>
      <c r="C187" s="14" t="s">
        <v>547</v>
      </c>
      <c r="G187" s="15" t="str">
        <f>IFERROR(__xludf.DUMMYFUNCTION("""COMPUTED_VALUE"""),"BIOL 183 KS-01")</f>
        <v>BIOL 183 KS-01</v>
      </c>
    </row>
    <row r="188">
      <c r="A188" s="14" t="s">
        <v>548</v>
      </c>
      <c r="C188" s="14" t="s">
        <v>549</v>
      </c>
      <c r="G188" s="15" t="str">
        <f>IFERROR(__xludf.DUMMYFUNCTION("""COMPUTED_VALUE"""),"BIOL 184 HM-01")</f>
        <v>BIOL 184 HM-01</v>
      </c>
    </row>
    <row r="189">
      <c r="A189" s="14" t="s">
        <v>550</v>
      </c>
      <c r="C189" s="14" t="s">
        <v>551</v>
      </c>
      <c r="G189" s="15" t="str">
        <f>IFERROR(__xludf.DUMMYFUNCTION("""COMPUTED_VALUE"""),"BIOL 185L KS-01")</f>
        <v>BIOL 185L KS-01</v>
      </c>
    </row>
    <row r="190">
      <c r="A190" s="14" t="s">
        <v>552</v>
      </c>
      <c r="C190" s="14" t="s">
        <v>553</v>
      </c>
      <c r="G190" s="15" t="str">
        <f>IFERROR(__xludf.DUMMYFUNCTION("""COMPUTED_VALUE"""),"BIOL 187M KS-01")</f>
        <v>BIOL 187M KS-01</v>
      </c>
    </row>
    <row r="191">
      <c r="A191" s="14" t="s">
        <v>554</v>
      </c>
      <c r="C191" s="14" t="s">
        <v>555</v>
      </c>
      <c r="G191" s="15" t="str">
        <f>IFERROR(__xludf.DUMMYFUNCTION("""COMPUTED_VALUE"""),"BIOL 188L KS-01")</f>
        <v>BIOL 188L KS-01</v>
      </c>
    </row>
    <row r="192">
      <c r="A192" s="14" t="s">
        <v>556</v>
      </c>
      <c r="C192" s="14" t="s">
        <v>557</v>
      </c>
      <c r="G192" s="15" t="str">
        <f>IFERROR(__xludf.DUMMYFUNCTION("""COMPUTED_VALUE"""),"BIOL 189L KS-01")</f>
        <v>BIOL 189L KS-01</v>
      </c>
    </row>
    <row r="193">
      <c r="A193" s="14" t="s">
        <v>558</v>
      </c>
      <c r="C193" s="14" t="s">
        <v>559</v>
      </c>
      <c r="G193" s="15" t="str">
        <f>IFERROR(__xludf.DUMMYFUNCTION("""COMPUTED_VALUE"""),"BIOL 190 PO-01")</f>
        <v>BIOL 190 PO-01</v>
      </c>
    </row>
    <row r="194">
      <c r="A194" s="14" t="s">
        <v>560</v>
      </c>
      <c r="C194" s="14" t="s">
        <v>561</v>
      </c>
      <c r="G194" s="15" t="str">
        <f>IFERROR(__xludf.DUMMYFUNCTION("""COMPUTED_VALUE"""),"BIOL 190L KS-01")</f>
        <v>BIOL 190L KS-01</v>
      </c>
    </row>
    <row r="195">
      <c r="A195" s="14" t="s">
        <v>562</v>
      </c>
      <c r="C195" s="14" t="s">
        <v>563</v>
      </c>
      <c r="G195" s="15" t="str">
        <f>IFERROR(__xludf.DUMMYFUNCTION("""COMPUTED_VALUE"""),"BIOL 191 HM-01")</f>
        <v>BIOL 191 HM-01</v>
      </c>
    </row>
    <row r="196">
      <c r="A196" s="14" t="s">
        <v>564</v>
      </c>
      <c r="C196" s="14" t="s">
        <v>563</v>
      </c>
      <c r="G196" s="15" t="str">
        <f>IFERROR(__xludf.DUMMYFUNCTION("""COMPUTED_VALUE"""),"BIOL 191 KS-01")</f>
        <v>BIOL 191 KS-01</v>
      </c>
    </row>
    <row r="197">
      <c r="A197" s="14" t="s">
        <v>565</v>
      </c>
      <c r="C197" s="14" t="s">
        <v>566</v>
      </c>
      <c r="G197" s="15" t="str">
        <f>IFERROR(__xludf.DUMMYFUNCTION("""COMPUTED_VALUE"""),"BIOL 191F PO-04")</f>
        <v>BIOL 191F PO-04</v>
      </c>
    </row>
    <row r="198">
      <c r="A198" s="14" t="s">
        <v>567</v>
      </c>
      <c r="C198" s="14" t="s">
        <v>566</v>
      </c>
      <c r="G198" s="15" t="str">
        <f>IFERROR(__xludf.DUMMYFUNCTION("""COMPUTED_VALUE"""),"BIOL 191F PO-08")</f>
        <v>BIOL 191F PO-08</v>
      </c>
    </row>
    <row r="199">
      <c r="A199" s="14" t="s">
        <v>568</v>
      </c>
      <c r="C199" s="14" t="s">
        <v>566</v>
      </c>
      <c r="G199" s="15" t="str">
        <f>IFERROR(__xludf.DUMMYFUNCTION("""COMPUTED_VALUE"""),"BIOL 191F PO-12")</f>
        <v>BIOL 191F PO-12</v>
      </c>
    </row>
    <row r="200">
      <c r="A200" s="14" t="s">
        <v>569</v>
      </c>
      <c r="C200" s="14" t="s">
        <v>566</v>
      </c>
      <c r="G200" s="15" t="str">
        <f>IFERROR(__xludf.DUMMYFUNCTION("""COMPUTED_VALUE"""),"BIOL 191F PO-16")</f>
        <v>BIOL 191F PO-16</v>
      </c>
    </row>
    <row r="201">
      <c r="A201" s="14" t="s">
        <v>570</v>
      </c>
      <c r="C201" s="14" t="s">
        <v>566</v>
      </c>
      <c r="G201" s="15" t="str">
        <f>IFERROR(__xludf.DUMMYFUNCTION("""COMPUTED_VALUE"""),"BIOL 191F PO-20")</f>
        <v>BIOL 191F PO-20</v>
      </c>
    </row>
    <row r="202">
      <c r="A202" s="14" t="s">
        <v>571</v>
      </c>
      <c r="C202" s="14" t="s">
        <v>566</v>
      </c>
      <c r="G202" s="15" t="str">
        <f>IFERROR(__xludf.DUMMYFUNCTION("""COMPUTED_VALUE"""),"BIOL 191F PO-24")</f>
        <v>BIOL 191F PO-24</v>
      </c>
    </row>
    <row r="203">
      <c r="A203" s="14" t="s">
        <v>572</v>
      </c>
      <c r="C203" s="14" t="s">
        <v>566</v>
      </c>
      <c r="G203" s="15" t="str">
        <f>IFERROR(__xludf.DUMMYFUNCTION("""COMPUTED_VALUE"""),"BIOL 191F PO-28")</f>
        <v>BIOL 191F PO-28</v>
      </c>
    </row>
    <row r="204">
      <c r="A204" s="14" t="s">
        <v>573</v>
      </c>
      <c r="C204" s="14" t="s">
        <v>566</v>
      </c>
      <c r="G204" s="15" t="str">
        <f>IFERROR(__xludf.DUMMYFUNCTION("""COMPUTED_VALUE"""),"BIOL 191F PO-32")</f>
        <v>BIOL 191F PO-32</v>
      </c>
    </row>
    <row r="205">
      <c r="A205" s="14" t="s">
        <v>574</v>
      </c>
      <c r="C205" s="14" t="s">
        <v>566</v>
      </c>
      <c r="G205" s="15" t="str">
        <f>IFERROR(__xludf.DUMMYFUNCTION("""COMPUTED_VALUE"""),"BIOL 191F PO-36")</f>
        <v>BIOL 191F PO-36</v>
      </c>
    </row>
    <row r="206">
      <c r="A206" s="14" t="s">
        <v>575</v>
      </c>
      <c r="C206" s="14" t="s">
        <v>566</v>
      </c>
      <c r="G206" s="15" t="str">
        <f>IFERROR(__xludf.DUMMYFUNCTION("""COMPUTED_VALUE"""),"BIOL 191F PO-40")</f>
        <v>BIOL 191F PO-40</v>
      </c>
    </row>
    <row r="207">
      <c r="A207" s="14" t="s">
        <v>576</v>
      </c>
      <c r="C207" s="14" t="s">
        <v>566</v>
      </c>
      <c r="G207" s="15" t="str">
        <f>IFERROR(__xludf.DUMMYFUNCTION("""COMPUTED_VALUE"""),"BIOL 191F PO-44")</f>
        <v>BIOL 191F PO-44</v>
      </c>
    </row>
    <row r="208">
      <c r="A208" s="14" t="s">
        <v>577</v>
      </c>
      <c r="C208" s="14" t="s">
        <v>578</v>
      </c>
      <c r="G208" s="15" t="str">
        <f>IFERROR(__xludf.DUMMYFUNCTION("""COMPUTED_VALUE"""),"BIOL 191H PO-04")</f>
        <v>BIOL 191H PO-04</v>
      </c>
    </row>
    <row r="209">
      <c r="A209" s="14" t="s">
        <v>579</v>
      </c>
      <c r="C209" s="14" t="s">
        <v>578</v>
      </c>
      <c r="G209" s="15" t="str">
        <f>IFERROR(__xludf.DUMMYFUNCTION("""COMPUTED_VALUE"""),"BIOL 191H PO-08")</f>
        <v>BIOL 191H PO-08</v>
      </c>
    </row>
    <row r="210">
      <c r="A210" s="14" t="s">
        <v>580</v>
      </c>
      <c r="C210" s="14" t="s">
        <v>578</v>
      </c>
      <c r="G210" s="15" t="str">
        <f>IFERROR(__xludf.DUMMYFUNCTION("""COMPUTED_VALUE"""),"BIOL 191H PO-12")</f>
        <v>BIOL 191H PO-12</v>
      </c>
    </row>
    <row r="211">
      <c r="A211" s="14" t="s">
        <v>581</v>
      </c>
      <c r="C211" s="14" t="s">
        <v>578</v>
      </c>
      <c r="G211" s="15" t="str">
        <f>IFERROR(__xludf.DUMMYFUNCTION("""COMPUTED_VALUE"""),"BIOL 191H PO-16")</f>
        <v>BIOL 191H PO-16</v>
      </c>
    </row>
    <row r="212">
      <c r="A212" s="14" t="s">
        <v>582</v>
      </c>
      <c r="C212" s="14" t="s">
        <v>578</v>
      </c>
      <c r="G212" s="15" t="str">
        <f>IFERROR(__xludf.DUMMYFUNCTION("""COMPUTED_VALUE"""),"BIOL 191H PO-20")</f>
        <v>BIOL 191H PO-20</v>
      </c>
    </row>
    <row r="213">
      <c r="A213" s="14" t="s">
        <v>583</v>
      </c>
      <c r="C213" s="14" t="s">
        <v>578</v>
      </c>
      <c r="G213" s="15" t="str">
        <f>IFERROR(__xludf.DUMMYFUNCTION("""COMPUTED_VALUE"""),"BIOL 191H PO-24")</f>
        <v>BIOL 191H PO-24</v>
      </c>
    </row>
    <row r="214">
      <c r="A214" s="14" t="s">
        <v>584</v>
      </c>
      <c r="C214" s="14" t="s">
        <v>578</v>
      </c>
      <c r="G214" s="15" t="str">
        <f>IFERROR(__xludf.DUMMYFUNCTION("""COMPUTED_VALUE"""),"BIOL 191H PO-28")</f>
        <v>BIOL 191H PO-28</v>
      </c>
    </row>
    <row r="215">
      <c r="A215" s="14" t="s">
        <v>585</v>
      </c>
      <c r="C215" s="14" t="s">
        <v>578</v>
      </c>
      <c r="G215" s="15" t="str">
        <f>IFERROR(__xludf.DUMMYFUNCTION("""COMPUTED_VALUE"""),"BIOL 191H PO-32")</f>
        <v>BIOL 191H PO-32</v>
      </c>
    </row>
    <row r="216">
      <c r="A216" s="14" t="s">
        <v>586</v>
      </c>
      <c r="C216" s="14" t="s">
        <v>578</v>
      </c>
      <c r="G216" s="15" t="str">
        <f>IFERROR(__xludf.DUMMYFUNCTION("""COMPUTED_VALUE"""),"BIOL 191H PO-36")</f>
        <v>BIOL 191H PO-36</v>
      </c>
    </row>
    <row r="217">
      <c r="A217" s="14" t="s">
        <v>587</v>
      </c>
      <c r="C217" s="14" t="s">
        <v>578</v>
      </c>
      <c r="G217" s="15" t="str">
        <f>IFERROR(__xludf.DUMMYFUNCTION("""COMPUTED_VALUE"""),"BIOL 191H PO-40")</f>
        <v>BIOL 191H PO-40</v>
      </c>
    </row>
    <row r="218">
      <c r="A218" s="14" t="s">
        <v>588</v>
      </c>
      <c r="C218" s="14" t="s">
        <v>578</v>
      </c>
      <c r="G218" s="15" t="str">
        <f>IFERROR(__xludf.DUMMYFUNCTION("""COMPUTED_VALUE"""),"BIOL 191H PO-44")</f>
        <v>BIOL 191H PO-44</v>
      </c>
    </row>
    <row r="219">
      <c r="A219" s="14" t="s">
        <v>589</v>
      </c>
      <c r="C219" s="14" t="s">
        <v>578</v>
      </c>
      <c r="G219" s="15" t="str">
        <f>IFERROR(__xludf.DUMMYFUNCTION("""COMPUTED_VALUE"""),"BIOL 191H PO-48")</f>
        <v>BIOL 191H PO-48</v>
      </c>
    </row>
    <row r="220">
      <c r="A220" s="14" t="s">
        <v>590</v>
      </c>
      <c r="C220" s="14" t="s">
        <v>578</v>
      </c>
      <c r="G220" s="15" t="str">
        <f>IFERROR(__xludf.DUMMYFUNCTION("""COMPUTED_VALUE"""),"BIOL 191H PO-52")</f>
        <v>BIOL 191H PO-52</v>
      </c>
    </row>
    <row r="221">
      <c r="A221" s="14" t="s">
        <v>591</v>
      </c>
      <c r="C221" s="14" t="s">
        <v>592</v>
      </c>
      <c r="G221" s="15" t="str">
        <f>IFERROR(__xludf.DUMMYFUNCTION("""COMPUTED_VALUE"""),"BIOL 193 HM-01")</f>
        <v>BIOL 193 HM-01</v>
      </c>
    </row>
    <row r="222">
      <c r="A222" s="14" t="s">
        <v>593</v>
      </c>
      <c r="C222" s="14" t="s">
        <v>592</v>
      </c>
      <c r="G222" s="15" t="str">
        <f>IFERROR(__xludf.DUMMYFUNCTION("""COMPUTED_VALUE"""),"BIOL 193 HM-02")</f>
        <v>BIOL 193 HM-02</v>
      </c>
    </row>
    <row r="223">
      <c r="A223" s="14" t="s">
        <v>594</v>
      </c>
      <c r="C223" s="14" t="s">
        <v>592</v>
      </c>
      <c r="G223" s="15" t="str">
        <f>IFERROR(__xludf.DUMMYFUNCTION("""COMPUTED_VALUE"""),"BIOL 193 HM-03")</f>
        <v>BIOL 193 HM-03</v>
      </c>
    </row>
    <row r="224">
      <c r="A224" s="14" t="s">
        <v>595</v>
      </c>
      <c r="C224" s="14" t="s">
        <v>592</v>
      </c>
      <c r="G224" s="15" t="str">
        <f>IFERROR(__xludf.DUMMYFUNCTION("""COMPUTED_VALUE"""),"BIOL 193 HM-04")</f>
        <v>BIOL 193 HM-04</v>
      </c>
    </row>
    <row r="225">
      <c r="A225" s="14" t="s">
        <v>596</v>
      </c>
      <c r="C225" s="14" t="s">
        <v>592</v>
      </c>
      <c r="G225" s="15" t="str">
        <f>IFERROR(__xludf.DUMMYFUNCTION("""COMPUTED_VALUE"""),"BIOL 193 HM-05")</f>
        <v>BIOL 193 HM-05</v>
      </c>
    </row>
    <row r="226">
      <c r="A226" s="14" t="s">
        <v>597</v>
      </c>
      <c r="C226" s="14" t="s">
        <v>592</v>
      </c>
      <c r="G226" s="15" t="str">
        <f>IFERROR(__xludf.DUMMYFUNCTION("""COMPUTED_VALUE"""),"BIOL 193 HM-06")</f>
        <v>BIOL 193 HM-06</v>
      </c>
    </row>
    <row r="227">
      <c r="A227" s="14" t="s">
        <v>598</v>
      </c>
      <c r="C227" s="14" t="s">
        <v>592</v>
      </c>
      <c r="G227" s="15" t="str">
        <f>IFERROR(__xludf.DUMMYFUNCTION("""COMPUTED_VALUE"""),"BIOL 193 HM-07")</f>
        <v>BIOL 193 HM-07</v>
      </c>
    </row>
    <row r="228">
      <c r="A228" s="14" t="s">
        <v>599</v>
      </c>
      <c r="C228" s="14" t="s">
        <v>592</v>
      </c>
      <c r="G228" s="15" t="str">
        <f>IFERROR(__xludf.DUMMYFUNCTION("""COMPUTED_VALUE"""),"BIOL 193 HM-08")</f>
        <v>BIOL 193 HM-08</v>
      </c>
    </row>
    <row r="229">
      <c r="A229" s="14" t="s">
        <v>600</v>
      </c>
      <c r="C229" s="14" t="s">
        <v>592</v>
      </c>
      <c r="G229" s="15" t="str">
        <f>IFERROR(__xludf.DUMMYFUNCTION("""COMPUTED_VALUE"""),"BIOL 193 HM-09")</f>
        <v>BIOL 193 HM-09</v>
      </c>
    </row>
    <row r="230">
      <c r="A230" s="14" t="s">
        <v>601</v>
      </c>
      <c r="C230" s="14" t="s">
        <v>592</v>
      </c>
      <c r="G230" s="15" t="str">
        <f>IFERROR(__xludf.DUMMYFUNCTION("""COMPUTED_VALUE"""),"BIOL 193 HM-10")</f>
        <v>BIOL 193 HM-10</v>
      </c>
    </row>
    <row r="231">
      <c r="A231" s="14" t="s">
        <v>602</v>
      </c>
      <c r="C231" s="14" t="s">
        <v>603</v>
      </c>
      <c r="G231" s="15" t="str">
        <f>IFERROR(__xludf.DUMMYFUNCTION("""COMPUTED_VALUE"""),"BIOL 194A PO-04")</f>
        <v>BIOL 194A PO-04</v>
      </c>
    </row>
    <row r="232">
      <c r="A232" s="14" t="s">
        <v>604</v>
      </c>
      <c r="C232" s="14" t="s">
        <v>603</v>
      </c>
      <c r="G232" s="15" t="str">
        <f>IFERROR(__xludf.DUMMYFUNCTION("""COMPUTED_VALUE"""),"BIOL 194A PO-08")</f>
        <v>BIOL 194A PO-08</v>
      </c>
    </row>
    <row r="233">
      <c r="A233" s="14" t="s">
        <v>605</v>
      </c>
      <c r="C233" s="14" t="s">
        <v>603</v>
      </c>
      <c r="G233" s="15" t="str">
        <f>IFERROR(__xludf.DUMMYFUNCTION("""COMPUTED_VALUE"""),"BIOL 194A PO-12")</f>
        <v>BIOL 194A PO-12</v>
      </c>
    </row>
    <row r="234">
      <c r="A234" s="14" t="s">
        <v>606</v>
      </c>
      <c r="C234" s="14" t="s">
        <v>603</v>
      </c>
      <c r="G234" s="15" t="str">
        <f>IFERROR(__xludf.DUMMYFUNCTION("""COMPUTED_VALUE"""),"BIOL 194A PO-16")</f>
        <v>BIOL 194A PO-16</v>
      </c>
    </row>
    <row r="235">
      <c r="A235" s="14" t="s">
        <v>607</v>
      </c>
      <c r="C235" s="14" t="s">
        <v>603</v>
      </c>
      <c r="G235" s="15" t="str">
        <f>IFERROR(__xludf.DUMMYFUNCTION("""COMPUTED_VALUE"""),"BIOL 194A PO-20")</f>
        <v>BIOL 194A PO-20</v>
      </c>
    </row>
    <row r="236">
      <c r="A236" s="14" t="s">
        <v>608</v>
      </c>
      <c r="C236" s="14" t="s">
        <v>603</v>
      </c>
      <c r="G236" s="15" t="str">
        <f>IFERROR(__xludf.DUMMYFUNCTION("""COMPUTED_VALUE"""),"BIOL 194A PO-24")</f>
        <v>BIOL 194A PO-24</v>
      </c>
    </row>
    <row r="237">
      <c r="A237" s="14" t="s">
        <v>609</v>
      </c>
      <c r="C237" s="14" t="s">
        <v>603</v>
      </c>
      <c r="G237" s="15" t="str">
        <f>IFERROR(__xludf.DUMMYFUNCTION("""COMPUTED_VALUE"""),"BIOL 194A PO-28")</f>
        <v>BIOL 194A PO-28</v>
      </c>
    </row>
    <row r="238">
      <c r="A238" s="14" t="s">
        <v>610</v>
      </c>
      <c r="C238" s="14" t="s">
        <v>603</v>
      </c>
      <c r="G238" s="15" t="str">
        <f>IFERROR(__xludf.DUMMYFUNCTION("""COMPUTED_VALUE"""),"BIOL 194A PO-32")</f>
        <v>BIOL 194A PO-32</v>
      </c>
    </row>
    <row r="239">
      <c r="A239" s="14" t="s">
        <v>611</v>
      </c>
      <c r="C239" s="14" t="s">
        <v>603</v>
      </c>
      <c r="G239" s="15" t="str">
        <f>IFERROR(__xludf.DUMMYFUNCTION("""COMPUTED_VALUE"""),"BIOL 194A PO-36")</f>
        <v>BIOL 194A PO-36</v>
      </c>
    </row>
    <row r="240">
      <c r="A240" s="14" t="s">
        <v>612</v>
      </c>
      <c r="C240" s="14" t="s">
        <v>603</v>
      </c>
      <c r="G240" s="15" t="str">
        <f>IFERROR(__xludf.DUMMYFUNCTION("""COMPUTED_VALUE"""),"BIOL 194A PO-40")</f>
        <v>BIOL 194A PO-40</v>
      </c>
    </row>
    <row r="241">
      <c r="A241" s="14" t="s">
        <v>613</v>
      </c>
      <c r="C241" s="14" t="s">
        <v>603</v>
      </c>
      <c r="G241" s="15" t="str">
        <f>IFERROR(__xludf.DUMMYFUNCTION("""COMPUTED_VALUE"""),"BIOL 194A PO-44")</f>
        <v>BIOL 194A PO-44</v>
      </c>
    </row>
    <row r="242">
      <c r="A242" s="14" t="s">
        <v>614</v>
      </c>
      <c r="C242" s="14" t="s">
        <v>603</v>
      </c>
      <c r="G242" s="15" t="str">
        <f>IFERROR(__xludf.DUMMYFUNCTION("""COMPUTED_VALUE"""),"BIOL 194A PO-48")</f>
        <v>BIOL 194A PO-48</v>
      </c>
    </row>
    <row r="243">
      <c r="A243" s="14" t="s">
        <v>615</v>
      </c>
      <c r="C243" s="14" t="s">
        <v>616</v>
      </c>
      <c r="G243" s="15" t="str">
        <f>IFERROR(__xludf.DUMMYFUNCTION("""COMPUTED_VALUE"""),"BIOL 195 HM-01")</f>
        <v>BIOL 195 HM-01</v>
      </c>
    </row>
    <row r="244">
      <c r="A244" s="14" t="s">
        <v>617</v>
      </c>
      <c r="C244" s="14" t="s">
        <v>618</v>
      </c>
      <c r="G244" s="15" t="str">
        <f>IFERROR(__xludf.DUMMYFUNCTION("""COMPUTED_VALUE"""),"BIOL 197 HM-01")</f>
        <v>BIOL 197 HM-01</v>
      </c>
    </row>
    <row r="245">
      <c r="A245" s="14" t="s">
        <v>619</v>
      </c>
      <c r="C245" s="14" t="s">
        <v>620</v>
      </c>
      <c r="G245" s="15" t="str">
        <f>IFERROR(__xludf.DUMMYFUNCTION("""COMPUTED_VALUE"""),"CASA 101 PZ-01")</f>
        <v>CASA 101 PZ-01</v>
      </c>
    </row>
    <row r="246">
      <c r="A246" s="14" t="s">
        <v>621</v>
      </c>
      <c r="C246" s="14" t="s">
        <v>622</v>
      </c>
      <c r="G246" s="15" t="str">
        <f>IFERROR(__xludf.DUMMYFUNCTION("""COMPUTED_VALUE"""),"CASA 105 PZ-01")</f>
        <v>CASA 105 PZ-01</v>
      </c>
    </row>
    <row r="247">
      <c r="A247" s="14" t="s">
        <v>623</v>
      </c>
      <c r="C247" s="14" t="s">
        <v>624</v>
      </c>
      <c r="G247" s="15" t="str">
        <f>IFERROR(__xludf.DUMMYFUNCTION("""COMPUTED_VALUE"""),"CGS 025C PZ-01")</f>
        <v>CGS 025C PZ-01</v>
      </c>
    </row>
    <row r="248">
      <c r="A248" s="14" t="s">
        <v>625</v>
      </c>
      <c r="C248" s="14" t="s">
        <v>626</v>
      </c>
      <c r="G248" s="15" t="str">
        <f>IFERROR(__xludf.DUMMYFUNCTION("""COMPUTED_VALUE"""),"CGS 050 PZ-01")</f>
        <v>CGS 050 PZ-01</v>
      </c>
    </row>
    <row r="249">
      <c r="A249" s="14" t="s">
        <v>627</v>
      </c>
      <c r="C249" s="14" t="s">
        <v>628</v>
      </c>
      <c r="G249" s="15" t="str">
        <f>IFERROR(__xludf.DUMMYFUNCTION("""COMPUTED_VALUE"""),"CGS 090 PZ-01")</f>
        <v>CGS 090 PZ-01</v>
      </c>
    </row>
    <row r="250">
      <c r="A250" s="14" t="s">
        <v>629</v>
      </c>
      <c r="C250" s="14" t="s">
        <v>630</v>
      </c>
      <c r="G250" s="15" t="str">
        <f>IFERROR(__xludf.DUMMYFUNCTION("""COMPUTED_VALUE"""),"CGS 092 PZ-01")</f>
        <v>CGS 092 PZ-01</v>
      </c>
    </row>
    <row r="251">
      <c r="A251" s="14" t="s">
        <v>631</v>
      </c>
      <c r="C251" s="14" t="s">
        <v>632</v>
      </c>
      <c r="G251" s="15" t="str">
        <f>IFERROR(__xludf.DUMMYFUNCTION("""COMPUTED_VALUE"""),"CGS 095 PZ-01")</f>
        <v>CGS 095 PZ-01</v>
      </c>
    </row>
    <row r="252">
      <c r="A252" s="14" t="s">
        <v>633</v>
      </c>
      <c r="C252" s="14" t="s">
        <v>634</v>
      </c>
      <c r="G252" s="15" t="str">
        <f>IFERROR(__xludf.DUMMYFUNCTION("""COMPUTED_VALUE"""),"CGS 097 PZ-01")</f>
        <v>CGS 097 PZ-01</v>
      </c>
    </row>
    <row r="253">
      <c r="A253" s="14" t="s">
        <v>635</v>
      </c>
      <c r="C253" s="14" t="s">
        <v>636</v>
      </c>
      <c r="G253" s="15" t="str">
        <f>IFERROR(__xludf.DUMMYFUNCTION("""COMPUTED_VALUE"""),"CGS 110 PZ-01")</f>
        <v>CGS 110 PZ-01</v>
      </c>
    </row>
    <row r="254">
      <c r="A254" s="14" t="s">
        <v>637</v>
      </c>
      <c r="C254" s="14" t="s">
        <v>638</v>
      </c>
      <c r="G254" s="15" t="str">
        <f>IFERROR(__xludf.DUMMYFUNCTION("""COMPUTED_VALUE"""),"CGS 112 PZ-01")</f>
        <v>CGS 112 PZ-01</v>
      </c>
    </row>
    <row r="255">
      <c r="A255" s="14" t="s">
        <v>639</v>
      </c>
      <c r="C255" s="14" t="s">
        <v>640</v>
      </c>
      <c r="G255" s="15" t="str">
        <f>IFERROR(__xludf.DUMMYFUNCTION("""COMPUTED_VALUE"""),"CGS 120 PZ-01")</f>
        <v>CGS 120 PZ-01</v>
      </c>
    </row>
    <row r="256">
      <c r="A256" s="14" t="s">
        <v>641</v>
      </c>
      <c r="C256" s="14" t="s">
        <v>642</v>
      </c>
      <c r="G256" s="15" t="str">
        <f>IFERROR(__xludf.DUMMYFUNCTION("""COMPUTED_VALUE"""),"CGS 125 PZ-01")</f>
        <v>CGS 125 PZ-01</v>
      </c>
    </row>
    <row r="257">
      <c r="A257" s="14" t="s">
        <v>643</v>
      </c>
      <c r="C257" s="14" t="s">
        <v>644</v>
      </c>
      <c r="G257" s="15" t="str">
        <f>IFERROR(__xludf.DUMMYFUNCTION("""COMPUTED_VALUE"""),"CGS 131 PZ-01")</f>
        <v>CGS 131 PZ-01</v>
      </c>
    </row>
    <row r="258">
      <c r="A258" s="14" t="s">
        <v>645</v>
      </c>
      <c r="C258" s="14" t="s">
        <v>646</v>
      </c>
      <c r="G258" s="15" t="str">
        <f>IFERROR(__xludf.DUMMYFUNCTION("""COMPUTED_VALUE"""),"CGS 132 PZ-01")</f>
        <v>CGS 132 PZ-01</v>
      </c>
    </row>
    <row r="259">
      <c r="A259" s="14" t="s">
        <v>647</v>
      </c>
      <c r="C259" s="14" t="s">
        <v>648</v>
      </c>
      <c r="G259" s="15" t="str">
        <f>IFERROR(__xludf.DUMMYFUNCTION("""COMPUTED_VALUE"""),"CGS 133 PZ-01")</f>
        <v>CGS 133 PZ-01</v>
      </c>
    </row>
    <row r="260">
      <c r="A260" s="14" t="s">
        <v>649</v>
      </c>
      <c r="C260" s="14" t="s">
        <v>650</v>
      </c>
      <c r="G260" s="15" t="str">
        <f>IFERROR(__xludf.DUMMYFUNCTION("""COMPUTED_VALUE"""),"CGS 134 PZ-01")</f>
        <v>CGS 134 PZ-01</v>
      </c>
    </row>
    <row r="261">
      <c r="A261" s="14" t="s">
        <v>651</v>
      </c>
      <c r="C261" s="14" t="s">
        <v>652</v>
      </c>
      <c r="G261" s="15" t="str">
        <f>IFERROR(__xludf.DUMMYFUNCTION("""COMPUTED_VALUE"""),"CGS 135 PZ-01")</f>
        <v>CGS 135 PZ-01</v>
      </c>
    </row>
    <row r="262">
      <c r="A262" s="14" t="s">
        <v>653</v>
      </c>
      <c r="C262" s="14" t="s">
        <v>654</v>
      </c>
      <c r="G262" s="15" t="str">
        <f>IFERROR(__xludf.DUMMYFUNCTION("""COMPUTED_VALUE"""),"CHEM 001B PO-01")</f>
        <v>CHEM 001B PO-01</v>
      </c>
    </row>
    <row r="263">
      <c r="A263" s="14" t="s">
        <v>655</v>
      </c>
      <c r="C263" s="14" t="s">
        <v>654</v>
      </c>
      <c r="G263" s="15" t="str">
        <f>IFERROR(__xludf.DUMMYFUNCTION("""COMPUTED_VALUE"""),"CHEM 001B PO-03")</f>
        <v>CHEM 001B PO-03</v>
      </c>
    </row>
    <row r="264">
      <c r="A264" s="14" t="s">
        <v>656</v>
      </c>
      <c r="C264" s="14" t="s">
        <v>654</v>
      </c>
      <c r="G264" s="15" t="str">
        <f>IFERROR(__xludf.DUMMYFUNCTION("""COMPUTED_VALUE"""),"CHEM 001B PO-04")</f>
        <v>CHEM 001B PO-04</v>
      </c>
    </row>
    <row r="265">
      <c r="A265" s="14" t="s">
        <v>657</v>
      </c>
      <c r="C265" s="14" t="s">
        <v>658</v>
      </c>
      <c r="G265" s="15" t="str">
        <f>IFERROR(__xludf.DUMMYFUNCTION("""COMPUTED_VALUE"""),"CHEM 001BL PO-01")</f>
        <v>CHEM 001BL PO-01</v>
      </c>
    </row>
    <row r="266">
      <c r="A266" s="14" t="s">
        <v>659</v>
      </c>
      <c r="C266" s="14" t="s">
        <v>658</v>
      </c>
      <c r="G266" s="15" t="str">
        <f>IFERROR(__xludf.DUMMYFUNCTION("""COMPUTED_VALUE"""),"CHEM 001BL PO-02")</f>
        <v>CHEM 001BL PO-02</v>
      </c>
    </row>
    <row r="267">
      <c r="A267" s="14" t="s">
        <v>660</v>
      </c>
      <c r="C267" s="14" t="s">
        <v>658</v>
      </c>
      <c r="G267" s="15" t="str">
        <f>IFERROR(__xludf.DUMMYFUNCTION("""COMPUTED_VALUE"""),"CHEM 001BL PO-03")</f>
        <v>CHEM 001BL PO-03</v>
      </c>
    </row>
    <row r="268">
      <c r="A268" s="14" t="s">
        <v>661</v>
      </c>
      <c r="C268" s="14" t="s">
        <v>658</v>
      </c>
      <c r="G268" s="15" t="str">
        <f>IFERROR(__xludf.DUMMYFUNCTION("""COMPUTED_VALUE"""),"CHEM 001BL PO-04")</f>
        <v>CHEM 001BL PO-04</v>
      </c>
    </row>
    <row r="269">
      <c r="A269" s="14" t="s">
        <v>662</v>
      </c>
      <c r="C269" s="14" t="s">
        <v>658</v>
      </c>
      <c r="G269" s="15" t="str">
        <f>IFERROR(__xludf.DUMMYFUNCTION("""COMPUTED_VALUE"""),"CHEM 001BL PO-05")</f>
        <v>CHEM 001BL PO-05</v>
      </c>
    </row>
    <row r="270">
      <c r="A270" s="14" t="s">
        <v>663</v>
      </c>
      <c r="C270" s="14" t="s">
        <v>664</v>
      </c>
      <c r="G270" s="15" t="str">
        <f>IFERROR(__xludf.DUMMYFUNCTION("""COMPUTED_VALUE"""),"CHEM 015L KS-01")</f>
        <v>CHEM 015L KS-01</v>
      </c>
    </row>
    <row r="271">
      <c r="A271" s="14" t="s">
        <v>665</v>
      </c>
      <c r="C271" s="14" t="s">
        <v>664</v>
      </c>
      <c r="G271" s="15" t="str">
        <f>IFERROR(__xludf.DUMMYFUNCTION("""COMPUTED_VALUE"""),"CHEM 015L KS-02")</f>
        <v>CHEM 015L KS-02</v>
      </c>
    </row>
    <row r="272">
      <c r="A272" s="14" t="s">
        <v>666</v>
      </c>
      <c r="C272" s="14" t="s">
        <v>664</v>
      </c>
      <c r="G272" s="15" t="str">
        <f>IFERROR(__xludf.DUMMYFUNCTION("""COMPUTED_VALUE"""),"CHEM 015L KS-03")</f>
        <v>CHEM 015L KS-03</v>
      </c>
    </row>
    <row r="273">
      <c r="A273" s="14" t="s">
        <v>667</v>
      </c>
      <c r="C273" s="14" t="s">
        <v>664</v>
      </c>
      <c r="G273" s="15" t="str">
        <f>IFERROR(__xludf.DUMMYFUNCTION("""COMPUTED_VALUE"""),"CHEM 015L KS-04")</f>
        <v>CHEM 015L KS-04</v>
      </c>
    </row>
    <row r="274">
      <c r="A274" s="14" t="s">
        <v>668</v>
      </c>
      <c r="C274" s="14" t="s">
        <v>664</v>
      </c>
      <c r="G274" s="15" t="str">
        <f>IFERROR(__xludf.DUMMYFUNCTION("""COMPUTED_VALUE"""),"CHEM 015L KS-05")</f>
        <v>CHEM 015L KS-05</v>
      </c>
    </row>
    <row r="275">
      <c r="A275" s="14" t="s">
        <v>669</v>
      </c>
      <c r="C275" s="14" t="s">
        <v>664</v>
      </c>
      <c r="G275" s="15" t="str">
        <f>IFERROR(__xludf.DUMMYFUNCTION("""COMPUTED_VALUE"""),"CHEM 015L KS-06")</f>
        <v>CHEM 015L KS-06</v>
      </c>
    </row>
    <row r="276">
      <c r="A276" s="14" t="s">
        <v>670</v>
      </c>
      <c r="C276" s="14" t="s">
        <v>664</v>
      </c>
      <c r="G276" s="15" t="str">
        <f>IFERROR(__xludf.DUMMYFUNCTION("""COMPUTED_VALUE"""),"CHEM 015L KS-07")</f>
        <v>CHEM 015L KS-07</v>
      </c>
    </row>
    <row r="277">
      <c r="A277" s="14" t="s">
        <v>671</v>
      </c>
      <c r="C277" s="14" t="s">
        <v>664</v>
      </c>
      <c r="G277" s="15" t="str">
        <f>IFERROR(__xludf.DUMMYFUNCTION("""COMPUTED_VALUE"""),"CHEM 015L KS-08")</f>
        <v>CHEM 015L KS-08</v>
      </c>
    </row>
    <row r="278">
      <c r="A278" s="14" t="s">
        <v>672</v>
      </c>
      <c r="C278" s="14" t="s">
        <v>673</v>
      </c>
      <c r="G278" s="15" t="str">
        <f>IFERROR(__xludf.DUMMYFUNCTION("""COMPUTED_VALUE"""),"CHEM 023B HM-01")</f>
        <v>CHEM 023B HM-01</v>
      </c>
    </row>
    <row r="279">
      <c r="A279" s="14" t="s">
        <v>674</v>
      </c>
      <c r="C279" s="14" t="s">
        <v>673</v>
      </c>
      <c r="G279" s="15" t="str">
        <f>IFERROR(__xludf.DUMMYFUNCTION("""COMPUTED_VALUE"""),"CHEM 023B HM-02")</f>
        <v>CHEM 023B HM-02</v>
      </c>
    </row>
    <row r="280">
      <c r="A280" s="14" t="s">
        <v>675</v>
      </c>
      <c r="C280" s="14" t="s">
        <v>673</v>
      </c>
      <c r="G280" s="15" t="str">
        <f>IFERROR(__xludf.DUMMYFUNCTION("""COMPUTED_VALUE"""),"CHEM 023B HM-03")</f>
        <v>CHEM 023B HM-03</v>
      </c>
    </row>
    <row r="281">
      <c r="A281" s="14" t="s">
        <v>676</v>
      </c>
      <c r="C281" s="14" t="s">
        <v>673</v>
      </c>
      <c r="G281" s="15" t="str">
        <f>IFERROR(__xludf.DUMMYFUNCTION("""COMPUTED_VALUE"""),"CHEM 023B HM-04")</f>
        <v>CHEM 023B HM-04</v>
      </c>
    </row>
    <row r="282">
      <c r="A282" s="14" t="s">
        <v>677</v>
      </c>
      <c r="C282" s="14" t="s">
        <v>673</v>
      </c>
      <c r="G282" s="15" t="str">
        <f>IFERROR(__xludf.DUMMYFUNCTION("""COMPUTED_VALUE"""),"CHEM 023B HM-05")</f>
        <v>CHEM 023B HM-05</v>
      </c>
    </row>
    <row r="283">
      <c r="A283" s="14" t="s">
        <v>678</v>
      </c>
      <c r="C283" s="14" t="s">
        <v>673</v>
      </c>
      <c r="G283" s="15" t="str">
        <f>IFERROR(__xludf.DUMMYFUNCTION("""COMPUTED_VALUE"""),"CHEM 023B HM-06")</f>
        <v>CHEM 023B HM-06</v>
      </c>
    </row>
    <row r="284">
      <c r="A284" s="14" t="s">
        <v>679</v>
      </c>
      <c r="C284" s="14" t="s">
        <v>673</v>
      </c>
      <c r="G284" s="15" t="str">
        <f>IFERROR(__xludf.DUMMYFUNCTION("""COMPUTED_VALUE"""),"CHEM 023B HM-07")</f>
        <v>CHEM 023B HM-07</v>
      </c>
    </row>
    <row r="285">
      <c r="A285" s="14" t="s">
        <v>680</v>
      </c>
      <c r="C285" s="14" t="s">
        <v>63</v>
      </c>
      <c r="G285" s="15" t="str">
        <f>IFERROR(__xludf.DUMMYFUNCTION("""COMPUTED_VALUE"""),"CHEM 024 HM-01")</f>
        <v>CHEM 024 HM-01</v>
      </c>
    </row>
    <row r="286">
      <c r="A286" s="14" t="s">
        <v>681</v>
      </c>
      <c r="C286" s="14" t="s">
        <v>63</v>
      </c>
      <c r="G286" s="15" t="str">
        <f>IFERROR(__xludf.DUMMYFUNCTION("""COMPUTED_VALUE"""),"CHEM 024 HM-02")</f>
        <v>CHEM 024 HM-02</v>
      </c>
    </row>
    <row r="287">
      <c r="A287" s="14" t="s">
        <v>682</v>
      </c>
      <c r="C287" s="14" t="s">
        <v>63</v>
      </c>
      <c r="G287" s="15" t="str">
        <f>IFERROR(__xludf.DUMMYFUNCTION("""COMPUTED_VALUE"""),"CHEM 024 HM-03")</f>
        <v>CHEM 024 HM-03</v>
      </c>
    </row>
    <row r="288">
      <c r="A288" s="14" t="s">
        <v>683</v>
      </c>
      <c r="C288" s="14" t="s">
        <v>684</v>
      </c>
      <c r="G288" s="15" t="str">
        <f>IFERROR(__xludf.DUMMYFUNCTION("""COMPUTED_VALUE"""),"CHEM 056 HM-01")</f>
        <v>CHEM 056 HM-01</v>
      </c>
    </row>
    <row r="289">
      <c r="A289" s="14" t="s">
        <v>685</v>
      </c>
      <c r="C289" s="14" t="s">
        <v>686</v>
      </c>
      <c r="G289" s="15" t="str">
        <f>IFERROR(__xludf.DUMMYFUNCTION("""COMPUTED_VALUE"""),"CHEM 058 HM-01")</f>
        <v>CHEM 058 HM-01</v>
      </c>
    </row>
    <row r="290">
      <c r="A290" s="14" t="s">
        <v>687</v>
      </c>
      <c r="C290" s="14" t="s">
        <v>688</v>
      </c>
      <c r="G290" s="15" t="str">
        <f>IFERROR(__xludf.DUMMYFUNCTION("""COMPUTED_VALUE"""),"CHEM 070L KS-01")</f>
        <v>CHEM 070L KS-01</v>
      </c>
    </row>
    <row r="291">
      <c r="A291" s="14" t="s">
        <v>689</v>
      </c>
      <c r="C291" s="14" t="s">
        <v>690</v>
      </c>
      <c r="G291" s="15" t="str">
        <f>IFERROR(__xludf.DUMMYFUNCTION("""COMPUTED_VALUE"""),"CHEM 104 HM-01")</f>
        <v>CHEM 104 HM-01</v>
      </c>
    </row>
    <row r="292">
      <c r="A292" s="14" t="s">
        <v>691</v>
      </c>
      <c r="C292" s="14" t="s">
        <v>692</v>
      </c>
      <c r="G292" s="15" t="str">
        <f>IFERROR(__xludf.DUMMYFUNCTION("""COMPUTED_VALUE"""),"CHEM 106 PO-01")</f>
        <v>CHEM 106 PO-01</v>
      </c>
    </row>
    <row r="293">
      <c r="A293" s="14" t="s">
        <v>693</v>
      </c>
      <c r="C293" s="14" t="s">
        <v>694</v>
      </c>
      <c r="G293" s="15" t="str">
        <f>IFERROR(__xludf.DUMMYFUNCTION("""COMPUTED_VALUE"""),"CHEM 110 HM-01")</f>
        <v>CHEM 110 HM-01</v>
      </c>
    </row>
    <row r="294">
      <c r="A294" s="14" t="s">
        <v>695</v>
      </c>
      <c r="C294" s="14" t="s">
        <v>696</v>
      </c>
      <c r="G294" s="15" t="str">
        <f>IFERROR(__xludf.DUMMYFUNCTION("""COMPUTED_VALUE"""),"CHEM 110B PO-01")</f>
        <v>CHEM 110B PO-01</v>
      </c>
    </row>
    <row r="295">
      <c r="A295" s="14" t="s">
        <v>697</v>
      </c>
      <c r="C295" s="14" t="s">
        <v>696</v>
      </c>
      <c r="G295" s="15" t="str">
        <f>IFERROR(__xludf.DUMMYFUNCTION("""COMPUTED_VALUE"""),"CHEM 110B PO-02")</f>
        <v>CHEM 110B PO-02</v>
      </c>
    </row>
    <row r="296">
      <c r="A296" s="14" t="s">
        <v>698</v>
      </c>
      <c r="C296" s="14" t="s">
        <v>696</v>
      </c>
      <c r="G296" s="15" t="str">
        <f>IFERROR(__xludf.DUMMYFUNCTION("""COMPUTED_VALUE"""),"CHEM 110B PO-03")</f>
        <v>CHEM 110B PO-03</v>
      </c>
    </row>
    <row r="297">
      <c r="A297" s="14" t="s">
        <v>699</v>
      </c>
      <c r="C297" s="14" t="s">
        <v>700</v>
      </c>
      <c r="G297" s="15" t="str">
        <f>IFERROR(__xludf.DUMMYFUNCTION("""COMPUTED_VALUE"""),"CHEM 112 HM-01")</f>
        <v>CHEM 112 HM-01</v>
      </c>
    </row>
    <row r="298">
      <c r="A298" s="14" t="s">
        <v>701</v>
      </c>
      <c r="C298" s="14" t="s">
        <v>700</v>
      </c>
      <c r="G298" s="15" t="str">
        <f>IFERROR(__xludf.DUMMYFUNCTION("""COMPUTED_VALUE"""),"CHEM 112 PO-01")</f>
        <v>CHEM 112 PO-01</v>
      </c>
    </row>
    <row r="299">
      <c r="A299" s="14" t="s">
        <v>702</v>
      </c>
      <c r="C299" s="14" t="s">
        <v>703</v>
      </c>
      <c r="G299" s="15" t="str">
        <f>IFERROR(__xludf.DUMMYFUNCTION("""COMPUTED_VALUE"""),"CHEM 114 HM-01")</f>
        <v>CHEM 114 HM-01</v>
      </c>
    </row>
    <row r="300">
      <c r="A300" s="14" t="s">
        <v>704</v>
      </c>
      <c r="C300" s="14" t="s">
        <v>705</v>
      </c>
      <c r="G300" s="15" t="str">
        <f>IFERROR(__xludf.DUMMYFUNCTION("""COMPUTED_VALUE"""),"CHEM 115 PO-01")</f>
        <v>CHEM 115 PO-01</v>
      </c>
    </row>
    <row r="301">
      <c r="A301" s="14" t="s">
        <v>706</v>
      </c>
      <c r="C301" s="14" t="s">
        <v>707</v>
      </c>
      <c r="G301" s="15" t="str">
        <f>IFERROR(__xludf.DUMMYFUNCTION("""COMPUTED_VALUE"""),"CHEM 115L PO-01")</f>
        <v>CHEM 115L PO-01</v>
      </c>
    </row>
    <row r="302">
      <c r="A302" s="14" t="s">
        <v>708</v>
      </c>
      <c r="C302" s="14" t="s">
        <v>707</v>
      </c>
      <c r="G302" s="15" t="str">
        <f>IFERROR(__xludf.DUMMYFUNCTION("""COMPUTED_VALUE"""),"CHEM 115L PO-02")</f>
        <v>CHEM 115L PO-02</v>
      </c>
    </row>
    <row r="303">
      <c r="A303" s="14" t="s">
        <v>709</v>
      </c>
      <c r="C303" s="14" t="s">
        <v>710</v>
      </c>
      <c r="G303" s="15" t="str">
        <f>IFERROR(__xludf.DUMMYFUNCTION("""COMPUTED_VALUE"""),"CHEM 117L KS-01")</f>
        <v>CHEM 117L KS-01</v>
      </c>
    </row>
    <row r="304">
      <c r="A304" s="14" t="s">
        <v>711</v>
      </c>
      <c r="C304" s="14" t="s">
        <v>710</v>
      </c>
      <c r="G304" s="15" t="str">
        <f>IFERROR(__xludf.DUMMYFUNCTION("""COMPUTED_VALUE"""),"CHEM 117L KS-02")</f>
        <v>CHEM 117L KS-02</v>
      </c>
    </row>
    <row r="305">
      <c r="A305" s="14" t="s">
        <v>712</v>
      </c>
      <c r="C305" s="14" t="s">
        <v>710</v>
      </c>
      <c r="G305" s="15" t="str">
        <f>IFERROR(__xludf.DUMMYFUNCTION("""COMPUTED_VALUE"""),"CHEM 117L KS-03")</f>
        <v>CHEM 117L KS-03</v>
      </c>
    </row>
    <row r="306">
      <c r="A306" s="14" t="s">
        <v>713</v>
      </c>
      <c r="C306" s="14" t="s">
        <v>710</v>
      </c>
      <c r="G306" s="15" t="str">
        <f>IFERROR(__xludf.DUMMYFUNCTION("""COMPUTED_VALUE"""),"CHEM 117L KS-04")</f>
        <v>CHEM 117L KS-04</v>
      </c>
    </row>
    <row r="307">
      <c r="A307" s="14" t="s">
        <v>714</v>
      </c>
      <c r="C307" s="14" t="s">
        <v>715</v>
      </c>
      <c r="G307" s="15" t="str">
        <f>IFERROR(__xludf.DUMMYFUNCTION("""COMPUTED_VALUE"""),"CHEM 117LX KS-01")</f>
        <v>CHEM 117LX KS-01</v>
      </c>
    </row>
    <row r="308">
      <c r="A308" s="14" t="s">
        <v>716</v>
      </c>
      <c r="C308" s="14" t="s">
        <v>715</v>
      </c>
      <c r="G308" s="15" t="str">
        <f>IFERROR(__xludf.DUMMYFUNCTION("""COMPUTED_VALUE"""),"CHEM 117LX KS-02")</f>
        <v>CHEM 117LX KS-02</v>
      </c>
    </row>
    <row r="309">
      <c r="A309" s="14" t="s">
        <v>717</v>
      </c>
      <c r="C309" s="14" t="s">
        <v>715</v>
      </c>
      <c r="G309" s="15" t="str">
        <f>IFERROR(__xludf.DUMMYFUNCTION("""COMPUTED_VALUE"""),"CHEM 117LX KS-03")</f>
        <v>CHEM 117LX KS-03</v>
      </c>
    </row>
    <row r="310">
      <c r="A310" s="14" t="s">
        <v>718</v>
      </c>
      <c r="C310" s="14" t="s">
        <v>715</v>
      </c>
      <c r="G310" s="15" t="str">
        <f>IFERROR(__xludf.DUMMYFUNCTION("""COMPUTED_VALUE"""),"CHEM 117LX KS-04")</f>
        <v>CHEM 117LX KS-04</v>
      </c>
    </row>
    <row r="311">
      <c r="A311" s="14" t="s">
        <v>719</v>
      </c>
      <c r="C311" s="14" t="s">
        <v>715</v>
      </c>
      <c r="G311" s="15" t="str">
        <f>IFERROR(__xludf.DUMMYFUNCTION("""COMPUTED_VALUE"""),"CHEM 117LX KS-05")</f>
        <v>CHEM 117LX KS-05</v>
      </c>
    </row>
    <row r="312">
      <c r="A312" s="14" t="s">
        <v>720</v>
      </c>
      <c r="C312" s="14" t="s">
        <v>715</v>
      </c>
      <c r="G312" s="15" t="str">
        <f>IFERROR(__xludf.DUMMYFUNCTION("""COMPUTED_VALUE"""),"CHEM 117LX KS-06")</f>
        <v>CHEM 117LX KS-06</v>
      </c>
    </row>
    <row r="313">
      <c r="A313" s="14" t="s">
        <v>721</v>
      </c>
      <c r="C313" s="14" t="s">
        <v>715</v>
      </c>
      <c r="G313" s="15" t="str">
        <f>IFERROR(__xludf.DUMMYFUNCTION("""COMPUTED_VALUE"""),"CHEM 117LX KS-07")</f>
        <v>CHEM 117LX KS-07</v>
      </c>
    </row>
    <row r="314">
      <c r="A314" s="14" t="s">
        <v>722</v>
      </c>
      <c r="C314" s="14" t="s">
        <v>715</v>
      </c>
      <c r="G314" s="15" t="str">
        <f>IFERROR(__xludf.DUMMYFUNCTION("""COMPUTED_VALUE"""),"CHEM 117LX KS-08")</f>
        <v>CHEM 117LX KS-08</v>
      </c>
    </row>
    <row r="315">
      <c r="A315" s="14" t="s">
        <v>723</v>
      </c>
      <c r="C315" s="14" t="s">
        <v>715</v>
      </c>
      <c r="G315" s="15" t="str">
        <f>IFERROR(__xludf.DUMMYFUNCTION("""COMPUTED_VALUE"""),"CHEM 117LX KS-09")</f>
        <v>CHEM 117LX KS-09</v>
      </c>
    </row>
    <row r="316">
      <c r="A316" s="14" t="s">
        <v>724</v>
      </c>
      <c r="C316" s="14" t="s">
        <v>715</v>
      </c>
      <c r="G316" s="15" t="str">
        <f>IFERROR(__xludf.DUMMYFUNCTION("""COMPUTED_VALUE"""),"CHEM 117LX KS-10")</f>
        <v>CHEM 117LX KS-10</v>
      </c>
    </row>
    <row r="317">
      <c r="A317" s="14" t="s">
        <v>725</v>
      </c>
      <c r="C317" s="14" t="s">
        <v>726</v>
      </c>
      <c r="G317" s="15" t="str">
        <f>IFERROR(__xludf.DUMMYFUNCTION("""COMPUTED_VALUE"""),"CHEM 121 KS-01")</f>
        <v>CHEM 121 KS-01</v>
      </c>
    </row>
    <row r="318">
      <c r="A318" s="14" t="s">
        <v>727</v>
      </c>
      <c r="C318" s="14" t="s">
        <v>728</v>
      </c>
      <c r="G318" s="15" t="str">
        <f>IFERROR(__xludf.DUMMYFUNCTION("""COMPUTED_VALUE"""),"CHEM 125L KS-01")</f>
        <v>CHEM 125L KS-01</v>
      </c>
    </row>
    <row r="319">
      <c r="A319" s="14" t="s">
        <v>729</v>
      </c>
      <c r="C319" s="14" t="s">
        <v>730</v>
      </c>
      <c r="G319" s="15" t="str">
        <f>IFERROR(__xludf.DUMMYFUNCTION("""COMPUTED_VALUE"""),"CHEM 127L KS-01")</f>
        <v>CHEM 127L KS-01</v>
      </c>
    </row>
    <row r="320">
      <c r="A320" s="14" t="s">
        <v>731</v>
      </c>
      <c r="C320" s="14" t="s">
        <v>732</v>
      </c>
      <c r="G320" s="15" t="str">
        <f>IFERROR(__xludf.DUMMYFUNCTION("""COMPUTED_VALUE"""),"CHEM 147 PO-01")</f>
        <v>CHEM 147 PO-01</v>
      </c>
    </row>
    <row r="321">
      <c r="A321" s="14" t="s">
        <v>733</v>
      </c>
      <c r="C321" s="14" t="s">
        <v>734</v>
      </c>
      <c r="G321" s="15" t="str">
        <f>IFERROR(__xludf.DUMMYFUNCTION("""COMPUTED_VALUE"""),"CHEM 150 HM-01")</f>
        <v>CHEM 150 HM-01</v>
      </c>
    </row>
    <row r="322">
      <c r="A322" s="14" t="s">
        <v>735</v>
      </c>
      <c r="C322" s="14" t="s">
        <v>736</v>
      </c>
      <c r="G322" s="15" t="str">
        <f>IFERROR(__xludf.DUMMYFUNCTION("""COMPUTED_VALUE"""),"CHEM 152 HM-01")</f>
        <v>CHEM 152 HM-01</v>
      </c>
    </row>
    <row r="323">
      <c r="A323" s="14" t="s">
        <v>737</v>
      </c>
      <c r="C323" s="14" t="s">
        <v>736</v>
      </c>
      <c r="G323" s="15" t="str">
        <f>IFERROR(__xludf.DUMMYFUNCTION("""COMPUTED_VALUE"""),"CHEM 152 HM-02")</f>
        <v>CHEM 152 HM-02</v>
      </c>
    </row>
    <row r="324">
      <c r="A324" s="14" t="s">
        <v>738</v>
      </c>
      <c r="C324" s="14" t="s">
        <v>736</v>
      </c>
      <c r="G324" s="15" t="str">
        <f>IFERROR(__xludf.DUMMYFUNCTION("""COMPUTED_VALUE"""),"CHEM 152 HM-03")</f>
        <v>CHEM 152 HM-03</v>
      </c>
    </row>
    <row r="325">
      <c r="A325" s="14" t="s">
        <v>739</v>
      </c>
      <c r="C325" s="14" t="s">
        <v>736</v>
      </c>
      <c r="G325" s="15" t="str">
        <f>IFERROR(__xludf.DUMMYFUNCTION("""COMPUTED_VALUE"""),"CHEM 152 HM-04")</f>
        <v>CHEM 152 HM-04</v>
      </c>
    </row>
    <row r="326">
      <c r="A326" s="14" t="s">
        <v>740</v>
      </c>
      <c r="C326" s="14" t="s">
        <v>736</v>
      </c>
      <c r="G326" s="15" t="str">
        <f>IFERROR(__xludf.DUMMYFUNCTION("""COMPUTED_VALUE"""),"CHEM 152 HM-05")</f>
        <v>CHEM 152 HM-05</v>
      </c>
    </row>
    <row r="327">
      <c r="A327" s="14" t="s">
        <v>741</v>
      </c>
      <c r="C327" s="14" t="s">
        <v>736</v>
      </c>
      <c r="G327" s="15" t="str">
        <f>IFERROR(__xludf.DUMMYFUNCTION("""COMPUTED_VALUE"""),"CHEM 152 HM-06")</f>
        <v>CHEM 152 HM-06</v>
      </c>
    </row>
    <row r="328">
      <c r="A328" s="14" t="s">
        <v>742</v>
      </c>
      <c r="C328" s="14" t="s">
        <v>736</v>
      </c>
      <c r="G328" s="15" t="str">
        <f>IFERROR(__xludf.DUMMYFUNCTION("""COMPUTED_VALUE"""),"CHEM 152 HM-07")</f>
        <v>CHEM 152 HM-07</v>
      </c>
    </row>
    <row r="329">
      <c r="A329" s="14" t="s">
        <v>743</v>
      </c>
      <c r="C329" s="14" t="s">
        <v>736</v>
      </c>
      <c r="G329" s="15" t="str">
        <f>IFERROR(__xludf.DUMMYFUNCTION("""COMPUTED_VALUE"""),"CHEM 152 HM-08")</f>
        <v>CHEM 152 HM-08</v>
      </c>
    </row>
    <row r="330">
      <c r="A330" s="14" t="s">
        <v>744</v>
      </c>
      <c r="C330" s="14" t="s">
        <v>736</v>
      </c>
      <c r="G330" s="15" t="str">
        <f>IFERROR(__xludf.DUMMYFUNCTION("""COMPUTED_VALUE"""),"CHEM 152 HM-09")</f>
        <v>CHEM 152 HM-09</v>
      </c>
    </row>
    <row r="331">
      <c r="A331" s="14" t="s">
        <v>745</v>
      </c>
      <c r="C331" s="14" t="s">
        <v>736</v>
      </c>
      <c r="G331" s="15" t="str">
        <f>IFERROR(__xludf.DUMMYFUNCTION("""COMPUTED_VALUE"""),"CHEM 152 HM-10")</f>
        <v>CHEM 152 HM-10</v>
      </c>
    </row>
    <row r="332">
      <c r="A332" s="14" t="s">
        <v>746</v>
      </c>
      <c r="C332" s="14" t="s">
        <v>736</v>
      </c>
      <c r="G332" s="15" t="str">
        <f>IFERROR(__xludf.DUMMYFUNCTION("""COMPUTED_VALUE"""),"CHEM 152 HM-11")</f>
        <v>CHEM 152 HM-11</v>
      </c>
    </row>
    <row r="333">
      <c r="A333" s="14" t="s">
        <v>747</v>
      </c>
      <c r="C333" s="14" t="s">
        <v>736</v>
      </c>
      <c r="G333" s="15" t="str">
        <f>IFERROR(__xludf.DUMMYFUNCTION("""COMPUTED_VALUE"""),"CHEM 152 HM-12")</f>
        <v>CHEM 152 HM-12</v>
      </c>
    </row>
    <row r="334">
      <c r="A334" s="14" t="s">
        <v>748</v>
      </c>
      <c r="C334" s="14" t="s">
        <v>736</v>
      </c>
      <c r="G334" s="15" t="str">
        <f>IFERROR(__xludf.DUMMYFUNCTION("""COMPUTED_VALUE"""),"CHEM 152 HM-13")</f>
        <v>CHEM 152 HM-13</v>
      </c>
    </row>
    <row r="335">
      <c r="A335" s="14" t="s">
        <v>749</v>
      </c>
      <c r="C335" s="14" t="s">
        <v>736</v>
      </c>
      <c r="G335" s="15" t="str">
        <f>IFERROR(__xludf.DUMMYFUNCTION("""COMPUTED_VALUE"""),"CHEM 152 HM-14")</f>
        <v>CHEM 152 HM-14</v>
      </c>
    </row>
    <row r="336">
      <c r="A336" s="14" t="s">
        <v>750</v>
      </c>
      <c r="C336" s="14" t="s">
        <v>736</v>
      </c>
      <c r="G336" s="15" t="str">
        <f>IFERROR(__xludf.DUMMYFUNCTION("""COMPUTED_VALUE"""),"CHEM 152 HM-15")</f>
        <v>CHEM 152 HM-15</v>
      </c>
    </row>
    <row r="337">
      <c r="A337" s="14" t="s">
        <v>751</v>
      </c>
      <c r="C337" s="14" t="s">
        <v>736</v>
      </c>
      <c r="G337" s="15" t="str">
        <f>IFERROR(__xludf.DUMMYFUNCTION("""COMPUTED_VALUE"""),"CHEM 152 HM-16")</f>
        <v>CHEM 152 HM-16</v>
      </c>
    </row>
    <row r="338">
      <c r="A338" s="14" t="s">
        <v>752</v>
      </c>
      <c r="C338" s="14" t="s">
        <v>753</v>
      </c>
      <c r="G338" s="15" t="str">
        <f>IFERROR(__xludf.DUMMYFUNCTION("""COMPUTED_VALUE"""),"CHEM 156 PO-01")</f>
        <v>CHEM 156 PO-01</v>
      </c>
    </row>
    <row r="339">
      <c r="A339" s="14" t="s">
        <v>754</v>
      </c>
      <c r="C339" s="14" t="s">
        <v>755</v>
      </c>
      <c r="G339" s="15" t="str">
        <f>IFERROR(__xludf.DUMMYFUNCTION("""COMPUTED_VALUE"""),"CHEM 158B PO-01")</f>
        <v>CHEM 158B PO-01</v>
      </c>
    </row>
    <row r="340">
      <c r="A340" s="14" t="s">
        <v>756</v>
      </c>
      <c r="C340" s="14" t="s">
        <v>757</v>
      </c>
      <c r="G340" s="15" t="str">
        <f>IFERROR(__xludf.DUMMYFUNCTION("""COMPUTED_VALUE"""),"CHEM 158BL PO-01")</f>
        <v>CHEM 158BL PO-01</v>
      </c>
    </row>
    <row r="341">
      <c r="A341" s="14" t="s">
        <v>758</v>
      </c>
      <c r="C341" s="14" t="s">
        <v>757</v>
      </c>
      <c r="G341" s="15" t="str">
        <f>IFERROR(__xludf.DUMMYFUNCTION("""COMPUTED_VALUE"""),"CHEM 158BL PO-02")</f>
        <v>CHEM 158BL PO-02</v>
      </c>
    </row>
    <row r="342">
      <c r="A342" s="14" t="s">
        <v>759</v>
      </c>
      <c r="C342" s="14" t="s">
        <v>760</v>
      </c>
      <c r="G342" s="15" t="str">
        <f>IFERROR(__xludf.DUMMYFUNCTION("""COMPUTED_VALUE"""),"CHEM 162 PO-01")</f>
        <v>CHEM 162 PO-01</v>
      </c>
    </row>
    <row r="343">
      <c r="A343" s="14" t="s">
        <v>761</v>
      </c>
      <c r="C343" s="14" t="s">
        <v>760</v>
      </c>
      <c r="G343" s="15" t="str">
        <f>IFERROR(__xludf.DUMMYFUNCTION("""COMPUTED_VALUE"""),"CHEM 162 PO-02")</f>
        <v>CHEM 162 PO-02</v>
      </c>
    </row>
    <row r="344">
      <c r="A344" s="14" t="s">
        <v>762</v>
      </c>
      <c r="C344" s="14" t="s">
        <v>763</v>
      </c>
      <c r="G344" s="15" t="str">
        <f>IFERROR(__xludf.DUMMYFUNCTION("""COMPUTED_VALUE"""),"CHEM 164 PO-01")</f>
        <v>CHEM 164 PO-01</v>
      </c>
    </row>
    <row r="345">
      <c r="A345" s="14" t="s">
        <v>764</v>
      </c>
      <c r="C345" s="14" t="s">
        <v>765</v>
      </c>
      <c r="G345" s="15" t="str">
        <f>IFERROR(__xludf.DUMMYFUNCTION("""COMPUTED_VALUE"""),"CHEM 177 KS-01")</f>
        <v>CHEM 177 KS-01</v>
      </c>
    </row>
    <row r="346">
      <c r="A346" s="14" t="s">
        <v>766</v>
      </c>
      <c r="C346" s="14" t="s">
        <v>767</v>
      </c>
      <c r="G346" s="15" t="str">
        <f>IFERROR(__xludf.DUMMYFUNCTION("""COMPUTED_VALUE"""),"CHEM 181 PO-01")</f>
        <v>CHEM 181 PO-01</v>
      </c>
    </row>
    <row r="347">
      <c r="A347" s="14" t="s">
        <v>768</v>
      </c>
      <c r="C347" s="14" t="s">
        <v>769</v>
      </c>
      <c r="G347" s="15" t="str">
        <f>IFERROR(__xludf.DUMMYFUNCTION("""COMPUTED_VALUE"""),"CHEM 182 HM-01")</f>
        <v>CHEM 182 HM-01</v>
      </c>
    </row>
    <row r="348">
      <c r="A348" s="14" t="s">
        <v>770</v>
      </c>
      <c r="C348" s="14" t="s">
        <v>771</v>
      </c>
      <c r="G348" s="15" t="str">
        <f>IFERROR(__xludf.DUMMYFUNCTION("""COMPUTED_VALUE"""),"CHEM 184 HM-01")</f>
        <v>CHEM 184 HM-01</v>
      </c>
    </row>
    <row r="349">
      <c r="A349" s="14" t="s">
        <v>772</v>
      </c>
      <c r="C349" s="14" t="s">
        <v>773</v>
      </c>
      <c r="G349" s="15" t="str">
        <f>IFERROR(__xludf.DUMMYFUNCTION("""COMPUTED_VALUE"""),"CHEM 188L KS-01")</f>
        <v>CHEM 188L KS-01</v>
      </c>
    </row>
    <row r="350">
      <c r="A350" s="14" t="s">
        <v>774</v>
      </c>
      <c r="C350" s="14" t="s">
        <v>775</v>
      </c>
      <c r="G350" s="15" t="str">
        <f>IFERROR(__xludf.DUMMYFUNCTION("""COMPUTED_VALUE"""),"CHEM 189L KS-01")</f>
        <v>CHEM 189L KS-01</v>
      </c>
    </row>
    <row r="351">
      <c r="A351" s="14" t="s">
        <v>776</v>
      </c>
      <c r="C351" s="14" t="s">
        <v>777</v>
      </c>
      <c r="G351" s="15" t="str">
        <f>IFERROR(__xludf.DUMMYFUNCTION("""COMPUTED_VALUE"""),"CHEM 190 HM-01")</f>
        <v>CHEM 190 HM-01</v>
      </c>
    </row>
    <row r="352">
      <c r="A352" s="14" t="s">
        <v>778</v>
      </c>
      <c r="C352" s="14" t="s">
        <v>779</v>
      </c>
      <c r="G352" s="15" t="str">
        <f>IFERROR(__xludf.DUMMYFUNCTION("""COMPUTED_VALUE"""),"CHEM 190L KS-01")</f>
        <v>CHEM 190L KS-01</v>
      </c>
    </row>
    <row r="353">
      <c r="A353" s="14" t="s">
        <v>780</v>
      </c>
      <c r="C353" s="14" t="s">
        <v>781</v>
      </c>
      <c r="G353" s="15" t="str">
        <f>IFERROR(__xludf.DUMMYFUNCTION("""COMPUTED_VALUE"""),"CHEM 191 KS-01")</f>
        <v>CHEM 191 KS-01</v>
      </c>
    </row>
    <row r="354">
      <c r="A354" s="14" t="s">
        <v>782</v>
      </c>
      <c r="C354" s="14" t="s">
        <v>781</v>
      </c>
      <c r="G354" s="15" t="str">
        <f>IFERROR(__xludf.DUMMYFUNCTION("""COMPUTED_VALUE"""),"CHEM 191 PO-04")</f>
        <v>CHEM 191 PO-04</v>
      </c>
    </row>
    <row r="355">
      <c r="A355" s="14" t="s">
        <v>783</v>
      </c>
      <c r="C355" s="14" t="s">
        <v>781</v>
      </c>
      <c r="G355" s="15" t="str">
        <f>IFERROR(__xludf.DUMMYFUNCTION("""COMPUTED_VALUE"""),"CHEM 191 PO-08")</f>
        <v>CHEM 191 PO-08</v>
      </c>
    </row>
    <row r="356">
      <c r="A356" s="14" t="s">
        <v>784</v>
      </c>
      <c r="C356" s="14" t="s">
        <v>781</v>
      </c>
      <c r="G356" s="15" t="str">
        <f>IFERROR(__xludf.DUMMYFUNCTION("""COMPUTED_VALUE"""),"CHEM 191 PO-16")</f>
        <v>CHEM 191 PO-16</v>
      </c>
    </row>
    <row r="357">
      <c r="A357" s="14" t="s">
        <v>785</v>
      </c>
      <c r="C357" s="14" t="s">
        <v>781</v>
      </c>
      <c r="G357" s="15" t="str">
        <f>IFERROR(__xludf.DUMMYFUNCTION("""COMPUTED_VALUE"""),"CHEM 191 PO-20")</f>
        <v>CHEM 191 PO-20</v>
      </c>
    </row>
    <row r="358">
      <c r="A358" s="14" t="s">
        <v>786</v>
      </c>
      <c r="C358" s="14" t="s">
        <v>781</v>
      </c>
      <c r="G358" s="15" t="str">
        <f>IFERROR(__xludf.DUMMYFUNCTION("""COMPUTED_VALUE"""),"CHEM 191 PO-24")</f>
        <v>CHEM 191 PO-24</v>
      </c>
    </row>
    <row r="359">
      <c r="A359" s="14" t="s">
        <v>787</v>
      </c>
      <c r="C359" s="14" t="s">
        <v>781</v>
      </c>
      <c r="G359" s="15" t="str">
        <f>IFERROR(__xludf.DUMMYFUNCTION("""COMPUTED_VALUE"""),"CHEM 191 PO-28")</f>
        <v>CHEM 191 PO-28</v>
      </c>
    </row>
    <row r="360">
      <c r="A360" s="14" t="s">
        <v>788</v>
      </c>
      <c r="C360" s="14" t="s">
        <v>781</v>
      </c>
      <c r="G360" s="15" t="str">
        <f>IFERROR(__xludf.DUMMYFUNCTION("""COMPUTED_VALUE"""),"CHEM 191 PO-32")</f>
        <v>CHEM 191 PO-32</v>
      </c>
    </row>
    <row r="361">
      <c r="A361" s="14" t="s">
        <v>789</v>
      </c>
      <c r="C361" s="14" t="s">
        <v>781</v>
      </c>
      <c r="G361" s="15" t="str">
        <f>IFERROR(__xludf.DUMMYFUNCTION("""COMPUTED_VALUE"""),"CHEM 191 PO-36")</f>
        <v>CHEM 191 PO-36</v>
      </c>
    </row>
    <row r="362">
      <c r="A362" s="14" t="s">
        <v>790</v>
      </c>
      <c r="C362" s="14" t="s">
        <v>781</v>
      </c>
      <c r="G362" s="15" t="str">
        <f>IFERROR(__xludf.DUMMYFUNCTION("""COMPUTED_VALUE"""),"CHEM 191 PO-40")</f>
        <v>CHEM 191 PO-40</v>
      </c>
    </row>
    <row r="363">
      <c r="A363" s="14" t="s">
        <v>791</v>
      </c>
      <c r="C363" s="14" t="s">
        <v>792</v>
      </c>
      <c r="G363" s="15" t="str">
        <f>IFERROR(__xludf.DUMMYFUNCTION("""COMPUTED_VALUE"""),"CHEM 194 PO-04")</f>
        <v>CHEM 194 PO-04</v>
      </c>
    </row>
    <row r="364">
      <c r="A364" s="14" t="s">
        <v>793</v>
      </c>
      <c r="C364" s="14" t="s">
        <v>792</v>
      </c>
      <c r="G364" s="15" t="str">
        <f>IFERROR(__xludf.DUMMYFUNCTION("""COMPUTED_VALUE"""),"CHEM 194 PO-08")</f>
        <v>CHEM 194 PO-08</v>
      </c>
    </row>
    <row r="365">
      <c r="A365" s="14" t="s">
        <v>794</v>
      </c>
      <c r="C365" s="14" t="s">
        <v>792</v>
      </c>
      <c r="G365" s="15" t="str">
        <f>IFERROR(__xludf.DUMMYFUNCTION("""COMPUTED_VALUE"""),"CHEM 194 PO-12")</f>
        <v>CHEM 194 PO-12</v>
      </c>
    </row>
    <row r="366">
      <c r="A366" s="14" t="s">
        <v>795</v>
      </c>
      <c r="C366" s="14" t="s">
        <v>792</v>
      </c>
      <c r="G366" s="15" t="str">
        <f>IFERROR(__xludf.DUMMYFUNCTION("""COMPUTED_VALUE"""),"CHEM 194 PO-16")</f>
        <v>CHEM 194 PO-16</v>
      </c>
    </row>
    <row r="367">
      <c r="A367" s="14" t="s">
        <v>796</v>
      </c>
      <c r="C367" s="14" t="s">
        <v>792</v>
      </c>
      <c r="G367" s="15" t="str">
        <f>IFERROR(__xludf.DUMMYFUNCTION("""COMPUTED_VALUE"""),"CHEM 194 PO-20")</f>
        <v>CHEM 194 PO-20</v>
      </c>
    </row>
    <row r="368">
      <c r="A368" s="14" t="s">
        <v>797</v>
      </c>
      <c r="C368" s="14" t="s">
        <v>792</v>
      </c>
      <c r="G368" s="15" t="str">
        <f>IFERROR(__xludf.DUMMYFUNCTION("""COMPUTED_VALUE"""),"CHEM 194 PO-24")</f>
        <v>CHEM 194 PO-24</v>
      </c>
    </row>
    <row r="369">
      <c r="A369" s="14" t="s">
        <v>798</v>
      </c>
      <c r="C369" s="14" t="s">
        <v>792</v>
      </c>
      <c r="G369" s="15" t="str">
        <f>IFERROR(__xludf.DUMMYFUNCTION("""COMPUTED_VALUE"""),"CHEM 194 PO-28")</f>
        <v>CHEM 194 PO-28</v>
      </c>
    </row>
    <row r="370">
      <c r="A370" s="14" t="s">
        <v>799</v>
      </c>
      <c r="C370" s="14" t="s">
        <v>792</v>
      </c>
      <c r="G370" s="15" t="str">
        <f>IFERROR(__xludf.DUMMYFUNCTION("""COMPUTED_VALUE"""),"CHEM 194 PO-32")</f>
        <v>CHEM 194 PO-32</v>
      </c>
    </row>
    <row r="371">
      <c r="A371" s="14" t="s">
        <v>800</v>
      </c>
      <c r="C371" s="14" t="s">
        <v>792</v>
      </c>
      <c r="G371" s="15" t="str">
        <f>IFERROR(__xludf.DUMMYFUNCTION("""COMPUTED_VALUE"""),"CHEM 194 PO-36")</f>
        <v>CHEM 194 PO-36</v>
      </c>
    </row>
    <row r="372">
      <c r="A372" s="14" t="s">
        <v>801</v>
      </c>
      <c r="C372" s="14" t="s">
        <v>802</v>
      </c>
      <c r="G372" s="15" t="str">
        <f>IFERROR(__xludf.DUMMYFUNCTION("""COMPUTED_VALUE"""),"CHEM 198 HM-01")</f>
        <v>CHEM 198 HM-01</v>
      </c>
    </row>
    <row r="373">
      <c r="A373" s="14" t="s">
        <v>803</v>
      </c>
      <c r="C373" s="14" t="s">
        <v>804</v>
      </c>
      <c r="G373" s="15" t="str">
        <f>IFERROR(__xludf.DUMMYFUNCTION("""COMPUTED_VALUE"""),"CHEM 199 HM-01")</f>
        <v>CHEM 199 HM-01</v>
      </c>
    </row>
    <row r="374">
      <c r="A374" s="14" t="s">
        <v>805</v>
      </c>
      <c r="C374" s="14" t="s">
        <v>806</v>
      </c>
      <c r="G374" s="15" t="str">
        <f>IFERROR(__xludf.DUMMYFUNCTION("""COMPUTED_VALUE"""),"CHIN 001B PO-01")</f>
        <v>CHIN 001B PO-01</v>
      </c>
    </row>
    <row r="375">
      <c r="A375" s="14" t="s">
        <v>807</v>
      </c>
      <c r="C375" s="14" t="s">
        <v>806</v>
      </c>
      <c r="G375" s="15" t="str">
        <f>IFERROR(__xludf.DUMMYFUNCTION("""COMPUTED_VALUE"""),"CHIN 001B PO-02")</f>
        <v>CHIN 001B PO-02</v>
      </c>
    </row>
    <row r="376">
      <c r="A376" s="14" t="s">
        <v>808</v>
      </c>
      <c r="C376" s="14" t="s">
        <v>809</v>
      </c>
      <c r="G376" s="15" t="str">
        <f>IFERROR(__xludf.DUMMYFUNCTION("""COMPUTED_VALUE"""),"CHIN 011 PO-01")</f>
        <v>CHIN 011 PO-01</v>
      </c>
    </row>
    <row r="377">
      <c r="A377" s="14" t="s">
        <v>810</v>
      </c>
      <c r="C377" s="14" t="s">
        <v>811</v>
      </c>
      <c r="G377" s="15" t="str">
        <f>IFERROR(__xludf.DUMMYFUNCTION("""COMPUTED_VALUE"""),"CHIN 013 PO-01")</f>
        <v>CHIN 013 PO-01</v>
      </c>
    </row>
    <row r="378">
      <c r="A378" s="14" t="s">
        <v>812</v>
      </c>
      <c r="C378" s="14" t="s">
        <v>813</v>
      </c>
      <c r="G378" s="15" t="str">
        <f>IFERROR(__xludf.DUMMYFUNCTION("""COMPUTED_VALUE"""),"CHIN 051B PO-01")</f>
        <v>CHIN 051B PO-01</v>
      </c>
    </row>
    <row r="379">
      <c r="A379" s="14" t="s">
        <v>814</v>
      </c>
      <c r="C379" s="14" t="s">
        <v>813</v>
      </c>
      <c r="G379" s="15" t="str">
        <f>IFERROR(__xludf.DUMMYFUNCTION("""COMPUTED_VALUE"""),"CHIN 051B PO-02")</f>
        <v>CHIN 051B PO-02</v>
      </c>
    </row>
    <row r="380">
      <c r="A380" s="14" t="s">
        <v>815</v>
      </c>
      <c r="C380" s="14" t="s">
        <v>816</v>
      </c>
      <c r="G380" s="15" t="str">
        <f>IFERROR(__xludf.DUMMYFUNCTION("""COMPUTED_VALUE"""),"CHIN 051H PO-01")</f>
        <v>CHIN 051H PO-01</v>
      </c>
    </row>
    <row r="381">
      <c r="A381" s="14" t="s">
        <v>817</v>
      </c>
      <c r="C381" s="14" t="s">
        <v>818</v>
      </c>
      <c r="G381" s="15" t="str">
        <f>IFERROR(__xludf.DUMMYFUNCTION("""COMPUTED_VALUE"""),"CHIN 111B PO-01")</f>
        <v>CHIN 111B PO-01</v>
      </c>
    </row>
    <row r="382">
      <c r="A382" s="14" t="s">
        <v>819</v>
      </c>
      <c r="C382" s="14" t="s">
        <v>820</v>
      </c>
      <c r="G382" s="15" t="str">
        <f>IFERROR(__xludf.DUMMYFUNCTION("""COMPUTED_VALUE"""),"CHIN 122 PO-01")</f>
        <v>CHIN 122 PO-01</v>
      </c>
    </row>
    <row r="383">
      <c r="A383" s="14" t="s">
        <v>821</v>
      </c>
      <c r="C383" s="14" t="s">
        <v>822</v>
      </c>
      <c r="G383" s="15" t="str">
        <f>IFERROR(__xludf.DUMMYFUNCTION("""COMPUTED_VALUE"""),"CHIN 131 PO-01")</f>
        <v>CHIN 131 PO-01</v>
      </c>
    </row>
    <row r="384">
      <c r="A384" s="14" t="s">
        <v>823</v>
      </c>
      <c r="C384" s="14" t="s">
        <v>824</v>
      </c>
      <c r="G384" s="15" t="str">
        <f>IFERROR(__xludf.DUMMYFUNCTION("""COMPUTED_VALUE"""),"CHLT 060 CH-01")</f>
        <v>CHLT 060 CH-01</v>
      </c>
    </row>
    <row r="385">
      <c r="A385" s="14" t="s">
        <v>825</v>
      </c>
      <c r="C385" s="14" t="s">
        <v>826</v>
      </c>
      <c r="G385" s="15" t="str">
        <f>IFERROR(__xludf.DUMMYFUNCTION("""COMPUTED_VALUE"""),"CHLT 085 PZ-01")</f>
        <v>CHLT 085 PZ-01</v>
      </c>
    </row>
    <row r="386">
      <c r="A386" s="14" t="s">
        <v>827</v>
      </c>
      <c r="C386" s="14" t="s">
        <v>828</v>
      </c>
      <c r="G386" s="15" t="str">
        <f>IFERROR(__xludf.DUMMYFUNCTION("""COMPUTED_VALUE"""),"CHLT 115 CH-01")</f>
        <v>CHLT 115 CH-01</v>
      </c>
    </row>
    <row r="387">
      <c r="A387" s="14" t="s">
        <v>829</v>
      </c>
      <c r="C387" s="14" t="s">
        <v>830</v>
      </c>
      <c r="G387" s="15" t="str">
        <f>IFERROR(__xludf.DUMMYFUNCTION("""COMPUTED_VALUE"""),"CHLT 153 CH-01")</f>
        <v>CHLT 153 CH-01</v>
      </c>
    </row>
    <row r="388">
      <c r="A388" s="14" t="s">
        <v>831</v>
      </c>
      <c r="C388" s="14" t="s">
        <v>832</v>
      </c>
      <c r="G388" s="15" t="str">
        <f>IFERROR(__xludf.DUMMYFUNCTION("""COMPUTED_VALUE"""),"CHLT 160 CH-01")</f>
        <v>CHLT 160 CH-01</v>
      </c>
    </row>
    <row r="389">
      <c r="A389" s="14" t="s">
        <v>833</v>
      </c>
      <c r="C389" s="14" t="s">
        <v>834</v>
      </c>
      <c r="G389" s="15" t="str">
        <f>IFERROR(__xludf.DUMMYFUNCTION("""COMPUTED_VALUE"""),"CHLT 170 CH-01")</f>
        <v>CHLT 170 CH-01</v>
      </c>
    </row>
    <row r="390">
      <c r="A390" s="14" t="s">
        <v>835</v>
      </c>
      <c r="C390" s="14" t="s">
        <v>836</v>
      </c>
      <c r="G390" s="15" t="str">
        <f>IFERROR(__xludf.DUMMYFUNCTION("""COMPUTED_VALUE"""),"CHNT 164 PO-01")</f>
        <v>CHNT 164 PO-01</v>
      </c>
    </row>
    <row r="391">
      <c r="A391" s="14" t="s">
        <v>837</v>
      </c>
      <c r="C391" s="14" t="s">
        <v>838</v>
      </c>
      <c r="G391" s="15" t="str">
        <f>IFERROR(__xludf.DUMMYFUNCTION("""COMPUTED_VALUE"""),"CHST 015 CH-01")</f>
        <v>CHST 015 CH-01</v>
      </c>
    </row>
    <row r="392">
      <c r="A392" s="14" t="s">
        <v>839</v>
      </c>
      <c r="C392" s="14" t="s">
        <v>840</v>
      </c>
      <c r="G392" s="15" t="str">
        <f>IFERROR(__xludf.DUMMYFUNCTION("""COMPUTED_VALUE"""),"CHST 028 CH-01")</f>
        <v>CHST 028 CH-01</v>
      </c>
    </row>
    <row r="393">
      <c r="A393" s="14" t="s">
        <v>841</v>
      </c>
      <c r="C393" s="14" t="s">
        <v>842</v>
      </c>
      <c r="G393" s="15" t="str">
        <f>IFERROR(__xludf.DUMMYFUNCTION("""COMPUTED_VALUE"""),"CHST 066 CH-01")</f>
        <v>CHST 066 CH-01</v>
      </c>
    </row>
    <row r="394">
      <c r="A394" s="14" t="s">
        <v>843</v>
      </c>
      <c r="C394" s="14" t="s">
        <v>844</v>
      </c>
      <c r="G394" s="15" t="str">
        <f>IFERROR(__xludf.DUMMYFUNCTION("""COMPUTED_VALUE"""),"CHST 067 CH-01")</f>
        <v>CHST 067 CH-01</v>
      </c>
    </row>
    <row r="395">
      <c r="A395" s="14" t="s">
        <v>845</v>
      </c>
      <c r="C395" s="14" t="s">
        <v>846</v>
      </c>
      <c r="G395" s="15" t="str">
        <f>IFERROR(__xludf.DUMMYFUNCTION("""COMPUTED_VALUE"""),"CHST 120 CH-01")</f>
        <v>CHST 120 CH-01</v>
      </c>
    </row>
    <row r="396">
      <c r="A396" s="14" t="s">
        <v>847</v>
      </c>
      <c r="C396" s="14" t="s">
        <v>848</v>
      </c>
      <c r="G396" s="15" t="str">
        <f>IFERROR(__xludf.DUMMYFUNCTION("""COMPUTED_VALUE"""),"CHST 130 CH-01")</f>
        <v>CHST 130 CH-01</v>
      </c>
    </row>
    <row r="397">
      <c r="A397" s="14" t="s">
        <v>849</v>
      </c>
      <c r="C397" s="14" t="s">
        <v>850</v>
      </c>
      <c r="G397" s="15" t="str">
        <f>IFERROR(__xludf.DUMMYFUNCTION("""COMPUTED_VALUE"""),"CHST 132 CH-01")</f>
        <v>CHST 132 CH-01</v>
      </c>
    </row>
    <row r="398">
      <c r="A398" s="14" t="s">
        <v>851</v>
      </c>
      <c r="C398" s="14" t="s">
        <v>852</v>
      </c>
      <c r="G398" s="15" t="str">
        <f>IFERROR(__xludf.DUMMYFUNCTION("""COMPUTED_VALUE"""),"CHST 191 CH-04")</f>
        <v>CHST 191 CH-04</v>
      </c>
    </row>
    <row r="399">
      <c r="A399" s="14" t="s">
        <v>853</v>
      </c>
      <c r="C399" s="14" t="s">
        <v>852</v>
      </c>
      <c r="G399" s="15" t="str">
        <f>IFERROR(__xludf.DUMMYFUNCTION("""COMPUTED_VALUE"""),"CHST 191 CH-08")</f>
        <v>CHST 191 CH-08</v>
      </c>
    </row>
    <row r="400">
      <c r="A400" s="14" t="s">
        <v>854</v>
      </c>
      <c r="C400" s="14" t="s">
        <v>852</v>
      </c>
      <c r="G400" s="15" t="str">
        <f>IFERROR(__xludf.DUMMYFUNCTION("""COMPUTED_VALUE"""),"CHST 191 CH-12")</f>
        <v>CHST 191 CH-12</v>
      </c>
    </row>
    <row r="401">
      <c r="A401" s="14" t="s">
        <v>855</v>
      </c>
      <c r="C401" s="14" t="s">
        <v>852</v>
      </c>
      <c r="G401" s="15" t="str">
        <f>IFERROR(__xludf.DUMMYFUNCTION("""COMPUTED_VALUE"""),"CHST 191 CH-16")</f>
        <v>CHST 191 CH-16</v>
      </c>
    </row>
    <row r="402">
      <c r="A402" s="14" t="s">
        <v>856</v>
      </c>
      <c r="C402" s="14" t="s">
        <v>852</v>
      </c>
      <c r="G402" s="15" t="str">
        <f>IFERROR(__xludf.DUMMYFUNCTION("""COMPUTED_VALUE"""),"CHST 191 CH-20")</f>
        <v>CHST 191 CH-20</v>
      </c>
    </row>
    <row r="403">
      <c r="A403" s="14" t="s">
        <v>857</v>
      </c>
      <c r="C403" s="14" t="s">
        <v>852</v>
      </c>
      <c r="G403" s="15" t="str">
        <f>IFERROR(__xludf.DUMMYFUNCTION("""COMPUTED_VALUE"""),"CHST 191 CH-24")</f>
        <v>CHST 191 CH-24</v>
      </c>
    </row>
    <row r="404">
      <c r="A404" s="14" t="s">
        <v>858</v>
      </c>
      <c r="C404" s="14" t="s">
        <v>852</v>
      </c>
      <c r="G404" s="15" t="str">
        <f>IFERROR(__xludf.DUMMYFUNCTION("""COMPUTED_VALUE"""),"CHST 191 CH-28")</f>
        <v>CHST 191 CH-28</v>
      </c>
    </row>
    <row r="405">
      <c r="A405" s="14" t="s">
        <v>859</v>
      </c>
      <c r="C405" s="14" t="s">
        <v>852</v>
      </c>
      <c r="G405" s="15" t="str">
        <f>IFERROR(__xludf.DUMMYFUNCTION("""COMPUTED_VALUE"""),"CHST 191 CH-32")</f>
        <v>CHST 191 CH-32</v>
      </c>
    </row>
    <row r="406">
      <c r="A406" s="14" t="s">
        <v>860</v>
      </c>
      <c r="C406" s="14" t="s">
        <v>852</v>
      </c>
      <c r="G406" s="15" t="str">
        <f>IFERROR(__xludf.DUMMYFUNCTION("""COMPUTED_VALUE"""),"CHST 191 CH-36")</f>
        <v>CHST 191 CH-36</v>
      </c>
    </row>
    <row r="407">
      <c r="A407" s="14" t="s">
        <v>861</v>
      </c>
      <c r="C407" s="14" t="s">
        <v>862</v>
      </c>
      <c r="G407" s="15" t="str">
        <f>IFERROR(__xludf.DUMMYFUNCTION("""COMPUTED_VALUE"""),"CHST 192 CH-04")</f>
        <v>CHST 192 CH-04</v>
      </c>
    </row>
    <row r="408">
      <c r="A408" s="14" t="s">
        <v>863</v>
      </c>
      <c r="C408" s="14" t="s">
        <v>862</v>
      </c>
      <c r="G408" s="15" t="str">
        <f>IFERROR(__xludf.DUMMYFUNCTION("""COMPUTED_VALUE"""),"CHST 192 CH-08")</f>
        <v>CHST 192 CH-08</v>
      </c>
    </row>
    <row r="409">
      <c r="A409" s="14" t="s">
        <v>864</v>
      </c>
      <c r="C409" s="14" t="s">
        <v>862</v>
      </c>
      <c r="G409" s="15" t="str">
        <f>IFERROR(__xludf.DUMMYFUNCTION("""COMPUTED_VALUE"""),"CHST 192 CH-12")</f>
        <v>CHST 192 CH-12</v>
      </c>
    </row>
    <row r="410">
      <c r="A410" s="14" t="s">
        <v>865</v>
      </c>
      <c r="C410" s="14" t="s">
        <v>862</v>
      </c>
      <c r="G410" s="15" t="str">
        <f>IFERROR(__xludf.DUMMYFUNCTION("""COMPUTED_VALUE"""),"CHST 192 CH-16")</f>
        <v>CHST 192 CH-16</v>
      </c>
    </row>
    <row r="411">
      <c r="A411" s="14" t="s">
        <v>866</v>
      </c>
      <c r="C411" s="14" t="s">
        <v>862</v>
      </c>
      <c r="G411" s="15" t="str">
        <f>IFERROR(__xludf.DUMMYFUNCTION("""COMPUTED_VALUE"""),"CHST 192 CH-20")</f>
        <v>CHST 192 CH-20</v>
      </c>
    </row>
    <row r="412">
      <c r="A412" s="14" t="s">
        <v>867</v>
      </c>
      <c r="C412" s="14" t="s">
        <v>862</v>
      </c>
      <c r="G412" s="15" t="str">
        <f>IFERROR(__xludf.DUMMYFUNCTION("""COMPUTED_VALUE"""),"CHST 192 CH-24")</f>
        <v>CHST 192 CH-24</v>
      </c>
    </row>
    <row r="413">
      <c r="A413" s="14" t="s">
        <v>868</v>
      </c>
      <c r="C413" s="14" t="s">
        <v>862</v>
      </c>
      <c r="G413" s="15" t="str">
        <f>IFERROR(__xludf.DUMMYFUNCTION("""COMPUTED_VALUE"""),"CHST 192 CH-28")</f>
        <v>CHST 192 CH-28</v>
      </c>
    </row>
    <row r="414">
      <c r="A414" s="14" t="s">
        <v>869</v>
      </c>
      <c r="C414" s="14" t="s">
        <v>862</v>
      </c>
      <c r="G414" s="15" t="str">
        <f>IFERROR(__xludf.DUMMYFUNCTION("""COMPUTED_VALUE"""),"CHST 192 CH-32")</f>
        <v>CHST 192 CH-32</v>
      </c>
    </row>
    <row r="415">
      <c r="A415" s="14" t="s">
        <v>870</v>
      </c>
      <c r="C415" s="14" t="s">
        <v>862</v>
      </c>
      <c r="G415" s="15" t="str">
        <f>IFERROR(__xludf.DUMMYFUNCTION("""COMPUTED_VALUE"""),"CHST 192 CH-36")</f>
        <v>CHST 192 CH-36</v>
      </c>
    </row>
    <row r="416">
      <c r="A416" s="14" t="s">
        <v>871</v>
      </c>
      <c r="C416" s="14" t="s">
        <v>872</v>
      </c>
      <c r="G416" s="15" t="str">
        <f>IFERROR(__xludf.DUMMYFUNCTION("""COMPUTED_VALUE"""),"CLAS 001 PO-01")</f>
        <v>CLAS 001 PO-01</v>
      </c>
    </row>
    <row r="417">
      <c r="A417" s="14" t="s">
        <v>873</v>
      </c>
      <c r="C417" s="14" t="s">
        <v>874</v>
      </c>
      <c r="G417" s="15" t="str">
        <f>IFERROR(__xludf.DUMMYFUNCTION("""COMPUTED_VALUE"""),"CLAS 019 SC-01")</f>
        <v>CLAS 019 SC-01</v>
      </c>
    </row>
    <row r="418">
      <c r="A418" s="14" t="s">
        <v>875</v>
      </c>
      <c r="C418" s="14" t="s">
        <v>876</v>
      </c>
      <c r="G418" s="15" t="str">
        <f>IFERROR(__xludf.DUMMYFUNCTION("""COMPUTED_VALUE"""),"CLAS 064 PO-01")</f>
        <v>CLAS 064 PO-01</v>
      </c>
    </row>
    <row r="419">
      <c r="A419" s="14" t="s">
        <v>877</v>
      </c>
      <c r="C419" s="14" t="s">
        <v>878</v>
      </c>
      <c r="G419" s="15" t="str">
        <f>IFERROR(__xludf.DUMMYFUNCTION("""COMPUTED_VALUE"""),"CLAS 106 PO-01")</f>
        <v>CLAS 106 PO-01</v>
      </c>
    </row>
    <row r="420">
      <c r="A420" s="14" t="s">
        <v>879</v>
      </c>
      <c r="C420" s="14" t="s">
        <v>880</v>
      </c>
      <c r="G420" s="15" t="str">
        <f>IFERROR(__xludf.DUMMYFUNCTION("""COMPUTED_VALUE"""),"CLAS 114 PO-01")</f>
        <v>CLAS 114 PO-01</v>
      </c>
    </row>
    <row r="421">
      <c r="A421" s="14" t="s">
        <v>881</v>
      </c>
      <c r="C421" s="14" t="s">
        <v>882</v>
      </c>
      <c r="G421" s="15" t="str">
        <f>IFERROR(__xludf.DUMMYFUNCTION("""COMPUTED_VALUE"""),"CLAS 116A PO-01")</f>
        <v>CLAS 116A PO-01</v>
      </c>
    </row>
    <row r="422">
      <c r="A422" s="14" t="s">
        <v>883</v>
      </c>
      <c r="C422" s="14" t="s">
        <v>884</v>
      </c>
      <c r="G422" s="15" t="str">
        <f>IFERROR(__xludf.DUMMYFUNCTION("""COMPUTED_VALUE"""),"CLAS 162 PZ-01")</f>
        <v>CLAS 162 PZ-01</v>
      </c>
    </row>
    <row r="423">
      <c r="A423" s="14" t="s">
        <v>885</v>
      </c>
      <c r="C423" s="14" t="s">
        <v>886</v>
      </c>
      <c r="G423" s="15" t="str">
        <f>IFERROR(__xludf.DUMMYFUNCTION("""COMPUTED_VALUE"""),"CLAS 191 SC-01")</f>
        <v>CLAS 191 SC-01</v>
      </c>
    </row>
    <row r="424">
      <c r="A424" s="14" t="s">
        <v>887</v>
      </c>
      <c r="C424" s="14" t="s">
        <v>888</v>
      </c>
      <c r="G424" s="15" t="str">
        <f>IFERROR(__xludf.DUMMYFUNCTION("""COMPUTED_VALUE"""),"CORE 002 SC-01")</f>
        <v>CORE 002 SC-01</v>
      </c>
    </row>
    <row r="425">
      <c r="A425" s="14" t="s">
        <v>889</v>
      </c>
      <c r="C425" s="14" t="s">
        <v>888</v>
      </c>
      <c r="G425" s="15" t="str">
        <f>IFERROR(__xludf.DUMMYFUNCTION("""COMPUTED_VALUE"""),"CORE 002 SC-02")</f>
        <v>CORE 002 SC-02</v>
      </c>
    </row>
    <row r="426">
      <c r="A426" s="14" t="s">
        <v>890</v>
      </c>
      <c r="C426" s="14" t="s">
        <v>888</v>
      </c>
      <c r="G426" s="15" t="str">
        <f>IFERROR(__xludf.DUMMYFUNCTION("""COMPUTED_VALUE"""),"CORE 002 SC-03")</f>
        <v>CORE 002 SC-03</v>
      </c>
    </row>
    <row r="427">
      <c r="A427" s="14" t="s">
        <v>891</v>
      </c>
      <c r="C427" s="14" t="s">
        <v>888</v>
      </c>
      <c r="G427" s="15" t="str">
        <f>IFERROR(__xludf.DUMMYFUNCTION("""COMPUTED_VALUE"""),"CORE 002 SC-04")</f>
        <v>CORE 002 SC-04</v>
      </c>
    </row>
    <row r="428">
      <c r="A428" s="14" t="s">
        <v>892</v>
      </c>
      <c r="C428" s="14" t="s">
        <v>888</v>
      </c>
      <c r="G428" s="15" t="str">
        <f>IFERROR(__xludf.DUMMYFUNCTION("""COMPUTED_VALUE"""),"CORE 002 SC-05")</f>
        <v>CORE 002 SC-05</v>
      </c>
    </row>
    <row r="429">
      <c r="A429" s="14" t="s">
        <v>893</v>
      </c>
      <c r="C429" s="14" t="s">
        <v>888</v>
      </c>
      <c r="G429" s="15" t="str">
        <f>IFERROR(__xludf.DUMMYFUNCTION("""COMPUTED_VALUE"""),"CORE 002 SC-06")</f>
        <v>CORE 002 SC-06</v>
      </c>
    </row>
    <row r="430">
      <c r="A430" s="14" t="s">
        <v>894</v>
      </c>
      <c r="C430" s="14" t="s">
        <v>888</v>
      </c>
      <c r="G430" s="15" t="str">
        <f>IFERROR(__xludf.DUMMYFUNCTION("""COMPUTED_VALUE"""),"CORE 002 SC-07")</f>
        <v>CORE 002 SC-07</v>
      </c>
    </row>
    <row r="431">
      <c r="A431" s="14" t="s">
        <v>895</v>
      </c>
      <c r="C431" s="14" t="s">
        <v>888</v>
      </c>
      <c r="G431" s="15" t="str">
        <f>IFERROR(__xludf.DUMMYFUNCTION("""COMPUTED_VALUE"""),"CORE 002 SC-08")</f>
        <v>CORE 002 SC-08</v>
      </c>
    </row>
    <row r="432">
      <c r="A432" s="14" t="s">
        <v>896</v>
      </c>
      <c r="C432" s="14" t="s">
        <v>888</v>
      </c>
      <c r="G432" s="15" t="str">
        <f>IFERROR(__xludf.DUMMYFUNCTION("""COMPUTED_VALUE"""),"CORE 002 SC-09")</f>
        <v>CORE 002 SC-09</v>
      </c>
    </row>
    <row r="433">
      <c r="A433" s="14" t="s">
        <v>897</v>
      </c>
      <c r="C433" s="14" t="s">
        <v>888</v>
      </c>
      <c r="G433" s="15" t="str">
        <f>IFERROR(__xludf.DUMMYFUNCTION("""COMPUTED_VALUE"""),"CORE 002 SC-10")</f>
        <v>CORE 002 SC-10</v>
      </c>
    </row>
    <row r="434">
      <c r="A434" s="14" t="s">
        <v>898</v>
      </c>
      <c r="C434" s="14" t="s">
        <v>888</v>
      </c>
      <c r="G434" s="15" t="str">
        <f>IFERROR(__xludf.DUMMYFUNCTION("""COMPUTED_VALUE"""),"CORE 002 SC-11")</f>
        <v>CORE 002 SC-11</v>
      </c>
    </row>
    <row r="435">
      <c r="A435" s="14" t="s">
        <v>899</v>
      </c>
      <c r="C435" s="14" t="s">
        <v>888</v>
      </c>
      <c r="G435" s="15" t="str">
        <f>IFERROR(__xludf.DUMMYFUNCTION("""COMPUTED_VALUE"""),"CORE 002 SC-12")</f>
        <v>CORE 002 SC-12</v>
      </c>
    </row>
    <row r="436">
      <c r="A436" s="14" t="s">
        <v>900</v>
      </c>
      <c r="C436" s="14" t="s">
        <v>888</v>
      </c>
      <c r="G436" s="15" t="str">
        <f>IFERROR(__xludf.DUMMYFUNCTION("""COMPUTED_VALUE"""),"CORE 002 SC-13")</f>
        <v>CORE 002 SC-13</v>
      </c>
    </row>
    <row r="437">
      <c r="A437" s="14" t="s">
        <v>901</v>
      </c>
      <c r="C437" s="14" t="s">
        <v>902</v>
      </c>
      <c r="G437" s="15" t="str">
        <f>IFERROR(__xludf.DUMMYFUNCTION("""COMPUTED_VALUE"""),"CREA 018 PZ-01")</f>
        <v>CREA 018 PZ-01</v>
      </c>
    </row>
    <row r="438">
      <c r="A438" s="14" t="s">
        <v>903</v>
      </c>
      <c r="C438" s="14" t="s">
        <v>904</v>
      </c>
      <c r="G438" s="15" t="str">
        <f>IFERROR(__xludf.DUMMYFUNCTION("""COMPUTED_VALUE"""),"CREA 193A PZ-01")</f>
        <v>CREA 193A PZ-01</v>
      </c>
    </row>
    <row r="439">
      <c r="A439" s="14" t="s">
        <v>905</v>
      </c>
      <c r="C439" s="14" t="s">
        <v>35</v>
      </c>
      <c r="G439" s="15" t="str">
        <f>IFERROR(__xludf.DUMMYFUNCTION("""COMPUTED_VALUE"""),"CSCI 005 HM-01")</f>
        <v>CSCI 005 HM-01</v>
      </c>
    </row>
    <row r="440">
      <c r="A440" s="14" t="s">
        <v>906</v>
      </c>
      <c r="C440" s="14" t="s">
        <v>35</v>
      </c>
      <c r="G440" s="15" t="str">
        <f>IFERROR(__xludf.DUMMYFUNCTION("""COMPUTED_VALUE"""),"CSCI 005 PZ-01")</f>
        <v>CSCI 005 PZ-01</v>
      </c>
    </row>
    <row r="441">
      <c r="A441" s="14" t="s">
        <v>907</v>
      </c>
      <c r="C441" s="14" t="s">
        <v>38</v>
      </c>
      <c r="G441" s="15" t="str">
        <f>IFERROR(__xludf.DUMMYFUNCTION("""COMPUTED_VALUE"""),"CSCI 005L HM-01")</f>
        <v>CSCI 005L HM-01</v>
      </c>
    </row>
    <row r="442">
      <c r="A442" s="14" t="s">
        <v>908</v>
      </c>
      <c r="C442" s="14" t="s">
        <v>38</v>
      </c>
      <c r="G442" s="15" t="str">
        <f>IFERROR(__xludf.DUMMYFUNCTION("""COMPUTED_VALUE"""),"CSCI 005L HM-02")</f>
        <v>CSCI 005L HM-02</v>
      </c>
    </row>
    <row r="443">
      <c r="A443" s="14" t="s">
        <v>909</v>
      </c>
      <c r="C443" s="14" t="s">
        <v>910</v>
      </c>
      <c r="G443" s="15" t="str">
        <f>IFERROR(__xludf.DUMMYFUNCTION("""COMPUTED_VALUE"""),"CSCI 036 CM-01")</f>
        <v>CSCI 036 CM-01</v>
      </c>
    </row>
    <row r="444">
      <c r="A444" s="14" t="s">
        <v>911</v>
      </c>
      <c r="C444" s="14" t="s">
        <v>910</v>
      </c>
      <c r="G444" s="15" t="str">
        <f>IFERROR(__xludf.DUMMYFUNCTION("""COMPUTED_VALUE"""),"CSCI 036 CM-02")</f>
        <v>CSCI 036 CM-02</v>
      </c>
    </row>
    <row r="445">
      <c r="A445" s="14" t="s">
        <v>912</v>
      </c>
      <c r="C445" s="14" t="s">
        <v>910</v>
      </c>
      <c r="G445" s="15" t="str">
        <f>IFERROR(__xludf.DUMMYFUNCTION("""COMPUTED_VALUE"""),"CSCI 036 PZ-01")</f>
        <v>CSCI 036 PZ-01</v>
      </c>
    </row>
    <row r="446">
      <c r="A446" s="14" t="s">
        <v>913</v>
      </c>
      <c r="C446" s="14" t="s">
        <v>914</v>
      </c>
      <c r="G446" s="15" t="str">
        <f>IFERROR(__xludf.DUMMYFUNCTION("""COMPUTED_VALUE"""),"CSCI 046 CM-01")</f>
        <v>CSCI 046 CM-01</v>
      </c>
    </row>
    <row r="447">
      <c r="A447" s="14" t="s">
        <v>915</v>
      </c>
      <c r="C447" s="14" t="s">
        <v>916</v>
      </c>
      <c r="G447" s="15" t="str">
        <f>IFERROR(__xludf.DUMMYFUNCTION("""COMPUTED_VALUE"""),"CSCI 051P PO-01")</f>
        <v>CSCI 051P PO-01</v>
      </c>
    </row>
    <row r="448">
      <c r="A448" s="14" t="s">
        <v>917</v>
      </c>
      <c r="C448" s="14" t="s">
        <v>916</v>
      </c>
      <c r="G448" s="15" t="str">
        <f>IFERROR(__xludf.DUMMYFUNCTION("""COMPUTED_VALUE"""),"CSCI 051P PO-02")</f>
        <v>CSCI 051P PO-02</v>
      </c>
    </row>
    <row r="449">
      <c r="A449" s="14" t="s">
        <v>918</v>
      </c>
      <c r="C449" s="14" t="s">
        <v>919</v>
      </c>
      <c r="G449" s="15" t="str">
        <f>IFERROR(__xludf.DUMMYFUNCTION("""COMPUTED_VALUE"""),"CSCI 051PL PO-01")</f>
        <v>CSCI 051PL PO-01</v>
      </c>
    </row>
    <row r="450">
      <c r="A450" s="14" t="s">
        <v>920</v>
      </c>
      <c r="C450" s="14" t="s">
        <v>919</v>
      </c>
      <c r="G450" s="15" t="str">
        <f>IFERROR(__xludf.DUMMYFUNCTION("""COMPUTED_VALUE"""),"CSCI 051PL PO-02")</f>
        <v>CSCI 051PL PO-02</v>
      </c>
    </row>
    <row r="451">
      <c r="A451" s="14" t="s">
        <v>921</v>
      </c>
      <c r="C451" s="14" t="s">
        <v>919</v>
      </c>
      <c r="G451" s="15" t="str">
        <f>IFERROR(__xludf.DUMMYFUNCTION("""COMPUTED_VALUE"""),"CSCI 051PL PO-03")</f>
        <v>CSCI 051PL PO-03</v>
      </c>
    </row>
    <row r="452">
      <c r="A452" s="14" t="s">
        <v>922</v>
      </c>
      <c r="C452" s="14" t="s">
        <v>923</v>
      </c>
      <c r="G452" s="15" t="str">
        <f>IFERROR(__xludf.DUMMYFUNCTION("""COMPUTED_VALUE"""),"CSCI 054 PO-01")</f>
        <v>CSCI 054 PO-01</v>
      </c>
    </row>
    <row r="453">
      <c r="A453" s="14" t="s">
        <v>924</v>
      </c>
      <c r="C453" s="14" t="s">
        <v>71</v>
      </c>
      <c r="G453" s="15" t="str">
        <f>IFERROR(__xludf.DUMMYFUNCTION("""COMPUTED_VALUE"""),"CSCI 060 HM-01")</f>
        <v>CSCI 060 HM-01</v>
      </c>
    </row>
    <row r="454">
      <c r="A454" s="14" t="s">
        <v>925</v>
      </c>
      <c r="C454" s="14" t="s">
        <v>926</v>
      </c>
      <c r="G454" s="15" t="str">
        <f>IFERROR(__xludf.DUMMYFUNCTION("""COMPUTED_VALUE"""),"CSCI 062 PO-01")</f>
        <v>CSCI 062 PO-01</v>
      </c>
    </row>
    <row r="455">
      <c r="A455" s="14" t="s">
        <v>927</v>
      </c>
      <c r="C455" s="14" t="s">
        <v>928</v>
      </c>
      <c r="G455" s="15" t="str">
        <f>IFERROR(__xludf.DUMMYFUNCTION("""COMPUTED_VALUE"""),"CSCI 062L PO-01")</f>
        <v>CSCI 062L PO-01</v>
      </c>
    </row>
    <row r="456">
      <c r="A456" s="14" t="s">
        <v>929</v>
      </c>
      <c r="C456" s="14" t="s">
        <v>928</v>
      </c>
      <c r="G456" s="15" t="str">
        <f>IFERROR(__xludf.DUMMYFUNCTION("""COMPUTED_VALUE"""),"CSCI 062L PO-02")</f>
        <v>CSCI 062L PO-02</v>
      </c>
    </row>
    <row r="457">
      <c r="A457" s="14" t="s">
        <v>930</v>
      </c>
      <c r="C457" s="14" t="s">
        <v>81</v>
      </c>
      <c r="G457" s="15" t="str">
        <f>IFERROR(__xludf.DUMMYFUNCTION("""COMPUTED_VALUE"""),"CSCI 070 HM-01")</f>
        <v>CSCI 070 HM-01</v>
      </c>
    </row>
    <row r="458">
      <c r="A458" s="14" t="s">
        <v>931</v>
      </c>
      <c r="C458" s="14" t="s">
        <v>83</v>
      </c>
      <c r="G458" s="15" t="str">
        <f>IFERROR(__xludf.DUMMYFUNCTION("""COMPUTED_VALUE"""),"CSCI 081 HM-01")</f>
        <v>CSCI 081 HM-01</v>
      </c>
    </row>
    <row r="459">
      <c r="A459" s="14" t="s">
        <v>932</v>
      </c>
      <c r="C459" s="14" t="s">
        <v>933</v>
      </c>
      <c r="G459" s="15" t="str">
        <f>IFERROR(__xludf.DUMMYFUNCTION("""COMPUTED_VALUE"""),"CSCI 101 PO-01")</f>
        <v>CSCI 101 PO-01</v>
      </c>
    </row>
    <row r="460">
      <c r="A460" s="14" t="s">
        <v>934</v>
      </c>
      <c r="C460" s="14" t="s">
        <v>935</v>
      </c>
      <c r="G460" s="15" t="str">
        <f>IFERROR(__xludf.DUMMYFUNCTION("""COMPUTED_VALUE"""),"CSCI 105 HM-01")</f>
        <v>CSCI 105 HM-01</v>
      </c>
    </row>
    <row r="461">
      <c r="A461" s="14" t="s">
        <v>936</v>
      </c>
      <c r="C461" s="14" t="s">
        <v>935</v>
      </c>
      <c r="G461" s="15" t="str">
        <f>IFERROR(__xludf.DUMMYFUNCTION("""COMPUTED_VALUE"""),"CSCI 105 PO-01")</f>
        <v>CSCI 105 PO-01</v>
      </c>
    </row>
    <row r="462">
      <c r="A462" s="14" t="s">
        <v>937</v>
      </c>
      <c r="C462" s="14" t="s">
        <v>935</v>
      </c>
      <c r="G462" s="15" t="str">
        <f>IFERROR(__xludf.DUMMYFUNCTION("""COMPUTED_VALUE"""),"CSCI 105 PO-02")</f>
        <v>CSCI 105 PO-02</v>
      </c>
    </row>
    <row r="463">
      <c r="A463" s="14" t="s">
        <v>938</v>
      </c>
      <c r="C463" s="14" t="s">
        <v>939</v>
      </c>
      <c r="G463" s="15" t="str">
        <f>IFERROR(__xludf.DUMMYFUNCTION("""COMPUTED_VALUE"""),"CSCI 105L PO-01")</f>
        <v>CSCI 105L PO-01</v>
      </c>
    </row>
    <row r="464">
      <c r="A464" s="14" t="s">
        <v>940</v>
      </c>
      <c r="C464" s="14" t="s">
        <v>939</v>
      </c>
      <c r="G464" s="15" t="str">
        <f>IFERROR(__xludf.DUMMYFUNCTION("""COMPUTED_VALUE"""),"CSCI 105L PO-02")</f>
        <v>CSCI 105L PO-02</v>
      </c>
    </row>
    <row r="465">
      <c r="A465" s="14" t="s">
        <v>941</v>
      </c>
      <c r="C465" s="14" t="s">
        <v>942</v>
      </c>
      <c r="G465" s="15" t="str">
        <f>IFERROR(__xludf.DUMMYFUNCTION("""COMPUTED_VALUE"""),"CSCI 121 HM-01")</f>
        <v>CSCI 121 HM-01</v>
      </c>
    </row>
    <row r="466">
      <c r="A466" s="14" t="s">
        <v>943</v>
      </c>
      <c r="C466" s="14" t="s">
        <v>88</v>
      </c>
      <c r="G466" s="15" t="str">
        <f>IFERROR(__xludf.DUMMYFUNCTION("""COMPUTED_VALUE"""),"CSCI 131 HM-01")</f>
        <v>CSCI 131 HM-01</v>
      </c>
    </row>
    <row r="467">
      <c r="A467" s="14" t="s">
        <v>944</v>
      </c>
      <c r="C467" s="14" t="s">
        <v>89</v>
      </c>
      <c r="G467" s="15" t="str">
        <f>IFERROR(__xludf.DUMMYFUNCTION("""COMPUTED_VALUE"""),"CSCI 140 HM-01")</f>
        <v>CSCI 140 HM-01</v>
      </c>
    </row>
    <row r="468">
      <c r="A468" s="14" t="s">
        <v>945</v>
      </c>
      <c r="C468" s="14" t="s">
        <v>89</v>
      </c>
      <c r="G468" s="15" t="str">
        <f>IFERROR(__xludf.DUMMYFUNCTION("""COMPUTED_VALUE"""),"CSCI 140 HM-02")</f>
        <v>CSCI 140 HM-02</v>
      </c>
    </row>
    <row r="469">
      <c r="A469" s="14" t="s">
        <v>946</v>
      </c>
      <c r="C469" s="14" t="s">
        <v>89</v>
      </c>
      <c r="G469" s="15" t="str">
        <f>IFERROR(__xludf.DUMMYFUNCTION("""COMPUTED_VALUE"""),"CSCI 140 PO-01")</f>
        <v>CSCI 140 PO-01</v>
      </c>
    </row>
    <row r="470">
      <c r="A470" s="14" t="s">
        <v>947</v>
      </c>
      <c r="C470" s="14" t="s">
        <v>948</v>
      </c>
      <c r="G470" s="15" t="str">
        <f>IFERROR(__xludf.DUMMYFUNCTION("""COMPUTED_VALUE"""),"CSCI 143 CM-01")</f>
        <v>CSCI 143 CM-01</v>
      </c>
    </row>
    <row r="471">
      <c r="A471" s="14" t="s">
        <v>949</v>
      </c>
      <c r="C471" s="14" t="s">
        <v>950</v>
      </c>
      <c r="G471" s="15" t="str">
        <f>IFERROR(__xludf.DUMMYFUNCTION("""COMPUTED_VALUE"""),"CSCI 144 HM-01")</f>
        <v>CSCI 144 HM-01</v>
      </c>
    </row>
    <row r="472">
      <c r="A472" s="14" t="s">
        <v>29</v>
      </c>
      <c r="C472" s="14" t="s">
        <v>951</v>
      </c>
      <c r="G472" s="15" t="str">
        <f>IFERROR(__xludf.DUMMYFUNCTION("""COMPUTED_VALUE"""),"CSCI 151 HM-01")</f>
        <v>CSCI 151 HM-01</v>
      </c>
    </row>
    <row r="473">
      <c r="A473" s="14" t="s">
        <v>952</v>
      </c>
      <c r="C473" s="14" t="s">
        <v>953</v>
      </c>
      <c r="G473" s="15" t="str">
        <f>IFERROR(__xludf.DUMMYFUNCTION("""COMPUTED_VALUE"""),"CSCI 152 HM-01")</f>
        <v>CSCI 152 HM-01</v>
      </c>
    </row>
    <row r="474">
      <c r="A474" s="14" t="s">
        <v>954</v>
      </c>
      <c r="C474" s="14" t="s">
        <v>953</v>
      </c>
      <c r="G474" s="15" t="str">
        <f>IFERROR(__xludf.DUMMYFUNCTION("""COMPUTED_VALUE"""),"CSCI 152 HM-02")</f>
        <v>CSCI 152 HM-02</v>
      </c>
    </row>
    <row r="475">
      <c r="A475" s="14" t="s">
        <v>955</v>
      </c>
      <c r="C475" s="14" t="s">
        <v>953</v>
      </c>
      <c r="G475" s="15" t="str">
        <f>IFERROR(__xludf.DUMMYFUNCTION("""COMPUTED_VALUE"""),"CSCI 152 PO-01")</f>
        <v>CSCI 152 PO-01</v>
      </c>
    </row>
    <row r="476">
      <c r="A476" s="14" t="s">
        <v>956</v>
      </c>
      <c r="C476" s="14" t="s">
        <v>957</v>
      </c>
      <c r="G476" s="15" t="str">
        <f>IFERROR(__xludf.DUMMYFUNCTION("""COMPUTED_VALUE"""),"CSCI 159 HM-01")</f>
        <v>CSCI 159 HM-01</v>
      </c>
    </row>
    <row r="477">
      <c r="A477" s="14" t="s">
        <v>958</v>
      </c>
      <c r="C477" s="14" t="s">
        <v>957</v>
      </c>
      <c r="G477" s="15" t="str">
        <f>IFERROR(__xludf.DUMMYFUNCTION("""COMPUTED_VALUE"""),"CSCI 159 HM-02")</f>
        <v>CSCI 159 HM-02</v>
      </c>
    </row>
    <row r="478">
      <c r="A478" s="14" t="s">
        <v>959</v>
      </c>
      <c r="C478" s="14" t="s">
        <v>960</v>
      </c>
      <c r="G478" s="15" t="str">
        <f>IFERROR(__xludf.DUMMYFUNCTION("""COMPUTED_VALUE"""),"CSCI 181G PO-01")</f>
        <v>CSCI 181G PO-01</v>
      </c>
    </row>
    <row r="479">
      <c r="A479" s="14" t="s">
        <v>26</v>
      </c>
      <c r="C479" s="14" t="s">
        <v>961</v>
      </c>
      <c r="G479" s="15" t="str">
        <f>IFERROR(__xludf.DUMMYFUNCTION("""COMPUTED_VALUE"""),"CSCI 181V PO-01")</f>
        <v>CSCI 181V PO-01</v>
      </c>
    </row>
    <row r="480">
      <c r="A480" s="14" t="s">
        <v>37</v>
      </c>
      <c r="C480" s="14" t="s">
        <v>962</v>
      </c>
      <c r="G480" s="15" t="str">
        <f>IFERROR(__xludf.DUMMYFUNCTION("""COMPUTED_VALUE"""),"CSCI 181Y HM-01")</f>
        <v>CSCI 181Y HM-01</v>
      </c>
    </row>
    <row r="481">
      <c r="A481" s="14" t="s">
        <v>963</v>
      </c>
      <c r="C481" s="14" t="s">
        <v>964</v>
      </c>
      <c r="G481" s="15" t="str">
        <f>IFERROR(__xludf.DUMMYFUNCTION("""COMPUTED_VALUE"""),"CSCI 181Z HM-01")</f>
        <v>CSCI 181Z HM-01</v>
      </c>
    </row>
    <row r="482">
      <c r="A482" s="14" t="s">
        <v>36</v>
      </c>
      <c r="C482" s="14" t="s">
        <v>965</v>
      </c>
      <c r="G482" s="15" t="str">
        <f>IFERROR(__xludf.DUMMYFUNCTION("""COMPUTED_VALUE"""),"CSCI 184 HM-01")</f>
        <v>CSCI 184 HM-01</v>
      </c>
    </row>
    <row r="483">
      <c r="A483" s="14" t="s">
        <v>31</v>
      </c>
      <c r="C483" s="14" t="s">
        <v>966</v>
      </c>
      <c r="G483" s="15" t="str">
        <f>IFERROR(__xludf.DUMMYFUNCTION("""COMPUTED_VALUE"""),"CSCI 186 HM-01")</f>
        <v>CSCI 186 HM-01</v>
      </c>
    </row>
    <row r="484">
      <c r="A484" s="14" t="s">
        <v>967</v>
      </c>
      <c r="C484" s="14" t="s">
        <v>968</v>
      </c>
      <c r="G484" s="15" t="str">
        <f>IFERROR(__xludf.DUMMYFUNCTION("""COMPUTED_VALUE"""),"CSCI 188 PO-01")</f>
        <v>CSCI 188 PO-01</v>
      </c>
    </row>
    <row r="485">
      <c r="A485" s="14" t="s">
        <v>969</v>
      </c>
      <c r="C485" s="14" t="s">
        <v>72</v>
      </c>
      <c r="G485" s="15" t="str">
        <f>IFERROR(__xludf.DUMMYFUNCTION("""COMPUTED_VALUE"""),"CSCI 189 HM-01")</f>
        <v>CSCI 189 HM-01</v>
      </c>
    </row>
    <row r="486">
      <c r="A486" s="14" t="s">
        <v>970</v>
      </c>
      <c r="C486" s="14" t="s">
        <v>971</v>
      </c>
      <c r="G486" s="15" t="str">
        <f>IFERROR(__xludf.DUMMYFUNCTION("""COMPUTED_VALUE"""),"CSCI 190 PO-01")</f>
        <v>CSCI 190 PO-01</v>
      </c>
    </row>
    <row r="487">
      <c r="A487" s="14" t="s">
        <v>972</v>
      </c>
      <c r="C487" s="14" t="s">
        <v>973</v>
      </c>
      <c r="G487" s="15" t="str">
        <f>IFERROR(__xludf.DUMMYFUNCTION("""COMPUTED_VALUE"""),"CSCI 191 PO-04")</f>
        <v>CSCI 191 PO-04</v>
      </c>
    </row>
    <row r="488">
      <c r="A488" s="14" t="s">
        <v>974</v>
      </c>
      <c r="C488" s="14" t="s">
        <v>973</v>
      </c>
      <c r="G488" s="15" t="str">
        <f>IFERROR(__xludf.DUMMYFUNCTION("""COMPUTED_VALUE"""),"CSCI 191 PO-08")</f>
        <v>CSCI 191 PO-08</v>
      </c>
    </row>
    <row r="489">
      <c r="A489" s="14" t="s">
        <v>975</v>
      </c>
      <c r="C489" s="14" t="s">
        <v>973</v>
      </c>
      <c r="G489" s="15" t="str">
        <f>IFERROR(__xludf.DUMMYFUNCTION("""COMPUTED_VALUE"""),"CSCI 191 PO-12")</f>
        <v>CSCI 191 PO-12</v>
      </c>
    </row>
    <row r="490">
      <c r="A490" s="14" t="s">
        <v>976</v>
      </c>
      <c r="C490" s="14" t="s">
        <v>973</v>
      </c>
      <c r="G490" s="15" t="str">
        <f>IFERROR(__xludf.DUMMYFUNCTION("""COMPUTED_VALUE"""),"CSCI 191 PO-16")</f>
        <v>CSCI 191 PO-16</v>
      </c>
    </row>
    <row r="491">
      <c r="A491" s="14" t="s">
        <v>977</v>
      </c>
      <c r="C491" s="14" t="s">
        <v>973</v>
      </c>
      <c r="G491" s="15" t="str">
        <f>IFERROR(__xludf.DUMMYFUNCTION("""COMPUTED_VALUE"""),"CSCI 191 PO-20")</f>
        <v>CSCI 191 PO-20</v>
      </c>
    </row>
    <row r="492">
      <c r="A492" s="14" t="s">
        <v>978</v>
      </c>
      <c r="C492" s="14" t="s">
        <v>979</v>
      </c>
      <c r="G492" s="15" t="str">
        <f>IFERROR(__xludf.DUMMYFUNCTION("""COMPUTED_VALUE"""),"CSCI 192 PO-04")</f>
        <v>CSCI 192 PO-04</v>
      </c>
    </row>
    <row r="493">
      <c r="A493" s="14" t="s">
        <v>980</v>
      </c>
      <c r="C493" s="14" t="s">
        <v>979</v>
      </c>
      <c r="G493" s="15" t="str">
        <f>IFERROR(__xludf.DUMMYFUNCTION("""COMPUTED_VALUE"""),"CSCI 192 PO-08")</f>
        <v>CSCI 192 PO-08</v>
      </c>
    </row>
    <row r="494">
      <c r="A494" s="14" t="s">
        <v>981</v>
      </c>
      <c r="C494" s="14" t="s">
        <v>979</v>
      </c>
      <c r="G494" s="15" t="str">
        <f>IFERROR(__xludf.DUMMYFUNCTION("""COMPUTED_VALUE"""),"CSCI 192 PO-12")</f>
        <v>CSCI 192 PO-12</v>
      </c>
    </row>
    <row r="495">
      <c r="A495" s="14" t="s">
        <v>982</v>
      </c>
      <c r="C495" s="14" t="s">
        <v>979</v>
      </c>
      <c r="G495" s="15" t="str">
        <f>IFERROR(__xludf.DUMMYFUNCTION("""COMPUTED_VALUE"""),"CSCI 192 PO-16")</f>
        <v>CSCI 192 PO-16</v>
      </c>
    </row>
    <row r="496">
      <c r="A496" s="14" t="s">
        <v>983</v>
      </c>
      <c r="C496" s="14" t="s">
        <v>979</v>
      </c>
      <c r="G496" s="15" t="str">
        <f>IFERROR(__xludf.DUMMYFUNCTION("""COMPUTED_VALUE"""),"CSCI 192 PO-20")</f>
        <v>CSCI 192 PO-20</v>
      </c>
    </row>
    <row r="497">
      <c r="A497" s="14" t="s">
        <v>984</v>
      </c>
      <c r="C497" s="14" t="s">
        <v>90</v>
      </c>
      <c r="G497" s="15" t="str">
        <f>IFERROR(__xludf.DUMMYFUNCTION("""COMPUTED_VALUE"""),"CSCI 195 HM-01")</f>
        <v>CSCI 195 HM-01</v>
      </c>
    </row>
    <row r="498">
      <c r="A498" s="14" t="s">
        <v>985</v>
      </c>
      <c r="C498" s="14" t="s">
        <v>986</v>
      </c>
      <c r="G498" s="15" t="str">
        <f>IFERROR(__xludf.DUMMYFUNCTION("""COMPUTED_VALUE"""),"CSMT 184 HM-01")</f>
        <v>CSMT 184 HM-01</v>
      </c>
    </row>
    <row r="499">
      <c r="A499" s="14" t="s">
        <v>987</v>
      </c>
      <c r="C499" s="14" t="s">
        <v>988</v>
      </c>
      <c r="G499" s="15" t="str">
        <f>IFERROR(__xludf.DUMMYFUNCTION("""COMPUTED_VALUE"""),"DANC 010 PO-01")</f>
        <v>DANC 010 PO-01</v>
      </c>
    </row>
    <row r="500">
      <c r="A500" s="14" t="s">
        <v>989</v>
      </c>
      <c r="C500" s="14" t="s">
        <v>988</v>
      </c>
      <c r="G500" s="15" t="str">
        <f>IFERROR(__xludf.DUMMYFUNCTION("""COMPUTED_VALUE"""),"DANC 010 PO-02")</f>
        <v>DANC 010 PO-02</v>
      </c>
    </row>
    <row r="501">
      <c r="A501" s="14" t="s">
        <v>990</v>
      </c>
      <c r="C501" s="14" t="s">
        <v>991</v>
      </c>
      <c r="G501" s="15" t="str">
        <f>IFERROR(__xludf.DUMMYFUNCTION("""COMPUTED_VALUE"""),"DANC 012 PO-01")</f>
        <v>DANC 012 PO-01</v>
      </c>
    </row>
    <row r="502">
      <c r="A502" s="14" t="s">
        <v>992</v>
      </c>
      <c r="C502" s="14" t="s">
        <v>993</v>
      </c>
      <c r="G502" s="15" t="str">
        <f>IFERROR(__xludf.DUMMYFUNCTION("""COMPUTED_VALUE"""),"DANC 012P PO-01")</f>
        <v>DANC 012P PO-01</v>
      </c>
    </row>
    <row r="503">
      <c r="A503" s="14" t="s">
        <v>994</v>
      </c>
      <c r="C503" s="14" t="s">
        <v>995</v>
      </c>
      <c r="G503" s="15" t="str">
        <f>IFERROR(__xludf.DUMMYFUNCTION("""COMPUTED_VALUE"""),"DANC 050 PO-01")</f>
        <v>DANC 050 PO-01</v>
      </c>
    </row>
    <row r="504">
      <c r="A504" s="14" t="s">
        <v>996</v>
      </c>
      <c r="C504" s="14" t="s">
        <v>997</v>
      </c>
      <c r="G504" s="15" t="str">
        <f>IFERROR(__xludf.DUMMYFUNCTION("""COMPUTED_VALUE"""),"DANC 050P PO-01")</f>
        <v>DANC 050P PO-01</v>
      </c>
    </row>
    <row r="505">
      <c r="A505" s="14" t="s">
        <v>998</v>
      </c>
      <c r="C505" s="14" t="s">
        <v>999</v>
      </c>
      <c r="G505" s="15" t="str">
        <f>IFERROR(__xludf.DUMMYFUNCTION("""COMPUTED_VALUE"""),"DANC 051 PO-01")</f>
        <v>DANC 051 PO-01</v>
      </c>
    </row>
    <row r="506">
      <c r="A506" s="14" t="s">
        <v>1000</v>
      </c>
      <c r="C506" s="14" t="s">
        <v>1001</v>
      </c>
      <c r="G506" s="15" t="str">
        <f>IFERROR(__xludf.DUMMYFUNCTION("""COMPUTED_VALUE"""),"DANC 051P PO-01")</f>
        <v>DANC 051P PO-01</v>
      </c>
    </row>
    <row r="507">
      <c r="A507" s="14" t="s">
        <v>1002</v>
      </c>
      <c r="C507" s="14" t="s">
        <v>1003</v>
      </c>
      <c r="G507" s="15" t="str">
        <f>IFERROR(__xludf.DUMMYFUNCTION("""COMPUTED_VALUE"""),"DANC 076A SC-01")</f>
        <v>DANC 076A SC-01</v>
      </c>
    </row>
    <row r="508">
      <c r="A508" s="14" t="s">
        <v>1004</v>
      </c>
      <c r="C508" s="14" t="s">
        <v>1005</v>
      </c>
      <c r="G508" s="15" t="str">
        <f>IFERROR(__xludf.DUMMYFUNCTION("""COMPUTED_VALUE"""),"DANC 076B SC-01")</f>
        <v>DANC 076B SC-01</v>
      </c>
    </row>
    <row r="509">
      <c r="A509" s="14" t="s">
        <v>1006</v>
      </c>
      <c r="C509" s="14" t="s">
        <v>1007</v>
      </c>
      <c r="G509" s="15" t="str">
        <f>IFERROR(__xludf.DUMMYFUNCTION("""COMPUTED_VALUE"""),"DANC 078B SC-01")</f>
        <v>DANC 078B SC-01</v>
      </c>
    </row>
    <row r="510">
      <c r="A510" s="14" t="s">
        <v>1008</v>
      </c>
      <c r="C510" s="14" t="s">
        <v>1009</v>
      </c>
      <c r="G510" s="15" t="str">
        <f>IFERROR(__xludf.DUMMYFUNCTION("""COMPUTED_VALUE"""),"DANC 083B SC-01")</f>
        <v>DANC 083B SC-01</v>
      </c>
    </row>
    <row r="511">
      <c r="A511" s="14" t="s">
        <v>1010</v>
      </c>
      <c r="C511" s="14" t="s">
        <v>1011</v>
      </c>
      <c r="G511" s="15" t="str">
        <f>IFERROR(__xludf.DUMMYFUNCTION("""COMPUTED_VALUE"""),"DANC 101 SC-01")</f>
        <v>DANC 101 SC-01</v>
      </c>
    </row>
    <row r="512">
      <c r="A512" s="14" t="s">
        <v>1012</v>
      </c>
      <c r="C512" s="14" t="s">
        <v>1013</v>
      </c>
      <c r="G512" s="15" t="str">
        <f>IFERROR(__xludf.DUMMYFUNCTION("""COMPUTED_VALUE"""),"DANC 110B SC-01")</f>
        <v>DANC 110B SC-01</v>
      </c>
    </row>
    <row r="513">
      <c r="A513" s="14" t="s">
        <v>1014</v>
      </c>
      <c r="C513" s="14" t="s">
        <v>1015</v>
      </c>
      <c r="G513" s="15" t="str">
        <f>IFERROR(__xludf.DUMMYFUNCTION("""COMPUTED_VALUE"""),"DANC 114A SC-01")</f>
        <v>DANC 114A SC-01</v>
      </c>
    </row>
    <row r="514">
      <c r="A514" s="14" t="s">
        <v>1016</v>
      </c>
      <c r="C514" s="14" t="s">
        <v>1017</v>
      </c>
      <c r="G514" s="15" t="str">
        <f>IFERROR(__xludf.DUMMYFUNCTION("""COMPUTED_VALUE"""),"DANC 114B SC-01")</f>
        <v>DANC 114B SC-01</v>
      </c>
    </row>
    <row r="515">
      <c r="A515" s="14" t="s">
        <v>1018</v>
      </c>
      <c r="C515" s="14" t="s">
        <v>1019</v>
      </c>
      <c r="G515" s="15" t="str">
        <f>IFERROR(__xludf.DUMMYFUNCTION("""COMPUTED_VALUE"""),"DANC 120 PO-01")</f>
        <v>DANC 120 PO-01</v>
      </c>
    </row>
    <row r="516">
      <c r="A516" s="14" t="s">
        <v>1020</v>
      </c>
      <c r="C516" s="14" t="s">
        <v>1021</v>
      </c>
      <c r="G516" s="15" t="str">
        <f>IFERROR(__xludf.DUMMYFUNCTION("""COMPUTED_VALUE"""),"DANC 120P PO-01")</f>
        <v>DANC 120P PO-01</v>
      </c>
    </row>
    <row r="517">
      <c r="A517" s="14" t="s">
        <v>1022</v>
      </c>
      <c r="C517" s="14" t="s">
        <v>1023</v>
      </c>
      <c r="G517" s="15" t="str">
        <f>IFERROR(__xludf.DUMMYFUNCTION("""COMPUTED_VALUE"""),"DANC 121 SC-01")</f>
        <v>DANC 121 SC-01</v>
      </c>
    </row>
    <row r="518">
      <c r="A518" s="14" t="s">
        <v>1024</v>
      </c>
      <c r="C518" s="14" t="s">
        <v>1025</v>
      </c>
      <c r="G518" s="15" t="str">
        <f>IFERROR(__xludf.DUMMYFUNCTION("""COMPUTED_VALUE"""),"DANC 122 PO-01")</f>
        <v>DANC 122 PO-01</v>
      </c>
    </row>
    <row r="519">
      <c r="A519" s="14" t="s">
        <v>1026</v>
      </c>
      <c r="C519" s="14" t="s">
        <v>1027</v>
      </c>
      <c r="G519" s="15" t="str">
        <f>IFERROR(__xludf.DUMMYFUNCTION("""COMPUTED_VALUE"""),"DANC 122P PO-01")</f>
        <v>DANC 122P PO-01</v>
      </c>
    </row>
    <row r="520">
      <c r="A520" s="14" t="s">
        <v>1028</v>
      </c>
      <c r="C520" s="14" t="s">
        <v>1029</v>
      </c>
      <c r="G520" s="15" t="str">
        <f>IFERROR(__xludf.DUMMYFUNCTION("""COMPUTED_VALUE"""),"DANC 123 PO-01")</f>
        <v>DANC 123 PO-01</v>
      </c>
    </row>
    <row r="521">
      <c r="A521" s="14" t="s">
        <v>1030</v>
      </c>
      <c r="C521" s="14" t="s">
        <v>1031</v>
      </c>
      <c r="G521" s="15" t="str">
        <f>IFERROR(__xludf.DUMMYFUNCTION("""COMPUTED_VALUE"""),"DANC 124 PO-01")</f>
        <v>DANC 124 PO-01</v>
      </c>
    </row>
    <row r="522">
      <c r="A522" s="14" t="s">
        <v>1032</v>
      </c>
      <c r="C522" s="14" t="s">
        <v>1033</v>
      </c>
      <c r="G522" s="15" t="str">
        <f>IFERROR(__xludf.DUMMYFUNCTION("""COMPUTED_VALUE"""),"DANC 124P PO-01")</f>
        <v>DANC 124P PO-01</v>
      </c>
    </row>
    <row r="523">
      <c r="A523" s="14" t="s">
        <v>1034</v>
      </c>
      <c r="C523" s="14" t="s">
        <v>1035</v>
      </c>
      <c r="G523" s="15" t="str">
        <f>IFERROR(__xludf.DUMMYFUNCTION("""COMPUTED_VALUE"""),"DANC 130 PO-01")</f>
        <v>DANC 130 PO-01</v>
      </c>
    </row>
    <row r="524">
      <c r="A524" s="14" t="s">
        <v>1036</v>
      </c>
      <c r="C524" s="14" t="s">
        <v>1037</v>
      </c>
      <c r="G524" s="15" t="str">
        <f>IFERROR(__xludf.DUMMYFUNCTION("""COMPUTED_VALUE"""),"DANC 131 SC-01")</f>
        <v>DANC 131 SC-01</v>
      </c>
    </row>
    <row r="525">
      <c r="A525" s="14" t="s">
        <v>1038</v>
      </c>
      <c r="C525" s="14" t="s">
        <v>1039</v>
      </c>
      <c r="G525" s="15" t="str">
        <f>IFERROR(__xludf.DUMMYFUNCTION("""COMPUTED_VALUE"""),"DANC 150C PO-01")</f>
        <v>DANC 150C PO-01</v>
      </c>
    </row>
    <row r="526">
      <c r="A526" s="14" t="s">
        <v>1040</v>
      </c>
      <c r="C526" s="14" t="s">
        <v>1041</v>
      </c>
      <c r="G526" s="15" t="str">
        <f>IFERROR(__xludf.DUMMYFUNCTION("""COMPUTED_VALUE"""),"DANC 151 PO-01")</f>
        <v>DANC 151 PO-01</v>
      </c>
    </row>
    <row r="527">
      <c r="A527" s="14" t="s">
        <v>1042</v>
      </c>
      <c r="C527" s="14" t="s">
        <v>1043</v>
      </c>
      <c r="G527" s="15" t="str">
        <f>IFERROR(__xludf.DUMMYFUNCTION("""COMPUTED_VALUE"""),"DANC 151P PO-01")</f>
        <v>DANC 151P PO-01</v>
      </c>
    </row>
    <row r="528">
      <c r="A528" s="14" t="s">
        <v>1044</v>
      </c>
      <c r="C528" s="14" t="s">
        <v>1045</v>
      </c>
      <c r="G528" s="15" t="str">
        <f>IFERROR(__xludf.DUMMYFUNCTION("""COMPUTED_VALUE"""),"DANC 152 PO-01")</f>
        <v>DANC 152 PO-01</v>
      </c>
    </row>
    <row r="529">
      <c r="A529" s="14" t="s">
        <v>1046</v>
      </c>
      <c r="C529" s="14" t="s">
        <v>1047</v>
      </c>
      <c r="G529" s="15" t="str">
        <f>IFERROR(__xludf.DUMMYFUNCTION("""COMPUTED_VALUE"""),"DANC 152P PO-01")</f>
        <v>DANC 152P PO-01</v>
      </c>
    </row>
    <row r="530">
      <c r="A530" s="14" t="s">
        <v>1048</v>
      </c>
      <c r="C530" s="14" t="s">
        <v>1049</v>
      </c>
      <c r="G530" s="15" t="str">
        <f>IFERROR(__xludf.DUMMYFUNCTION("""COMPUTED_VALUE"""),"DANC 162A SC-01")</f>
        <v>DANC 162A SC-01</v>
      </c>
    </row>
    <row r="531">
      <c r="A531" s="14" t="s">
        <v>1050</v>
      </c>
      <c r="C531" s="14" t="s">
        <v>1051</v>
      </c>
      <c r="G531" s="15" t="str">
        <f>IFERROR(__xludf.DUMMYFUNCTION("""COMPUTED_VALUE"""),"DANC 162B SC-01")</f>
        <v>DANC 162B SC-01</v>
      </c>
    </row>
    <row r="532">
      <c r="A532" s="14" t="s">
        <v>1052</v>
      </c>
      <c r="C532" s="14" t="s">
        <v>1053</v>
      </c>
      <c r="G532" s="15" t="str">
        <f>IFERROR(__xludf.DUMMYFUNCTION("""COMPUTED_VALUE"""),"DANC 166 PO-01")</f>
        <v>DANC 166 PO-01</v>
      </c>
    </row>
    <row r="533">
      <c r="A533" s="14" t="s">
        <v>1054</v>
      </c>
      <c r="C533" s="14" t="s">
        <v>1055</v>
      </c>
      <c r="G533" s="15" t="str">
        <f>IFERROR(__xludf.DUMMYFUNCTION("""COMPUTED_VALUE"""),"DANC 166P PO-01")</f>
        <v>DANC 166P PO-01</v>
      </c>
    </row>
    <row r="534">
      <c r="A534" s="14" t="s">
        <v>1056</v>
      </c>
      <c r="C534" s="14" t="s">
        <v>1057</v>
      </c>
      <c r="G534" s="15" t="str">
        <f>IFERROR(__xludf.DUMMYFUNCTION("""COMPUTED_VALUE"""),"DANC 175 PO-01")</f>
        <v>DANC 175 PO-01</v>
      </c>
    </row>
    <row r="535">
      <c r="A535" s="14" t="s">
        <v>1058</v>
      </c>
      <c r="C535" s="14" t="s">
        <v>1059</v>
      </c>
      <c r="G535" s="15" t="str">
        <f>IFERROR(__xludf.DUMMYFUNCTION("""COMPUTED_VALUE"""),"DANC 176 PO-01")</f>
        <v>DANC 176 PO-01</v>
      </c>
    </row>
    <row r="536">
      <c r="A536" s="14" t="s">
        <v>1060</v>
      </c>
      <c r="C536" s="14" t="s">
        <v>1061</v>
      </c>
      <c r="G536" s="15" t="str">
        <f>IFERROR(__xludf.DUMMYFUNCTION("""COMPUTED_VALUE"""),"DANC 180 PO-01")</f>
        <v>DANC 180 PO-01</v>
      </c>
    </row>
    <row r="537">
      <c r="A537" s="14" t="s">
        <v>1062</v>
      </c>
      <c r="C537" s="14" t="s">
        <v>1061</v>
      </c>
      <c r="G537" s="15" t="str">
        <f>IFERROR(__xludf.DUMMYFUNCTION("""COMPUTED_VALUE"""),"DANC 180 SC-01")</f>
        <v>DANC 180 SC-01</v>
      </c>
    </row>
    <row r="538">
      <c r="A538" s="14" t="s">
        <v>1063</v>
      </c>
      <c r="C538" s="14" t="s">
        <v>1064</v>
      </c>
      <c r="G538" s="15" t="str">
        <f>IFERROR(__xludf.DUMMYFUNCTION("""COMPUTED_VALUE"""),"DANC 180P PO-01")</f>
        <v>DANC 180P PO-01</v>
      </c>
    </row>
    <row r="539">
      <c r="A539" s="14" t="s">
        <v>1065</v>
      </c>
      <c r="C539" s="14" t="s">
        <v>1066</v>
      </c>
      <c r="G539" s="15" t="str">
        <f>IFERROR(__xludf.DUMMYFUNCTION("""COMPUTED_VALUE"""),"DANC 181 PO-01")</f>
        <v>DANC 181 PO-01</v>
      </c>
    </row>
    <row r="540">
      <c r="A540" s="14" t="s">
        <v>1067</v>
      </c>
      <c r="C540" s="14" t="s">
        <v>1068</v>
      </c>
      <c r="G540" s="15" t="str">
        <f>IFERROR(__xludf.DUMMYFUNCTION("""COMPUTED_VALUE"""),"DANC 181P PO-01")</f>
        <v>DANC 181P PO-01</v>
      </c>
    </row>
    <row r="541">
      <c r="A541" s="14" t="s">
        <v>1069</v>
      </c>
      <c r="C541" s="14" t="s">
        <v>1070</v>
      </c>
      <c r="G541" s="15" t="str">
        <f>IFERROR(__xludf.DUMMYFUNCTION("""COMPUTED_VALUE"""),"DANC 191 SC-01")</f>
        <v>DANC 191 SC-01</v>
      </c>
    </row>
    <row r="542">
      <c r="A542" s="14" t="s">
        <v>1071</v>
      </c>
      <c r="C542" s="14" t="s">
        <v>1072</v>
      </c>
      <c r="G542" s="15" t="str">
        <f>IFERROR(__xludf.DUMMYFUNCTION("""COMPUTED_VALUE"""),"DANC 192 PO-04")</f>
        <v>DANC 192 PO-04</v>
      </c>
    </row>
    <row r="543">
      <c r="A543" s="14" t="s">
        <v>1073</v>
      </c>
      <c r="C543" s="14" t="s">
        <v>1074</v>
      </c>
      <c r="G543" s="15" t="str">
        <f>IFERROR(__xludf.DUMMYFUNCTION("""COMPUTED_VALUE"""),"DANC 193 SC-01")</f>
        <v>DANC 193 SC-01</v>
      </c>
    </row>
    <row r="544">
      <c r="A544" s="14" t="s">
        <v>1075</v>
      </c>
      <c r="C544" s="14" t="s">
        <v>1076</v>
      </c>
      <c r="G544" s="15" t="str">
        <f>IFERROR(__xludf.DUMMYFUNCTION("""COMPUTED_VALUE"""),"DS 002 SC-01")</f>
        <v>DS 002 SC-01</v>
      </c>
    </row>
    <row r="545">
      <c r="A545" s="14" t="s">
        <v>1077</v>
      </c>
      <c r="C545" s="14" t="s">
        <v>1078</v>
      </c>
      <c r="G545" s="15" t="str">
        <f>IFERROR(__xludf.DUMMYFUNCTION("""COMPUTED_VALUE"""),"DS 180 CM-01")</f>
        <v>DS 180 CM-01</v>
      </c>
    </row>
    <row r="546">
      <c r="A546" s="14" t="s">
        <v>1079</v>
      </c>
      <c r="C546" s="14" t="s">
        <v>1080</v>
      </c>
      <c r="G546" s="15" t="str">
        <f>IFERROR(__xludf.DUMMYFUNCTION("""COMPUTED_VALUE"""),"EA 010 PO-01")</f>
        <v>EA 010 PO-01</v>
      </c>
    </row>
    <row r="547">
      <c r="A547" s="14" t="s">
        <v>1081</v>
      </c>
      <c r="C547" s="14" t="s">
        <v>1080</v>
      </c>
      <c r="G547" s="15" t="str">
        <f>IFERROR(__xludf.DUMMYFUNCTION("""COMPUTED_VALUE"""),"EA 010 PO-02")</f>
        <v>EA 010 PO-02</v>
      </c>
    </row>
    <row r="548">
      <c r="A548" s="14" t="s">
        <v>1082</v>
      </c>
      <c r="C548" s="14" t="s">
        <v>1080</v>
      </c>
      <c r="G548" s="15" t="str">
        <f>IFERROR(__xludf.DUMMYFUNCTION("""COMPUTED_VALUE"""),"EA 010 PO-03")</f>
        <v>EA 010 PO-03</v>
      </c>
    </row>
    <row r="549">
      <c r="A549" s="14" t="s">
        <v>1083</v>
      </c>
      <c r="C549" s="14" t="s">
        <v>1080</v>
      </c>
      <c r="G549" s="15" t="str">
        <f>IFERROR(__xludf.DUMMYFUNCTION("""COMPUTED_VALUE"""),"EA 010 PZ-01")</f>
        <v>EA 010 PZ-01</v>
      </c>
    </row>
    <row r="550">
      <c r="A550" s="14" t="s">
        <v>1084</v>
      </c>
      <c r="C550" s="14" t="s">
        <v>1080</v>
      </c>
      <c r="G550" s="15" t="str">
        <f>IFERROR(__xludf.DUMMYFUNCTION("""COMPUTED_VALUE"""),"EA 010 PZ-02")</f>
        <v>EA 010 PZ-02</v>
      </c>
    </row>
    <row r="551">
      <c r="A551" s="14" t="s">
        <v>1085</v>
      </c>
      <c r="C551" s="14" t="s">
        <v>1086</v>
      </c>
      <c r="G551" s="15" t="str">
        <f>IFERROR(__xludf.DUMMYFUNCTION("""COMPUTED_VALUE"""),"EA 020 PO-01")</f>
        <v>EA 020 PO-01</v>
      </c>
    </row>
    <row r="552">
      <c r="A552" s="14" t="s">
        <v>1087</v>
      </c>
      <c r="C552" s="14" t="s">
        <v>1088</v>
      </c>
      <c r="G552" s="15" t="str">
        <f>IFERROR(__xludf.DUMMYFUNCTION("""COMPUTED_VALUE"""),"EA 030E PO-01")</f>
        <v>EA 030E PO-01</v>
      </c>
    </row>
    <row r="553">
      <c r="A553" s="14" t="s">
        <v>1089</v>
      </c>
      <c r="C553" s="14" t="s">
        <v>1090</v>
      </c>
      <c r="G553" s="15" t="str">
        <f>IFERROR(__xludf.DUMMYFUNCTION("""COMPUTED_VALUE"""),"EA 030L KS-01")</f>
        <v>EA 030L KS-01</v>
      </c>
    </row>
    <row r="554">
      <c r="A554" s="14" t="s">
        <v>1091</v>
      </c>
      <c r="C554" s="14" t="s">
        <v>1090</v>
      </c>
      <c r="G554" s="15" t="str">
        <f>IFERROR(__xludf.DUMMYFUNCTION("""COMPUTED_VALUE"""),"EA 030L KS-02")</f>
        <v>EA 030L KS-02</v>
      </c>
    </row>
    <row r="555">
      <c r="A555" s="14" t="s">
        <v>1092</v>
      </c>
      <c r="C555" s="14" t="s">
        <v>1093</v>
      </c>
      <c r="G555" s="15" t="str">
        <f>IFERROR(__xludf.DUMMYFUNCTION("""COMPUTED_VALUE"""),"EA 032 PZ-01")</f>
        <v>EA 032 PZ-01</v>
      </c>
    </row>
    <row r="556">
      <c r="A556" s="14" t="s">
        <v>1094</v>
      </c>
      <c r="C556" s="14" t="s">
        <v>1095</v>
      </c>
      <c r="G556" s="15" t="str">
        <f>IFERROR(__xludf.DUMMYFUNCTION("""COMPUTED_VALUE"""),"EA 055L KS-01")</f>
        <v>EA 055L KS-01</v>
      </c>
    </row>
    <row r="557">
      <c r="A557" s="14" t="s">
        <v>1096</v>
      </c>
      <c r="C557" s="14" t="s">
        <v>1097</v>
      </c>
      <c r="G557" s="15" t="str">
        <f>IFERROR(__xludf.DUMMYFUNCTION("""COMPUTED_VALUE"""),"EA 060 PZ-01")</f>
        <v>EA 060 PZ-01</v>
      </c>
    </row>
    <row r="558">
      <c r="A558" s="14" t="s">
        <v>1098</v>
      </c>
      <c r="C558" s="14" t="s">
        <v>1099</v>
      </c>
      <c r="G558" s="15" t="str">
        <f>IFERROR(__xludf.DUMMYFUNCTION("""COMPUTED_VALUE"""),"EA 086 PZ-01")</f>
        <v>EA 086 PZ-01</v>
      </c>
    </row>
    <row r="559">
      <c r="A559" s="14" t="s">
        <v>1100</v>
      </c>
      <c r="C559" s="14" t="s">
        <v>1101</v>
      </c>
      <c r="G559" s="15" t="str">
        <f>IFERROR(__xludf.DUMMYFUNCTION("""COMPUTED_VALUE"""),"EA 093 PZ-01")</f>
        <v>EA 093 PZ-01</v>
      </c>
    </row>
    <row r="560">
      <c r="A560" s="14" t="s">
        <v>1102</v>
      </c>
      <c r="C560" s="14" t="s">
        <v>1103</v>
      </c>
      <c r="G560" s="15" t="str">
        <f>IFERROR(__xludf.DUMMYFUNCTION("""COMPUTED_VALUE"""),"EA 098 PZ-01")</f>
        <v>EA 098 PZ-01</v>
      </c>
    </row>
    <row r="561">
      <c r="A561" s="14" t="s">
        <v>1104</v>
      </c>
      <c r="C561" s="14" t="s">
        <v>1105</v>
      </c>
      <c r="G561" s="15" t="str">
        <f>IFERROR(__xludf.DUMMYFUNCTION("""COMPUTED_VALUE"""),"EA 101 PO-01")</f>
        <v>EA 101 PO-01</v>
      </c>
    </row>
    <row r="562">
      <c r="A562" s="14" t="s">
        <v>1106</v>
      </c>
      <c r="C562" s="14" t="s">
        <v>1107</v>
      </c>
      <c r="G562" s="15" t="str">
        <f>IFERROR(__xludf.DUMMYFUNCTION("""COMPUTED_VALUE"""),"EA 103 KS-01")</f>
        <v>EA 103 KS-01</v>
      </c>
    </row>
    <row r="563">
      <c r="A563" s="14" t="s">
        <v>1108</v>
      </c>
      <c r="C563" s="14" t="s">
        <v>1109</v>
      </c>
      <c r="G563" s="15" t="str">
        <f>IFERROR(__xludf.DUMMYFUNCTION("""COMPUTED_VALUE"""),"EA 130 PZ-01")</f>
        <v>EA 130 PZ-01</v>
      </c>
    </row>
    <row r="564">
      <c r="A564" s="14" t="s">
        <v>1110</v>
      </c>
      <c r="C564" s="14" t="s">
        <v>1111</v>
      </c>
      <c r="G564" s="15" t="str">
        <f>IFERROR(__xludf.DUMMYFUNCTION("""COMPUTED_VALUE"""),"EA 134 PZ-01")</f>
        <v>EA 134 PZ-01</v>
      </c>
    </row>
    <row r="565">
      <c r="A565" s="14" t="s">
        <v>1112</v>
      </c>
      <c r="C565" s="14" t="s">
        <v>1113</v>
      </c>
      <c r="G565" s="15" t="str">
        <f>IFERROR(__xludf.DUMMYFUNCTION("""COMPUTED_VALUE"""),"EA 138 PZ-01")</f>
        <v>EA 138 PZ-01</v>
      </c>
    </row>
    <row r="566">
      <c r="A566" s="14" t="s">
        <v>1114</v>
      </c>
      <c r="C566" s="14" t="s">
        <v>1115</v>
      </c>
      <c r="G566" s="15" t="str">
        <f>IFERROR(__xludf.DUMMYFUNCTION("""COMPUTED_VALUE"""),"EA 141 PZ-01")</f>
        <v>EA 141 PZ-01</v>
      </c>
    </row>
    <row r="567">
      <c r="A567" s="14" t="s">
        <v>1116</v>
      </c>
      <c r="C567" s="14" t="s">
        <v>1117</v>
      </c>
      <c r="G567" s="15" t="str">
        <f>IFERROR(__xludf.DUMMYFUNCTION("""COMPUTED_VALUE"""),"EA 144 PZ-01")</f>
        <v>EA 144 PZ-01</v>
      </c>
    </row>
    <row r="568">
      <c r="A568" s="14" t="s">
        <v>1118</v>
      </c>
      <c r="C568" s="14" t="s">
        <v>1119</v>
      </c>
      <c r="G568" s="15" t="str">
        <f>IFERROR(__xludf.DUMMYFUNCTION("""COMPUTED_VALUE"""),"EA 170 PO-01")</f>
        <v>EA 170 PO-01</v>
      </c>
    </row>
    <row r="569">
      <c r="A569" s="14" t="s">
        <v>1120</v>
      </c>
      <c r="C569" s="14" t="s">
        <v>1121</v>
      </c>
      <c r="G569" s="15" t="str">
        <f>IFERROR(__xludf.DUMMYFUNCTION("""COMPUTED_VALUE"""),"EA 185 PO-01")</f>
        <v>EA 185 PO-01</v>
      </c>
    </row>
    <row r="570">
      <c r="A570" s="14" t="s">
        <v>1122</v>
      </c>
      <c r="C570" s="14" t="s">
        <v>1123</v>
      </c>
      <c r="G570" s="15" t="str">
        <f>IFERROR(__xludf.DUMMYFUNCTION("""COMPUTED_VALUE"""),"EA 188L KS-01")</f>
        <v>EA 188L KS-01</v>
      </c>
    </row>
    <row r="571">
      <c r="A571" s="14" t="s">
        <v>1124</v>
      </c>
      <c r="C571" s="14" t="s">
        <v>1125</v>
      </c>
      <c r="G571" s="15" t="str">
        <f>IFERROR(__xludf.DUMMYFUNCTION("""COMPUTED_VALUE"""),"EA 189L KS-01")</f>
        <v>EA 189L KS-01</v>
      </c>
    </row>
    <row r="572">
      <c r="A572" s="14" t="s">
        <v>1126</v>
      </c>
      <c r="C572" s="14" t="s">
        <v>1127</v>
      </c>
      <c r="G572" s="15" t="str">
        <f>IFERROR(__xludf.DUMMYFUNCTION("""COMPUTED_VALUE"""),"EA 190L KS-01")</f>
        <v>EA 190L KS-01</v>
      </c>
    </row>
    <row r="573">
      <c r="A573" s="14" t="s">
        <v>1128</v>
      </c>
      <c r="C573" s="14" t="s">
        <v>1129</v>
      </c>
      <c r="G573" s="15" t="str">
        <f>IFERROR(__xludf.DUMMYFUNCTION("""COMPUTED_VALUE"""),"EA 191 KS-01")</f>
        <v>EA 191 KS-01</v>
      </c>
    </row>
    <row r="574">
      <c r="A574" s="14" t="s">
        <v>1130</v>
      </c>
      <c r="C574" s="14" t="s">
        <v>1129</v>
      </c>
      <c r="G574" s="15" t="str">
        <f>IFERROR(__xludf.DUMMYFUNCTION("""COMPUTED_VALUE"""),"EA 191 PO-04")</f>
        <v>EA 191 PO-04</v>
      </c>
    </row>
    <row r="575">
      <c r="A575" s="14" t="s">
        <v>1131</v>
      </c>
      <c r="C575" s="14" t="s">
        <v>1132</v>
      </c>
      <c r="G575" s="15" t="str">
        <f>IFERROR(__xludf.DUMMYFUNCTION("""COMPUTED_VALUE"""),"EA 191H PO-04")</f>
        <v>EA 191H PO-04</v>
      </c>
    </row>
    <row r="576">
      <c r="A576" s="14" t="s">
        <v>1133</v>
      </c>
      <c r="C576" s="14" t="s">
        <v>1134</v>
      </c>
      <c r="G576" s="15" t="str">
        <f>IFERROR(__xludf.DUMMYFUNCTION("""COMPUTED_VALUE"""),"EA 197 PZ-01")</f>
        <v>EA 197 PZ-01</v>
      </c>
    </row>
    <row r="577">
      <c r="A577" s="14" t="s">
        <v>1135</v>
      </c>
      <c r="C577" s="14" t="s">
        <v>1136</v>
      </c>
      <c r="G577" s="15" t="str">
        <f>IFERROR(__xludf.DUMMYFUNCTION("""COMPUTED_VALUE"""),"ECON 050 CM-01")</f>
        <v>ECON 050 CM-01</v>
      </c>
    </row>
    <row r="578">
      <c r="A578" s="14" t="s">
        <v>1137</v>
      </c>
      <c r="C578" s="14" t="s">
        <v>1136</v>
      </c>
      <c r="G578" s="15" t="str">
        <f>IFERROR(__xludf.DUMMYFUNCTION("""COMPUTED_VALUE"""),"ECON 050 CM-02")</f>
        <v>ECON 050 CM-02</v>
      </c>
    </row>
    <row r="579">
      <c r="A579" s="14" t="s">
        <v>1138</v>
      </c>
      <c r="C579" s="14" t="s">
        <v>1139</v>
      </c>
      <c r="G579" s="15" t="str">
        <f>IFERROR(__xludf.DUMMYFUNCTION("""COMPUTED_VALUE"""),"ECON 051 PO-01")</f>
        <v>ECON 051 PO-01</v>
      </c>
    </row>
    <row r="580">
      <c r="A580" s="14" t="s">
        <v>1140</v>
      </c>
      <c r="C580" s="14" t="s">
        <v>1139</v>
      </c>
      <c r="G580" s="15" t="str">
        <f>IFERROR(__xludf.DUMMYFUNCTION("""COMPUTED_VALUE"""),"ECON 051 PO-02")</f>
        <v>ECON 051 PO-02</v>
      </c>
    </row>
    <row r="581">
      <c r="A581" s="14" t="s">
        <v>1141</v>
      </c>
      <c r="C581" s="14" t="s">
        <v>1139</v>
      </c>
      <c r="G581" s="15" t="str">
        <f>IFERROR(__xludf.DUMMYFUNCTION("""COMPUTED_VALUE"""),"ECON 051 PO-03")</f>
        <v>ECON 051 PO-03</v>
      </c>
    </row>
    <row r="582">
      <c r="A582" s="14" t="s">
        <v>1142</v>
      </c>
      <c r="C582" s="14" t="s">
        <v>1139</v>
      </c>
      <c r="G582" s="15" t="str">
        <f>IFERROR(__xludf.DUMMYFUNCTION("""COMPUTED_VALUE"""),"ECON 051 PZ-01")</f>
        <v>ECON 051 PZ-01</v>
      </c>
    </row>
    <row r="583">
      <c r="A583" s="14" t="s">
        <v>1143</v>
      </c>
      <c r="C583" s="14" t="s">
        <v>1139</v>
      </c>
      <c r="G583" s="15" t="str">
        <f>IFERROR(__xludf.DUMMYFUNCTION("""COMPUTED_VALUE"""),"ECON 051 PZ-02")</f>
        <v>ECON 051 PZ-02</v>
      </c>
    </row>
    <row r="584">
      <c r="A584" s="14" t="s">
        <v>1144</v>
      </c>
      <c r="C584" s="14" t="s">
        <v>1139</v>
      </c>
      <c r="G584" s="15" t="str">
        <f>IFERROR(__xludf.DUMMYFUNCTION("""COMPUTED_VALUE"""),"ECON 051 SC-01")</f>
        <v>ECON 051 SC-01</v>
      </c>
    </row>
    <row r="585">
      <c r="A585" s="14" t="s">
        <v>1145</v>
      </c>
      <c r="C585" s="14" t="s">
        <v>1146</v>
      </c>
      <c r="G585" s="15" t="str">
        <f>IFERROR(__xludf.DUMMYFUNCTION("""COMPUTED_VALUE"""),"ECON 052 PO-03")</f>
        <v>ECON 052 PO-03</v>
      </c>
    </row>
    <row r="586">
      <c r="A586" s="14" t="s">
        <v>1147</v>
      </c>
      <c r="C586" s="14" t="s">
        <v>1146</v>
      </c>
      <c r="G586" s="15" t="str">
        <f>IFERROR(__xludf.DUMMYFUNCTION("""COMPUTED_VALUE"""),"ECON 052 PO-04")</f>
        <v>ECON 052 PO-04</v>
      </c>
    </row>
    <row r="587">
      <c r="A587" s="14" t="s">
        <v>1148</v>
      </c>
      <c r="C587" s="14" t="s">
        <v>1146</v>
      </c>
      <c r="G587" s="15" t="str">
        <f>IFERROR(__xludf.DUMMYFUNCTION("""COMPUTED_VALUE"""),"ECON 052 PO-05")</f>
        <v>ECON 052 PO-05</v>
      </c>
    </row>
    <row r="588">
      <c r="A588" s="14" t="s">
        <v>1149</v>
      </c>
      <c r="C588" s="14" t="s">
        <v>1146</v>
      </c>
      <c r="G588" s="15" t="str">
        <f>IFERROR(__xludf.DUMMYFUNCTION("""COMPUTED_VALUE"""),"ECON 052 PZ-01")</f>
        <v>ECON 052 PZ-01</v>
      </c>
    </row>
    <row r="589">
      <c r="A589" s="14" t="s">
        <v>1150</v>
      </c>
      <c r="C589" s="14" t="s">
        <v>1146</v>
      </c>
      <c r="G589" s="15" t="str">
        <f>IFERROR(__xludf.DUMMYFUNCTION("""COMPUTED_VALUE"""),"ECON 052 PZ-02")</f>
        <v>ECON 052 PZ-02</v>
      </c>
    </row>
    <row r="590">
      <c r="A590" s="14" t="s">
        <v>1151</v>
      </c>
      <c r="C590" s="14" t="s">
        <v>1146</v>
      </c>
      <c r="G590" s="15" t="str">
        <f>IFERROR(__xludf.DUMMYFUNCTION("""COMPUTED_VALUE"""),"ECON 052 SC-01")</f>
        <v>ECON 052 SC-01</v>
      </c>
    </row>
    <row r="591">
      <c r="A591" s="14" t="s">
        <v>1152</v>
      </c>
      <c r="C591" s="14" t="s">
        <v>1153</v>
      </c>
      <c r="G591" s="15" t="str">
        <f>IFERROR(__xludf.DUMMYFUNCTION("""COMPUTED_VALUE"""),"ECON 057 PO-01")</f>
        <v>ECON 057 PO-01</v>
      </c>
    </row>
    <row r="592">
      <c r="A592" s="14" t="s">
        <v>1154</v>
      </c>
      <c r="C592" s="14" t="s">
        <v>1155</v>
      </c>
      <c r="G592" s="15" t="str">
        <f>IFERROR(__xludf.DUMMYFUNCTION("""COMPUTED_VALUE"""),"ECON 057B PO-01")</f>
        <v>ECON 057B PO-01</v>
      </c>
    </row>
    <row r="593">
      <c r="A593" s="14" t="s">
        <v>1156</v>
      </c>
      <c r="C593" s="14" t="s">
        <v>1157</v>
      </c>
      <c r="G593" s="15" t="str">
        <f>IFERROR(__xludf.DUMMYFUNCTION("""COMPUTED_VALUE"""),"ECON 086 CM-01")</f>
        <v>ECON 086 CM-01</v>
      </c>
    </row>
    <row r="594">
      <c r="A594" s="14" t="s">
        <v>1158</v>
      </c>
      <c r="C594" s="14" t="s">
        <v>1157</v>
      </c>
      <c r="G594" s="15" t="str">
        <f>IFERROR(__xludf.DUMMYFUNCTION("""COMPUTED_VALUE"""),"ECON 086 CM-02")</f>
        <v>ECON 086 CM-02</v>
      </c>
    </row>
    <row r="595">
      <c r="A595" s="14" t="s">
        <v>1159</v>
      </c>
      <c r="C595" s="14" t="s">
        <v>1157</v>
      </c>
      <c r="G595" s="15" t="str">
        <f>IFERROR(__xludf.DUMMYFUNCTION("""COMPUTED_VALUE"""),"ECON 086 CM-03")</f>
        <v>ECON 086 CM-03</v>
      </c>
    </row>
    <row r="596">
      <c r="A596" s="14" t="s">
        <v>1160</v>
      </c>
      <c r="C596" s="14" t="s">
        <v>1157</v>
      </c>
      <c r="G596" s="15" t="str">
        <f>IFERROR(__xludf.DUMMYFUNCTION("""COMPUTED_VALUE"""),"ECON 086 CM-04")</f>
        <v>ECON 086 CM-04</v>
      </c>
    </row>
    <row r="597">
      <c r="A597" s="14" t="s">
        <v>1161</v>
      </c>
      <c r="C597" s="14" t="s">
        <v>1157</v>
      </c>
      <c r="G597" s="15" t="str">
        <f>IFERROR(__xludf.DUMMYFUNCTION("""COMPUTED_VALUE"""),"ECON 086 CM-05")</f>
        <v>ECON 086 CM-05</v>
      </c>
    </row>
    <row r="598">
      <c r="A598" s="14" t="s">
        <v>1162</v>
      </c>
      <c r="C598" s="14" t="s">
        <v>1163</v>
      </c>
      <c r="G598" s="15" t="str">
        <f>IFERROR(__xludf.DUMMYFUNCTION("""COMPUTED_VALUE"""),"ECON 091 PZ-01")</f>
        <v>ECON 091 PZ-01</v>
      </c>
    </row>
    <row r="599">
      <c r="A599" s="14" t="s">
        <v>1164</v>
      </c>
      <c r="C599" s="14" t="s">
        <v>1165</v>
      </c>
      <c r="G599" s="15" t="str">
        <f>IFERROR(__xludf.DUMMYFUNCTION("""COMPUTED_VALUE"""),"ECON 097 CM-01")</f>
        <v>ECON 097 CM-01</v>
      </c>
    </row>
    <row r="600">
      <c r="A600" s="14" t="s">
        <v>1166</v>
      </c>
      <c r="C600" s="14" t="s">
        <v>1167</v>
      </c>
      <c r="G600" s="15" t="str">
        <f>IFERROR(__xludf.DUMMYFUNCTION("""COMPUTED_VALUE"""),"ECON 100 CM-01")</f>
        <v>ECON 100 CM-01</v>
      </c>
    </row>
    <row r="601">
      <c r="A601" s="14" t="s">
        <v>1168</v>
      </c>
      <c r="C601" s="14" t="s">
        <v>1169</v>
      </c>
      <c r="G601" s="15" t="str">
        <f>IFERROR(__xludf.DUMMYFUNCTION("""COMPUTED_VALUE"""),"ECON 101 CM-01")</f>
        <v>ECON 101 CM-01</v>
      </c>
    </row>
    <row r="602">
      <c r="A602" s="14" t="s">
        <v>1170</v>
      </c>
      <c r="C602" s="14" t="s">
        <v>1169</v>
      </c>
      <c r="G602" s="15" t="str">
        <f>IFERROR(__xludf.DUMMYFUNCTION("""COMPUTED_VALUE"""),"ECON 101 CM-02")</f>
        <v>ECON 101 CM-02</v>
      </c>
    </row>
    <row r="603">
      <c r="A603" s="14" t="s">
        <v>1171</v>
      </c>
      <c r="C603" s="14" t="s">
        <v>1169</v>
      </c>
      <c r="G603" s="15" t="str">
        <f>IFERROR(__xludf.DUMMYFUNCTION("""COMPUTED_VALUE"""),"ECON 101 CM-03")</f>
        <v>ECON 101 CM-03</v>
      </c>
    </row>
    <row r="604">
      <c r="A604" s="14" t="s">
        <v>1172</v>
      </c>
      <c r="C604" s="14" t="s">
        <v>1169</v>
      </c>
      <c r="G604" s="15" t="str">
        <f>IFERROR(__xludf.DUMMYFUNCTION("""COMPUTED_VALUE"""),"ECON 101 CM-04")</f>
        <v>ECON 101 CM-04</v>
      </c>
    </row>
    <row r="605">
      <c r="A605" s="14" t="s">
        <v>1173</v>
      </c>
      <c r="C605" s="14" t="s">
        <v>1169</v>
      </c>
      <c r="G605" s="15" t="str">
        <f>IFERROR(__xludf.DUMMYFUNCTION("""COMPUTED_VALUE"""),"ECON 101 CM-05")</f>
        <v>ECON 101 CM-05</v>
      </c>
    </row>
    <row r="606">
      <c r="A606" s="14" t="s">
        <v>1174</v>
      </c>
      <c r="C606" s="14" t="s">
        <v>1169</v>
      </c>
      <c r="G606" s="15" t="str">
        <f>IFERROR(__xludf.DUMMYFUNCTION("""COMPUTED_VALUE"""),"ECON 101 CM-06")</f>
        <v>ECON 101 CM-06</v>
      </c>
    </row>
    <row r="607">
      <c r="A607" s="14" t="s">
        <v>1175</v>
      </c>
      <c r="C607" s="14" t="s">
        <v>1169</v>
      </c>
      <c r="G607" s="15" t="str">
        <f>IFERROR(__xludf.DUMMYFUNCTION("""COMPUTED_VALUE"""),"ECON 101 CM-07")</f>
        <v>ECON 101 CM-07</v>
      </c>
    </row>
    <row r="608">
      <c r="A608" s="14" t="s">
        <v>1176</v>
      </c>
      <c r="C608" s="14" t="s">
        <v>1169</v>
      </c>
      <c r="G608" s="15" t="str">
        <f>IFERROR(__xludf.DUMMYFUNCTION("""COMPUTED_VALUE"""),"ECON 101 PO-01")</f>
        <v>ECON 101 PO-01</v>
      </c>
    </row>
    <row r="609">
      <c r="A609" s="14" t="s">
        <v>1177</v>
      </c>
      <c r="C609" s="14" t="s">
        <v>1169</v>
      </c>
      <c r="G609" s="15" t="str">
        <f>IFERROR(__xludf.DUMMYFUNCTION("""COMPUTED_VALUE"""),"ECON 101 SC-01")</f>
        <v>ECON 101 SC-01</v>
      </c>
    </row>
    <row r="610">
      <c r="A610" s="14" t="s">
        <v>1178</v>
      </c>
      <c r="C610" s="14" t="s">
        <v>1179</v>
      </c>
      <c r="G610" s="15" t="str">
        <f>IFERROR(__xludf.DUMMYFUNCTION("""COMPUTED_VALUE"""),"ECON 102 CM-01")</f>
        <v>ECON 102 CM-01</v>
      </c>
    </row>
    <row r="611">
      <c r="A611" s="14" t="s">
        <v>1180</v>
      </c>
      <c r="C611" s="14" t="s">
        <v>1179</v>
      </c>
      <c r="G611" s="15" t="str">
        <f>IFERROR(__xludf.DUMMYFUNCTION("""COMPUTED_VALUE"""),"ECON 102 CM-02")</f>
        <v>ECON 102 CM-02</v>
      </c>
    </row>
    <row r="612">
      <c r="A612" s="14" t="s">
        <v>1181</v>
      </c>
      <c r="C612" s="14" t="s">
        <v>1179</v>
      </c>
      <c r="G612" s="15" t="str">
        <f>IFERROR(__xludf.DUMMYFUNCTION("""COMPUTED_VALUE"""),"ECON 102 CM-03")</f>
        <v>ECON 102 CM-03</v>
      </c>
    </row>
    <row r="613">
      <c r="A613" s="14" t="s">
        <v>1182</v>
      </c>
      <c r="C613" s="14" t="s">
        <v>1179</v>
      </c>
      <c r="G613" s="15" t="str">
        <f>IFERROR(__xludf.DUMMYFUNCTION("""COMPUTED_VALUE"""),"ECON 102 CM-04")</f>
        <v>ECON 102 CM-04</v>
      </c>
    </row>
    <row r="614">
      <c r="A614" s="14" t="s">
        <v>1183</v>
      </c>
      <c r="C614" s="14" t="s">
        <v>1179</v>
      </c>
      <c r="G614" s="15" t="str">
        <f>IFERROR(__xludf.DUMMYFUNCTION("""COMPUTED_VALUE"""),"ECON 102 CM-05")</f>
        <v>ECON 102 CM-05</v>
      </c>
    </row>
    <row r="615">
      <c r="A615" s="14" t="s">
        <v>1184</v>
      </c>
      <c r="C615" s="14" t="s">
        <v>1179</v>
      </c>
      <c r="G615" s="15" t="str">
        <f>IFERROR(__xludf.DUMMYFUNCTION("""COMPUTED_VALUE"""),"ECON 102 CM-06")</f>
        <v>ECON 102 CM-06</v>
      </c>
    </row>
    <row r="616">
      <c r="A616" s="14" t="s">
        <v>1185</v>
      </c>
      <c r="C616" s="14" t="s">
        <v>1179</v>
      </c>
      <c r="G616" s="15" t="str">
        <f>IFERROR(__xludf.DUMMYFUNCTION("""COMPUTED_VALUE"""),"ECON 102 PO-01")</f>
        <v>ECON 102 PO-01</v>
      </c>
    </row>
    <row r="617">
      <c r="A617" s="14" t="s">
        <v>1186</v>
      </c>
      <c r="C617" s="14" t="s">
        <v>1179</v>
      </c>
      <c r="G617" s="15" t="str">
        <f>IFERROR(__xludf.DUMMYFUNCTION("""COMPUTED_VALUE"""),"ECON 102 SC-01")</f>
        <v>ECON 102 SC-01</v>
      </c>
    </row>
    <row r="618">
      <c r="A618" s="14" t="s">
        <v>1187</v>
      </c>
      <c r="C618" s="14" t="s">
        <v>73</v>
      </c>
      <c r="G618" s="15" t="str">
        <f>IFERROR(__xludf.DUMMYFUNCTION("""COMPUTED_VALUE"""),"ECON 104 CM-01")</f>
        <v>ECON 104 CM-01</v>
      </c>
    </row>
    <row r="619">
      <c r="A619" s="14" t="s">
        <v>1188</v>
      </c>
      <c r="C619" s="14" t="s">
        <v>73</v>
      </c>
      <c r="G619" s="15" t="str">
        <f>IFERROR(__xludf.DUMMYFUNCTION("""COMPUTED_VALUE"""),"ECON 104 PZ-01")</f>
        <v>ECON 104 PZ-01</v>
      </c>
    </row>
    <row r="620">
      <c r="A620" s="14" t="s">
        <v>1189</v>
      </c>
      <c r="C620" s="14" t="s">
        <v>1190</v>
      </c>
      <c r="G620" s="15" t="str">
        <f>IFERROR(__xludf.DUMMYFUNCTION("""COMPUTED_VALUE"""),"ECON 105 PZ-01")</f>
        <v>ECON 105 PZ-01</v>
      </c>
    </row>
    <row r="621">
      <c r="A621" s="14" t="s">
        <v>1191</v>
      </c>
      <c r="C621" s="14" t="s">
        <v>1192</v>
      </c>
      <c r="G621" s="15" t="str">
        <f>IFERROR(__xludf.DUMMYFUNCTION("""COMPUTED_VALUE"""),"ECON 107 PO-01")</f>
        <v>ECON 107 PO-01</v>
      </c>
    </row>
    <row r="622">
      <c r="A622" s="14" t="s">
        <v>1193</v>
      </c>
      <c r="C622" s="14" t="s">
        <v>1194</v>
      </c>
      <c r="G622" s="15" t="str">
        <f>IFERROR(__xludf.DUMMYFUNCTION("""COMPUTED_VALUE"""),"ECON 116 PZ-01")</f>
        <v>ECON 116 PZ-01</v>
      </c>
    </row>
    <row r="623">
      <c r="A623" s="14" t="s">
        <v>1195</v>
      </c>
      <c r="C623" s="14" t="s">
        <v>1196</v>
      </c>
      <c r="G623" s="15" t="str">
        <f>IFERROR(__xludf.DUMMYFUNCTION("""COMPUTED_VALUE"""),"ECON 117 PO-01")</f>
        <v>ECON 117 PO-01</v>
      </c>
    </row>
    <row r="624">
      <c r="A624" s="14" t="s">
        <v>1197</v>
      </c>
      <c r="C624" s="14" t="s">
        <v>1198</v>
      </c>
      <c r="G624" s="15" t="str">
        <f>IFERROR(__xludf.DUMMYFUNCTION("""COMPUTED_VALUE"""),"ECON 120 CM-01")</f>
        <v>ECON 120 CM-01</v>
      </c>
    </row>
    <row r="625">
      <c r="A625" s="14" t="s">
        <v>1199</v>
      </c>
      <c r="C625" s="14" t="s">
        <v>1198</v>
      </c>
      <c r="G625" s="15" t="str">
        <f>IFERROR(__xludf.DUMMYFUNCTION("""COMPUTED_VALUE"""),"ECON 120 CM-02")</f>
        <v>ECON 120 CM-02</v>
      </c>
    </row>
    <row r="626">
      <c r="A626" s="14" t="s">
        <v>1200</v>
      </c>
      <c r="C626" s="14" t="s">
        <v>1198</v>
      </c>
      <c r="G626" s="15" t="str">
        <f>IFERROR(__xludf.DUMMYFUNCTION("""COMPUTED_VALUE"""),"ECON 120 CM-03")</f>
        <v>ECON 120 CM-03</v>
      </c>
    </row>
    <row r="627">
      <c r="A627" s="14" t="s">
        <v>1201</v>
      </c>
      <c r="C627" s="14" t="s">
        <v>1198</v>
      </c>
      <c r="G627" s="15" t="str">
        <f>IFERROR(__xludf.DUMMYFUNCTION("""COMPUTED_VALUE"""),"ECON 120 CM-04")</f>
        <v>ECON 120 CM-04</v>
      </c>
    </row>
    <row r="628">
      <c r="A628" s="14" t="s">
        <v>1202</v>
      </c>
      <c r="C628" s="14" t="s">
        <v>1198</v>
      </c>
      <c r="G628" s="15" t="str">
        <f>IFERROR(__xludf.DUMMYFUNCTION("""COMPUTED_VALUE"""),"ECON 120 SC-01")</f>
        <v>ECON 120 SC-01</v>
      </c>
    </row>
    <row r="629">
      <c r="A629" s="14" t="s">
        <v>1203</v>
      </c>
      <c r="C629" s="14" t="s">
        <v>1204</v>
      </c>
      <c r="G629" s="15" t="str">
        <f>IFERROR(__xludf.DUMMYFUNCTION("""COMPUTED_VALUE"""),"ECON 122 PO-01")</f>
        <v>ECON 122 PO-01</v>
      </c>
    </row>
    <row r="630">
      <c r="A630" s="14" t="s">
        <v>1205</v>
      </c>
      <c r="C630" s="14" t="s">
        <v>1206</v>
      </c>
      <c r="G630" s="15" t="str">
        <f>IFERROR(__xludf.DUMMYFUNCTION("""COMPUTED_VALUE"""),"ECON 123 PO-01")</f>
        <v>ECON 123 PO-01</v>
      </c>
    </row>
    <row r="631">
      <c r="A631" s="14" t="s">
        <v>1207</v>
      </c>
      <c r="C631" s="14" t="s">
        <v>1208</v>
      </c>
      <c r="G631" s="15" t="str">
        <f>IFERROR(__xludf.DUMMYFUNCTION("""COMPUTED_VALUE"""),"ECON 125 CM-01")</f>
        <v>ECON 125 CM-01</v>
      </c>
    </row>
    <row r="632">
      <c r="A632" s="14" t="s">
        <v>1209</v>
      </c>
      <c r="C632" s="14" t="s">
        <v>1208</v>
      </c>
      <c r="G632" s="15" t="str">
        <f>IFERROR(__xludf.DUMMYFUNCTION("""COMPUTED_VALUE"""),"ECON 125 CM-02")</f>
        <v>ECON 125 CM-02</v>
      </c>
    </row>
    <row r="633">
      <c r="A633" s="14" t="s">
        <v>1210</v>
      </c>
      <c r="C633" s="14" t="s">
        <v>1208</v>
      </c>
      <c r="G633" s="15" t="str">
        <f>IFERROR(__xludf.DUMMYFUNCTION("""COMPUTED_VALUE"""),"ECON 125 CM-03")</f>
        <v>ECON 125 CM-03</v>
      </c>
    </row>
    <row r="634">
      <c r="A634" s="14" t="s">
        <v>1211</v>
      </c>
      <c r="C634" s="14" t="s">
        <v>1208</v>
      </c>
      <c r="G634" s="15" t="str">
        <f>IFERROR(__xludf.DUMMYFUNCTION("""COMPUTED_VALUE"""),"ECON 125 CM-04")</f>
        <v>ECON 125 CM-04</v>
      </c>
    </row>
    <row r="635">
      <c r="A635" s="14" t="s">
        <v>1212</v>
      </c>
      <c r="C635" s="14" t="s">
        <v>1208</v>
      </c>
      <c r="G635" s="15" t="str">
        <f>IFERROR(__xludf.DUMMYFUNCTION("""COMPUTED_VALUE"""),"ECON 125 PO-01")</f>
        <v>ECON 125 PO-01</v>
      </c>
    </row>
    <row r="636">
      <c r="A636" s="14" t="s">
        <v>1213</v>
      </c>
      <c r="C636" s="14" t="s">
        <v>1208</v>
      </c>
      <c r="G636" s="15" t="str">
        <f>IFERROR(__xludf.DUMMYFUNCTION("""COMPUTED_VALUE"""),"ECON 125 PZ-01")</f>
        <v>ECON 125 PZ-01</v>
      </c>
    </row>
    <row r="637">
      <c r="A637" s="14" t="s">
        <v>1214</v>
      </c>
      <c r="C637" s="14" t="s">
        <v>1208</v>
      </c>
      <c r="G637" s="15" t="str">
        <f>IFERROR(__xludf.DUMMYFUNCTION("""COMPUTED_VALUE"""),"ECON 125 SC-01")</f>
        <v>ECON 125 SC-01</v>
      </c>
    </row>
    <row r="638">
      <c r="A638" s="14" t="s">
        <v>1215</v>
      </c>
      <c r="C638" s="14" t="s">
        <v>1216</v>
      </c>
      <c r="G638" s="15" t="str">
        <f>IFERROR(__xludf.DUMMYFUNCTION("""COMPUTED_VALUE"""),"ECON 126 CM-01")</f>
        <v>ECON 126 CM-01</v>
      </c>
    </row>
    <row r="639">
      <c r="A639" s="14" t="s">
        <v>1217</v>
      </c>
      <c r="C639" s="14" t="s">
        <v>1218</v>
      </c>
      <c r="G639" s="15" t="str">
        <f>IFERROR(__xludf.DUMMYFUNCTION("""COMPUTED_VALUE"""),"ECON 128 PO-01")</f>
        <v>ECON 128 PO-01</v>
      </c>
    </row>
    <row r="640">
      <c r="A640" s="14" t="s">
        <v>1219</v>
      </c>
      <c r="C640" s="14" t="s">
        <v>1218</v>
      </c>
      <c r="G640" s="15" t="str">
        <f>IFERROR(__xludf.DUMMYFUNCTION("""COMPUTED_VALUE"""),"ECON 128 SC-01")</f>
        <v>ECON 128 SC-01</v>
      </c>
    </row>
    <row r="641">
      <c r="A641" s="14" t="s">
        <v>1220</v>
      </c>
      <c r="C641" s="14" t="s">
        <v>1221</v>
      </c>
      <c r="G641" s="15" t="str">
        <f>IFERROR(__xludf.DUMMYFUNCTION("""COMPUTED_VALUE"""),"ECON 131 PO-01")</f>
        <v>ECON 131 PO-01</v>
      </c>
    </row>
    <row r="642">
      <c r="A642" s="14" t="s">
        <v>1222</v>
      </c>
      <c r="C642" s="14" t="s">
        <v>1223</v>
      </c>
      <c r="G642" s="15" t="str">
        <f>IFERROR(__xludf.DUMMYFUNCTION("""COMPUTED_VALUE"""),"ECON 133 SC-01")</f>
        <v>ECON 133 SC-01</v>
      </c>
    </row>
    <row r="643">
      <c r="A643" s="14" t="s">
        <v>1224</v>
      </c>
      <c r="C643" s="14" t="s">
        <v>1225</v>
      </c>
      <c r="G643" s="15" t="str">
        <f>IFERROR(__xludf.DUMMYFUNCTION("""COMPUTED_VALUE"""),"ECON 134 CM-01")</f>
        <v>ECON 134 CM-01</v>
      </c>
    </row>
    <row r="644">
      <c r="A644" s="14" t="s">
        <v>1226</v>
      </c>
      <c r="C644" s="14" t="s">
        <v>1225</v>
      </c>
      <c r="G644" s="15" t="str">
        <f>IFERROR(__xludf.DUMMYFUNCTION("""COMPUTED_VALUE"""),"ECON 134 CM-02")</f>
        <v>ECON 134 CM-02</v>
      </c>
    </row>
    <row r="645">
      <c r="A645" s="14" t="s">
        <v>1227</v>
      </c>
      <c r="C645" s="14" t="s">
        <v>1225</v>
      </c>
      <c r="G645" s="15" t="str">
        <f>IFERROR(__xludf.DUMMYFUNCTION("""COMPUTED_VALUE"""),"ECON 134 CM-03")</f>
        <v>ECON 134 CM-03</v>
      </c>
    </row>
    <row r="646">
      <c r="A646" s="14" t="s">
        <v>1228</v>
      </c>
      <c r="C646" s="14" t="s">
        <v>1225</v>
      </c>
      <c r="G646" s="15" t="str">
        <f>IFERROR(__xludf.DUMMYFUNCTION("""COMPUTED_VALUE"""),"ECON 134 CM-04")</f>
        <v>ECON 134 CM-04</v>
      </c>
    </row>
    <row r="647">
      <c r="A647" s="14" t="s">
        <v>1229</v>
      </c>
      <c r="C647" s="14" t="s">
        <v>1225</v>
      </c>
      <c r="G647" s="15" t="str">
        <f>IFERROR(__xludf.DUMMYFUNCTION("""COMPUTED_VALUE"""),"ECON 134 CM-05")</f>
        <v>ECON 134 CM-05</v>
      </c>
    </row>
    <row r="648">
      <c r="A648" s="14" t="s">
        <v>1230</v>
      </c>
      <c r="C648" s="14" t="s">
        <v>1231</v>
      </c>
      <c r="G648" s="15" t="str">
        <f>IFERROR(__xludf.DUMMYFUNCTION("""COMPUTED_VALUE"""),"ECON 134B CM-01")</f>
        <v>ECON 134B CM-01</v>
      </c>
    </row>
    <row r="649">
      <c r="A649" s="14" t="s">
        <v>1232</v>
      </c>
      <c r="C649" s="14" t="s">
        <v>1233</v>
      </c>
      <c r="G649" s="15" t="str">
        <f>IFERROR(__xludf.DUMMYFUNCTION("""COMPUTED_VALUE"""),"ECON 135 PO-01")</f>
        <v>ECON 135 PO-01</v>
      </c>
    </row>
    <row r="650">
      <c r="A650" s="14" t="s">
        <v>1234</v>
      </c>
      <c r="C650" s="14" t="s">
        <v>1235</v>
      </c>
      <c r="G650" s="15" t="str">
        <f>IFERROR(__xludf.DUMMYFUNCTION("""COMPUTED_VALUE"""),"ECON 137 SC-01")</f>
        <v>ECON 137 SC-01</v>
      </c>
    </row>
    <row r="651">
      <c r="A651" s="14" t="s">
        <v>1236</v>
      </c>
      <c r="C651" s="14" t="s">
        <v>1237</v>
      </c>
      <c r="G651" s="15" t="str">
        <f>IFERROR(__xludf.DUMMYFUNCTION("""COMPUTED_VALUE"""),"ECON 138 CM-01")</f>
        <v>ECON 138 CM-01</v>
      </c>
    </row>
    <row r="652">
      <c r="A652" s="14" t="s">
        <v>1238</v>
      </c>
      <c r="C652" s="14" t="s">
        <v>1239</v>
      </c>
      <c r="G652" s="15" t="str">
        <f>IFERROR(__xludf.DUMMYFUNCTION("""COMPUTED_VALUE"""),"ECON 145 PZ-01")</f>
        <v>ECON 145 PZ-01</v>
      </c>
    </row>
    <row r="653">
      <c r="A653" s="14" t="s">
        <v>1240</v>
      </c>
      <c r="C653" s="14" t="s">
        <v>1241</v>
      </c>
      <c r="G653" s="15" t="str">
        <f>IFERROR(__xludf.DUMMYFUNCTION("""COMPUTED_VALUE"""),"ECON 150 CM-01")</f>
        <v>ECON 150 CM-01</v>
      </c>
    </row>
    <row r="654">
      <c r="A654" s="14" t="s">
        <v>1242</v>
      </c>
      <c r="C654" s="14" t="s">
        <v>1243</v>
      </c>
      <c r="G654" s="15" t="str">
        <f>IFERROR(__xludf.DUMMYFUNCTION("""COMPUTED_VALUE"""),"ECON 154 CM-01")</f>
        <v>ECON 154 CM-01</v>
      </c>
    </row>
    <row r="655">
      <c r="A655" s="14" t="s">
        <v>1244</v>
      </c>
      <c r="C655" s="14" t="s">
        <v>1243</v>
      </c>
      <c r="G655" s="15" t="str">
        <f>IFERROR(__xludf.DUMMYFUNCTION("""COMPUTED_VALUE"""),"ECON 154 PO-01")</f>
        <v>ECON 154 PO-01</v>
      </c>
    </row>
    <row r="656">
      <c r="A656" s="14" t="s">
        <v>1245</v>
      </c>
      <c r="C656" s="14" t="s">
        <v>1246</v>
      </c>
      <c r="G656" s="15" t="str">
        <f>IFERROR(__xludf.DUMMYFUNCTION("""COMPUTED_VALUE"""),"ECON 155 CM-01")</f>
        <v>ECON 155 CM-01</v>
      </c>
    </row>
    <row r="657">
      <c r="A657" s="14" t="s">
        <v>1247</v>
      </c>
      <c r="C657" s="14" t="s">
        <v>1248</v>
      </c>
      <c r="G657" s="15" t="str">
        <f>IFERROR(__xludf.DUMMYFUNCTION("""COMPUTED_VALUE"""),"ECON 160 CM-01")</f>
        <v>ECON 160 CM-01</v>
      </c>
    </row>
    <row r="658">
      <c r="A658" s="14" t="s">
        <v>1249</v>
      </c>
      <c r="C658" s="14" t="s">
        <v>1248</v>
      </c>
      <c r="G658" s="15" t="str">
        <f>IFERROR(__xludf.DUMMYFUNCTION("""COMPUTED_VALUE"""),"ECON 160 CM-02")</f>
        <v>ECON 160 CM-02</v>
      </c>
    </row>
    <row r="659">
      <c r="A659" s="14" t="s">
        <v>1250</v>
      </c>
      <c r="C659" s="14" t="s">
        <v>1251</v>
      </c>
      <c r="G659" s="15" t="str">
        <f>IFERROR(__xludf.DUMMYFUNCTION("""COMPUTED_VALUE"""),"ECON 162 PO-01")</f>
        <v>ECON 162 PO-01</v>
      </c>
    </row>
    <row r="660">
      <c r="A660" s="14" t="s">
        <v>1252</v>
      </c>
      <c r="C660" s="14" t="s">
        <v>1253</v>
      </c>
      <c r="G660" s="15" t="str">
        <f>IFERROR(__xludf.DUMMYFUNCTION("""COMPUTED_VALUE"""),"ECON 165 CM-02")</f>
        <v>ECON 165 CM-02</v>
      </c>
    </row>
    <row r="661">
      <c r="A661" s="14" t="s">
        <v>1254</v>
      </c>
      <c r="C661" s="14" t="s">
        <v>1253</v>
      </c>
      <c r="G661" s="15" t="str">
        <f>IFERROR(__xludf.DUMMYFUNCTION("""COMPUTED_VALUE"""),"ECON 165 PO-01")</f>
        <v>ECON 165 PO-01</v>
      </c>
    </row>
    <row r="662">
      <c r="A662" s="14" t="s">
        <v>1255</v>
      </c>
      <c r="C662" s="14" t="s">
        <v>1256</v>
      </c>
      <c r="G662" s="15" t="str">
        <f>IFERROR(__xludf.DUMMYFUNCTION("""COMPUTED_VALUE"""),"ECON 166 PO-01")</f>
        <v>ECON 166 PO-01</v>
      </c>
    </row>
    <row r="663">
      <c r="A663" s="14" t="s">
        <v>1257</v>
      </c>
      <c r="C663" s="14" t="s">
        <v>1258</v>
      </c>
      <c r="G663" s="15" t="str">
        <f>IFERROR(__xludf.DUMMYFUNCTION("""COMPUTED_VALUE"""),"ECON 171 CM-01")</f>
        <v>ECON 171 CM-01</v>
      </c>
    </row>
    <row r="664">
      <c r="A664" s="14" t="s">
        <v>1259</v>
      </c>
      <c r="C664" s="14" t="s">
        <v>1260</v>
      </c>
      <c r="G664" s="15" t="str">
        <f>IFERROR(__xludf.DUMMYFUNCTION("""COMPUTED_VALUE"""),"ECON 172 CM-01")</f>
        <v>ECON 172 CM-01</v>
      </c>
    </row>
    <row r="665">
      <c r="A665" s="14" t="s">
        <v>1261</v>
      </c>
      <c r="C665" s="14" t="s">
        <v>1260</v>
      </c>
      <c r="G665" s="15" t="str">
        <f>IFERROR(__xludf.DUMMYFUNCTION("""COMPUTED_VALUE"""),"ECON 172 CM-02")</f>
        <v>ECON 172 CM-02</v>
      </c>
    </row>
    <row r="666">
      <c r="A666" s="14" t="s">
        <v>1262</v>
      </c>
      <c r="C666" s="14" t="s">
        <v>1263</v>
      </c>
      <c r="G666" s="15" t="str">
        <f>IFERROR(__xludf.DUMMYFUNCTION("""COMPUTED_VALUE"""),"ECON 175 CM-01")</f>
        <v>ECON 175 CM-01</v>
      </c>
    </row>
    <row r="667">
      <c r="A667" s="14" t="s">
        <v>1264</v>
      </c>
      <c r="C667" s="14" t="s">
        <v>1265</v>
      </c>
      <c r="G667" s="15" t="str">
        <f>IFERROR(__xludf.DUMMYFUNCTION("""COMPUTED_VALUE"""),"ECON 180 CM-01")</f>
        <v>ECON 180 CM-01</v>
      </c>
    </row>
    <row r="668">
      <c r="A668" s="14" t="s">
        <v>1266</v>
      </c>
      <c r="C668" s="14" t="s">
        <v>1265</v>
      </c>
      <c r="G668" s="15" t="str">
        <f>IFERROR(__xludf.DUMMYFUNCTION("""COMPUTED_VALUE"""),"ECON 180 CM-02")</f>
        <v>ECON 180 CM-02</v>
      </c>
    </row>
    <row r="669">
      <c r="A669" s="14" t="s">
        <v>1267</v>
      </c>
      <c r="C669" s="14" t="s">
        <v>1265</v>
      </c>
      <c r="G669" s="15" t="str">
        <f>IFERROR(__xludf.DUMMYFUNCTION("""COMPUTED_VALUE"""),"ECON 180 CM-03")</f>
        <v>ECON 180 CM-03</v>
      </c>
    </row>
    <row r="670">
      <c r="A670" s="14" t="s">
        <v>1268</v>
      </c>
      <c r="C670" s="14" t="s">
        <v>1265</v>
      </c>
      <c r="G670" s="15" t="str">
        <f>IFERROR(__xludf.DUMMYFUNCTION("""COMPUTED_VALUE"""),"ECON 180 CM-04")</f>
        <v>ECON 180 CM-04</v>
      </c>
    </row>
    <row r="671">
      <c r="A671" s="14" t="s">
        <v>1269</v>
      </c>
      <c r="C671" s="14" t="s">
        <v>1265</v>
      </c>
      <c r="G671" s="15" t="str">
        <f>IFERROR(__xludf.DUMMYFUNCTION("""COMPUTED_VALUE"""),"ECON 180 PZ-01")</f>
        <v>ECON 180 PZ-01</v>
      </c>
    </row>
    <row r="672">
      <c r="A672" s="14" t="s">
        <v>1270</v>
      </c>
      <c r="C672" s="14" t="s">
        <v>1271</v>
      </c>
      <c r="G672" s="15" t="str">
        <f>IFERROR(__xludf.DUMMYFUNCTION("""COMPUTED_VALUE"""),"ECON 184 PZ-01")</f>
        <v>ECON 184 PZ-01</v>
      </c>
    </row>
    <row r="673">
      <c r="A673" s="14" t="s">
        <v>1272</v>
      </c>
      <c r="C673" s="14" t="s">
        <v>1273</v>
      </c>
      <c r="G673" s="15" t="str">
        <f>IFERROR(__xludf.DUMMYFUNCTION("""COMPUTED_VALUE"""),"ECON 190 PO-01")</f>
        <v>ECON 190 PO-01</v>
      </c>
    </row>
    <row r="674">
      <c r="A674" s="14" t="s">
        <v>1274</v>
      </c>
      <c r="C674" s="14" t="s">
        <v>1273</v>
      </c>
      <c r="G674" s="15" t="str">
        <f>IFERROR(__xludf.DUMMYFUNCTION("""COMPUTED_VALUE"""),"ECON 190 PO-02")</f>
        <v>ECON 190 PO-02</v>
      </c>
    </row>
    <row r="675">
      <c r="A675" s="14" t="s">
        <v>1275</v>
      </c>
      <c r="C675" s="14" t="s">
        <v>1273</v>
      </c>
      <c r="G675" s="15" t="str">
        <f>IFERROR(__xludf.DUMMYFUNCTION("""COMPUTED_VALUE"""),"ECON 190 PO-03")</f>
        <v>ECON 190 PO-03</v>
      </c>
    </row>
    <row r="676">
      <c r="A676" s="14" t="s">
        <v>1276</v>
      </c>
      <c r="C676" s="14" t="s">
        <v>1273</v>
      </c>
      <c r="G676" s="15" t="str">
        <f>IFERROR(__xludf.DUMMYFUNCTION("""COMPUTED_VALUE"""),"ECON 190 PO-04")</f>
        <v>ECON 190 PO-04</v>
      </c>
    </row>
    <row r="677">
      <c r="A677" s="14" t="s">
        <v>1277</v>
      </c>
      <c r="C677" s="14" t="s">
        <v>1278</v>
      </c>
      <c r="G677" s="15" t="str">
        <f>IFERROR(__xludf.DUMMYFUNCTION("""COMPUTED_VALUE"""),"ECON 191 CM-01")</f>
        <v>ECON 191 CM-01</v>
      </c>
    </row>
    <row r="678">
      <c r="A678" s="14" t="s">
        <v>1279</v>
      </c>
      <c r="C678" s="14" t="s">
        <v>1280</v>
      </c>
      <c r="G678" s="15" t="str">
        <f>IFERROR(__xludf.DUMMYFUNCTION("""COMPUTED_VALUE"""),"ECON 194B CM-01")</f>
        <v>ECON 194B CM-01</v>
      </c>
    </row>
    <row r="679">
      <c r="A679" s="14" t="s">
        <v>1281</v>
      </c>
      <c r="C679" s="14" t="s">
        <v>1282</v>
      </c>
      <c r="G679" s="15" t="str">
        <f>IFERROR(__xludf.DUMMYFUNCTION("""COMPUTED_VALUE"""),"ECON 195 PO-04")</f>
        <v>ECON 195 PO-04</v>
      </c>
    </row>
    <row r="680">
      <c r="A680" s="14" t="s">
        <v>1283</v>
      </c>
      <c r="C680" s="14" t="s">
        <v>1284</v>
      </c>
      <c r="G680" s="15" t="str">
        <f>IFERROR(__xludf.DUMMYFUNCTION("""COMPUTED_VALUE"""),"ECON 197W SC-01")</f>
        <v>ECON 197W SC-01</v>
      </c>
    </row>
    <row r="681">
      <c r="A681" s="14" t="s">
        <v>1285</v>
      </c>
      <c r="C681" s="14" t="s">
        <v>1286</v>
      </c>
      <c r="G681" s="15" t="str">
        <f>IFERROR(__xludf.DUMMYFUNCTION("""COMPUTED_VALUE"""),"EDUC 301G CG-01")</f>
        <v>EDUC 301G CG-01</v>
      </c>
    </row>
    <row r="682">
      <c r="A682" s="14" t="s">
        <v>1287</v>
      </c>
      <c r="C682" s="14" t="s">
        <v>1288</v>
      </c>
      <c r="G682" s="15" t="str">
        <f>IFERROR(__xludf.DUMMYFUNCTION("""COMPUTED_VALUE"""),"EDUC 301GS CG-01")</f>
        <v>EDUC 301GS CG-01</v>
      </c>
    </row>
    <row r="683">
      <c r="A683" s="14" t="s">
        <v>1289</v>
      </c>
      <c r="C683" s="14" t="s">
        <v>1290</v>
      </c>
      <c r="G683" s="15" t="str">
        <f>IFERROR(__xludf.DUMMYFUNCTION("""COMPUTED_VALUE"""),"EDUC 302G CG-01")</f>
        <v>EDUC 302G CG-01</v>
      </c>
    </row>
    <row r="684">
      <c r="A684" s="14" t="s">
        <v>1291</v>
      </c>
      <c r="C684" s="14" t="s">
        <v>1292</v>
      </c>
      <c r="G684" s="15" t="str">
        <f>IFERROR(__xludf.DUMMYFUNCTION("""COMPUTED_VALUE"""),"ENGL 001 PZ-01")</f>
        <v>ENGL 001 PZ-01</v>
      </c>
    </row>
    <row r="685">
      <c r="A685" s="14" t="s">
        <v>1293</v>
      </c>
      <c r="C685" s="14" t="s">
        <v>1294</v>
      </c>
      <c r="G685" s="15" t="str">
        <f>IFERROR(__xludf.DUMMYFUNCTION("""COMPUTED_VALUE"""),"ENGL 010B PZ-01")</f>
        <v>ENGL 010B PZ-01</v>
      </c>
    </row>
    <row r="686">
      <c r="A686" s="14" t="s">
        <v>1295</v>
      </c>
      <c r="C686" s="14" t="s">
        <v>1296</v>
      </c>
      <c r="G686" s="15" t="str">
        <f>IFERROR(__xludf.DUMMYFUNCTION("""COMPUTED_VALUE"""),"ENGL 012B AF-01")</f>
        <v>ENGL 012B AF-01</v>
      </c>
    </row>
    <row r="687">
      <c r="A687" s="14" t="s">
        <v>1297</v>
      </c>
      <c r="C687" s="14" t="s">
        <v>1298</v>
      </c>
      <c r="G687" s="15" t="str">
        <f>IFERROR(__xludf.DUMMYFUNCTION("""COMPUTED_VALUE"""),"ENGL 031 PZ-01")</f>
        <v>ENGL 031 PZ-01</v>
      </c>
    </row>
    <row r="688">
      <c r="A688" s="14" t="s">
        <v>1299</v>
      </c>
      <c r="C688" s="14" t="s">
        <v>1298</v>
      </c>
      <c r="G688" s="15" t="str">
        <f>IFERROR(__xludf.DUMMYFUNCTION("""COMPUTED_VALUE"""),"ENGL 031 PZ-02")</f>
        <v>ENGL 031 PZ-02</v>
      </c>
    </row>
    <row r="689">
      <c r="A689" s="14" t="s">
        <v>1300</v>
      </c>
      <c r="C689" s="14" t="s">
        <v>1301</v>
      </c>
      <c r="G689" s="15" t="str">
        <f>IFERROR(__xludf.DUMMYFUNCTION("""COMPUTED_VALUE"""),"ENGL 032 PZ-01")</f>
        <v>ENGL 032 PZ-01</v>
      </c>
    </row>
    <row r="690">
      <c r="A690" s="14" t="s">
        <v>34</v>
      </c>
      <c r="C690" s="14" t="s">
        <v>1302</v>
      </c>
      <c r="G690" s="15" t="str">
        <f>IFERROR(__xludf.DUMMYFUNCTION("""COMPUTED_VALUE"""),"ENGL 061 PZ-01")</f>
        <v>ENGL 061 PZ-01</v>
      </c>
    </row>
    <row r="691">
      <c r="A691" s="14" t="s">
        <v>1303</v>
      </c>
      <c r="C691" s="14" t="s">
        <v>1304</v>
      </c>
      <c r="G691" s="15" t="str">
        <f>IFERROR(__xludf.DUMMYFUNCTION("""COMPUTED_VALUE"""),"ENGL 064B PO-01")</f>
        <v>ENGL 064B PO-01</v>
      </c>
    </row>
    <row r="692">
      <c r="A692" s="14" t="s">
        <v>1305</v>
      </c>
      <c r="C692" s="14" t="s">
        <v>1306</v>
      </c>
      <c r="G692" s="15" t="str">
        <f>IFERROR(__xludf.DUMMYFUNCTION("""COMPUTED_VALUE"""),"ENGL 067 PO-01")</f>
        <v>ENGL 067 PO-01</v>
      </c>
    </row>
    <row r="693">
      <c r="A693" s="14" t="s">
        <v>1307</v>
      </c>
      <c r="C693" s="14" t="s">
        <v>1308</v>
      </c>
      <c r="G693" s="15" t="str">
        <f>IFERROR(__xludf.DUMMYFUNCTION("""COMPUTED_VALUE"""),"ENGL 073 PO-01")</f>
        <v>ENGL 073 PO-01</v>
      </c>
    </row>
    <row r="694">
      <c r="A694" s="14" t="s">
        <v>1309</v>
      </c>
      <c r="C694" s="14" t="s">
        <v>1310</v>
      </c>
      <c r="G694" s="15" t="str">
        <f>IFERROR(__xludf.DUMMYFUNCTION("""COMPUTED_VALUE"""),"ENGL 075 PO-01")</f>
        <v>ENGL 075 PO-01</v>
      </c>
    </row>
    <row r="695">
      <c r="A695" s="14" t="s">
        <v>1311</v>
      </c>
      <c r="C695" s="14" t="s">
        <v>1312</v>
      </c>
      <c r="G695" s="15" t="str">
        <f>IFERROR(__xludf.DUMMYFUNCTION("""COMPUTED_VALUE"""),"ENGL 089A PO-01")</f>
        <v>ENGL 089A PO-01</v>
      </c>
    </row>
    <row r="696">
      <c r="A696" s="14" t="s">
        <v>1313</v>
      </c>
      <c r="C696" s="14" t="s">
        <v>1314</v>
      </c>
      <c r="G696" s="15" t="str">
        <f>IFERROR(__xludf.DUMMYFUNCTION("""COMPUTED_VALUE"""),"ENGL 093 PO-01")</f>
        <v>ENGL 093 PO-01</v>
      </c>
    </row>
    <row r="697">
      <c r="A697" s="14" t="s">
        <v>1315</v>
      </c>
      <c r="C697" s="14" t="s">
        <v>1316</v>
      </c>
      <c r="G697" s="15" t="str">
        <f>IFERROR(__xludf.DUMMYFUNCTION("""COMPUTED_VALUE"""),"ENGL 099 PO-01")</f>
        <v>ENGL 099 PO-01</v>
      </c>
    </row>
    <row r="698">
      <c r="A698" s="14" t="s">
        <v>1317</v>
      </c>
      <c r="C698" s="14" t="s">
        <v>1318</v>
      </c>
      <c r="G698" s="15" t="str">
        <f>IFERROR(__xludf.DUMMYFUNCTION("""COMPUTED_VALUE"""),"ENGL 102 SC-01")</f>
        <v>ENGL 102 SC-01</v>
      </c>
    </row>
    <row r="699">
      <c r="A699" s="14" t="s">
        <v>1319</v>
      </c>
      <c r="C699" s="14" t="s">
        <v>1320</v>
      </c>
      <c r="G699" s="15" t="str">
        <f>IFERROR(__xludf.DUMMYFUNCTION("""COMPUTED_VALUE"""),"ENGL 111 SC-01")</f>
        <v>ENGL 111 SC-01</v>
      </c>
    </row>
    <row r="700">
      <c r="A700" s="14" t="s">
        <v>1321</v>
      </c>
      <c r="C700" s="14" t="s">
        <v>1322</v>
      </c>
      <c r="G700" s="15" t="str">
        <f>IFERROR(__xludf.DUMMYFUNCTION("""COMPUTED_VALUE"""),"ENGL 118S SC-01")</f>
        <v>ENGL 118S SC-01</v>
      </c>
    </row>
    <row r="701">
      <c r="A701" s="14" t="s">
        <v>1323</v>
      </c>
      <c r="C701" s="14" t="s">
        <v>1324</v>
      </c>
      <c r="G701" s="15" t="str">
        <f>IFERROR(__xludf.DUMMYFUNCTION("""COMPUTED_VALUE"""),"ENGL 121 SC-01")</f>
        <v>ENGL 121 SC-01</v>
      </c>
    </row>
    <row r="702">
      <c r="A702" s="14" t="s">
        <v>1325</v>
      </c>
      <c r="C702" s="14" t="s">
        <v>1326</v>
      </c>
      <c r="G702" s="15" t="str">
        <f>IFERROR(__xludf.DUMMYFUNCTION("""COMPUTED_VALUE"""),"ENGL 122 AF-01")</f>
        <v>ENGL 122 AF-01</v>
      </c>
    </row>
    <row r="703">
      <c r="A703" s="14" t="s">
        <v>1327</v>
      </c>
      <c r="C703" s="14" t="s">
        <v>1328</v>
      </c>
      <c r="G703" s="15" t="str">
        <f>IFERROR(__xludf.DUMMYFUNCTION("""COMPUTED_VALUE"""),"ENGL 124 AF-01")</f>
        <v>ENGL 124 AF-01</v>
      </c>
    </row>
    <row r="704">
      <c r="A704" s="14" t="s">
        <v>1329</v>
      </c>
      <c r="C704" s="14" t="s">
        <v>1330</v>
      </c>
      <c r="G704" s="15" t="str">
        <f>IFERROR(__xludf.DUMMYFUNCTION("""COMPUTED_VALUE"""),"ENGL 130 PZ-01")</f>
        <v>ENGL 130 PZ-01</v>
      </c>
    </row>
    <row r="705">
      <c r="A705" s="14" t="s">
        <v>1331</v>
      </c>
      <c r="C705" s="14" t="s">
        <v>1332</v>
      </c>
      <c r="G705" s="15" t="str">
        <f>IFERROR(__xludf.DUMMYFUNCTION("""COMPUTED_VALUE"""),"ENGL 131 SC-01")</f>
        <v>ENGL 131 SC-01</v>
      </c>
    </row>
    <row r="706">
      <c r="A706" s="14" t="s">
        <v>1333</v>
      </c>
      <c r="C706" s="14" t="s">
        <v>1334</v>
      </c>
      <c r="G706" s="15" t="str">
        <f>IFERROR(__xludf.DUMMYFUNCTION("""COMPUTED_VALUE"""),"ENGL 135 PZ-01")</f>
        <v>ENGL 135 PZ-01</v>
      </c>
    </row>
    <row r="707">
      <c r="A707" s="14" t="s">
        <v>1335</v>
      </c>
      <c r="C707" s="14" t="s">
        <v>1336</v>
      </c>
      <c r="G707" s="15" t="str">
        <f>IFERROR(__xludf.DUMMYFUNCTION("""COMPUTED_VALUE"""),"ENGL 138 PO-01")</f>
        <v>ENGL 138 PO-01</v>
      </c>
    </row>
    <row r="708">
      <c r="A708" s="14" t="s">
        <v>1337</v>
      </c>
      <c r="C708" s="14" t="s">
        <v>1338</v>
      </c>
      <c r="G708" s="15" t="str">
        <f>IFERROR(__xludf.DUMMYFUNCTION("""COMPUTED_VALUE"""),"ENGL 143S SC-01")</f>
        <v>ENGL 143S SC-01</v>
      </c>
    </row>
    <row r="709">
      <c r="A709" s="14" t="s">
        <v>1339</v>
      </c>
      <c r="C709" s="14" t="s">
        <v>1340</v>
      </c>
      <c r="G709" s="15" t="str">
        <f>IFERROR(__xludf.DUMMYFUNCTION("""COMPUTED_VALUE"""),"ENGL 156 PO-01")</f>
        <v>ENGL 156 PO-01</v>
      </c>
    </row>
    <row r="710">
      <c r="A710" s="14" t="s">
        <v>1341</v>
      </c>
      <c r="C710" s="14" t="s">
        <v>1342</v>
      </c>
      <c r="G710" s="15" t="str">
        <f>IFERROR(__xludf.DUMMYFUNCTION("""COMPUTED_VALUE"""),"ENGL 157 SC-01")</f>
        <v>ENGL 157 SC-01</v>
      </c>
    </row>
    <row r="711">
      <c r="A711" s="14" t="s">
        <v>1343</v>
      </c>
      <c r="C711" s="14" t="s">
        <v>1344</v>
      </c>
      <c r="G711" s="15" t="str">
        <f>IFERROR(__xludf.DUMMYFUNCTION("""COMPUTED_VALUE"""),"ENGL 161 SC-01")</f>
        <v>ENGL 161 SC-01</v>
      </c>
    </row>
    <row r="712">
      <c r="A712" s="14" t="s">
        <v>1345</v>
      </c>
      <c r="C712" s="14" t="s">
        <v>1346</v>
      </c>
      <c r="G712" s="15" t="str">
        <f>IFERROR(__xludf.DUMMYFUNCTION("""COMPUTED_VALUE"""),"ENGL 170G PO-01")</f>
        <v>ENGL 170G PO-01</v>
      </c>
    </row>
    <row r="713">
      <c r="A713" s="14" t="s">
        <v>1347</v>
      </c>
      <c r="C713" s="14" t="s">
        <v>1348</v>
      </c>
      <c r="G713" s="15" t="str">
        <f>IFERROR(__xludf.DUMMYFUNCTION("""COMPUTED_VALUE"""),"ENGL 171S SC-01")</f>
        <v>ENGL 171S SC-01</v>
      </c>
    </row>
    <row r="714">
      <c r="A714" s="14" t="s">
        <v>1349</v>
      </c>
      <c r="C714" s="14" t="s">
        <v>1350</v>
      </c>
      <c r="G714" s="15" t="str">
        <f>IFERROR(__xludf.DUMMYFUNCTION("""COMPUTED_VALUE"""),"ENGL 191 PO-04")</f>
        <v>ENGL 191 PO-04</v>
      </c>
    </row>
    <row r="715">
      <c r="A715" s="14" t="s">
        <v>1351</v>
      </c>
      <c r="C715" s="14" t="s">
        <v>1350</v>
      </c>
      <c r="G715" s="15" t="str">
        <f>IFERROR(__xludf.DUMMYFUNCTION("""COMPUTED_VALUE"""),"ENGL 191 PO-08")</f>
        <v>ENGL 191 PO-08</v>
      </c>
    </row>
    <row r="716">
      <c r="A716" s="14" t="s">
        <v>1352</v>
      </c>
      <c r="C716" s="14" t="s">
        <v>1350</v>
      </c>
      <c r="G716" s="15" t="str">
        <f>IFERROR(__xludf.DUMMYFUNCTION("""COMPUTED_VALUE"""),"ENGL 191 PO-12")</f>
        <v>ENGL 191 PO-12</v>
      </c>
    </row>
    <row r="717">
      <c r="A717" s="14" t="s">
        <v>1353</v>
      </c>
      <c r="C717" s="14" t="s">
        <v>1350</v>
      </c>
      <c r="G717" s="15" t="str">
        <f>IFERROR(__xludf.DUMMYFUNCTION("""COMPUTED_VALUE"""),"ENGL 191 PO-16")</f>
        <v>ENGL 191 PO-16</v>
      </c>
    </row>
    <row r="718">
      <c r="A718" s="14" t="s">
        <v>1354</v>
      </c>
      <c r="C718" s="14" t="s">
        <v>1350</v>
      </c>
      <c r="G718" s="15" t="str">
        <f>IFERROR(__xludf.DUMMYFUNCTION("""COMPUTED_VALUE"""),"ENGL 191 PO-20")</f>
        <v>ENGL 191 PO-20</v>
      </c>
    </row>
    <row r="719">
      <c r="A719" s="14" t="s">
        <v>1355</v>
      </c>
      <c r="C719" s="14" t="s">
        <v>1350</v>
      </c>
      <c r="G719" s="15" t="str">
        <f>IFERROR(__xludf.DUMMYFUNCTION("""COMPUTED_VALUE"""),"ENGL 191 PO-24")</f>
        <v>ENGL 191 PO-24</v>
      </c>
    </row>
    <row r="720">
      <c r="A720" s="14" t="s">
        <v>1356</v>
      </c>
      <c r="C720" s="14" t="s">
        <v>1350</v>
      </c>
      <c r="G720" s="15" t="str">
        <f>IFERROR(__xludf.DUMMYFUNCTION("""COMPUTED_VALUE"""),"ENGL 191 PO-28")</f>
        <v>ENGL 191 PO-28</v>
      </c>
    </row>
    <row r="721">
      <c r="A721" s="14" t="s">
        <v>1357</v>
      </c>
      <c r="C721" s="14" t="s">
        <v>1358</v>
      </c>
      <c r="G721" s="15" t="str">
        <f>IFERROR(__xludf.DUMMYFUNCTION("""COMPUTED_VALUE"""),"ENGL 193 SC-01")</f>
        <v>ENGL 193 SC-01</v>
      </c>
    </row>
    <row r="722">
      <c r="A722" s="14" t="s">
        <v>1359</v>
      </c>
      <c r="C722" s="14" t="s">
        <v>1360</v>
      </c>
      <c r="G722" s="15" t="str">
        <f>IFERROR(__xludf.DUMMYFUNCTION("""COMPUTED_VALUE"""),"ENGL 194S SC-01")</f>
        <v>ENGL 194S SC-01</v>
      </c>
    </row>
    <row r="723">
      <c r="A723" s="14" t="s">
        <v>1361</v>
      </c>
      <c r="C723" s="14" t="s">
        <v>1362</v>
      </c>
      <c r="G723" s="15" t="str">
        <f>IFERROR(__xludf.DUMMYFUNCTION("""COMPUTED_VALUE"""),"ENGL 195 PO-04")</f>
        <v>ENGL 195 PO-04</v>
      </c>
    </row>
    <row r="724">
      <c r="A724" s="14" t="s">
        <v>1363</v>
      </c>
      <c r="C724" s="14" t="s">
        <v>1364</v>
      </c>
      <c r="G724" s="15" t="str">
        <f>IFERROR(__xludf.DUMMYFUNCTION("""COMPUTED_VALUE"""),"ENGL 199T SC-01")</f>
        <v>ENGL 199T SC-01</v>
      </c>
    </row>
    <row r="725">
      <c r="A725" s="14" t="s">
        <v>1365</v>
      </c>
      <c r="C725" s="14" t="s">
        <v>1366</v>
      </c>
      <c r="G725" s="15" t="str">
        <f>IFERROR(__xludf.DUMMYFUNCTION("""COMPUTED_VALUE"""),"ENGR 004 HM-01")</f>
        <v>ENGR 004 HM-01</v>
      </c>
    </row>
    <row r="726">
      <c r="A726" s="14" t="s">
        <v>1367</v>
      </c>
      <c r="C726" s="14" t="s">
        <v>1366</v>
      </c>
      <c r="G726" s="15" t="str">
        <f>IFERROR(__xludf.DUMMYFUNCTION("""COMPUTED_VALUE"""),"ENGR 004 HM-02")</f>
        <v>ENGR 004 HM-02</v>
      </c>
    </row>
    <row r="727">
      <c r="A727" s="14" t="s">
        <v>1368</v>
      </c>
      <c r="C727" s="14" t="s">
        <v>1369</v>
      </c>
      <c r="G727" s="15" t="str">
        <f>IFERROR(__xludf.DUMMYFUNCTION("""COMPUTED_VALUE"""),"ENGR 004L HM-01")</f>
        <v>ENGR 004L HM-01</v>
      </c>
    </row>
    <row r="728">
      <c r="A728" s="14" t="s">
        <v>1370</v>
      </c>
      <c r="C728" s="14" t="s">
        <v>1369</v>
      </c>
      <c r="G728" s="15" t="str">
        <f>IFERROR(__xludf.DUMMYFUNCTION("""COMPUTED_VALUE"""),"ENGR 004L HM-02")</f>
        <v>ENGR 004L HM-02</v>
      </c>
    </row>
    <row r="729">
      <c r="A729" s="14" t="s">
        <v>1371</v>
      </c>
      <c r="C729" s="14" t="s">
        <v>1369</v>
      </c>
      <c r="G729" s="15" t="str">
        <f>IFERROR(__xludf.DUMMYFUNCTION("""COMPUTED_VALUE"""),"ENGR 004L HM-03")</f>
        <v>ENGR 004L HM-03</v>
      </c>
    </row>
    <row r="730">
      <c r="A730" s="14" t="s">
        <v>1372</v>
      </c>
      <c r="C730" s="14" t="s">
        <v>1369</v>
      </c>
      <c r="G730" s="15" t="str">
        <f>IFERROR(__xludf.DUMMYFUNCTION("""COMPUTED_VALUE"""),"ENGR 004L HM-04")</f>
        <v>ENGR 004L HM-04</v>
      </c>
    </row>
    <row r="731">
      <c r="A731" s="14" t="s">
        <v>1373</v>
      </c>
      <c r="C731" s="14" t="s">
        <v>1374</v>
      </c>
      <c r="G731" s="15" t="str">
        <f>IFERROR(__xludf.DUMMYFUNCTION("""COMPUTED_VALUE"""),"ENGR 072 HM-01")</f>
        <v>ENGR 072 HM-01</v>
      </c>
    </row>
    <row r="732">
      <c r="A732" s="14" t="s">
        <v>1375</v>
      </c>
      <c r="C732" s="14" t="s">
        <v>1374</v>
      </c>
      <c r="G732" s="15" t="str">
        <f>IFERROR(__xludf.DUMMYFUNCTION("""COMPUTED_VALUE"""),"ENGR 072 HM-02")</f>
        <v>ENGR 072 HM-02</v>
      </c>
    </row>
    <row r="733">
      <c r="A733" s="14" t="s">
        <v>1376</v>
      </c>
      <c r="C733" s="14" t="s">
        <v>1377</v>
      </c>
      <c r="G733" s="15" t="str">
        <f>IFERROR(__xludf.DUMMYFUNCTION("""COMPUTED_VALUE"""),"ENGR 082 HM-01")</f>
        <v>ENGR 082 HM-01</v>
      </c>
    </row>
    <row r="734">
      <c r="A734" s="14" t="s">
        <v>1378</v>
      </c>
      <c r="C734" s="14" t="s">
        <v>1379</v>
      </c>
      <c r="G734" s="15" t="str">
        <f>IFERROR(__xludf.DUMMYFUNCTION("""COMPUTED_VALUE"""),"ENGR 083 HM-01")</f>
        <v>ENGR 083 HM-01</v>
      </c>
    </row>
    <row r="735">
      <c r="A735" s="14" t="s">
        <v>1380</v>
      </c>
      <c r="C735" s="14" t="s">
        <v>1381</v>
      </c>
      <c r="G735" s="15" t="str">
        <f>IFERROR(__xludf.DUMMYFUNCTION("""COMPUTED_VALUE"""),"ENGR 084 HM-01")</f>
        <v>ENGR 084 HM-01</v>
      </c>
    </row>
    <row r="736">
      <c r="A736" s="14" t="s">
        <v>1382</v>
      </c>
      <c r="C736" s="14" t="s">
        <v>1383</v>
      </c>
      <c r="G736" s="15" t="str">
        <f>IFERROR(__xludf.DUMMYFUNCTION("""COMPUTED_VALUE"""),"ENGR 085 HM-01")</f>
        <v>ENGR 085 HM-01</v>
      </c>
    </row>
    <row r="737">
      <c r="A737" s="14" t="s">
        <v>1384</v>
      </c>
      <c r="C737" s="14" t="s">
        <v>1385</v>
      </c>
      <c r="G737" s="15" t="str">
        <f>IFERROR(__xludf.DUMMYFUNCTION("""COMPUTED_VALUE"""),"ENGR 085A HM-01")</f>
        <v>ENGR 085A HM-01</v>
      </c>
    </row>
    <row r="738">
      <c r="A738" s="14" t="s">
        <v>1386</v>
      </c>
      <c r="C738" s="14" t="s">
        <v>1387</v>
      </c>
      <c r="G738" s="15" t="str">
        <f>IFERROR(__xludf.DUMMYFUNCTION("""COMPUTED_VALUE"""),"ENGR 086 HM-01")</f>
        <v>ENGR 086 HM-01</v>
      </c>
    </row>
    <row r="739">
      <c r="A739" s="14" t="s">
        <v>1388</v>
      </c>
      <c r="C739" s="14" t="s">
        <v>1389</v>
      </c>
      <c r="G739" s="15" t="str">
        <f>IFERROR(__xludf.DUMMYFUNCTION("""COMPUTED_VALUE"""),"ENGR 102 HM-01")</f>
        <v>ENGR 102 HM-01</v>
      </c>
    </row>
    <row r="740">
      <c r="A740" s="14" t="s">
        <v>1390</v>
      </c>
      <c r="C740" s="14" t="s">
        <v>1391</v>
      </c>
      <c r="G740" s="15" t="str">
        <f>IFERROR(__xludf.DUMMYFUNCTION("""COMPUTED_VALUE"""),"ENGR 111 HM-01")</f>
        <v>ENGR 111 HM-01</v>
      </c>
    </row>
    <row r="741">
      <c r="A741" s="14" t="s">
        <v>1392</v>
      </c>
      <c r="C741" s="14" t="s">
        <v>1393</v>
      </c>
      <c r="G741" s="15" t="str">
        <f>IFERROR(__xludf.DUMMYFUNCTION("""COMPUTED_VALUE"""),"ENGR 113 HM-01")</f>
        <v>ENGR 113 HM-01</v>
      </c>
    </row>
    <row r="742">
      <c r="A742" s="14" t="s">
        <v>1394</v>
      </c>
      <c r="C742" s="14" t="s">
        <v>1395</v>
      </c>
      <c r="G742" s="15" t="str">
        <f>IFERROR(__xludf.DUMMYFUNCTION("""COMPUTED_VALUE"""),"ENGR 114 HM-01")</f>
        <v>ENGR 114 HM-01</v>
      </c>
    </row>
    <row r="743">
      <c r="A743" s="14" t="s">
        <v>1396</v>
      </c>
      <c r="C743" s="14" t="s">
        <v>1397</v>
      </c>
      <c r="G743" s="15" t="str">
        <f>IFERROR(__xludf.DUMMYFUNCTION("""COMPUTED_VALUE"""),"ENGR 122 HM-01")</f>
        <v>ENGR 122 HM-01</v>
      </c>
    </row>
    <row r="744">
      <c r="A744" s="14" t="s">
        <v>1398</v>
      </c>
      <c r="C744" s="14" t="s">
        <v>1399</v>
      </c>
      <c r="G744" s="15" t="str">
        <f>IFERROR(__xludf.DUMMYFUNCTION("""COMPUTED_VALUE"""),"ENGR 124 HM-01")</f>
        <v>ENGR 124 HM-01</v>
      </c>
    </row>
    <row r="745">
      <c r="A745" s="14" t="s">
        <v>1400</v>
      </c>
      <c r="C745" s="14" t="s">
        <v>1401</v>
      </c>
      <c r="G745" s="15" t="str">
        <f>IFERROR(__xludf.DUMMYFUNCTION("""COMPUTED_VALUE"""),"ENGR 134 HM-01")</f>
        <v>ENGR 134 HM-01</v>
      </c>
    </row>
    <row r="746">
      <c r="A746" s="14" t="s">
        <v>1402</v>
      </c>
      <c r="C746" s="14" t="s">
        <v>1403</v>
      </c>
      <c r="G746" s="15" t="str">
        <f>IFERROR(__xludf.DUMMYFUNCTION("""COMPUTED_VALUE"""),"ENGR 151 HM-01")</f>
        <v>ENGR 151 HM-01</v>
      </c>
    </row>
    <row r="747">
      <c r="A747" s="14" t="s">
        <v>1404</v>
      </c>
      <c r="C747" s="14" t="s">
        <v>1405</v>
      </c>
      <c r="G747" s="15" t="str">
        <f>IFERROR(__xludf.DUMMYFUNCTION("""COMPUTED_VALUE"""),"ENGR 161 HM-01")</f>
        <v>ENGR 161 HM-01</v>
      </c>
    </row>
    <row r="748">
      <c r="A748" s="14" t="s">
        <v>1406</v>
      </c>
      <c r="C748" s="14" t="s">
        <v>1407</v>
      </c>
      <c r="G748" s="15" t="str">
        <f>IFERROR(__xludf.DUMMYFUNCTION("""COMPUTED_VALUE"""),"ENGR 164 HM-01")</f>
        <v>ENGR 164 HM-01</v>
      </c>
    </row>
    <row r="749">
      <c r="A749" s="14" t="s">
        <v>1408</v>
      </c>
      <c r="C749" s="14" t="s">
        <v>1409</v>
      </c>
      <c r="G749" s="15" t="str">
        <f>IFERROR(__xludf.DUMMYFUNCTION("""COMPUTED_VALUE"""),"ENGR 178 HM-01")</f>
        <v>ENGR 178 HM-01</v>
      </c>
    </row>
    <row r="750">
      <c r="A750" s="14" t="s">
        <v>1410</v>
      </c>
      <c r="C750" s="14" t="s">
        <v>1411</v>
      </c>
      <c r="G750" s="15" t="str">
        <f>IFERROR(__xludf.DUMMYFUNCTION("""COMPUTED_VALUE"""),"ENGR 180 HM-01")</f>
        <v>ENGR 180 HM-01</v>
      </c>
    </row>
    <row r="751">
      <c r="A751" s="14" t="s">
        <v>1412</v>
      </c>
      <c r="C751" s="14" t="s">
        <v>1413</v>
      </c>
      <c r="G751" s="15" t="str">
        <f>IFERROR(__xludf.DUMMYFUNCTION("""COMPUTED_VALUE"""),"ENGR 182 HM-01")</f>
        <v>ENGR 182 HM-01</v>
      </c>
    </row>
    <row r="752">
      <c r="A752" s="14" t="s">
        <v>1414</v>
      </c>
      <c r="C752" s="14" t="s">
        <v>1415</v>
      </c>
      <c r="G752" s="15" t="str">
        <f>IFERROR(__xludf.DUMMYFUNCTION("""COMPUTED_VALUE"""),"ENGR 185A HM-01")</f>
        <v>ENGR 185A HM-01</v>
      </c>
    </row>
    <row r="753">
      <c r="A753" s="14" t="s">
        <v>1416</v>
      </c>
      <c r="C753" s="14" t="s">
        <v>1417</v>
      </c>
      <c r="G753" s="15" t="str">
        <f>IFERROR(__xludf.DUMMYFUNCTION("""COMPUTED_VALUE"""),"ENGR 185B HM-01")</f>
        <v>ENGR 185B HM-01</v>
      </c>
    </row>
    <row r="754">
      <c r="A754" s="14" t="s">
        <v>1418</v>
      </c>
      <c r="C754" s="14" t="s">
        <v>1417</v>
      </c>
      <c r="G754" s="15" t="str">
        <f>IFERROR(__xludf.DUMMYFUNCTION("""COMPUTED_VALUE"""),"ENGR 185B HM-02")</f>
        <v>ENGR 185B HM-02</v>
      </c>
    </row>
    <row r="755">
      <c r="A755" s="14" t="s">
        <v>1419</v>
      </c>
      <c r="C755" s="14" t="s">
        <v>1420</v>
      </c>
      <c r="G755" s="15" t="str">
        <f>IFERROR(__xludf.DUMMYFUNCTION("""COMPUTED_VALUE"""),"ENGR 190AS HM-01")</f>
        <v>ENGR 190AS HM-01</v>
      </c>
    </row>
    <row r="756">
      <c r="A756" s="14" t="s">
        <v>1421</v>
      </c>
      <c r="C756" s="14" t="s">
        <v>1422</v>
      </c>
      <c r="G756" s="15" t="str">
        <f>IFERROR(__xludf.DUMMYFUNCTION("""COMPUTED_VALUE"""),"ENGR 190AV HM-01")</f>
        <v>ENGR 190AV HM-01</v>
      </c>
    </row>
    <row r="757">
      <c r="A757" s="14" t="s">
        <v>1423</v>
      </c>
      <c r="C757" s="14" t="s">
        <v>1424</v>
      </c>
      <c r="G757" s="15" t="str">
        <f>IFERROR(__xludf.DUMMYFUNCTION("""COMPUTED_VALUE"""),"ENGR 190AX HM-01")</f>
        <v>ENGR 190AX HM-01</v>
      </c>
    </row>
    <row r="758">
      <c r="A758" s="14" t="s">
        <v>1425</v>
      </c>
      <c r="C758" s="14" t="s">
        <v>1426</v>
      </c>
      <c r="G758" s="15" t="str">
        <f>IFERROR(__xludf.DUMMYFUNCTION("""COMPUTED_VALUE"""),"ENGR 190AY HM-01")</f>
        <v>ENGR 190AY HM-01</v>
      </c>
    </row>
    <row r="759">
      <c r="A759" s="14" t="s">
        <v>1427</v>
      </c>
      <c r="C759" s="14" t="s">
        <v>1428</v>
      </c>
      <c r="G759" s="15" t="str">
        <f>IFERROR(__xludf.DUMMYFUNCTION("""COMPUTED_VALUE"""),"ENGR 190AZ HM-01")</f>
        <v>ENGR 190AZ HM-01</v>
      </c>
    </row>
    <row r="760">
      <c r="A760" s="14" t="s">
        <v>1429</v>
      </c>
      <c r="C760" s="14" t="s">
        <v>1430</v>
      </c>
      <c r="G760" s="15" t="str">
        <f>IFERROR(__xludf.DUMMYFUNCTION("""COMPUTED_VALUE"""),"ENGR 190Z HM-01")</f>
        <v>ENGR 190Z HM-01</v>
      </c>
    </row>
    <row r="761">
      <c r="A761" s="14" t="s">
        <v>1431</v>
      </c>
      <c r="C761" s="14" t="s">
        <v>1432</v>
      </c>
      <c r="G761" s="15" t="str">
        <f>IFERROR(__xludf.DUMMYFUNCTION("""COMPUTED_VALUE"""),"ENGR 191 HM-01")</f>
        <v>ENGR 191 HM-01</v>
      </c>
    </row>
    <row r="762">
      <c r="A762" s="14" t="s">
        <v>1433</v>
      </c>
      <c r="C762" s="14" t="s">
        <v>1434</v>
      </c>
      <c r="G762" s="15" t="str">
        <f>IFERROR(__xludf.DUMMYFUNCTION("""COMPUTED_VALUE"""),"ENGR 206 HM-01")</f>
        <v>ENGR 206 HM-01</v>
      </c>
    </row>
    <row r="763">
      <c r="A763" s="14" t="s">
        <v>1435</v>
      </c>
      <c r="C763" s="14" t="s">
        <v>1436</v>
      </c>
      <c r="G763" s="15" t="str">
        <f>IFERROR(__xludf.DUMMYFUNCTION("""COMPUTED_VALUE"""),"ENGR 240 HM-01")</f>
        <v>ENGR 240 HM-01</v>
      </c>
    </row>
    <row r="764">
      <c r="A764" s="14" t="s">
        <v>1437</v>
      </c>
      <c r="C764" s="14" t="s">
        <v>1438</v>
      </c>
      <c r="G764" s="15" t="str">
        <f>IFERROR(__xludf.DUMMYFUNCTION("""COMPUTED_VALUE"""),"FGSS 184 SC-01")</f>
        <v>FGSS 184 SC-01</v>
      </c>
    </row>
    <row r="765">
      <c r="A765" s="14" t="s">
        <v>1439</v>
      </c>
      <c r="C765" s="14" t="s">
        <v>1440</v>
      </c>
      <c r="G765" s="15" t="str">
        <f>IFERROR(__xludf.DUMMYFUNCTION("""COMPUTED_VALUE"""),"FGSS 186 SC-01")</f>
        <v>FGSS 186 SC-01</v>
      </c>
    </row>
    <row r="766">
      <c r="A766" s="14" t="s">
        <v>1441</v>
      </c>
      <c r="C766" s="14" t="s">
        <v>1442</v>
      </c>
      <c r="G766" s="15" t="str">
        <f>IFERROR(__xludf.DUMMYFUNCTION("""COMPUTED_VALUE"""),"FGSS 191 SC-01")</f>
        <v>FGSS 191 SC-01</v>
      </c>
    </row>
    <row r="767">
      <c r="A767" s="14" t="s">
        <v>1443</v>
      </c>
      <c r="C767" s="14" t="s">
        <v>1444</v>
      </c>
      <c r="G767" s="15" t="str">
        <f>IFERROR(__xludf.DUMMYFUNCTION("""COMPUTED_VALUE"""),"FHS 010 CM-01")</f>
        <v>FHS 010 CM-01</v>
      </c>
    </row>
    <row r="768">
      <c r="A768" s="14" t="s">
        <v>1445</v>
      </c>
      <c r="C768" s="14" t="s">
        <v>1444</v>
      </c>
      <c r="G768" s="15" t="str">
        <f>IFERROR(__xludf.DUMMYFUNCTION("""COMPUTED_VALUE"""),"FHS 010 CM-02")</f>
        <v>FHS 010 CM-02</v>
      </c>
    </row>
    <row r="769">
      <c r="A769" s="14" t="s">
        <v>1446</v>
      </c>
      <c r="C769" s="14" t="s">
        <v>1444</v>
      </c>
      <c r="G769" s="15" t="str">
        <f>IFERROR(__xludf.DUMMYFUNCTION("""COMPUTED_VALUE"""),"FHS 010 CM-03")</f>
        <v>FHS 010 CM-03</v>
      </c>
    </row>
    <row r="770">
      <c r="A770" s="14" t="s">
        <v>1447</v>
      </c>
      <c r="C770" s="14" t="s">
        <v>1444</v>
      </c>
      <c r="G770" s="15" t="str">
        <f>IFERROR(__xludf.DUMMYFUNCTION("""COMPUTED_VALUE"""),"FHS 010 CM-04")</f>
        <v>FHS 010 CM-04</v>
      </c>
    </row>
    <row r="771">
      <c r="A771" s="14" t="s">
        <v>1448</v>
      </c>
      <c r="C771" s="14" t="s">
        <v>1444</v>
      </c>
      <c r="G771" s="15" t="str">
        <f>IFERROR(__xludf.DUMMYFUNCTION("""COMPUTED_VALUE"""),"FHS 010 CM-05")</f>
        <v>FHS 010 CM-05</v>
      </c>
    </row>
    <row r="772">
      <c r="A772" s="14" t="s">
        <v>1449</v>
      </c>
      <c r="C772" s="14" t="s">
        <v>1444</v>
      </c>
      <c r="G772" s="15" t="str">
        <f>IFERROR(__xludf.DUMMYFUNCTION("""COMPUTED_VALUE"""),"FHS 010 CM-06")</f>
        <v>FHS 010 CM-06</v>
      </c>
    </row>
    <row r="773">
      <c r="A773" s="14" t="s">
        <v>1450</v>
      </c>
      <c r="C773" s="14" t="s">
        <v>1444</v>
      </c>
      <c r="G773" s="15" t="str">
        <f>IFERROR(__xludf.DUMMYFUNCTION("""COMPUTED_VALUE"""),"FHS 010 CM-07")</f>
        <v>FHS 010 CM-07</v>
      </c>
    </row>
    <row r="774">
      <c r="A774" s="14" t="s">
        <v>1451</v>
      </c>
      <c r="C774" s="14" t="s">
        <v>1444</v>
      </c>
      <c r="G774" s="15" t="str">
        <f>IFERROR(__xludf.DUMMYFUNCTION("""COMPUTED_VALUE"""),"FHS 010 CM-08")</f>
        <v>FHS 010 CM-08</v>
      </c>
    </row>
    <row r="775">
      <c r="A775" s="14" t="s">
        <v>1452</v>
      </c>
      <c r="C775" s="14" t="s">
        <v>1444</v>
      </c>
      <c r="G775" s="15" t="str">
        <f>IFERROR(__xludf.DUMMYFUNCTION("""COMPUTED_VALUE"""),"FHS 010 CM-09")</f>
        <v>FHS 010 CM-09</v>
      </c>
    </row>
    <row r="776">
      <c r="A776" s="14" t="s">
        <v>1453</v>
      </c>
      <c r="C776" s="14" t="s">
        <v>1444</v>
      </c>
      <c r="G776" s="15" t="str">
        <f>IFERROR(__xludf.DUMMYFUNCTION("""COMPUTED_VALUE"""),"FHS 010 CM-10")</f>
        <v>FHS 010 CM-10</v>
      </c>
    </row>
    <row r="777">
      <c r="A777" s="14" t="s">
        <v>1454</v>
      </c>
      <c r="C777" s="14" t="s">
        <v>1444</v>
      </c>
      <c r="G777" s="15" t="str">
        <f>IFERROR(__xludf.DUMMYFUNCTION("""COMPUTED_VALUE"""),"FHS 010 CM-11")</f>
        <v>FHS 010 CM-11</v>
      </c>
    </row>
    <row r="778">
      <c r="A778" s="14" t="s">
        <v>1455</v>
      </c>
      <c r="C778" s="14" t="s">
        <v>1456</v>
      </c>
      <c r="G778" s="15" t="str">
        <f>IFERROR(__xludf.DUMMYFUNCTION("""COMPUTED_VALUE"""),"FIN 301B CM-01")</f>
        <v>FIN 301B CM-01</v>
      </c>
    </row>
    <row r="779">
      <c r="A779" s="14" t="s">
        <v>1457</v>
      </c>
      <c r="C779" s="14" t="s">
        <v>1458</v>
      </c>
      <c r="G779" s="15" t="str">
        <f>IFERROR(__xludf.DUMMYFUNCTION("""COMPUTED_VALUE"""),"FIN 330 CM-01")</f>
        <v>FIN 330 CM-01</v>
      </c>
    </row>
    <row r="780">
      <c r="A780" s="14" t="s">
        <v>1459</v>
      </c>
      <c r="C780" s="14" t="s">
        <v>1460</v>
      </c>
      <c r="G780" s="15" t="str">
        <f>IFERROR(__xludf.DUMMYFUNCTION("""COMPUTED_VALUE"""),"FIN 410 CM-01")</f>
        <v>FIN 410 CM-01</v>
      </c>
    </row>
    <row r="781">
      <c r="A781" s="14" t="s">
        <v>1461</v>
      </c>
      <c r="C781" s="14" t="s">
        <v>1462</v>
      </c>
      <c r="G781" s="15" t="str">
        <f>IFERROR(__xludf.DUMMYFUNCTION("""COMPUTED_VALUE"""),"FIN 425 CM-01")</f>
        <v>FIN 425 CM-01</v>
      </c>
    </row>
    <row r="782">
      <c r="A782" s="14" t="s">
        <v>1463</v>
      </c>
      <c r="C782" s="14" t="s">
        <v>1464</v>
      </c>
      <c r="G782" s="15" t="str">
        <f>IFERROR(__xludf.DUMMYFUNCTION("""COMPUTED_VALUE"""),"FLAN 191 SC-01")</f>
        <v>FLAN 191 SC-01</v>
      </c>
    </row>
    <row r="783">
      <c r="A783" s="14" t="s">
        <v>1465</v>
      </c>
      <c r="C783" s="14" t="s">
        <v>1466</v>
      </c>
      <c r="G783" s="15" t="str">
        <f>IFERROR(__xludf.DUMMYFUNCTION("""COMPUTED_VALUE"""),"FREN 001 SC-01")</f>
        <v>FREN 001 SC-01</v>
      </c>
    </row>
    <row r="784">
      <c r="A784" s="14" t="s">
        <v>1467</v>
      </c>
      <c r="C784" s="14" t="s">
        <v>1468</v>
      </c>
      <c r="G784" s="15" t="str">
        <f>IFERROR(__xludf.DUMMYFUNCTION("""COMPUTED_VALUE"""),"FREN 002 CM-01")</f>
        <v>FREN 002 CM-01</v>
      </c>
    </row>
    <row r="785">
      <c r="A785" s="14" t="s">
        <v>1469</v>
      </c>
      <c r="C785" s="14" t="s">
        <v>1468</v>
      </c>
      <c r="G785" s="15" t="str">
        <f>IFERROR(__xludf.DUMMYFUNCTION("""COMPUTED_VALUE"""),"FREN 002 CM-02")</f>
        <v>FREN 002 CM-02</v>
      </c>
    </row>
    <row r="786">
      <c r="A786" s="14" t="s">
        <v>1470</v>
      </c>
      <c r="C786" s="14" t="s">
        <v>1468</v>
      </c>
      <c r="G786" s="15" t="str">
        <f>IFERROR(__xludf.DUMMYFUNCTION("""COMPUTED_VALUE"""),"FREN 002 PO-01")</f>
        <v>FREN 002 PO-01</v>
      </c>
    </row>
    <row r="787">
      <c r="A787" s="14" t="s">
        <v>1471</v>
      </c>
      <c r="C787" s="14" t="s">
        <v>1472</v>
      </c>
      <c r="G787" s="15" t="str">
        <f>IFERROR(__xludf.DUMMYFUNCTION("""COMPUTED_VALUE"""),"FREN 011 PO-01")</f>
        <v>FREN 011 PO-01</v>
      </c>
    </row>
    <row r="788">
      <c r="A788" s="14" t="s">
        <v>1473</v>
      </c>
      <c r="C788" s="14" t="s">
        <v>1474</v>
      </c>
      <c r="G788" s="15" t="str">
        <f>IFERROR(__xludf.DUMMYFUNCTION("""COMPUTED_VALUE"""),"FREN 013 PO-01")</f>
        <v>FREN 013 PO-01</v>
      </c>
    </row>
    <row r="789">
      <c r="A789" s="14" t="s">
        <v>1475</v>
      </c>
      <c r="C789" s="14" t="s">
        <v>1476</v>
      </c>
      <c r="G789" s="15" t="str">
        <f>IFERROR(__xludf.DUMMYFUNCTION("""COMPUTED_VALUE"""),"FREN 033 CM-01")</f>
        <v>FREN 033 CM-01</v>
      </c>
    </row>
    <row r="790">
      <c r="A790" s="14" t="s">
        <v>1477</v>
      </c>
      <c r="C790" s="14" t="s">
        <v>1476</v>
      </c>
      <c r="G790" s="15" t="str">
        <f>IFERROR(__xludf.DUMMYFUNCTION("""COMPUTED_VALUE"""),"FREN 033 PO-01")</f>
        <v>FREN 033 PO-01</v>
      </c>
    </row>
    <row r="791">
      <c r="A791" s="14" t="s">
        <v>1478</v>
      </c>
      <c r="C791" s="14" t="s">
        <v>1476</v>
      </c>
      <c r="G791" s="15" t="str">
        <f>IFERROR(__xludf.DUMMYFUNCTION("""COMPUTED_VALUE"""),"FREN 033 PO-02")</f>
        <v>FREN 033 PO-02</v>
      </c>
    </row>
    <row r="792">
      <c r="A792" s="14" t="s">
        <v>1479</v>
      </c>
      <c r="C792" s="14" t="s">
        <v>1476</v>
      </c>
      <c r="G792" s="15" t="str">
        <f>IFERROR(__xludf.DUMMYFUNCTION("""COMPUTED_VALUE"""),"FREN 033 SC-01")</f>
        <v>FREN 033 SC-01</v>
      </c>
    </row>
    <row r="793">
      <c r="A793" s="14" t="s">
        <v>1480</v>
      </c>
      <c r="C793" s="14" t="s">
        <v>1481</v>
      </c>
      <c r="G793" s="15" t="str">
        <f>IFERROR(__xludf.DUMMYFUNCTION("""COMPUTED_VALUE"""),"FREN 044 PO-01")</f>
        <v>FREN 044 PO-01</v>
      </c>
    </row>
    <row r="794">
      <c r="A794" s="14" t="s">
        <v>1482</v>
      </c>
      <c r="C794" s="14" t="s">
        <v>1481</v>
      </c>
      <c r="G794" s="15" t="str">
        <f>IFERROR(__xludf.DUMMYFUNCTION("""COMPUTED_VALUE"""),"FREN 044 PO-02")</f>
        <v>FREN 044 PO-02</v>
      </c>
    </row>
    <row r="795">
      <c r="A795" s="14" t="s">
        <v>1483</v>
      </c>
      <c r="C795" s="14" t="s">
        <v>1481</v>
      </c>
      <c r="G795" s="15" t="str">
        <f>IFERROR(__xludf.DUMMYFUNCTION("""COMPUTED_VALUE"""),"FREN 044 PZ-01")</f>
        <v>FREN 044 PZ-01</v>
      </c>
    </row>
    <row r="796">
      <c r="A796" s="14" t="s">
        <v>1484</v>
      </c>
      <c r="C796" s="14" t="s">
        <v>1481</v>
      </c>
      <c r="G796" s="15" t="str">
        <f>IFERROR(__xludf.DUMMYFUNCTION("""COMPUTED_VALUE"""),"FREN 044 SC-01")</f>
        <v>FREN 044 SC-01</v>
      </c>
    </row>
    <row r="797">
      <c r="A797" s="14" t="s">
        <v>1485</v>
      </c>
      <c r="C797" s="14" t="s">
        <v>1486</v>
      </c>
      <c r="G797" s="15" t="str">
        <f>IFERROR(__xludf.DUMMYFUNCTION("""COMPUTED_VALUE"""),"FREN 100 SC-01")</f>
        <v>FREN 100 SC-01</v>
      </c>
    </row>
    <row r="798">
      <c r="A798" s="14" t="s">
        <v>1487</v>
      </c>
      <c r="C798" s="14" t="s">
        <v>1488</v>
      </c>
      <c r="G798" s="15" t="str">
        <f>IFERROR(__xludf.DUMMYFUNCTION("""COMPUTED_VALUE"""),"FREN 101 PO-01")</f>
        <v>FREN 101 PO-01</v>
      </c>
    </row>
    <row r="799">
      <c r="A799" s="14" t="s">
        <v>1489</v>
      </c>
      <c r="C799" s="14" t="s">
        <v>1490</v>
      </c>
      <c r="G799" s="15" t="str">
        <f>IFERROR(__xludf.DUMMYFUNCTION("""COMPUTED_VALUE"""),"FREN 103 PO-01")</f>
        <v>FREN 103 PO-01</v>
      </c>
    </row>
    <row r="800">
      <c r="A800" s="14" t="s">
        <v>1491</v>
      </c>
      <c r="C800" s="14" t="s">
        <v>1492</v>
      </c>
      <c r="G800" s="15" t="str">
        <f>IFERROR(__xludf.DUMMYFUNCTION("""COMPUTED_VALUE"""),"FREN 106 PO-01")</f>
        <v>FREN 106 PO-01</v>
      </c>
    </row>
    <row r="801">
      <c r="A801" s="14" t="s">
        <v>1493</v>
      </c>
      <c r="C801" s="14" t="s">
        <v>1494</v>
      </c>
      <c r="G801" s="15" t="str">
        <f>IFERROR(__xludf.DUMMYFUNCTION("""COMPUTED_VALUE"""),"FREN 115 CM-01")</f>
        <v>FREN 115 CM-01</v>
      </c>
    </row>
    <row r="802">
      <c r="A802" s="14" t="s">
        <v>1495</v>
      </c>
      <c r="C802" s="14" t="s">
        <v>1496</v>
      </c>
      <c r="G802" s="15" t="str">
        <f>IFERROR(__xludf.DUMMYFUNCTION("""COMPUTED_VALUE"""),"FREN 122 SC-01")</f>
        <v>FREN 122 SC-01</v>
      </c>
    </row>
    <row r="803">
      <c r="A803" s="14" t="s">
        <v>1497</v>
      </c>
      <c r="C803" s="14" t="s">
        <v>1498</v>
      </c>
      <c r="G803" s="15" t="str">
        <f>IFERROR(__xludf.DUMMYFUNCTION("""COMPUTED_VALUE"""),"FREN 150C PO-01")</f>
        <v>FREN 150C PO-01</v>
      </c>
    </row>
    <row r="804">
      <c r="A804" s="14" t="s">
        <v>1499</v>
      </c>
      <c r="C804" s="14" t="s">
        <v>1500</v>
      </c>
      <c r="G804" s="15" t="str">
        <f>IFERROR(__xludf.DUMMYFUNCTION("""COMPUTED_VALUE"""),"FREN 175 PO-01")</f>
        <v>FREN 175 PO-01</v>
      </c>
    </row>
    <row r="805">
      <c r="A805" s="14" t="s">
        <v>1501</v>
      </c>
      <c r="C805" s="14" t="s">
        <v>1502</v>
      </c>
      <c r="G805" s="15" t="str">
        <f>IFERROR(__xludf.DUMMYFUNCTION("""COMPUTED_VALUE"""),"FREN 182 SC-01")</f>
        <v>FREN 182 SC-01</v>
      </c>
    </row>
    <row r="806">
      <c r="A806" s="14" t="s">
        <v>1503</v>
      </c>
      <c r="C806" s="14" t="s">
        <v>1504</v>
      </c>
      <c r="G806" s="15" t="str">
        <f>IFERROR(__xludf.DUMMYFUNCTION("""COMPUTED_VALUE"""),"FREN 191 PO-04")</f>
        <v>FREN 191 PO-04</v>
      </c>
    </row>
    <row r="807">
      <c r="A807" s="14" t="s">
        <v>1505</v>
      </c>
      <c r="C807" s="14" t="s">
        <v>1504</v>
      </c>
      <c r="G807" s="15" t="str">
        <f>IFERROR(__xludf.DUMMYFUNCTION("""COMPUTED_VALUE"""),"FREN 191 PO-08")</f>
        <v>FREN 191 PO-08</v>
      </c>
    </row>
    <row r="808">
      <c r="A808" s="14" t="s">
        <v>1506</v>
      </c>
      <c r="C808" s="14" t="s">
        <v>1504</v>
      </c>
      <c r="G808" s="15" t="str">
        <f>IFERROR(__xludf.DUMMYFUNCTION("""COMPUTED_VALUE"""),"FREN 191 PO-12")</f>
        <v>FREN 191 PO-12</v>
      </c>
    </row>
    <row r="809">
      <c r="A809" s="14" t="s">
        <v>1507</v>
      </c>
      <c r="C809" s="14" t="s">
        <v>1504</v>
      </c>
      <c r="G809" s="15" t="str">
        <f>IFERROR(__xludf.DUMMYFUNCTION("""COMPUTED_VALUE"""),"FREN 191 SC-01")</f>
        <v>FREN 191 SC-01</v>
      </c>
    </row>
    <row r="810">
      <c r="A810" s="14" t="s">
        <v>1508</v>
      </c>
      <c r="C810" s="14" t="s">
        <v>1509</v>
      </c>
      <c r="G810" s="15" t="str">
        <f>IFERROR(__xludf.DUMMYFUNCTION("""COMPUTED_VALUE"""),"FREN 192 PO-04")</f>
        <v>FREN 192 PO-04</v>
      </c>
    </row>
    <row r="811">
      <c r="A811" s="14" t="s">
        <v>1510</v>
      </c>
      <c r="C811" s="14" t="s">
        <v>1509</v>
      </c>
      <c r="G811" s="15" t="str">
        <f>IFERROR(__xludf.DUMMYFUNCTION("""COMPUTED_VALUE"""),"FREN 192 PO-08")</f>
        <v>FREN 192 PO-08</v>
      </c>
    </row>
    <row r="812">
      <c r="A812" s="14" t="s">
        <v>1511</v>
      </c>
      <c r="C812" s="14" t="s">
        <v>1509</v>
      </c>
      <c r="G812" s="15" t="str">
        <f>IFERROR(__xludf.DUMMYFUNCTION("""COMPUTED_VALUE"""),"FREN 192 PO-12")</f>
        <v>FREN 192 PO-12</v>
      </c>
    </row>
    <row r="813">
      <c r="A813" s="14" t="s">
        <v>1512</v>
      </c>
      <c r="C813" s="14" t="s">
        <v>1513</v>
      </c>
      <c r="G813" s="15" t="str">
        <f>IFERROR(__xludf.DUMMYFUNCTION("""COMPUTED_VALUE"""),"FREN 193 PO-04")</f>
        <v>FREN 193 PO-04</v>
      </c>
    </row>
    <row r="814">
      <c r="A814" s="14" t="s">
        <v>1514</v>
      </c>
      <c r="C814" s="14" t="s">
        <v>1515</v>
      </c>
      <c r="G814" s="15" t="str">
        <f>IFERROR(__xludf.DUMMYFUNCTION("""COMPUTED_VALUE"""),"FS 001 PZ-01")</f>
        <v>FS 001 PZ-01</v>
      </c>
    </row>
    <row r="815">
      <c r="A815" s="14" t="s">
        <v>1516</v>
      </c>
      <c r="C815" s="14" t="s">
        <v>1517</v>
      </c>
      <c r="G815" s="15" t="str">
        <f>IFERROR(__xludf.DUMMYFUNCTION("""COMPUTED_VALUE"""),"FS 013 PZ-01")</f>
        <v>FS 013 PZ-01</v>
      </c>
    </row>
    <row r="816">
      <c r="A816" s="14" t="s">
        <v>1518</v>
      </c>
      <c r="C816" s="14" t="s">
        <v>1519</v>
      </c>
      <c r="G816" s="15" t="str">
        <f>IFERROR(__xludf.DUMMYFUNCTION("""COMPUTED_VALUE"""),"FS 022 PZ-01")</f>
        <v>FS 022 PZ-01</v>
      </c>
    </row>
    <row r="817">
      <c r="A817" s="14" t="s">
        <v>1520</v>
      </c>
      <c r="C817" s="14" t="s">
        <v>1521</v>
      </c>
      <c r="G817" s="15" t="str">
        <f>IFERROR(__xludf.DUMMYFUNCTION("""COMPUTED_VALUE"""),"FWS 010 CM-01")</f>
        <v>FWS 010 CM-01</v>
      </c>
    </row>
    <row r="818">
      <c r="A818" s="14" t="s">
        <v>1522</v>
      </c>
      <c r="C818" s="14" t="s">
        <v>1521</v>
      </c>
      <c r="G818" s="15" t="str">
        <f>IFERROR(__xludf.DUMMYFUNCTION("""COMPUTED_VALUE"""),"FWS 010 CM-02")</f>
        <v>FWS 010 CM-02</v>
      </c>
    </row>
    <row r="819">
      <c r="A819" s="14" t="s">
        <v>1523</v>
      </c>
      <c r="C819" s="14" t="s">
        <v>1521</v>
      </c>
      <c r="G819" s="15" t="str">
        <f>IFERROR(__xludf.DUMMYFUNCTION("""COMPUTED_VALUE"""),"FWS 010 CM-03")</f>
        <v>FWS 010 CM-03</v>
      </c>
    </row>
    <row r="820">
      <c r="A820" s="14" t="s">
        <v>1524</v>
      </c>
      <c r="C820" s="14" t="s">
        <v>1521</v>
      </c>
      <c r="G820" s="15" t="str">
        <f>IFERROR(__xludf.DUMMYFUNCTION("""COMPUTED_VALUE"""),"FWS 010 CM-04")</f>
        <v>FWS 010 CM-04</v>
      </c>
    </row>
    <row r="821">
      <c r="A821" s="14" t="s">
        <v>1525</v>
      </c>
      <c r="C821" s="14" t="s">
        <v>1521</v>
      </c>
      <c r="G821" s="15" t="str">
        <f>IFERROR(__xludf.DUMMYFUNCTION("""COMPUTED_VALUE"""),"FWS 010 CM-05")</f>
        <v>FWS 010 CM-05</v>
      </c>
    </row>
    <row r="822">
      <c r="A822" s="14" t="s">
        <v>1526</v>
      </c>
      <c r="C822" s="14" t="s">
        <v>1521</v>
      </c>
      <c r="G822" s="15" t="str">
        <f>IFERROR(__xludf.DUMMYFUNCTION("""COMPUTED_VALUE"""),"FWS 010 CM-06")</f>
        <v>FWS 010 CM-06</v>
      </c>
    </row>
    <row r="823">
      <c r="A823" s="14" t="s">
        <v>1527</v>
      </c>
      <c r="C823" s="14" t="s">
        <v>1521</v>
      </c>
      <c r="G823" s="15" t="str">
        <f>IFERROR(__xludf.DUMMYFUNCTION("""COMPUTED_VALUE"""),"FWS 010 CM-07")</f>
        <v>FWS 010 CM-07</v>
      </c>
    </row>
    <row r="824">
      <c r="A824" s="14" t="s">
        <v>1528</v>
      </c>
      <c r="C824" s="14" t="s">
        <v>1521</v>
      </c>
      <c r="G824" s="15" t="str">
        <f>IFERROR(__xludf.DUMMYFUNCTION("""COMPUTED_VALUE"""),"FWS 010 CM-08")</f>
        <v>FWS 010 CM-08</v>
      </c>
    </row>
    <row r="825">
      <c r="A825" s="14" t="s">
        <v>1529</v>
      </c>
      <c r="C825" s="14" t="s">
        <v>1521</v>
      </c>
      <c r="G825" s="15" t="str">
        <f>IFERROR(__xludf.DUMMYFUNCTION("""COMPUTED_VALUE"""),"FWS 010 CM-09")</f>
        <v>FWS 010 CM-09</v>
      </c>
    </row>
    <row r="826">
      <c r="A826" s="14" t="s">
        <v>1530</v>
      </c>
      <c r="C826" s="14" t="s">
        <v>1521</v>
      </c>
      <c r="G826" s="15" t="str">
        <f>IFERROR(__xludf.DUMMYFUNCTION("""COMPUTED_VALUE"""),"FWS 010 CM-10")</f>
        <v>FWS 010 CM-10</v>
      </c>
    </row>
    <row r="827">
      <c r="A827" s="14" t="s">
        <v>1531</v>
      </c>
      <c r="C827" s="14" t="s">
        <v>1521</v>
      </c>
      <c r="G827" s="15" t="str">
        <f>IFERROR(__xludf.DUMMYFUNCTION("""COMPUTED_VALUE"""),"FWS 010 CM-11")</f>
        <v>FWS 010 CM-11</v>
      </c>
    </row>
    <row r="828">
      <c r="A828" s="14" t="s">
        <v>1532</v>
      </c>
      <c r="C828" s="14" t="s">
        <v>1521</v>
      </c>
      <c r="G828" s="15" t="str">
        <f>IFERROR(__xludf.DUMMYFUNCTION("""COMPUTED_VALUE"""),"FWS 010 CM-12")</f>
        <v>FWS 010 CM-12</v>
      </c>
    </row>
    <row r="829">
      <c r="A829" s="14" t="s">
        <v>1533</v>
      </c>
      <c r="C829" s="14" t="s">
        <v>1521</v>
      </c>
      <c r="G829" s="15" t="str">
        <f>IFERROR(__xludf.DUMMYFUNCTION("""COMPUTED_VALUE"""),"FWS 010 CM-13")</f>
        <v>FWS 010 CM-13</v>
      </c>
    </row>
    <row r="830">
      <c r="A830" s="14" t="s">
        <v>1534</v>
      </c>
      <c r="C830" s="14" t="s">
        <v>1535</v>
      </c>
      <c r="G830" s="15" t="str">
        <f>IFERROR(__xludf.DUMMYFUNCTION("""COMPUTED_VALUE"""),"GEOG 179F HM-01")</f>
        <v>GEOG 179F HM-01</v>
      </c>
    </row>
    <row r="831">
      <c r="A831" s="14" t="s">
        <v>1536</v>
      </c>
      <c r="C831" s="14" t="s">
        <v>1537</v>
      </c>
      <c r="G831" s="15" t="str">
        <f>IFERROR(__xludf.DUMMYFUNCTION("""COMPUTED_VALUE"""),"GEOL 020A PO-01")</f>
        <v>GEOL 020A PO-01</v>
      </c>
    </row>
    <row r="832">
      <c r="A832" s="14" t="s">
        <v>1538</v>
      </c>
      <c r="C832" s="14" t="s">
        <v>1537</v>
      </c>
      <c r="G832" s="15" t="str">
        <f>IFERROR(__xludf.DUMMYFUNCTION("""COMPUTED_VALUE"""),"GEOL 020A PO-02")</f>
        <v>GEOL 020A PO-02</v>
      </c>
    </row>
    <row r="833">
      <c r="A833" s="14" t="s">
        <v>1539</v>
      </c>
      <c r="C833" s="14" t="s">
        <v>1540</v>
      </c>
      <c r="G833" s="15" t="str">
        <f>IFERROR(__xludf.DUMMYFUNCTION("""COMPUTED_VALUE"""),"GEOL 020C PO-01")</f>
        <v>GEOL 020C PO-01</v>
      </c>
    </row>
    <row r="834">
      <c r="A834" s="14" t="s">
        <v>1541</v>
      </c>
      <c r="C834" s="14" t="s">
        <v>1542</v>
      </c>
      <c r="G834" s="15" t="str">
        <f>IFERROR(__xludf.DUMMYFUNCTION("""COMPUTED_VALUE"""),"GEOL 121 PO-01")</f>
        <v>GEOL 121 PO-01</v>
      </c>
    </row>
    <row r="835">
      <c r="A835" s="14" t="s">
        <v>1543</v>
      </c>
      <c r="C835" s="14" t="s">
        <v>1544</v>
      </c>
      <c r="G835" s="15" t="str">
        <f>IFERROR(__xludf.DUMMYFUNCTION("""COMPUTED_VALUE"""),"GEOL 125 PO-01")</f>
        <v>GEOL 125 PO-01</v>
      </c>
    </row>
    <row r="836">
      <c r="A836" s="14" t="s">
        <v>1545</v>
      </c>
      <c r="C836" s="14" t="s">
        <v>1546</v>
      </c>
      <c r="G836" s="15" t="str">
        <f>IFERROR(__xludf.DUMMYFUNCTION("""COMPUTED_VALUE"""),"GEOL 127 PO-01")</f>
        <v>GEOL 127 PO-01</v>
      </c>
    </row>
    <row r="837">
      <c r="A837" s="14" t="s">
        <v>1547</v>
      </c>
      <c r="C837" s="14" t="s">
        <v>1548</v>
      </c>
      <c r="G837" s="15" t="str">
        <f>IFERROR(__xludf.DUMMYFUNCTION("""COMPUTED_VALUE"""),"GEOL 131 PO-01")</f>
        <v>GEOL 131 PO-01</v>
      </c>
    </row>
    <row r="838">
      <c r="A838" s="14" t="s">
        <v>1549</v>
      </c>
      <c r="C838" s="14" t="s">
        <v>1550</v>
      </c>
      <c r="G838" s="15" t="str">
        <f>IFERROR(__xludf.DUMMYFUNCTION("""COMPUTED_VALUE"""),"GEOL 189C PO-01")</f>
        <v>GEOL 189C PO-01</v>
      </c>
    </row>
    <row r="839">
      <c r="A839" s="14" t="s">
        <v>1551</v>
      </c>
      <c r="C839" s="14" t="s">
        <v>1552</v>
      </c>
      <c r="G839" s="15" t="str">
        <f>IFERROR(__xludf.DUMMYFUNCTION("""COMPUTED_VALUE"""),"GEOL 189D PO-01")</f>
        <v>GEOL 189D PO-01</v>
      </c>
    </row>
    <row r="840">
      <c r="A840" s="14" t="s">
        <v>1553</v>
      </c>
      <c r="C840" s="14" t="s">
        <v>1554</v>
      </c>
      <c r="G840" s="15" t="str">
        <f>IFERROR(__xludf.DUMMYFUNCTION("""COMPUTED_VALUE"""),"GEOL 192 PO-04")</f>
        <v>GEOL 192 PO-04</v>
      </c>
    </row>
    <row r="841">
      <c r="A841" s="14" t="s">
        <v>1555</v>
      </c>
      <c r="C841" s="14" t="s">
        <v>1554</v>
      </c>
      <c r="G841" s="15" t="str">
        <f>IFERROR(__xludf.DUMMYFUNCTION("""COMPUTED_VALUE"""),"GEOL 192 PO-08")</f>
        <v>GEOL 192 PO-08</v>
      </c>
    </row>
    <row r="842">
      <c r="A842" s="14" t="s">
        <v>1556</v>
      </c>
      <c r="C842" s="14" t="s">
        <v>1557</v>
      </c>
      <c r="G842" s="15" t="str">
        <f>IFERROR(__xludf.DUMMYFUNCTION("""COMPUTED_VALUE"""),"GERM 002 PO-01")</f>
        <v>GERM 002 PO-01</v>
      </c>
    </row>
    <row r="843">
      <c r="A843" s="14" t="s">
        <v>1558</v>
      </c>
      <c r="C843" s="14" t="s">
        <v>1559</v>
      </c>
      <c r="G843" s="15" t="str">
        <f>IFERROR(__xludf.DUMMYFUNCTION("""COMPUTED_VALUE"""),"GERM 010 PO-01")</f>
        <v>GERM 010 PO-01</v>
      </c>
    </row>
    <row r="844">
      <c r="A844" s="14" t="s">
        <v>1560</v>
      </c>
      <c r="C844" s="14" t="s">
        <v>1561</v>
      </c>
      <c r="G844" s="15" t="str">
        <f>IFERROR(__xludf.DUMMYFUNCTION("""COMPUTED_VALUE"""),"GERM 011 PO-01")</f>
        <v>GERM 011 PO-01</v>
      </c>
    </row>
    <row r="845">
      <c r="A845" s="14" t="s">
        <v>1562</v>
      </c>
      <c r="C845" s="14" t="s">
        <v>1563</v>
      </c>
      <c r="G845" s="15" t="str">
        <f>IFERROR(__xludf.DUMMYFUNCTION("""COMPUTED_VALUE"""),"GERM 013 PO-01")</f>
        <v>GERM 013 PO-01</v>
      </c>
    </row>
    <row r="846">
      <c r="A846" s="14" t="s">
        <v>1564</v>
      </c>
      <c r="C846" s="14" t="s">
        <v>1565</v>
      </c>
      <c r="G846" s="15" t="str">
        <f>IFERROR(__xludf.DUMMYFUNCTION("""COMPUTED_VALUE"""),"GERM 044 SC-01")</f>
        <v>GERM 044 SC-01</v>
      </c>
    </row>
    <row r="847">
      <c r="A847" s="14" t="s">
        <v>1566</v>
      </c>
      <c r="C847" s="14" t="s">
        <v>1567</v>
      </c>
      <c r="G847" s="15" t="str">
        <f>IFERROR(__xludf.DUMMYFUNCTION("""COMPUTED_VALUE"""),"GERM 103 PO-01")</f>
        <v>GERM 103 PO-01</v>
      </c>
    </row>
    <row r="848">
      <c r="A848" s="14" t="s">
        <v>1568</v>
      </c>
      <c r="C848" s="14" t="s">
        <v>1569</v>
      </c>
      <c r="G848" s="15" t="str">
        <f>IFERROR(__xludf.DUMMYFUNCTION("""COMPUTED_VALUE"""),"GERM 109 SC-01")</f>
        <v>GERM 109 SC-01</v>
      </c>
    </row>
    <row r="849">
      <c r="A849" s="14" t="s">
        <v>1570</v>
      </c>
      <c r="C849" s="14" t="s">
        <v>1571</v>
      </c>
      <c r="G849" s="15" t="str">
        <f>IFERROR(__xludf.DUMMYFUNCTION("""COMPUTED_VALUE"""),"GERM 191 PO-04")</f>
        <v>GERM 191 PO-04</v>
      </c>
    </row>
    <row r="850">
      <c r="A850" s="14" t="s">
        <v>1572</v>
      </c>
      <c r="C850" s="14" t="s">
        <v>1571</v>
      </c>
      <c r="G850" s="15" t="str">
        <f>IFERROR(__xludf.DUMMYFUNCTION("""COMPUTED_VALUE"""),"GERM 191 SC-01")</f>
        <v>GERM 191 SC-01</v>
      </c>
    </row>
    <row r="851">
      <c r="A851" s="14" t="s">
        <v>1573</v>
      </c>
      <c r="C851" s="14" t="s">
        <v>1574</v>
      </c>
      <c r="G851" s="15" t="str">
        <f>IFERROR(__xludf.DUMMYFUNCTION("""COMPUTED_VALUE"""),"GERM 193 PO-04")</f>
        <v>GERM 193 PO-04</v>
      </c>
    </row>
    <row r="852">
      <c r="A852" s="14" t="s">
        <v>1575</v>
      </c>
      <c r="C852" s="14" t="s">
        <v>1576</v>
      </c>
      <c r="G852" s="15" t="str">
        <f>IFERROR(__xludf.DUMMYFUNCTION("""COMPUTED_VALUE"""),"GLAS 180IO PZ-01")</f>
        <v>GLAS 180IO PZ-01</v>
      </c>
    </row>
    <row r="853">
      <c r="A853" s="14" t="s">
        <v>1577</v>
      </c>
      <c r="C853" s="14" t="s">
        <v>1578</v>
      </c>
      <c r="G853" s="15" t="str">
        <f>IFERROR(__xludf.DUMMYFUNCTION("""COMPUTED_VALUE"""),"GOVT 020 CM-01")</f>
        <v>GOVT 020 CM-01</v>
      </c>
    </row>
    <row r="854">
      <c r="A854" s="14" t="s">
        <v>1579</v>
      </c>
      <c r="C854" s="14" t="s">
        <v>1578</v>
      </c>
      <c r="G854" s="15" t="str">
        <f>IFERROR(__xludf.DUMMYFUNCTION("""COMPUTED_VALUE"""),"GOVT 020 CM-02")</f>
        <v>GOVT 020 CM-02</v>
      </c>
    </row>
    <row r="855">
      <c r="A855" s="14" t="s">
        <v>1580</v>
      </c>
      <c r="C855" s="14" t="s">
        <v>1578</v>
      </c>
      <c r="G855" s="15" t="str">
        <f>IFERROR(__xludf.DUMMYFUNCTION("""COMPUTED_VALUE"""),"GOVT 020 CM-03")</f>
        <v>GOVT 020 CM-03</v>
      </c>
    </row>
    <row r="856">
      <c r="A856" s="14" t="s">
        <v>1581</v>
      </c>
      <c r="C856" s="14" t="s">
        <v>1578</v>
      </c>
      <c r="G856" s="15" t="str">
        <f>IFERROR(__xludf.DUMMYFUNCTION("""COMPUTED_VALUE"""),"GOVT 020 CM-04")</f>
        <v>GOVT 020 CM-04</v>
      </c>
    </row>
    <row r="857">
      <c r="A857" s="14" t="s">
        <v>1582</v>
      </c>
      <c r="C857" s="14" t="s">
        <v>1578</v>
      </c>
      <c r="G857" s="15" t="str">
        <f>IFERROR(__xludf.DUMMYFUNCTION("""COMPUTED_VALUE"""),"GOVT 020 CM-05")</f>
        <v>GOVT 020 CM-05</v>
      </c>
    </row>
    <row r="858">
      <c r="A858" s="14" t="s">
        <v>1583</v>
      </c>
      <c r="C858" s="14" t="s">
        <v>1578</v>
      </c>
      <c r="G858" s="15" t="str">
        <f>IFERROR(__xludf.DUMMYFUNCTION("""COMPUTED_VALUE"""),"GOVT 020 CM-06")</f>
        <v>GOVT 020 CM-06</v>
      </c>
    </row>
    <row r="859">
      <c r="A859" s="14" t="s">
        <v>1584</v>
      </c>
      <c r="C859" s="14" t="s">
        <v>1578</v>
      </c>
      <c r="G859" s="15" t="str">
        <f>IFERROR(__xludf.DUMMYFUNCTION("""COMPUTED_VALUE"""),"GOVT 020 CM-07")</f>
        <v>GOVT 020 CM-07</v>
      </c>
    </row>
    <row r="860">
      <c r="A860" s="14" t="s">
        <v>1585</v>
      </c>
      <c r="C860" s="14" t="s">
        <v>1578</v>
      </c>
      <c r="G860" s="15" t="str">
        <f>IFERROR(__xludf.DUMMYFUNCTION("""COMPUTED_VALUE"""),"GOVT 020 CM-08")</f>
        <v>GOVT 020 CM-08</v>
      </c>
    </row>
    <row r="861">
      <c r="A861" s="14" t="s">
        <v>1586</v>
      </c>
      <c r="C861" s="14" t="s">
        <v>1578</v>
      </c>
      <c r="G861" s="15" t="str">
        <f>IFERROR(__xludf.DUMMYFUNCTION("""COMPUTED_VALUE"""),"GOVT 020 CM-09")</f>
        <v>GOVT 020 CM-09</v>
      </c>
    </row>
    <row r="862">
      <c r="A862" s="14" t="s">
        <v>1587</v>
      </c>
      <c r="C862" s="14" t="s">
        <v>1588</v>
      </c>
      <c r="G862" s="15" t="str">
        <f>IFERROR(__xludf.DUMMYFUNCTION("""COMPUTED_VALUE"""),"GOVT 041 CM-01")</f>
        <v>GOVT 041 CM-01</v>
      </c>
    </row>
    <row r="863">
      <c r="A863" s="14" t="s">
        <v>1589</v>
      </c>
      <c r="C863" s="14" t="s">
        <v>1590</v>
      </c>
      <c r="G863" s="15" t="str">
        <f>IFERROR(__xludf.DUMMYFUNCTION("""COMPUTED_VALUE"""),"GOVT 041B CM-01")</f>
        <v>GOVT 041B CM-01</v>
      </c>
    </row>
    <row r="864">
      <c r="A864" s="14" t="s">
        <v>1591</v>
      </c>
      <c r="C864" s="14" t="s">
        <v>1592</v>
      </c>
      <c r="G864" s="15" t="str">
        <f>IFERROR(__xludf.DUMMYFUNCTION("""COMPUTED_VALUE"""),"GOVT 050 CM-01")</f>
        <v>GOVT 050 CM-01</v>
      </c>
    </row>
    <row r="865">
      <c r="A865" s="14" t="s">
        <v>1593</v>
      </c>
      <c r="C865" s="14" t="s">
        <v>1594</v>
      </c>
      <c r="G865" s="15" t="str">
        <f>IFERROR(__xludf.DUMMYFUNCTION("""COMPUTED_VALUE"""),"GOVT 055 CM-01")</f>
        <v>GOVT 055 CM-01</v>
      </c>
    </row>
    <row r="866">
      <c r="A866" s="14" t="s">
        <v>1595</v>
      </c>
      <c r="C866" s="14" t="s">
        <v>1596</v>
      </c>
      <c r="G866" s="15" t="str">
        <f>IFERROR(__xludf.DUMMYFUNCTION("""COMPUTED_VALUE"""),"GOVT 060 CM-01")</f>
        <v>GOVT 060 CM-01</v>
      </c>
    </row>
    <row r="867">
      <c r="A867" s="14" t="s">
        <v>1597</v>
      </c>
      <c r="C867" s="14" t="s">
        <v>1596</v>
      </c>
      <c r="G867" s="15" t="str">
        <f>IFERROR(__xludf.DUMMYFUNCTION("""COMPUTED_VALUE"""),"GOVT 060 CM-02")</f>
        <v>GOVT 060 CM-02</v>
      </c>
    </row>
    <row r="868">
      <c r="A868" s="14" t="s">
        <v>1598</v>
      </c>
      <c r="C868" s="14" t="s">
        <v>1599</v>
      </c>
      <c r="G868" s="15" t="str">
        <f>IFERROR(__xludf.DUMMYFUNCTION("""COMPUTED_VALUE"""),"GOVT 065 CM-01")</f>
        <v>GOVT 065 CM-01</v>
      </c>
    </row>
    <row r="869">
      <c r="A869" s="14" t="s">
        <v>1600</v>
      </c>
      <c r="C869" s="14" t="s">
        <v>1601</v>
      </c>
      <c r="G869" s="15" t="str">
        <f>IFERROR(__xludf.DUMMYFUNCTION("""COMPUTED_VALUE"""),"GOVT 070 CM-01")</f>
        <v>GOVT 070 CM-01</v>
      </c>
    </row>
    <row r="870">
      <c r="A870" s="14" t="s">
        <v>1602</v>
      </c>
      <c r="C870" s="14" t="s">
        <v>1601</v>
      </c>
      <c r="G870" s="15" t="str">
        <f>IFERROR(__xludf.DUMMYFUNCTION("""COMPUTED_VALUE"""),"GOVT 070 CM-02")</f>
        <v>GOVT 070 CM-02</v>
      </c>
    </row>
    <row r="871">
      <c r="A871" s="14" t="s">
        <v>1603</v>
      </c>
      <c r="C871" s="14" t="s">
        <v>1604</v>
      </c>
      <c r="G871" s="15" t="str">
        <f>IFERROR(__xludf.DUMMYFUNCTION("""COMPUTED_VALUE"""),"GOVT 070H CM-01")</f>
        <v>GOVT 070H CM-01</v>
      </c>
    </row>
    <row r="872">
      <c r="A872" s="14" t="s">
        <v>1605</v>
      </c>
      <c r="C872" s="14" t="s">
        <v>1606</v>
      </c>
      <c r="G872" s="15" t="str">
        <f>IFERROR(__xludf.DUMMYFUNCTION("""COMPUTED_VALUE"""),"GOVT 071 CM-01")</f>
        <v>GOVT 071 CM-01</v>
      </c>
    </row>
    <row r="873">
      <c r="A873" s="14" t="s">
        <v>1607</v>
      </c>
      <c r="C873" s="14" t="s">
        <v>1608</v>
      </c>
      <c r="G873" s="15" t="str">
        <f>IFERROR(__xludf.DUMMYFUNCTION("""COMPUTED_VALUE"""),"GOVT 080 CM-01")</f>
        <v>GOVT 080 CM-01</v>
      </c>
    </row>
    <row r="874">
      <c r="A874" s="14" t="s">
        <v>1609</v>
      </c>
      <c r="C874" s="14" t="s">
        <v>1608</v>
      </c>
      <c r="G874" s="15" t="str">
        <f>IFERROR(__xludf.DUMMYFUNCTION("""COMPUTED_VALUE"""),"GOVT 080 CM-02")</f>
        <v>GOVT 080 CM-02</v>
      </c>
    </row>
    <row r="875">
      <c r="A875" s="14" t="s">
        <v>1610</v>
      </c>
      <c r="C875" s="14" t="s">
        <v>1611</v>
      </c>
      <c r="G875" s="15" t="str">
        <f>IFERROR(__xludf.DUMMYFUNCTION("""COMPUTED_VALUE"""),"GOVT 097 CM-01")</f>
        <v>GOVT 097 CM-01</v>
      </c>
    </row>
    <row r="876">
      <c r="A876" s="14" t="s">
        <v>1612</v>
      </c>
      <c r="C876" s="14" t="s">
        <v>1613</v>
      </c>
      <c r="G876" s="15" t="str">
        <f>IFERROR(__xludf.DUMMYFUNCTION("""COMPUTED_VALUE"""),"GOVT 100 CM-01")</f>
        <v>GOVT 100 CM-01</v>
      </c>
    </row>
    <row r="877">
      <c r="A877" s="14" t="s">
        <v>1614</v>
      </c>
      <c r="C877" s="14" t="s">
        <v>1615</v>
      </c>
      <c r="G877" s="15" t="str">
        <f>IFERROR(__xludf.DUMMYFUNCTION("""COMPUTED_VALUE"""),"GOVT 101 CM-01")</f>
        <v>GOVT 101 CM-01</v>
      </c>
    </row>
    <row r="878">
      <c r="A878" s="14" t="s">
        <v>1616</v>
      </c>
      <c r="C878" s="14" t="s">
        <v>1617</v>
      </c>
      <c r="G878" s="15" t="str">
        <f>IFERROR(__xludf.DUMMYFUNCTION("""COMPUTED_VALUE"""),"GOVT 110 CM-01")</f>
        <v>GOVT 110 CM-01</v>
      </c>
    </row>
    <row r="879">
      <c r="A879" s="14" t="s">
        <v>1618</v>
      </c>
      <c r="C879" s="14" t="s">
        <v>1619</v>
      </c>
      <c r="G879" s="15" t="str">
        <f>IFERROR(__xludf.DUMMYFUNCTION("""COMPUTED_VALUE"""),"GOVT 112A CM-01")</f>
        <v>GOVT 112A CM-01</v>
      </c>
    </row>
    <row r="880">
      <c r="A880" s="14" t="s">
        <v>1620</v>
      </c>
      <c r="C880" s="14" t="s">
        <v>1621</v>
      </c>
      <c r="G880" s="15" t="str">
        <f>IFERROR(__xludf.DUMMYFUNCTION("""COMPUTED_VALUE"""),"GOVT 117 CM-01")</f>
        <v>GOVT 117 CM-01</v>
      </c>
    </row>
    <row r="881">
      <c r="A881" s="14" t="s">
        <v>1622</v>
      </c>
      <c r="C881" s="14" t="s">
        <v>1623</v>
      </c>
      <c r="G881" s="15" t="str">
        <f>IFERROR(__xludf.DUMMYFUNCTION("""COMPUTED_VALUE"""),"GOVT 119 CM-01")</f>
        <v>GOVT 119 CM-01</v>
      </c>
    </row>
    <row r="882">
      <c r="A882" s="14" t="s">
        <v>1624</v>
      </c>
      <c r="C882" s="14" t="s">
        <v>1625</v>
      </c>
      <c r="G882" s="15" t="str">
        <f>IFERROR(__xludf.DUMMYFUNCTION("""COMPUTED_VALUE"""),"GOVT 124A CM-01")</f>
        <v>GOVT 124A CM-01</v>
      </c>
    </row>
    <row r="883">
      <c r="A883" s="14" t="s">
        <v>1626</v>
      </c>
      <c r="C883" s="14" t="s">
        <v>1627</v>
      </c>
      <c r="G883" s="15" t="str">
        <f>IFERROR(__xludf.DUMMYFUNCTION("""COMPUTED_VALUE"""),"GOVT 128 JT-01")</f>
        <v>GOVT 128 JT-01</v>
      </c>
    </row>
    <row r="884">
      <c r="A884" s="14" t="s">
        <v>1628</v>
      </c>
      <c r="C884" s="14" t="s">
        <v>1629</v>
      </c>
      <c r="G884" s="15" t="str">
        <f>IFERROR(__xludf.DUMMYFUNCTION("""COMPUTED_VALUE"""),"GOVT 131 CM-01")</f>
        <v>GOVT 131 CM-01</v>
      </c>
    </row>
    <row r="885">
      <c r="A885" s="14" t="s">
        <v>1630</v>
      </c>
      <c r="C885" s="14" t="s">
        <v>1631</v>
      </c>
      <c r="G885" s="15" t="str">
        <f>IFERROR(__xludf.DUMMYFUNCTION("""COMPUTED_VALUE"""),"GOVT 137B CM-01")</f>
        <v>GOVT 137B CM-01</v>
      </c>
    </row>
    <row r="886">
      <c r="A886" s="14" t="s">
        <v>1632</v>
      </c>
      <c r="C886" s="14" t="s">
        <v>1633</v>
      </c>
      <c r="G886" s="15" t="str">
        <f>IFERROR(__xludf.DUMMYFUNCTION("""COMPUTED_VALUE"""),"GOVT 140 CM-01")</f>
        <v>GOVT 140 CM-01</v>
      </c>
    </row>
    <row r="887">
      <c r="A887" s="14" t="s">
        <v>1634</v>
      </c>
      <c r="C887" s="14" t="s">
        <v>1635</v>
      </c>
      <c r="G887" s="15" t="str">
        <f>IFERROR(__xludf.DUMMYFUNCTION("""COMPUTED_VALUE"""),"GOVT 142 CM-01")</f>
        <v>GOVT 142 CM-01</v>
      </c>
    </row>
    <row r="888">
      <c r="A888" s="14" t="s">
        <v>1636</v>
      </c>
      <c r="C888" s="14" t="s">
        <v>1637</v>
      </c>
      <c r="G888" s="15" t="str">
        <f>IFERROR(__xludf.DUMMYFUNCTION("""COMPUTED_VALUE"""),"GOVT 142C CM-01")</f>
        <v>GOVT 142C CM-01</v>
      </c>
    </row>
    <row r="889">
      <c r="A889" s="14" t="s">
        <v>1638</v>
      </c>
      <c r="C889" s="14" t="s">
        <v>1639</v>
      </c>
      <c r="G889" s="15" t="str">
        <f>IFERROR(__xludf.DUMMYFUNCTION("""COMPUTED_VALUE"""),"GOVT 143C CM-01")</f>
        <v>GOVT 143C CM-01</v>
      </c>
    </row>
    <row r="890">
      <c r="A890" s="14" t="s">
        <v>1640</v>
      </c>
      <c r="C890" s="14" t="s">
        <v>1639</v>
      </c>
      <c r="G890" s="15" t="str">
        <f>IFERROR(__xludf.DUMMYFUNCTION("""COMPUTED_VALUE"""),"GOVT 143C CM-02")</f>
        <v>GOVT 143C CM-02</v>
      </c>
    </row>
    <row r="891">
      <c r="A891" s="14" t="s">
        <v>1641</v>
      </c>
      <c r="C891" s="14" t="s">
        <v>1642</v>
      </c>
      <c r="G891" s="15" t="str">
        <f>IFERROR(__xludf.DUMMYFUNCTION("""COMPUTED_VALUE"""),"GOVT 147 CM-01")</f>
        <v>GOVT 147 CM-01</v>
      </c>
    </row>
    <row r="892">
      <c r="A892" s="14" t="s">
        <v>1643</v>
      </c>
      <c r="C892" s="14" t="s">
        <v>1644</v>
      </c>
      <c r="G892" s="15" t="str">
        <f>IFERROR(__xludf.DUMMYFUNCTION("""COMPUTED_VALUE"""),"GOVT 148 CM-01")</f>
        <v>GOVT 148 CM-01</v>
      </c>
    </row>
    <row r="893">
      <c r="A893" s="14" t="s">
        <v>1645</v>
      </c>
      <c r="C893" s="14" t="s">
        <v>1646</v>
      </c>
      <c r="G893" s="15" t="str">
        <f>IFERROR(__xludf.DUMMYFUNCTION("""COMPUTED_VALUE"""),"GOVT 149 CM-01")</f>
        <v>GOVT 149 CM-01</v>
      </c>
    </row>
    <row r="894">
      <c r="A894" s="14" t="s">
        <v>1647</v>
      </c>
      <c r="C894" s="14" t="s">
        <v>1646</v>
      </c>
      <c r="G894" s="15" t="str">
        <f>IFERROR(__xludf.DUMMYFUNCTION("""COMPUTED_VALUE"""),"GOVT 149 CM-02")</f>
        <v>GOVT 149 CM-02</v>
      </c>
    </row>
    <row r="895">
      <c r="A895" s="14" t="s">
        <v>1648</v>
      </c>
      <c r="C895" s="14" t="s">
        <v>1649</v>
      </c>
      <c r="G895" s="15" t="str">
        <f>IFERROR(__xludf.DUMMYFUNCTION("""COMPUTED_VALUE"""),"GOVT 155 CM-01")</f>
        <v>GOVT 155 CM-01</v>
      </c>
    </row>
    <row r="896">
      <c r="A896" s="14" t="s">
        <v>1650</v>
      </c>
      <c r="C896" s="14" t="s">
        <v>1651</v>
      </c>
      <c r="G896" s="15" t="str">
        <f>IFERROR(__xludf.DUMMYFUNCTION("""COMPUTED_VALUE"""),"GOVT 156E CM-01")</f>
        <v>GOVT 156E CM-01</v>
      </c>
    </row>
    <row r="897">
      <c r="A897" s="14" t="s">
        <v>1652</v>
      </c>
      <c r="C897" s="14" t="s">
        <v>1653</v>
      </c>
      <c r="G897" s="15" t="str">
        <f>IFERROR(__xludf.DUMMYFUNCTION("""COMPUTED_VALUE"""),"GOVT 157S CM-01")</f>
        <v>GOVT 157S CM-01</v>
      </c>
    </row>
    <row r="898">
      <c r="A898" s="14" t="s">
        <v>1654</v>
      </c>
      <c r="C898" s="14" t="s">
        <v>1655</v>
      </c>
      <c r="G898" s="15" t="str">
        <f>IFERROR(__xludf.DUMMYFUNCTION("""COMPUTED_VALUE"""),"GOVT 157SB CM-01")</f>
        <v>GOVT 157SB CM-01</v>
      </c>
    </row>
    <row r="899">
      <c r="A899" s="14" t="s">
        <v>1656</v>
      </c>
      <c r="C899" s="14" t="s">
        <v>1657</v>
      </c>
      <c r="G899" s="15" t="str">
        <f>IFERROR(__xludf.DUMMYFUNCTION("""COMPUTED_VALUE"""),"GOVT 166 CM-01")</f>
        <v>GOVT 166 CM-01</v>
      </c>
    </row>
    <row r="900">
      <c r="A900" s="14" t="s">
        <v>1658</v>
      </c>
      <c r="C900" s="14" t="s">
        <v>1659</v>
      </c>
      <c r="G900" s="15" t="str">
        <f>IFERROR(__xludf.DUMMYFUNCTION("""COMPUTED_VALUE"""),"GOVT 172 CM-01")</f>
        <v>GOVT 172 CM-01</v>
      </c>
    </row>
    <row r="901">
      <c r="A901" s="14" t="s">
        <v>1660</v>
      </c>
      <c r="C901" s="14" t="s">
        <v>1661</v>
      </c>
      <c r="G901" s="15" t="str">
        <f>IFERROR(__xludf.DUMMYFUNCTION("""COMPUTED_VALUE"""),"GOVT 191 CM-01")</f>
        <v>GOVT 191 CM-01</v>
      </c>
    </row>
    <row r="902">
      <c r="A902" s="14" t="s">
        <v>1662</v>
      </c>
      <c r="C902" s="14" t="s">
        <v>1663</v>
      </c>
      <c r="G902" s="15" t="str">
        <f>IFERROR(__xludf.DUMMYFUNCTION("""COMPUTED_VALUE"""),"GOVT 192 CM-01")</f>
        <v>GOVT 192 CM-01</v>
      </c>
    </row>
    <row r="903">
      <c r="A903" s="14" t="s">
        <v>1664</v>
      </c>
      <c r="C903" s="14" t="s">
        <v>1665</v>
      </c>
      <c r="G903" s="15" t="str">
        <f>IFERROR(__xludf.DUMMYFUNCTION("""COMPUTED_VALUE"""),"GOVT 999 CM-01")</f>
        <v>GOVT 999 CM-01</v>
      </c>
    </row>
    <row r="904">
      <c r="A904" s="14" t="s">
        <v>1666</v>
      </c>
      <c r="C904" s="14" t="s">
        <v>1665</v>
      </c>
      <c r="G904" s="15" t="str">
        <f>IFERROR(__xludf.DUMMYFUNCTION("""COMPUTED_VALUE"""),"GOVT 999 CM-02")</f>
        <v>GOVT 999 CM-02</v>
      </c>
    </row>
    <row r="905">
      <c r="A905" s="14" t="s">
        <v>1667</v>
      </c>
      <c r="C905" s="14" t="s">
        <v>1668</v>
      </c>
      <c r="G905" s="15" t="str">
        <f>IFERROR(__xludf.DUMMYFUNCTION("""COMPUTED_VALUE"""),"GREK 022 PO-01")</f>
        <v>GREK 022 PO-01</v>
      </c>
    </row>
    <row r="906">
      <c r="A906" s="14" t="s">
        <v>1669</v>
      </c>
      <c r="C906" s="14" t="s">
        <v>1670</v>
      </c>
      <c r="G906" s="15" t="str">
        <f>IFERROR(__xludf.DUMMYFUNCTION("""COMPUTED_VALUE"""),"GREK 033 SC-01")</f>
        <v>GREK 033 SC-01</v>
      </c>
    </row>
    <row r="907">
      <c r="A907" s="14" t="s">
        <v>1671</v>
      </c>
      <c r="C907" s="14" t="s">
        <v>1672</v>
      </c>
      <c r="G907" s="15" t="str">
        <f>IFERROR(__xludf.DUMMYFUNCTION("""COMPUTED_VALUE"""),"GREK 044 SC-01")</f>
        <v>GREK 044 SC-01</v>
      </c>
    </row>
    <row r="908">
      <c r="A908" s="14" t="s">
        <v>1673</v>
      </c>
      <c r="C908" s="14" t="s">
        <v>1674</v>
      </c>
      <c r="G908" s="15" t="str">
        <f>IFERROR(__xludf.DUMMYFUNCTION("""COMPUTED_VALUE"""),"GREK 104 PO-01")</f>
        <v>GREK 104 PO-01</v>
      </c>
    </row>
    <row r="909">
      <c r="A909" s="14" t="s">
        <v>1675</v>
      </c>
      <c r="C909" s="14" t="s">
        <v>1676</v>
      </c>
      <c r="G909" s="15" t="str">
        <f>IFERROR(__xludf.DUMMYFUNCTION("""COMPUTED_VALUE"""),"GRMT 014 PO-01")</f>
        <v>GRMT 014 PO-01</v>
      </c>
    </row>
    <row r="910">
      <c r="A910" s="14" t="s">
        <v>1677</v>
      </c>
      <c r="C910" s="14" t="s">
        <v>1678</v>
      </c>
      <c r="G910" s="15" t="str">
        <f>IFERROR(__xludf.DUMMYFUNCTION("""COMPUTED_VALUE"""),"GRMT 102 SC-01")</f>
        <v>GRMT 102 SC-01</v>
      </c>
    </row>
    <row r="911">
      <c r="A911" s="14" t="s">
        <v>1679</v>
      </c>
      <c r="C911" s="14" t="s">
        <v>1680</v>
      </c>
      <c r="G911" s="15" t="str">
        <f>IFERROR(__xludf.DUMMYFUNCTION("""COMPUTED_VALUE"""),"GRMT 114 SC-01")</f>
        <v>GRMT 114 SC-01</v>
      </c>
    </row>
    <row r="912">
      <c r="A912" s="14" t="s">
        <v>1681</v>
      </c>
      <c r="C912" s="14" t="s">
        <v>1682</v>
      </c>
      <c r="G912" s="15" t="str">
        <f>IFERROR(__xludf.DUMMYFUNCTION("""COMPUTED_VALUE"""),"GWS 026 PO-01")</f>
        <v>GWS 026 PO-01</v>
      </c>
    </row>
    <row r="913">
      <c r="A913" s="14" t="s">
        <v>1683</v>
      </c>
      <c r="C913" s="14" t="s">
        <v>1682</v>
      </c>
      <c r="G913" s="15" t="str">
        <f>IFERROR(__xludf.DUMMYFUNCTION("""COMPUTED_VALUE"""),"GWS 026 PO-02")</f>
        <v>GWS 026 PO-02</v>
      </c>
    </row>
    <row r="914">
      <c r="A914" s="14" t="s">
        <v>1684</v>
      </c>
      <c r="C914" s="14" t="s">
        <v>1682</v>
      </c>
      <c r="G914" s="15" t="str">
        <f>IFERROR(__xludf.DUMMYFUNCTION("""COMPUTED_VALUE"""),"GWS 026 PO-03")</f>
        <v>GWS 026 PO-03</v>
      </c>
    </row>
    <row r="915">
      <c r="A915" s="14" t="s">
        <v>1685</v>
      </c>
      <c r="C915" s="14" t="s">
        <v>1686</v>
      </c>
      <c r="G915" s="15" t="str">
        <f>IFERROR(__xludf.DUMMYFUNCTION("""COMPUTED_VALUE"""),"GWS 172 PO-01")</f>
        <v>GWS 172 PO-01</v>
      </c>
    </row>
    <row r="916">
      <c r="A916" s="14" t="s">
        <v>1687</v>
      </c>
      <c r="C916" s="14" t="s">
        <v>1688</v>
      </c>
      <c r="G916" s="15" t="str">
        <f>IFERROR(__xludf.DUMMYFUNCTION("""COMPUTED_VALUE"""),"GWS 182 PO-01")</f>
        <v>GWS 182 PO-01</v>
      </c>
    </row>
    <row r="917">
      <c r="A917" s="14" t="s">
        <v>1689</v>
      </c>
      <c r="C917" s="14" t="s">
        <v>1690</v>
      </c>
      <c r="G917" s="15" t="str">
        <f>IFERROR(__xludf.DUMMYFUNCTION("""COMPUTED_VALUE"""),"GWS 186 PO-01")</f>
        <v>GWS 186 PO-01</v>
      </c>
    </row>
    <row r="918">
      <c r="A918" s="14" t="s">
        <v>1691</v>
      </c>
      <c r="C918" s="14" t="s">
        <v>1692</v>
      </c>
      <c r="G918" s="15" t="str">
        <f>IFERROR(__xludf.DUMMYFUNCTION("""COMPUTED_VALUE"""),"GWS 191 PO-04")</f>
        <v>GWS 191 PO-04</v>
      </c>
    </row>
    <row r="919">
      <c r="A919" s="14" t="s">
        <v>1693</v>
      </c>
      <c r="C919" s="14" t="s">
        <v>1694</v>
      </c>
      <c r="G919" s="15" t="str">
        <f>IFERROR(__xludf.DUMMYFUNCTION("""COMPUTED_VALUE"""),"HIST 011 PO-01")</f>
        <v>HIST 011 PO-01</v>
      </c>
    </row>
    <row r="920">
      <c r="A920" s="14" t="s">
        <v>1695</v>
      </c>
      <c r="C920" s="14" t="s">
        <v>1696</v>
      </c>
      <c r="G920" s="15" t="str">
        <f>IFERROR(__xludf.DUMMYFUNCTION("""COMPUTED_VALUE"""),"HIST 021 PO-01")</f>
        <v>HIST 021 PO-01</v>
      </c>
    </row>
    <row r="921">
      <c r="A921" s="14" t="s">
        <v>1697</v>
      </c>
      <c r="C921" s="14" t="s">
        <v>1698</v>
      </c>
      <c r="G921" s="15" t="str">
        <f>IFERROR(__xludf.DUMMYFUNCTION("""COMPUTED_VALUE"""),"HIST 024 PO-01")</f>
        <v>HIST 024 PO-01</v>
      </c>
    </row>
    <row r="922">
      <c r="A922" s="14" t="s">
        <v>1699</v>
      </c>
      <c r="C922" s="14" t="s">
        <v>1700</v>
      </c>
      <c r="G922" s="15" t="str">
        <f>IFERROR(__xludf.DUMMYFUNCTION("""COMPUTED_VALUE"""),"HIST 032 CH-01")</f>
        <v>HIST 032 CH-01</v>
      </c>
    </row>
    <row r="923">
      <c r="A923" s="14" t="s">
        <v>1701</v>
      </c>
      <c r="C923" s="14" t="s">
        <v>1702</v>
      </c>
      <c r="G923" s="15" t="str">
        <f>IFERROR(__xludf.DUMMYFUNCTION("""COMPUTED_VALUE"""),"HIST 041 AF-01")</f>
        <v>HIST 041 AF-01</v>
      </c>
    </row>
    <row r="924">
      <c r="A924" s="14" t="s">
        <v>1703</v>
      </c>
      <c r="C924" s="14" t="s">
        <v>1704</v>
      </c>
      <c r="G924" s="15" t="str">
        <f>IFERROR(__xludf.DUMMYFUNCTION("""COMPUTED_VALUE"""),"HIST 043 PO-01")</f>
        <v>HIST 043 PO-01</v>
      </c>
    </row>
    <row r="925">
      <c r="A925" s="14" t="s">
        <v>1705</v>
      </c>
      <c r="C925" s="14" t="s">
        <v>1706</v>
      </c>
      <c r="G925" s="15" t="str">
        <f>IFERROR(__xludf.DUMMYFUNCTION("""COMPUTED_VALUE"""),"HIST 048 SC-01")</f>
        <v>HIST 048 SC-01</v>
      </c>
    </row>
    <row r="926">
      <c r="A926" s="14" t="s">
        <v>1707</v>
      </c>
      <c r="C926" s="14" t="s">
        <v>1708</v>
      </c>
      <c r="G926" s="15" t="str">
        <f>IFERROR(__xludf.DUMMYFUNCTION("""COMPUTED_VALUE"""),"HIST 050B AF-01")</f>
        <v>HIST 050B AF-01</v>
      </c>
    </row>
    <row r="927">
      <c r="A927" s="14" t="s">
        <v>1709</v>
      </c>
      <c r="C927" s="14" t="s">
        <v>1710</v>
      </c>
      <c r="G927" s="15" t="str">
        <f>IFERROR(__xludf.DUMMYFUNCTION("""COMPUTED_VALUE"""),"HIST 060 PO-01")</f>
        <v>HIST 060 PO-01</v>
      </c>
    </row>
    <row r="928">
      <c r="A928" s="14" t="s">
        <v>1711</v>
      </c>
      <c r="C928" s="14" t="s">
        <v>1710</v>
      </c>
      <c r="G928" s="15" t="str">
        <f>IFERROR(__xludf.DUMMYFUNCTION("""COMPUTED_VALUE"""),"HIST 060 PZ-01")</f>
        <v>HIST 060 PZ-01</v>
      </c>
    </row>
    <row r="929">
      <c r="A929" s="14" t="s">
        <v>1712</v>
      </c>
      <c r="C929" s="14" t="s">
        <v>1713</v>
      </c>
      <c r="G929" s="15" t="str">
        <f>IFERROR(__xludf.DUMMYFUNCTION("""COMPUTED_VALUE"""),"HIST 062 PO-01")</f>
        <v>HIST 062 PO-01</v>
      </c>
    </row>
    <row r="930">
      <c r="A930" s="14" t="s">
        <v>1714</v>
      </c>
      <c r="C930" s="14" t="s">
        <v>1715</v>
      </c>
      <c r="G930" s="15" t="str">
        <f>IFERROR(__xludf.DUMMYFUNCTION("""COMPUTED_VALUE"""),"HIST 066 PZ-01")</f>
        <v>HIST 066 PZ-01</v>
      </c>
    </row>
    <row r="931">
      <c r="A931" s="14" t="s">
        <v>1716</v>
      </c>
      <c r="C931" s="14" t="s">
        <v>1717</v>
      </c>
      <c r="G931" s="15" t="str">
        <f>IFERROR(__xludf.DUMMYFUNCTION("""COMPUTED_VALUE"""),"HIST 067 PZ-01")</f>
        <v>HIST 067 PZ-01</v>
      </c>
    </row>
    <row r="932">
      <c r="A932" s="14" t="s">
        <v>1718</v>
      </c>
      <c r="C932" s="14" t="s">
        <v>1719</v>
      </c>
      <c r="G932" s="15" t="str">
        <f>IFERROR(__xludf.DUMMYFUNCTION("""COMPUTED_VALUE"""),"HIST 071 PO-01")</f>
        <v>HIST 071 PO-01</v>
      </c>
    </row>
    <row r="933">
      <c r="A933" s="14" t="s">
        <v>1720</v>
      </c>
      <c r="C933" s="14" t="s">
        <v>1721</v>
      </c>
      <c r="G933" s="15" t="str">
        <f>IFERROR(__xludf.DUMMYFUNCTION("""COMPUTED_VALUE"""),"HIST 089A PO-01")</f>
        <v>HIST 089A PO-01</v>
      </c>
    </row>
    <row r="934">
      <c r="A934" s="14" t="s">
        <v>1722</v>
      </c>
      <c r="C934" s="14" t="s">
        <v>1723</v>
      </c>
      <c r="G934" s="15" t="str">
        <f>IFERROR(__xludf.DUMMYFUNCTION("""COMPUTED_VALUE"""),"HIST 096 CM-01")</f>
        <v>HIST 096 CM-01</v>
      </c>
    </row>
    <row r="935">
      <c r="A935" s="14" t="s">
        <v>1724</v>
      </c>
      <c r="C935" s="14" t="s">
        <v>1723</v>
      </c>
      <c r="G935" s="15" t="str">
        <f>IFERROR(__xludf.DUMMYFUNCTION("""COMPUTED_VALUE"""),"HIST 096 CM-02")</f>
        <v>HIST 096 CM-02</v>
      </c>
    </row>
    <row r="936">
      <c r="A936" s="14" t="s">
        <v>1725</v>
      </c>
      <c r="C936" s="14" t="s">
        <v>1726</v>
      </c>
      <c r="G936" s="15" t="str">
        <f>IFERROR(__xludf.DUMMYFUNCTION("""COMPUTED_VALUE"""),"HIST 098 PZ-01")</f>
        <v>HIST 098 PZ-01</v>
      </c>
    </row>
    <row r="937">
      <c r="A937" s="14" t="s">
        <v>1727</v>
      </c>
      <c r="C937" s="14" t="s">
        <v>1728</v>
      </c>
      <c r="G937" s="15" t="str">
        <f>IFERROR(__xludf.DUMMYFUNCTION("""COMPUTED_VALUE"""),"HIST 101 CM-01")</f>
        <v>HIST 101 CM-01</v>
      </c>
    </row>
    <row r="938">
      <c r="A938" s="14" t="s">
        <v>1729</v>
      </c>
      <c r="C938" s="14" t="s">
        <v>1728</v>
      </c>
      <c r="G938" s="15" t="str">
        <f>IFERROR(__xludf.DUMMYFUNCTION("""COMPUTED_VALUE"""),"HIST 101 CM-02")</f>
        <v>HIST 101 CM-02</v>
      </c>
    </row>
    <row r="939">
      <c r="A939" s="14" t="s">
        <v>1730</v>
      </c>
      <c r="C939" s="14" t="s">
        <v>1731</v>
      </c>
      <c r="G939" s="15" t="str">
        <f>IFERROR(__xludf.DUMMYFUNCTION("""COMPUTED_VALUE"""),"HIST 101A PO-01")</f>
        <v>HIST 101A PO-01</v>
      </c>
    </row>
    <row r="940">
      <c r="A940" s="14" t="s">
        <v>1732</v>
      </c>
      <c r="C940" s="14" t="s">
        <v>1733</v>
      </c>
      <c r="G940" s="15" t="str">
        <f>IFERROR(__xludf.DUMMYFUNCTION("""COMPUTED_VALUE"""),"HIST 101Q PO-01")</f>
        <v>HIST 101Q PO-01</v>
      </c>
    </row>
    <row r="941">
      <c r="A941" s="14" t="s">
        <v>1734</v>
      </c>
      <c r="C941" s="14" t="s">
        <v>1735</v>
      </c>
      <c r="G941" s="15" t="str">
        <f>IFERROR(__xludf.DUMMYFUNCTION("""COMPUTED_VALUE"""),"HIST 101S CH-01")</f>
        <v>HIST 101S CH-01</v>
      </c>
    </row>
    <row r="942">
      <c r="A942" s="14" t="s">
        <v>1736</v>
      </c>
      <c r="C942" s="14" t="s">
        <v>1737</v>
      </c>
      <c r="G942" s="15" t="str">
        <f>IFERROR(__xludf.DUMMYFUNCTION("""COMPUTED_VALUE"""),"HIST 101W PO-01")</f>
        <v>HIST 101W PO-01</v>
      </c>
    </row>
    <row r="943">
      <c r="A943" s="14" t="s">
        <v>1738</v>
      </c>
      <c r="C943" s="14" t="s">
        <v>1739</v>
      </c>
      <c r="G943" s="15" t="str">
        <f>IFERROR(__xludf.DUMMYFUNCTION("""COMPUTED_VALUE"""),"HIST 112 PZ-01")</f>
        <v>HIST 112 PZ-01</v>
      </c>
    </row>
    <row r="944">
      <c r="A944" s="14" t="s">
        <v>1740</v>
      </c>
      <c r="C944" s="14" t="s">
        <v>1741</v>
      </c>
      <c r="G944" s="15" t="str">
        <f>IFERROR(__xludf.DUMMYFUNCTION("""COMPUTED_VALUE"""),"HIST 113 SC-01")</f>
        <v>HIST 113 SC-01</v>
      </c>
    </row>
    <row r="945">
      <c r="A945" s="14" t="s">
        <v>1742</v>
      </c>
      <c r="C945" s="14" t="s">
        <v>1743</v>
      </c>
      <c r="G945" s="15" t="str">
        <f>IFERROR(__xludf.DUMMYFUNCTION("""COMPUTED_VALUE"""),"HIST 120 CM-01")</f>
        <v>HIST 120 CM-01</v>
      </c>
    </row>
    <row r="946">
      <c r="A946" s="14" t="s">
        <v>1744</v>
      </c>
      <c r="C946" s="14" t="s">
        <v>1743</v>
      </c>
      <c r="G946" s="15" t="str">
        <f>IFERROR(__xludf.DUMMYFUNCTION("""COMPUTED_VALUE"""),"HIST 120 CM-02")</f>
        <v>HIST 120 CM-02</v>
      </c>
    </row>
    <row r="947">
      <c r="A947" s="14" t="s">
        <v>1745</v>
      </c>
      <c r="C947" s="14" t="s">
        <v>1746</v>
      </c>
      <c r="G947" s="15" t="str">
        <f>IFERROR(__xludf.DUMMYFUNCTION("""COMPUTED_VALUE"""),"HIST 122 CM-01")</f>
        <v>HIST 122 CM-01</v>
      </c>
    </row>
    <row r="948">
      <c r="A948" s="14" t="s">
        <v>1747</v>
      </c>
      <c r="C948" s="14" t="s">
        <v>1746</v>
      </c>
      <c r="G948" s="15" t="str">
        <f>IFERROR(__xludf.DUMMYFUNCTION("""COMPUTED_VALUE"""),"HIST 122 CM-02")</f>
        <v>HIST 122 CM-02</v>
      </c>
    </row>
    <row r="949">
      <c r="A949" s="14" t="s">
        <v>1748</v>
      </c>
      <c r="C949" s="14" t="s">
        <v>1749</v>
      </c>
      <c r="G949" s="15" t="str">
        <f>IFERROR(__xludf.DUMMYFUNCTION("""COMPUTED_VALUE"""),"HIST 127 CH-01")</f>
        <v>HIST 127 CH-01</v>
      </c>
    </row>
    <row r="950">
      <c r="A950" s="14" t="s">
        <v>1750</v>
      </c>
      <c r="C950" s="14" t="s">
        <v>1749</v>
      </c>
      <c r="G950" s="15" t="str">
        <f>IFERROR(__xludf.DUMMYFUNCTION("""COMPUTED_VALUE"""),"HIST 127 SC-01")</f>
        <v>HIST 127 SC-01</v>
      </c>
    </row>
    <row r="951">
      <c r="A951" s="14" t="s">
        <v>1751</v>
      </c>
      <c r="C951" s="14" t="s">
        <v>1752</v>
      </c>
      <c r="G951" s="15" t="str">
        <f>IFERROR(__xludf.DUMMYFUNCTION("""COMPUTED_VALUE"""),"HIST 130 CH-01")</f>
        <v>HIST 130 CH-01</v>
      </c>
    </row>
    <row r="952">
      <c r="A952" s="14" t="s">
        <v>1753</v>
      </c>
      <c r="C952" s="14" t="s">
        <v>1752</v>
      </c>
      <c r="G952" s="15" t="str">
        <f>IFERROR(__xludf.DUMMYFUNCTION("""COMPUTED_VALUE"""),"HIST 130 PZ-01")</f>
        <v>HIST 130 PZ-01</v>
      </c>
    </row>
    <row r="953">
      <c r="A953" s="14" t="s">
        <v>1754</v>
      </c>
      <c r="C953" s="14" t="s">
        <v>1755</v>
      </c>
      <c r="G953" s="15" t="str">
        <f>IFERROR(__xludf.DUMMYFUNCTION("""COMPUTED_VALUE"""),"HIST 140 AF-01")</f>
        <v>HIST 140 AF-01</v>
      </c>
    </row>
    <row r="954">
      <c r="A954" s="14" t="s">
        <v>1756</v>
      </c>
      <c r="C954" s="14" t="s">
        <v>1755</v>
      </c>
      <c r="G954" s="15" t="str">
        <f>IFERROR(__xludf.DUMMYFUNCTION("""COMPUTED_VALUE"""),"HIST 140 CM-01")</f>
        <v>HIST 140 CM-01</v>
      </c>
    </row>
    <row r="955">
      <c r="A955" s="14" t="s">
        <v>1757</v>
      </c>
      <c r="C955" s="14" t="s">
        <v>1758</v>
      </c>
      <c r="G955" s="15" t="str">
        <f>IFERROR(__xludf.DUMMYFUNCTION("""COMPUTED_VALUE"""),"HIST 141 SC-01")</f>
        <v>HIST 141 SC-01</v>
      </c>
    </row>
    <row r="956">
      <c r="A956" s="14" t="s">
        <v>1759</v>
      </c>
      <c r="C956" s="14" t="s">
        <v>1760</v>
      </c>
      <c r="G956" s="15" t="str">
        <f>IFERROR(__xludf.DUMMYFUNCTION("""COMPUTED_VALUE"""),"HIST 148A PZ-01")</f>
        <v>HIST 148A PZ-01</v>
      </c>
    </row>
    <row r="957">
      <c r="A957" s="14" t="s">
        <v>1761</v>
      </c>
      <c r="C957" s="14" t="s">
        <v>1762</v>
      </c>
      <c r="G957" s="15" t="str">
        <f>IFERROR(__xludf.DUMMYFUNCTION("""COMPUTED_VALUE"""),"HIST 152 HM-01")</f>
        <v>HIST 152 HM-01</v>
      </c>
    </row>
    <row r="958">
      <c r="A958" s="14" t="s">
        <v>1763</v>
      </c>
      <c r="C958" s="14" t="s">
        <v>1764</v>
      </c>
      <c r="G958" s="15" t="str">
        <f>IFERROR(__xludf.DUMMYFUNCTION("""COMPUTED_VALUE"""),"HIST 153 AF-01")</f>
        <v>HIST 153 AF-01</v>
      </c>
    </row>
    <row r="959">
      <c r="A959" s="14" t="s">
        <v>1765</v>
      </c>
      <c r="C959" s="14" t="s">
        <v>1766</v>
      </c>
      <c r="G959" s="15" t="str">
        <f>IFERROR(__xludf.DUMMYFUNCTION("""COMPUTED_VALUE"""),"HIST 155 SC-01")</f>
        <v>HIST 155 SC-01</v>
      </c>
    </row>
    <row r="960">
      <c r="A960" s="14" t="s">
        <v>1767</v>
      </c>
      <c r="C960" s="14" t="s">
        <v>1768</v>
      </c>
      <c r="G960" s="15" t="str">
        <f>IFERROR(__xludf.DUMMYFUNCTION("""COMPUTED_VALUE"""),"HIST 161 CM-01")</f>
        <v>HIST 161 CM-01</v>
      </c>
    </row>
    <row r="961">
      <c r="A961" s="14" t="s">
        <v>1769</v>
      </c>
      <c r="C961" s="14" t="s">
        <v>1770</v>
      </c>
      <c r="G961" s="15" t="str">
        <f>IFERROR(__xludf.DUMMYFUNCTION("""COMPUTED_VALUE"""),"HIST 162 PZ-01")</f>
        <v>HIST 162 PZ-01</v>
      </c>
    </row>
    <row r="962">
      <c r="A962" s="14" t="s">
        <v>1771</v>
      </c>
      <c r="C962" s="14" t="s">
        <v>1772</v>
      </c>
      <c r="G962" s="15" t="str">
        <f>IFERROR(__xludf.DUMMYFUNCTION("""COMPUTED_VALUE"""),"HIST 169 SC-01")</f>
        <v>HIST 169 SC-01</v>
      </c>
    </row>
    <row r="963">
      <c r="A963" s="14" t="s">
        <v>1773</v>
      </c>
      <c r="C963" s="14" t="s">
        <v>1774</v>
      </c>
      <c r="G963" s="15" t="str">
        <f>IFERROR(__xludf.DUMMYFUNCTION("""COMPUTED_VALUE"""),"HIST 169B CM-01")</f>
        <v>HIST 169B CM-01</v>
      </c>
    </row>
    <row r="964">
      <c r="A964" s="14" t="s">
        <v>1775</v>
      </c>
      <c r="C964" s="14" t="s">
        <v>1774</v>
      </c>
      <c r="G964" s="15" t="str">
        <f>IFERROR(__xludf.DUMMYFUNCTION("""COMPUTED_VALUE"""),"HIST 169B CM-02")</f>
        <v>HIST 169B CM-02</v>
      </c>
    </row>
    <row r="965">
      <c r="A965" s="14" t="s">
        <v>1776</v>
      </c>
      <c r="C965" s="14" t="s">
        <v>1777</v>
      </c>
      <c r="G965" s="15" t="str">
        <f>IFERROR(__xludf.DUMMYFUNCTION("""COMPUTED_VALUE"""),"HIST 172 CM-01")</f>
        <v>HIST 172 CM-01</v>
      </c>
    </row>
    <row r="966">
      <c r="A966" s="14" t="s">
        <v>1778</v>
      </c>
      <c r="C966" s="14" t="s">
        <v>1779</v>
      </c>
      <c r="G966" s="15" t="str">
        <f>IFERROR(__xludf.DUMMYFUNCTION("""COMPUTED_VALUE"""),"HIST 179 PO-01")</f>
        <v>HIST 179 PO-01</v>
      </c>
    </row>
    <row r="967">
      <c r="A967" s="14" t="s">
        <v>1780</v>
      </c>
      <c r="C967" s="14" t="s">
        <v>1781</v>
      </c>
      <c r="G967" s="15" t="str">
        <f>IFERROR(__xludf.DUMMYFUNCTION("""COMPUTED_VALUE"""),"HIST 180 SC-01")</f>
        <v>HIST 180 SC-01</v>
      </c>
    </row>
    <row r="968">
      <c r="A968" s="14" t="s">
        <v>1782</v>
      </c>
      <c r="C968" s="14" t="s">
        <v>1783</v>
      </c>
      <c r="G968" s="15" t="str">
        <f>IFERROR(__xludf.DUMMYFUNCTION("""COMPUTED_VALUE"""),"HIST 185 PZ-01")</f>
        <v>HIST 185 PZ-01</v>
      </c>
    </row>
    <row r="969">
      <c r="A969" s="14" t="s">
        <v>1784</v>
      </c>
      <c r="C969" s="14" t="s">
        <v>1785</v>
      </c>
      <c r="G969" s="15" t="str">
        <f>IFERROR(__xludf.DUMMYFUNCTION("""COMPUTED_VALUE"""),"HIST 186B CM-01")</f>
        <v>HIST 186B CM-01</v>
      </c>
    </row>
    <row r="970">
      <c r="A970" s="14" t="s">
        <v>1786</v>
      </c>
      <c r="C970" s="14" t="s">
        <v>1787</v>
      </c>
      <c r="G970" s="15" t="str">
        <f>IFERROR(__xludf.DUMMYFUNCTION("""COMPUTED_VALUE"""),"HIST 191 PO-04")</f>
        <v>HIST 191 PO-04</v>
      </c>
    </row>
    <row r="971">
      <c r="A971" s="14" t="s">
        <v>1788</v>
      </c>
      <c r="C971" s="14" t="s">
        <v>1789</v>
      </c>
      <c r="G971" s="15" t="str">
        <f>IFERROR(__xludf.DUMMYFUNCTION("""COMPUTED_VALUE"""),"HIST 192 PO-04")</f>
        <v>HIST 192 PO-04</v>
      </c>
    </row>
    <row r="972">
      <c r="A972" s="14" t="s">
        <v>1790</v>
      </c>
      <c r="C972" s="14" t="s">
        <v>1789</v>
      </c>
      <c r="G972" s="15" t="str">
        <f>IFERROR(__xludf.DUMMYFUNCTION("""COMPUTED_VALUE"""),"HIST 192 SC-01")</f>
        <v>HIST 192 SC-01</v>
      </c>
    </row>
    <row r="973">
      <c r="A973" s="14" t="s">
        <v>1791</v>
      </c>
      <c r="C973" s="14" t="s">
        <v>1792</v>
      </c>
      <c r="G973" s="15" t="str">
        <f>IFERROR(__xludf.DUMMYFUNCTION("""COMPUTED_VALUE"""),"HIST 193 PO-04")</f>
        <v>HIST 193 PO-04</v>
      </c>
    </row>
    <row r="974">
      <c r="A974" s="14" t="s">
        <v>1793</v>
      </c>
      <c r="C974" s="14" t="s">
        <v>1794</v>
      </c>
      <c r="G974" s="15" t="str">
        <f>IFERROR(__xludf.DUMMYFUNCTION("""COMPUTED_VALUE"""),"HMSC 192 SC-01")</f>
        <v>HMSC 192 SC-01</v>
      </c>
    </row>
    <row r="975">
      <c r="A975" s="14" t="s">
        <v>1795</v>
      </c>
      <c r="C975" s="14" t="s">
        <v>64</v>
      </c>
      <c r="G975" s="15" t="str">
        <f>IFERROR(__xludf.DUMMYFUNCTION("""COMPUTED_VALUE"""),"HSA 010 HM-01")</f>
        <v>HSA 010 HM-01</v>
      </c>
    </row>
    <row r="976">
      <c r="A976" s="14" t="s">
        <v>1796</v>
      </c>
      <c r="C976" s="14" t="s">
        <v>64</v>
      </c>
      <c r="G976" s="15" t="str">
        <f>IFERROR(__xludf.DUMMYFUNCTION("""COMPUTED_VALUE"""),"HSA 010 HM-02")</f>
        <v>HSA 010 HM-02</v>
      </c>
    </row>
    <row r="977">
      <c r="A977" s="14" t="s">
        <v>1797</v>
      </c>
      <c r="C977" s="14" t="s">
        <v>64</v>
      </c>
      <c r="G977" s="15" t="str">
        <f>IFERROR(__xludf.DUMMYFUNCTION("""COMPUTED_VALUE"""),"HSA 010 HM-03")</f>
        <v>HSA 010 HM-03</v>
      </c>
    </row>
    <row r="978">
      <c r="A978" s="14" t="s">
        <v>1798</v>
      </c>
      <c r="C978" s="14" t="s">
        <v>64</v>
      </c>
      <c r="G978" s="15" t="str">
        <f>IFERROR(__xludf.DUMMYFUNCTION("""COMPUTED_VALUE"""),"HSA 010 HM-04")</f>
        <v>HSA 010 HM-04</v>
      </c>
    </row>
    <row r="979">
      <c r="A979" s="14" t="s">
        <v>1799</v>
      </c>
      <c r="C979" s="14" t="s">
        <v>64</v>
      </c>
      <c r="G979" s="15" t="str">
        <f>IFERROR(__xludf.DUMMYFUNCTION("""COMPUTED_VALUE"""),"HSA 010 HM-05")</f>
        <v>HSA 010 HM-05</v>
      </c>
    </row>
    <row r="980">
      <c r="A980" s="14" t="s">
        <v>1800</v>
      </c>
      <c r="C980" s="14" t="s">
        <v>64</v>
      </c>
      <c r="G980" s="15" t="str">
        <f>IFERROR(__xludf.DUMMYFUNCTION("""COMPUTED_VALUE"""),"HSA 010 HM-06")</f>
        <v>HSA 010 HM-06</v>
      </c>
    </row>
    <row r="981">
      <c r="A981" s="14" t="s">
        <v>1801</v>
      </c>
      <c r="C981" s="14" t="s">
        <v>64</v>
      </c>
      <c r="G981" s="15" t="str">
        <f>IFERROR(__xludf.DUMMYFUNCTION("""COMPUTED_VALUE"""),"HSA 010 HM-07")</f>
        <v>HSA 010 HM-07</v>
      </c>
    </row>
    <row r="982">
      <c r="A982" s="14" t="s">
        <v>1802</v>
      </c>
      <c r="C982" s="14" t="s">
        <v>64</v>
      </c>
      <c r="G982" s="15" t="str">
        <f>IFERROR(__xludf.DUMMYFUNCTION("""COMPUTED_VALUE"""),"HSA 010 HM-08")</f>
        <v>HSA 010 HM-08</v>
      </c>
    </row>
    <row r="983">
      <c r="A983" s="14" t="s">
        <v>1803</v>
      </c>
      <c r="C983" s="14" t="s">
        <v>64</v>
      </c>
      <c r="G983" s="15" t="str">
        <f>IFERROR(__xludf.DUMMYFUNCTION("""COMPUTED_VALUE"""),"HSA 010 HM-09")</f>
        <v>HSA 010 HM-09</v>
      </c>
    </row>
    <row r="984">
      <c r="A984" s="14" t="s">
        <v>1804</v>
      </c>
      <c r="C984" s="14" t="s">
        <v>64</v>
      </c>
      <c r="G984" s="15" t="str">
        <f>IFERROR(__xludf.DUMMYFUNCTION("""COMPUTED_VALUE"""),"HSA 010 HM-10")</f>
        <v>HSA 010 HM-10</v>
      </c>
    </row>
    <row r="985">
      <c r="A985" s="14" t="s">
        <v>1805</v>
      </c>
      <c r="C985" s="14" t="s">
        <v>64</v>
      </c>
      <c r="G985" s="15" t="str">
        <f>IFERROR(__xludf.DUMMYFUNCTION("""COMPUTED_VALUE"""),"HSA 010 HM-11")</f>
        <v>HSA 010 HM-11</v>
      </c>
    </row>
    <row r="986">
      <c r="A986" s="14" t="s">
        <v>1806</v>
      </c>
      <c r="C986" s="14" t="s">
        <v>64</v>
      </c>
      <c r="G986" s="15" t="str">
        <f>IFERROR(__xludf.DUMMYFUNCTION("""COMPUTED_VALUE"""),"HSA 010 HM-12")</f>
        <v>HSA 010 HM-12</v>
      </c>
    </row>
    <row r="987">
      <c r="A987" s="14" t="s">
        <v>1807</v>
      </c>
      <c r="C987" s="14" t="s">
        <v>64</v>
      </c>
      <c r="G987" s="15" t="str">
        <f>IFERROR(__xludf.DUMMYFUNCTION("""COMPUTED_VALUE"""),"HSA 010 HM-13")</f>
        <v>HSA 010 HM-13</v>
      </c>
    </row>
    <row r="988">
      <c r="A988" s="14" t="s">
        <v>1808</v>
      </c>
      <c r="C988" s="14" t="s">
        <v>64</v>
      </c>
      <c r="G988" s="15" t="str">
        <f>IFERROR(__xludf.DUMMYFUNCTION("""COMPUTED_VALUE"""),"HSA 010 HM-14")</f>
        <v>HSA 010 HM-14</v>
      </c>
    </row>
    <row r="989">
      <c r="A989" s="14" t="s">
        <v>1809</v>
      </c>
      <c r="C989" s="14" t="s">
        <v>64</v>
      </c>
      <c r="G989" s="15" t="str">
        <f>IFERROR(__xludf.DUMMYFUNCTION("""COMPUTED_VALUE"""),"HSA 010 HM-15")</f>
        <v>HSA 010 HM-15</v>
      </c>
    </row>
    <row r="990">
      <c r="A990" s="14" t="s">
        <v>1810</v>
      </c>
      <c r="C990" s="14" t="s">
        <v>1811</v>
      </c>
      <c r="G990" s="15" t="str">
        <f>IFERROR(__xludf.DUMMYFUNCTION("""COMPUTED_VALUE"""),"HUM 195J SC-01")</f>
        <v>HUM 195J SC-01</v>
      </c>
    </row>
    <row r="991">
      <c r="A991" s="14" t="s">
        <v>1812</v>
      </c>
      <c r="C991" s="14" t="s">
        <v>1813</v>
      </c>
      <c r="G991" s="15" t="str">
        <f>IFERROR(__xludf.DUMMYFUNCTION("""COMPUTED_VALUE"""),"HUM 196 PO-01")</f>
        <v>HUM 196 PO-01</v>
      </c>
    </row>
    <row r="992">
      <c r="A992" s="14" t="s">
        <v>1814</v>
      </c>
      <c r="C992" s="14" t="s">
        <v>1815</v>
      </c>
      <c r="G992" s="15" t="str">
        <f>IFERROR(__xludf.DUMMYFUNCTION("""COMPUTED_VALUE"""),"ID 011 PO-01")</f>
        <v>ID 011 PO-01</v>
      </c>
    </row>
    <row r="993">
      <c r="A993" s="14" t="s">
        <v>1816</v>
      </c>
      <c r="C993" s="14" t="s">
        <v>1817</v>
      </c>
      <c r="G993" s="15" t="str">
        <f>IFERROR(__xludf.DUMMYFUNCTION("""COMPUTED_VALUE"""),"ID 022 PO-01")</f>
        <v>ID 022 PO-01</v>
      </c>
    </row>
    <row r="994">
      <c r="A994" s="14" t="s">
        <v>1818</v>
      </c>
      <c r="C994" s="14" t="s">
        <v>1819</v>
      </c>
      <c r="G994" s="15" t="str">
        <f>IFERROR(__xludf.DUMMYFUNCTION("""COMPUTED_VALUE"""),"ID 048 HM-01")</f>
        <v>ID 048 HM-01</v>
      </c>
    </row>
    <row r="995">
      <c r="A995" s="14" t="s">
        <v>1820</v>
      </c>
      <c r="C995" s="14" t="s">
        <v>1821</v>
      </c>
      <c r="G995" s="15" t="str">
        <f>IFERROR(__xludf.DUMMYFUNCTION("""COMPUTED_VALUE"""),"ID 080 CM-01")</f>
        <v>ID 080 CM-01</v>
      </c>
    </row>
    <row r="996">
      <c r="A996" s="14" t="s">
        <v>1822</v>
      </c>
      <c r="C996" s="14" t="s">
        <v>1823</v>
      </c>
      <c r="G996" s="15" t="str">
        <f>IFERROR(__xludf.DUMMYFUNCTION("""COMPUTED_VALUE"""),"ID 150B CM-01")</f>
        <v>ID 150B CM-01</v>
      </c>
    </row>
    <row r="997">
      <c r="A997" s="14" t="s">
        <v>1824</v>
      </c>
      <c r="C997" s="14" t="s">
        <v>1825</v>
      </c>
      <c r="G997" s="15" t="str">
        <f>IFERROR(__xludf.DUMMYFUNCTION("""COMPUTED_VALUE"""),"ID 176 PO-01")</f>
        <v>ID 176 PO-01</v>
      </c>
    </row>
    <row r="998">
      <c r="A998" s="14" t="s">
        <v>1826</v>
      </c>
      <c r="C998" s="14" t="s">
        <v>1827</v>
      </c>
      <c r="G998" s="15" t="str">
        <f>IFERROR(__xludf.DUMMYFUNCTION("""COMPUTED_VALUE"""),"ID 177 PO-01")</f>
        <v>ID 177 PO-01</v>
      </c>
    </row>
    <row r="999">
      <c r="A999" s="14" t="s">
        <v>1828</v>
      </c>
      <c r="C999" s="14" t="s">
        <v>1829</v>
      </c>
      <c r="G999" s="15" t="str">
        <f>IFERROR(__xludf.DUMMYFUNCTION("""COMPUTED_VALUE"""),"ID 178 PO-01")</f>
        <v>ID 178 PO-01</v>
      </c>
    </row>
    <row r="1000">
      <c r="A1000" s="14" t="s">
        <v>1830</v>
      </c>
      <c r="C1000" s="14" t="s">
        <v>1831</v>
      </c>
      <c r="G1000" s="15" t="str">
        <f>IFERROR(__xludf.DUMMYFUNCTION("""COMPUTED_VALUE"""),"ID 179 PO-01")</f>
        <v>ID 179 PO-01</v>
      </c>
    </row>
    <row r="1001">
      <c r="A1001" s="14" t="s">
        <v>1832</v>
      </c>
      <c r="C1001" s="14" t="s">
        <v>1833</v>
      </c>
      <c r="G1001" s="15" t="str">
        <f>IFERROR(__xludf.DUMMYFUNCTION("""COMPUTED_VALUE"""),"ID 180 PO-01")</f>
        <v>ID 180 PO-01</v>
      </c>
    </row>
    <row r="1002">
      <c r="A1002" s="14" t="s">
        <v>1834</v>
      </c>
      <c r="C1002" s="14" t="s">
        <v>1835</v>
      </c>
      <c r="G1002" s="15" t="str">
        <f>IFERROR(__xludf.DUMMYFUNCTION("""COMPUTED_VALUE"""),"ID 181 PO-01")</f>
        <v>ID 181 PO-01</v>
      </c>
    </row>
    <row r="1003">
      <c r="A1003" s="14" t="s">
        <v>1836</v>
      </c>
      <c r="C1003" s="14" t="s">
        <v>1837</v>
      </c>
      <c r="G1003" s="15" t="str">
        <f>IFERROR(__xludf.DUMMYFUNCTION("""COMPUTED_VALUE"""),"ID 182 PO-01")</f>
        <v>ID 182 PO-01</v>
      </c>
    </row>
    <row r="1004">
      <c r="A1004" s="14" t="s">
        <v>1838</v>
      </c>
      <c r="C1004" s="14" t="s">
        <v>1839</v>
      </c>
      <c r="G1004" s="15" t="str">
        <f>IFERROR(__xludf.DUMMYFUNCTION("""COMPUTED_VALUE"""),"ID 183 PO-01")</f>
        <v>ID 183 PO-01</v>
      </c>
    </row>
    <row r="1005">
      <c r="A1005" s="14" t="s">
        <v>1840</v>
      </c>
      <c r="C1005" s="14" t="s">
        <v>1841</v>
      </c>
      <c r="G1005" s="15" t="str">
        <f>IFERROR(__xludf.DUMMYFUNCTION("""COMPUTED_VALUE"""),"ID 184 PO-01")</f>
        <v>ID 184 PO-01</v>
      </c>
    </row>
    <row r="1006">
      <c r="A1006" s="14" t="s">
        <v>1842</v>
      </c>
      <c r="C1006" s="14" t="s">
        <v>1843</v>
      </c>
      <c r="G1006" s="15" t="str">
        <f>IFERROR(__xludf.DUMMYFUNCTION("""COMPUTED_VALUE"""),"ID 185 PO-01")</f>
        <v>ID 185 PO-01</v>
      </c>
    </row>
    <row r="1007">
      <c r="A1007" s="14" t="s">
        <v>1844</v>
      </c>
      <c r="C1007" s="14" t="s">
        <v>1845</v>
      </c>
      <c r="G1007" s="15" t="str">
        <f>IFERROR(__xludf.DUMMYFUNCTION("""COMPUTED_VALUE"""),"ID 186 PO-01")</f>
        <v>ID 186 PO-01</v>
      </c>
    </row>
    <row r="1008">
      <c r="A1008" s="14" t="s">
        <v>1846</v>
      </c>
      <c r="C1008" s="14" t="s">
        <v>1847</v>
      </c>
      <c r="G1008" s="15" t="str">
        <f>IFERROR(__xludf.DUMMYFUNCTION("""COMPUTED_VALUE"""),"ID 187 PO-01")</f>
        <v>ID 187 PO-01</v>
      </c>
    </row>
    <row r="1009">
      <c r="A1009" s="14" t="s">
        <v>1848</v>
      </c>
      <c r="C1009" s="14" t="s">
        <v>1849</v>
      </c>
      <c r="G1009" s="15" t="str">
        <f>IFERROR(__xludf.DUMMYFUNCTION("""COMPUTED_VALUE"""),"ID 188 PO-01")</f>
        <v>ID 188 PO-01</v>
      </c>
    </row>
    <row r="1010">
      <c r="A1010" s="14" t="s">
        <v>1850</v>
      </c>
      <c r="C1010" s="14" t="s">
        <v>1851</v>
      </c>
      <c r="G1010" s="15" t="str">
        <f>IFERROR(__xludf.DUMMYFUNCTION("""COMPUTED_VALUE"""),"ID 189 PO-01")</f>
        <v>ID 189 PO-01</v>
      </c>
    </row>
    <row r="1011">
      <c r="A1011" s="14" t="s">
        <v>1852</v>
      </c>
      <c r="C1011" s="14" t="s">
        <v>1853</v>
      </c>
      <c r="G1011" s="15" t="str">
        <f>IFERROR(__xludf.DUMMYFUNCTION("""COMPUTED_VALUE"""),"ID 199P2 PO-01")</f>
        <v>ID 199P2 PO-01</v>
      </c>
    </row>
    <row r="1012">
      <c r="A1012" s="14" t="s">
        <v>1854</v>
      </c>
      <c r="C1012" s="14" t="s">
        <v>1855</v>
      </c>
      <c r="G1012" s="15" t="str">
        <f>IFERROR(__xludf.DUMMYFUNCTION("""COMPUTED_VALUE"""),"ID 199P4 PO-01")</f>
        <v>ID 199P4 PO-01</v>
      </c>
    </row>
    <row r="1013">
      <c r="A1013" s="14" t="s">
        <v>1856</v>
      </c>
      <c r="C1013" s="14" t="s">
        <v>1857</v>
      </c>
      <c r="G1013" s="15" t="str">
        <f>IFERROR(__xludf.DUMMYFUNCTION("""COMPUTED_VALUE"""),"ID 199S1 PO-01")</f>
        <v>ID 199S1 PO-01</v>
      </c>
    </row>
    <row r="1014">
      <c r="A1014" s="14" t="s">
        <v>1858</v>
      </c>
      <c r="C1014" s="14" t="s">
        <v>1859</v>
      </c>
      <c r="G1014" s="15" t="str">
        <f>IFERROR(__xludf.DUMMYFUNCTION("""COMPUTED_VALUE"""),"ID 199S4 PO-01")</f>
        <v>ID 199S4 PO-01</v>
      </c>
    </row>
    <row r="1015">
      <c r="A1015" s="14" t="s">
        <v>1860</v>
      </c>
      <c r="C1015" s="14" t="s">
        <v>1861</v>
      </c>
      <c r="G1015" s="15" t="str">
        <f>IFERROR(__xludf.DUMMYFUNCTION("""COMPUTED_VALUE"""),"IR 118 PO-01")</f>
        <v>IR 118 PO-01</v>
      </c>
    </row>
    <row r="1016">
      <c r="A1016" s="14" t="s">
        <v>1862</v>
      </c>
      <c r="C1016" s="14" t="s">
        <v>1863</v>
      </c>
      <c r="G1016" s="15" t="str">
        <f>IFERROR(__xludf.DUMMYFUNCTION("""COMPUTED_VALUE"""),"IR 190 PO-01")</f>
        <v>IR 190 PO-01</v>
      </c>
    </row>
    <row r="1017">
      <c r="A1017" s="14" t="s">
        <v>1864</v>
      </c>
      <c r="C1017" s="14" t="s">
        <v>1865</v>
      </c>
      <c r="G1017" s="15" t="str">
        <f>IFERROR(__xludf.DUMMYFUNCTION("""COMPUTED_VALUE"""),"IR 191 PO-04")</f>
        <v>IR 191 PO-04</v>
      </c>
    </row>
    <row r="1018">
      <c r="A1018" s="14" t="s">
        <v>1866</v>
      </c>
      <c r="C1018" s="14" t="s">
        <v>1867</v>
      </c>
      <c r="G1018" s="15" t="str">
        <f>IFERROR(__xludf.DUMMYFUNCTION("""COMPUTED_VALUE"""),"ITAL 001 SC-01")</f>
        <v>ITAL 001 SC-01</v>
      </c>
    </row>
    <row r="1019">
      <c r="A1019" s="14" t="s">
        <v>1868</v>
      </c>
      <c r="C1019" s="14" t="s">
        <v>1869</v>
      </c>
      <c r="G1019" s="15" t="str">
        <f>IFERROR(__xludf.DUMMYFUNCTION("""COMPUTED_VALUE"""),"ITAL 002 SC-01")</f>
        <v>ITAL 002 SC-01</v>
      </c>
    </row>
    <row r="1020">
      <c r="A1020" s="14" t="s">
        <v>1870</v>
      </c>
      <c r="C1020" s="14" t="s">
        <v>1869</v>
      </c>
      <c r="G1020" s="15" t="str">
        <f>IFERROR(__xludf.DUMMYFUNCTION("""COMPUTED_VALUE"""),"ITAL 002 SC-02")</f>
        <v>ITAL 002 SC-02</v>
      </c>
    </row>
    <row r="1021">
      <c r="A1021" s="14" t="s">
        <v>1871</v>
      </c>
      <c r="C1021" s="14" t="s">
        <v>1872</v>
      </c>
      <c r="G1021" s="15" t="str">
        <f>IFERROR(__xludf.DUMMYFUNCTION("""COMPUTED_VALUE"""),"ITAL 033 SC-01")</f>
        <v>ITAL 033 SC-01</v>
      </c>
    </row>
    <row r="1022">
      <c r="A1022" s="14" t="s">
        <v>1873</v>
      </c>
      <c r="C1022" s="14" t="s">
        <v>1874</v>
      </c>
      <c r="G1022" s="15" t="str">
        <f>IFERROR(__xludf.DUMMYFUNCTION("""COMPUTED_VALUE"""),"ITAL 044 SC-01")</f>
        <v>ITAL 044 SC-01</v>
      </c>
    </row>
    <row r="1023">
      <c r="A1023" s="14" t="s">
        <v>1875</v>
      </c>
      <c r="C1023" s="14" t="s">
        <v>1876</v>
      </c>
      <c r="G1023" s="15" t="str">
        <f>IFERROR(__xludf.DUMMYFUNCTION("""COMPUTED_VALUE"""),"ITAL 121 SC-01")</f>
        <v>ITAL 121 SC-01</v>
      </c>
    </row>
    <row r="1024">
      <c r="A1024" s="14" t="s">
        <v>1877</v>
      </c>
      <c r="C1024" s="14" t="s">
        <v>1878</v>
      </c>
      <c r="G1024" s="15" t="str">
        <f>IFERROR(__xludf.DUMMYFUNCTION("""COMPUTED_VALUE"""),"ITAL 191 SC-01")</f>
        <v>ITAL 191 SC-01</v>
      </c>
    </row>
    <row r="1025">
      <c r="A1025" s="14" t="s">
        <v>1879</v>
      </c>
      <c r="C1025" s="14" t="s">
        <v>1880</v>
      </c>
      <c r="G1025" s="15" t="str">
        <f>IFERROR(__xludf.DUMMYFUNCTION("""COMPUTED_VALUE"""),"JAPN 001B PO-01")</f>
        <v>JAPN 001B PO-01</v>
      </c>
    </row>
    <row r="1026">
      <c r="A1026" s="14" t="s">
        <v>1881</v>
      </c>
      <c r="C1026" s="14" t="s">
        <v>1880</v>
      </c>
      <c r="G1026" s="15" t="str">
        <f>IFERROR(__xludf.DUMMYFUNCTION("""COMPUTED_VALUE"""),"JAPN 001B PO-02")</f>
        <v>JAPN 001B PO-02</v>
      </c>
    </row>
    <row r="1027">
      <c r="A1027" s="14" t="s">
        <v>1882</v>
      </c>
      <c r="C1027" s="14" t="s">
        <v>1880</v>
      </c>
      <c r="G1027" s="15" t="str">
        <f>IFERROR(__xludf.DUMMYFUNCTION("""COMPUTED_VALUE"""),"JAPN 001B PO-03")</f>
        <v>JAPN 001B PO-03</v>
      </c>
    </row>
    <row r="1028">
      <c r="A1028" s="14" t="s">
        <v>1883</v>
      </c>
      <c r="C1028" s="14" t="s">
        <v>1880</v>
      </c>
      <c r="G1028" s="15" t="str">
        <f>IFERROR(__xludf.DUMMYFUNCTION("""COMPUTED_VALUE"""),"JAPN 001B PO-04")</f>
        <v>JAPN 001B PO-04</v>
      </c>
    </row>
    <row r="1029">
      <c r="A1029" s="14" t="s">
        <v>1884</v>
      </c>
      <c r="C1029" s="14" t="s">
        <v>1885</v>
      </c>
      <c r="G1029" s="15" t="str">
        <f>IFERROR(__xludf.DUMMYFUNCTION("""COMPUTED_VALUE"""),"JAPN 011 PO-01")</f>
        <v>JAPN 011 PO-01</v>
      </c>
    </row>
    <row r="1030">
      <c r="A1030" s="14" t="s">
        <v>1886</v>
      </c>
      <c r="C1030" s="14" t="s">
        <v>1887</v>
      </c>
      <c r="G1030" s="15" t="str">
        <f>IFERROR(__xludf.DUMMYFUNCTION("""COMPUTED_VALUE"""),"JAPN 012B PO-01")</f>
        <v>JAPN 012B PO-01</v>
      </c>
    </row>
    <row r="1031">
      <c r="A1031" s="14" t="s">
        <v>1888</v>
      </c>
      <c r="C1031" s="14" t="s">
        <v>1889</v>
      </c>
      <c r="G1031" s="15" t="str">
        <f>IFERROR(__xludf.DUMMYFUNCTION("""COMPUTED_VALUE"""),"JAPN 013 PO-01")</f>
        <v>JAPN 013 PO-01</v>
      </c>
    </row>
    <row r="1032">
      <c r="A1032" s="14" t="s">
        <v>1890</v>
      </c>
      <c r="C1032" s="14" t="s">
        <v>1891</v>
      </c>
      <c r="G1032" s="15" t="str">
        <f>IFERROR(__xludf.DUMMYFUNCTION("""COMPUTED_VALUE"""),"JAPN 014B PO-01")</f>
        <v>JAPN 014B PO-01</v>
      </c>
    </row>
    <row r="1033">
      <c r="A1033" s="14" t="s">
        <v>1892</v>
      </c>
      <c r="C1033" s="14" t="s">
        <v>1893</v>
      </c>
      <c r="G1033" s="15" t="str">
        <f>IFERROR(__xludf.DUMMYFUNCTION("""COMPUTED_VALUE"""),"JAPN 051B PO-01")</f>
        <v>JAPN 051B PO-01</v>
      </c>
    </row>
    <row r="1034">
      <c r="A1034" s="14" t="s">
        <v>1894</v>
      </c>
      <c r="C1034" s="14" t="s">
        <v>1893</v>
      </c>
      <c r="G1034" s="15" t="str">
        <f>IFERROR(__xludf.DUMMYFUNCTION("""COMPUTED_VALUE"""),"JAPN 051B PO-02")</f>
        <v>JAPN 051B PO-02</v>
      </c>
    </row>
    <row r="1035">
      <c r="A1035" s="14" t="s">
        <v>1895</v>
      </c>
      <c r="C1035" s="14" t="s">
        <v>1896</v>
      </c>
      <c r="G1035" s="15" t="str">
        <f>IFERROR(__xludf.DUMMYFUNCTION("""COMPUTED_VALUE"""),"JAPN 111B PO-01")</f>
        <v>JAPN 111B PO-01</v>
      </c>
    </row>
    <row r="1036">
      <c r="A1036" s="14" t="s">
        <v>1897</v>
      </c>
      <c r="C1036" s="14" t="s">
        <v>1898</v>
      </c>
      <c r="G1036" s="15" t="str">
        <f>IFERROR(__xludf.DUMMYFUNCTION("""COMPUTED_VALUE"""),"JAPN 131 PO-01")</f>
        <v>JAPN 131 PO-01</v>
      </c>
    </row>
    <row r="1037">
      <c r="A1037" s="14" t="s">
        <v>1899</v>
      </c>
      <c r="C1037" s="14" t="s">
        <v>1900</v>
      </c>
      <c r="G1037" s="15" t="str">
        <f>IFERROR(__xludf.DUMMYFUNCTION("""COMPUTED_VALUE"""),"JAPN 191H PO-04")</f>
        <v>JAPN 191H PO-04</v>
      </c>
    </row>
    <row r="1038">
      <c r="A1038" s="14" t="s">
        <v>1901</v>
      </c>
      <c r="C1038" s="14" t="s">
        <v>1902</v>
      </c>
      <c r="G1038" s="15" t="str">
        <f>IFERROR(__xludf.DUMMYFUNCTION("""COMPUTED_VALUE"""),"JAPN 192 PO-04")</f>
        <v>JAPN 192 PO-04</v>
      </c>
    </row>
    <row r="1039">
      <c r="A1039" s="14" t="s">
        <v>1903</v>
      </c>
      <c r="C1039" s="14" t="s">
        <v>1904</v>
      </c>
      <c r="G1039" s="15" t="str">
        <f>IFERROR(__xludf.DUMMYFUNCTION("""COMPUTED_VALUE"""),"JPNT 175 PO-01")</f>
        <v>JPNT 175 PO-01</v>
      </c>
    </row>
    <row r="1040">
      <c r="A1040" s="14" t="s">
        <v>1905</v>
      </c>
      <c r="C1040" s="14" t="s">
        <v>1906</v>
      </c>
      <c r="G1040" s="15" t="str">
        <f>IFERROR(__xludf.DUMMYFUNCTION("""COMPUTED_VALUE"""),"JPNT 179 PO-01")</f>
        <v>JPNT 179 PO-01</v>
      </c>
    </row>
    <row r="1041">
      <c r="A1041" s="14" t="s">
        <v>1907</v>
      </c>
      <c r="C1041" s="14" t="s">
        <v>1908</v>
      </c>
      <c r="G1041" s="15" t="str">
        <f>IFERROR(__xludf.DUMMYFUNCTION("""COMPUTED_VALUE"""),"KORE 002 CM-01")</f>
        <v>KORE 002 CM-01</v>
      </c>
    </row>
    <row r="1042">
      <c r="A1042" s="14" t="s">
        <v>1909</v>
      </c>
      <c r="C1042" s="14" t="s">
        <v>1908</v>
      </c>
      <c r="G1042" s="15" t="str">
        <f>IFERROR(__xludf.DUMMYFUNCTION("""COMPUTED_VALUE"""),"KORE 002 CM-02")</f>
        <v>KORE 002 CM-02</v>
      </c>
    </row>
    <row r="1043">
      <c r="A1043" s="14" t="s">
        <v>1910</v>
      </c>
      <c r="C1043" s="14" t="s">
        <v>1908</v>
      </c>
      <c r="G1043" s="15" t="str">
        <f>IFERROR(__xludf.DUMMYFUNCTION("""COMPUTED_VALUE"""),"KORE 002 CM-03")</f>
        <v>KORE 002 CM-03</v>
      </c>
    </row>
    <row r="1044">
      <c r="A1044" s="14" t="s">
        <v>1911</v>
      </c>
      <c r="C1044" s="14" t="s">
        <v>1912</v>
      </c>
      <c r="G1044" s="15" t="str">
        <f>IFERROR(__xludf.DUMMYFUNCTION("""COMPUTED_VALUE"""),"KORE 044 CM-01")</f>
        <v>KORE 044 CM-01</v>
      </c>
    </row>
    <row r="1045">
      <c r="A1045" s="14" t="s">
        <v>1913</v>
      </c>
      <c r="C1045" s="14" t="s">
        <v>1914</v>
      </c>
      <c r="G1045" s="15" t="str">
        <f>IFERROR(__xludf.DUMMYFUNCTION("""COMPUTED_VALUE"""),"KRNT 130 CM-01")</f>
        <v>KRNT 130 CM-01</v>
      </c>
    </row>
    <row r="1046">
      <c r="A1046" s="14" t="s">
        <v>1915</v>
      </c>
      <c r="C1046" s="14" t="s">
        <v>1916</v>
      </c>
      <c r="G1046" s="15" t="str">
        <f>IFERROR(__xludf.DUMMYFUNCTION("""COMPUTED_VALUE"""),"LAST 191 SC-01")</f>
        <v>LAST 191 SC-01</v>
      </c>
    </row>
    <row r="1047">
      <c r="A1047" s="14" t="s">
        <v>1917</v>
      </c>
      <c r="C1047" s="14" t="s">
        <v>1918</v>
      </c>
      <c r="G1047" s="15" t="str">
        <f>IFERROR(__xludf.DUMMYFUNCTION("""COMPUTED_VALUE"""),"LATN 022 PO-01")</f>
        <v>LATN 022 PO-01</v>
      </c>
    </row>
    <row r="1048">
      <c r="A1048" s="14" t="s">
        <v>1919</v>
      </c>
      <c r="C1048" s="14" t="s">
        <v>1920</v>
      </c>
      <c r="G1048" s="15" t="str">
        <f>IFERROR(__xludf.DUMMYFUNCTION("""COMPUTED_VALUE"""),"LATN 033 PO-01")</f>
        <v>LATN 033 PO-01</v>
      </c>
    </row>
    <row r="1049">
      <c r="A1049" s="14" t="s">
        <v>1921</v>
      </c>
      <c r="C1049" s="14" t="s">
        <v>1922</v>
      </c>
      <c r="G1049" s="15" t="str">
        <f>IFERROR(__xludf.DUMMYFUNCTION("""COMPUTED_VALUE"""),"LATN 044 SC-01")</f>
        <v>LATN 044 SC-01</v>
      </c>
    </row>
    <row r="1050">
      <c r="A1050" s="14" t="s">
        <v>1923</v>
      </c>
      <c r="C1050" s="14" t="s">
        <v>1924</v>
      </c>
      <c r="G1050" s="15" t="str">
        <f>IFERROR(__xludf.DUMMYFUNCTION("""COMPUTED_VALUE"""),"LATN 103 PO-01")</f>
        <v>LATN 103 PO-01</v>
      </c>
    </row>
    <row r="1051">
      <c r="A1051" s="14" t="s">
        <v>1925</v>
      </c>
      <c r="C1051" s="14" t="s">
        <v>1926</v>
      </c>
      <c r="G1051" s="15" t="str">
        <f>IFERROR(__xludf.DUMMYFUNCTION("""COMPUTED_VALUE"""),"LEAD 010 CM-01")</f>
        <v>LEAD 010 CM-01</v>
      </c>
    </row>
    <row r="1052">
      <c r="A1052" s="14" t="s">
        <v>1927</v>
      </c>
      <c r="C1052" s="14" t="s">
        <v>1928</v>
      </c>
      <c r="G1052" s="15" t="str">
        <f>IFERROR(__xludf.DUMMYFUNCTION("""COMPUTED_VALUE"""),"LEAD 041 CM-01")</f>
        <v>LEAD 041 CM-01</v>
      </c>
    </row>
    <row r="1053">
      <c r="A1053" s="14" t="s">
        <v>1929</v>
      </c>
      <c r="C1053" s="14" t="s">
        <v>1930</v>
      </c>
      <c r="G1053" s="15" t="str">
        <f>IFERROR(__xludf.DUMMYFUNCTION("""COMPUTED_VALUE"""),"LEAD 142 CM-01")</f>
        <v>LEAD 142 CM-01</v>
      </c>
    </row>
    <row r="1054">
      <c r="A1054" s="14" t="s">
        <v>1931</v>
      </c>
      <c r="C1054" s="14" t="s">
        <v>1930</v>
      </c>
      <c r="G1054" s="15" t="str">
        <f>IFERROR(__xludf.DUMMYFUNCTION("""COMPUTED_VALUE"""),"LEAD 142 CM-02")</f>
        <v>LEAD 142 CM-02</v>
      </c>
    </row>
    <row r="1055">
      <c r="A1055" s="14" t="s">
        <v>1932</v>
      </c>
      <c r="C1055" s="14" t="s">
        <v>1933</v>
      </c>
      <c r="G1055" s="15" t="str">
        <f>IFERROR(__xludf.DUMMYFUNCTION("""COMPUTED_VALUE"""),"LEAD 151 HM-01")</f>
        <v>LEAD 151 HM-01</v>
      </c>
    </row>
    <row r="1056">
      <c r="A1056" s="14" t="s">
        <v>1934</v>
      </c>
      <c r="C1056" s="14" t="s">
        <v>1935</v>
      </c>
      <c r="G1056" s="15" t="str">
        <f>IFERROR(__xludf.DUMMYFUNCTION("""COMPUTED_VALUE"""),"LEAD 179D HM-01")</f>
        <v>LEAD 179D HM-01</v>
      </c>
    </row>
    <row r="1057">
      <c r="A1057" s="14" t="s">
        <v>1936</v>
      </c>
      <c r="C1057" s="14" t="s">
        <v>1935</v>
      </c>
      <c r="G1057" s="15" t="str">
        <f>IFERROR(__xludf.DUMMYFUNCTION("""COMPUTED_VALUE"""),"LEAD 179D HM-02")</f>
        <v>LEAD 179D HM-02</v>
      </c>
    </row>
    <row r="1058">
      <c r="A1058" s="14" t="s">
        <v>1937</v>
      </c>
      <c r="C1058" s="14" t="s">
        <v>1935</v>
      </c>
      <c r="G1058" s="15" t="str">
        <f>IFERROR(__xludf.DUMMYFUNCTION("""COMPUTED_VALUE"""),"LEAD 179D HM-03")</f>
        <v>LEAD 179D HM-03</v>
      </c>
    </row>
    <row r="1059">
      <c r="A1059" s="14" t="s">
        <v>1938</v>
      </c>
      <c r="C1059" s="14" t="s">
        <v>1939</v>
      </c>
      <c r="G1059" s="15" t="str">
        <f>IFERROR(__xludf.DUMMYFUNCTION("""COMPUTED_VALUE"""),"LGCS 010 PO-01")</f>
        <v>LGCS 010 PO-01</v>
      </c>
    </row>
    <row r="1060">
      <c r="A1060" s="14" t="s">
        <v>1940</v>
      </c>
      <c r="C1060" s="14" t="s">
        <v>1939</v>
      </c>
      <c r="G1060" s="15" t="str">
        <f>IFERROR(__xludf.DUMMYFUNCTION("""COMPUTED_VALUE"""),"LGCS 010 PO-02")</f>
        <v>LGCS 010 PO-02</v>
      </c>
    </row>
    <row r="1061">
      <c r="A1061" s="14" t="s">
        <v>1941</v>
      </c>
      <c r="C1061" s="14" t="s">
        <v>1942</v>
      </c>
      <c r="G1061" s="15" t="str">
        <f>IFERROR(__xludf.DUMMYFUNCTION("""COMPUTED_VALUE"""),"LGCS 011 PO-01")</f>
        <v>LGCS 011 PO-01</v>
      </c>
    </row>
    <row r="1062">
      <c r="A1062" s="14" t="s">
        <v>1943</v>
      </c>
      <c r="C1062" s="14" t="s">
        <v>1942</v>
      </c>
      <c r="G1062" s="15" t="str">
        <f>IFERROR(__xludf.DUMMYFUNCTION("""COMPUTED_VALUE"""),"LGCS 011 PO-02")</f>
        <v>LGCS 011 PO-02</v>
      </c>
    </row>
    <row r="1063">
      <c r="A1063" s="14" t="s">
        <v>1944</v>
      </c>
      <c r="C1063" s="14" t="s">
        <v>1945</v>
      </c>
      <c r="G1063" s="15" t="str">
        <f>IFERROR(__xludf.DUMMYFUNCTION("""COMPUTED_VALUE"""),"LGCS 108 PO-01")</f>
        <v>LGCS 108 PO-01</v>
      </c>
    </row>
    <row r="1064">
      <c r="A1064" s="14" t="s">
        <v>1946</v>
      </c>
      <c r="C1064" s="14" t="s">
        <v>1947</v>
      </c>
      <c r="G1064" s="15" t="str">
        <f>IFERROR(__xludf.DUMMYFUNCTION("""COMPUTED_VALUE"""),"LGCS 110 PZ-01")</f>
        <v>LGCS 110 PZ-01</v>
      </c>
    </row>
    <row r="1065">
      <c r="A1065" s="14" t="s">
        <v>1948</v>
      </c>
      <c r="C1065" s="14" t="s">
        <v>1949</v>
      </c>
      <c r="G1065" s="15" t="str">
        <f>IFERROR(__xludf.DUMMYFUNCTION("""COMPUTED_VALUE"""),"LGCS 112 PO-01")</f>
        <v>LGCS 112 PO-01</v>
      </c>
    </row>
    <row r="1066">
      <c r="A1066" s="14" t="s">
        <v>1950</v>
      </c>
      <c r="C1066" s="14" t="s">
        <v>1951</v>
      </c>
      <c r="G1066" s="15" t="str">
        <f>IFERROR(__xludf.DUMMYFUNCTION("""COMPUTED_VALUE"""),"LGCS 118 PO-01")</f>
        <v>LGCS 118 PO-01</v>
      </c>
    </row>
    <row r="1067">
      <c r="A1067" s="14" t="s">
        <v>1952</v>
      </c>
      <c r="C1067" s="14" t="s">
        <v>1953</v>
      </c>
      <c r="G1067" s="15" t="str">
        <f>IFERROR(__xludf.DUMMYFUNCTION("""COMPUTED_VALUE"""),"LGCS 119 PO-01")</f>
        <v>LGCS 119 PO-01</v>
      </c>
    </row>
    <row r="1068">
      <c r="A1068" s="14" t="s">
        <v>1954</v>
      </c>
      <c r="C1068" s="14" t="s">
        <v>1955</v>
      </c>
      <c r="G1068" s="15" t="str">
        <f>IFERROR(__xludf.DUMMYFUNCTION("""COMPUTED_VALUE"""),"LGCS 120 PO-01")</f>
        <v>LGCS 120 PO-01</v>
      </c>
    </row>
    <row r="1069">
      <c r="A1069" s="14" t="s">
        <v>1956</v>
      </c>
      <c r="C1069" s="14" t="s">
        <v>1957</v>
      </c>
      <c r="G1069" s="15" t="str">
        <f>IFERROR(__xludf.DUMMYFUNCTION("""COMPUTED_VALUE"""),"LGCS 130 PO-01")</f>
        <v>LGCS 130 PO-01</v>
      </c>
    </row>
    <row r="1070">
      <c r="A1070" s="14" t="s">
        <v>1958</v>
      </c>
      <c r="C1070" s="14" t="s">
        <v>1959</v>
      </c>
      <c r="G1070" s="15" t="str">
        <f>IFERROR(__xludf.DUMMYFUNCTION("""COMPUTED_VALUE"""),"LGCS 166 PZ-01")</f>
        <v>LGCS 166 PZ-01</v>
      </c>
    </row>
    <row r="1071">
      <c r="A1071" s="14" t="s">
        <v>1960</v>
      </c>
      <c r="C1071" s="14" t="s">
        <v>1961</v>
      </c>
      <c r="G1071" s="15" t="str">
        <f>IFERROR(__xludf.DUMMYFUNCTION("""COMPUTED_VALUE"""),"LGCS 184 PO-01")</f>
        <v>LGCS 184 PO-01</v>
      </c>
    </row>
    <row r="1072">
      <c r="A1072" s="14" t="s">
        <v>1962</v>
      </c>
      <c r="C1072" s="14" t="s">
        <v>1963</v>
      </c>
      <c r="G1072" s="15" t="str">
        <f>IFERROR(__xludf.DUMMYFUNCTION("""COMPUTED_VALUE"""),"LGCS 185 PO-01")</f>
        <v>LGCS 185 PO-01</v>
      </c>
    </row>
    <row r="1073">
      <c r="A1073" s="14" t="s">
        <v>1964</v>
      </c>
      <c r="C1073" s="14" t="s">
        <v>1965</v>
      </c>
      <c r="G1073" s="15" t="str">
        <f>IFERROR(__xludf.DUMMYFUNCTION("""COMPUTED_VALUE"""),"LGCS 191 PO-04")</f>
        <v>LGCS 191 PO-04</v>
      </c>
    </row>
    <row r="1074">
      <c r="A1074" s="14" t="s">
        <v>1966</v>
      </c>
      <c r="C1074" s="14" t="s">
        <v>1965</v>
      </c>
      <c r="G1074" s="15" t="str">
        <f>IFERROR(__xludf.DUMMYFUNCTION("""COMPUTED_VALUE"""),"LGCS 191 PO-08")</f>
        <v>LGCS 191 PO-08</v>
      </c>
    </row>
    <row r="1075">
      <c r="A1075" s="14" t="s">
        <v>1967</v>
      </c>
      <c r="C1075" s="14" t="s">
        <v>1965</v>
      </c>
      <c r="G1075" s="15" t="str">
        <f>IFERROR(__xludf.DUMMYFUNCTION("""COMPUTED_VALUE"""),"LGCS 191 PO-12")</f>
        <v>LGCS 191 PO-12</v>
      </c>
    </row>
    <row r="1076">
      <c r="A1076" s="14" t="s">
        <v>1968</v>
      </c>
      <c r="C1076" s="14" t="s">
        <v>1965</v>
      </c>
      <c r="G1076" s="15" t="str">
        <f>IFERROR(__xludf.DUMMYFUNCTION("""COMPUTED_VALUE"""),"LGCS 191 PO-16")</f>
        <v>LGCS 191 PO-16</v>
      </c>
    </row>
    <row r="1077">
      <c r="A1077" s="14" t="s">
        <v>1969</v>
      </c>
      <c r="C1077" s="14" t="s">
        <v>1965</v>
      </c>
      <c r="G1077" s="15" t="str">
        <f>IFERROR(__xludf.DUMMYFUNCTION("""COMPUTED_VALUE"""),"LGCS 191 PO-20")</f>
        <v>LGCS 191 PO-20</v>
      </c>
    </row>
    <row r="1078">
      <c r="A1078" s="14" t="s">
        <v>1970</v>
      </c>
      <c r="C1078" s="14" t="s">
        <v>1965</v>
      </c>
      <c r="G1078" s="15" t="str">
        <f>IFERROR(__xludf.DUMMYFUNCTION("""COMPUTED_VALUE"""),"LGCS 191 PO-24")</f>
        <v>LGCS 191 PO-24</v>
      </c>
    </row>
    <row r="1079">
      <c r="A1079" s="14" t="s">
        <v>1971</v>
      </c>
      <c r="C1079" s="14" t="s">
        <v>1965</v>
      </c>
      <c r="G1079" s="15" t="str">
        <f>IFERROR(__xludf.DUMMYFUNCTION("""COMPUTED_VALUE"""),"LGCS 191 PO-28")</f>
        <v>LGCS 191 PO-28</v>
      </c>
    </row>
    <row r="1080">
      <c r="A1080" s="14" t="s">
        <v>1972</v>
      </c>
      <c r="C1080" s="14" t="s">
        <v>1965</v>
      </c>
      <c r="G1080" s="15" t="str">
        <f>IFERROR(__xludf.DUMMYFUNCTION("""COMPUTED_VALUE"""),"LGCS 191 PO-32")</f>
        <v>LGCS 191 PO-32</v>
      </c>
    </row>
    <row r="1081">
      <c r="A1081" s="14" t="s">
        <v>1973</v>
      </c>
      <c r="C1081" s="14" t="s">
        <v>1965</v>
      </c>
      <c r="G1081" s="15" t="str">
        <f>IFERROR(__xludf.DUMMYFUNCTION("""COMPUTED_VALUE"""),"LGCS 191 PO-36")</f>
        <v>LGCS 191 PO-36</v>
      </c>
    </row>
    <row r="1082">
      <c r="A1082" s="14" t="s">
        <v>1974</v>
      </c>
      <c r="C1082" s="14" t="s">
        <v>1965</v>
      </c>
      <c r="G1082" s="15" t="str">
        <f>IFERROR(__xludf.DUMMYFUNCTION("""COMPUTED_VALUE"""),"LGCS 191 PO-40")</f>
        <v>LGCS 191 PO-40</v>
      </c>
    </row>
    <row r="1083">
      <c r="A1083" s="14" t="s">
        <v>1975</v>
      </c>
      <c r="C1083" s="14" t="s">
        <v>1965</v>
      </c>
      <c r="G1083" s="15" t="str">
        <f>IFERROR(__xludf.DUMMYFUNCTION("""COMPUTED_VALUE"""),"LGCS 191 PO-44")</f>
        <v>LGCS 191 PO-44</v>
      </c>
    </row>
    <row r="1084">
      <c r="A1084" s="14" t="s">
        <v>1976</v>
      </c>
      <c r="C1084" s="14" t="s">
        <v>1965</v>
      </c>
      <c r="G1084" s="15" t="str">
        <f>IFERROR(__xludf.DUMMYFUNCTION("""COMPUTED_VALUE"""),"LGCS 191 PO-48")</f>
        <v>LGCS 191 PO-48</v>
      </c>
    </row>
    <row r="1085">
      <c r="A1085" s="14" t="s">
        <v>1977</v>
      </c>
      <c r="C1085" s="14" t="s">
        <v>1965</v>
      </c>
      <c r="G1085" s="15" t="str">
        <f>IFERROR(__xludf.DUMMYFUNCTION("""COMPUTED_VALUE"""),"LGCS 191 PO-52")</f>
        <v>LGCS 191 PO-52</v>
      </c>
    </row>
    <row r="1086">
      <c r="A1086" s="14" t="s">
        <v>1978</v>
      </c>
      <c r="C1086" s="14" t="s">
        <v>1979</v>
      </c>
      <c r="G1086" s="15" t="str">
        <f>IFERROR(__xludf.DUMMYFUNCTION("""COMPUTED_VALUE"""),"LGST 191 SC-01")</f>
        <v>LGST 191 SC-01</v>
      </c>
    </row>
    <row r="1087">
      <c r="A1087" s="14" t="s">
        <v>1980</v>
      </c>
      <c r="C1087" s="14" t="s">
        <v>1981</v>
      </c>
      <c r="G1087" s="15" t="str">
        <f>IFERROR(__xludf.DUMMYFUNCTION("""COMPUTED_VALUE"""),"LIT 034 CM-01")</f>
        <v>LIT 034 CM-01</v>
      </c>
    </row>
    <row r="1088">
      <c r="A1088" s="14" t="s">
        <v>1982</v>
      </c>
      <c r="C1088" s="14" t="s">
        <v>1983</v>
      </c>
      <c r="G1088" s="15" t="str">
        <f>IFERROR(__xludf.DUMMYFUNCTION("""COMPUTED_VALUE"""),"LIT 035 HM-01")</f>
        <v>LIT 035 HM-01</v>
      </c>
    </row>
    <row r="1089">
      <c r="A1089" s="14" t="s">
        <v>1984</v>
      </c>
      <c r="C1089" s="14" t="s">
        <v>1985</v>
      </c>
      <c r="G1089" s="15" t="str">
        <f>IFERROR(__xludf.DUMMYFUNCTION("""COMPUTED_VALUE"""),"LIT 058 CM-01")</f>
        <v>LIT 058 CM-01</v>
      </c>
    </row>
    <row r="1090">
      <c r="A1090" s="14" t="s">
        <v>1986</v>
      </c>
      <c r="C1090" s="14" t="s">
        <v>1987</v>
      </c>
      <c r="G1090" s="15" t="str">
        <f>IFERROR(__xludf.DUMMYFUNCTION("""COMPUTED_VALUE"""),"LIT 061 CM-01")</f>
        <v>LIT 061 CM-01</v>
      </c>
    </row>
    <row r="1091">
      <c r="A1091" s="14" t="s">
        <v>1988</v>
      </c>
      <c r="C1091" s="14" t="s">
        <v>1989</v>
      </c>
      <c r="G1091" s="15" t="str">
        <f>IFERROR(__xludf.DUMMYFUNCTION("""COMPUTED_VALUE"""),"LIT 063 CM-01")</f>
        <v>LIT 063 CM-01</v>
      </c>
    </row>
    <row r="1092">
      <c r="A1092" s="14" t="s">
        <v>1990</v>
      </c>
      <c r="C1092" s="14" t="s">
        <v>1991</v>
      </c>
      <c r="G1092" s="15" t="str">
        <f>IFERROR(__xludf.DUMMYFUNCTION("""COMPUTED_VALUE"""),"LIT 068 CM-01")</f>
        <v>LIT 068 CM-01</v>
      </c>
    </row>
    <row r="1093">
      <c r="A1093" s="14" t="s">
        <v>1992</v>
      </c>
      <c r="C1093" s="14" t="s">
        <v>1991</v>
      </c>
      <c r="G1093" s="15" t="str">
        <f>IFERROR(__xludf.DUMMYFUNCTION("""COMPUTED_VALUE"""),"LIT 068 CM-02")</f>
        <v>LIT 068 CM-02</v>
      </c>
    </row>
    <row r="1094">
      <c r="A1094" s="14" t="s">
        <v>1993</v>
      </c>
      <c r="C1094" s="14" t="s">
        <v>1994</v>
      </c>
      <c r="G1094" s="15" t="str">
        <f>IFERROR(__xludf.DUMMYFUNCTION("""COMPUTED_VALUE"""),"LIT 084 CM-01")</f>
        <v>LIT 084 CM-01</v>
      </c>
    </row>
    <row r="1095">
      <c r="A1095" s="14" t="s">
        <v>1995</v>
      </c>
      <c r="C1095" s="14" t="s">
        <v>1996</v>
      </c>
      <c r="G1095" s="15" t="str">
        <f>IFERROR(__xludf.DUMMYFUNCTION("""COMPUTED_VALUE"""),"LIT 099 CM-01")</f>
        <v>LIT 099 CM-01</v>
      </c>
    </row>
    <row r="1096">
      <c r="A1096" s="14" t="s">
        <v>1997</v>
      </c>
      <c r="C1096" s="14" t="s">
        <v>1998</v>
      </c>
      <c r="G1096" s="15" t="str">
        <f>IFERROR(__xludf.DUMMYFUNCTION("""COMPUTED_VALUE"""),"LIT 099A CM-01")</f>
        <v>LIT 099A CM-01</v>
      </c>
    </row>
    <row r="1097">
      <c r="A1097" s="14" t="s">
        <v>1999</v>
      </c>
      <c r="C1097" s="14" t="s">
        <v>2000</v>
      </c>
      <c r="G1097" s="15" t="str">
        <f>IFERROR(__xludf.DUMMYFUNCTION("""COMPUTED_VALUE"""),"LIT 099IO CM-01")</f>
        <v>LIT 099IO CM-01</v>
      </c>
    </row>
    <row r="1098">
      <c r="A1098" s="14" t="s">
        <v>2001</v>
      </c>
      <c r="C1098" s="14" t="s">
        <v>2002</v>
      </c>
      <c r="G1098" s="15" t="str">
        <f>IFERROR(__xludf.DUMMYFUNCTION("""COMPUTED_VALUE"""),"LIT 103 CM-01")</f>
        <v>LIT 103 CM-01</v>
      </c>
    </row>
    <row r="1099">
      <c r="A1099" s="14" t="s">
        <v>2003</v>
      </c>
      <c r="C1099" s="14" t="s">
        <v>2004</v>
      </c>
      <c r="G1099" s="15" t="str">
        <f>IFERROR(__xludf.DUMMYFUNCTION("""COMPUTED_VALUE"""),"LIT 112 HM-01")</f>
        <v>LIT 112 HM-01</v>
      </c>
    </row>
    <row r="1100">
      <c r="A1100" s="14" t="s">
        <v>2005</v>
      </c>
      <c r="C1100" s="14" t="s">
        <v>2006</v>
      </c>
      <c r="G1100" s="15" t="str">
        <f>IFERROR(__xludf.DUMMYFUNCTION("""COMPUTED_VALUE"""),"LIT 119 CM-01")</f>
        <v>LIT 119 CM-01</v>
      </c>
    </row>
    <row r="1101">
      <c r="A1101" s="14" t="s">
        <v>2007</v>
      </c>
      <c r="C1101" s="14" t="s">
        <v>2008</v>
      </c>
      <c r="G1101" s="15" t="str">
        <f>IFERROR(__xludf.DUMMYFUNCTION("""COMPUTED_VALUE"""),"LIT 130 CM-01")</f>
        <v>LIT 130 CM-01</v>
      </c>
    </row>
    <row r="1102">
      <c r="A1102" s="14" t="s">
        <v>2009</v>
      </c>
      <c r="C1102" s="14" t="s">
        <v>2010</v>
      </c>
      <c r="G1102" s="15" t="str">
        <f>IFERROR(__xludf.DUMMYFUNCTION("""COMPUTED_VALUE"""),"LIT 134 CM-01")</f>
        <v>LIT 134 CM-01</v>
      </c>
    </row>
    <row r="1103">
      <c r="A1103" s="14" t="s">
        <v>2011</v>
      </c>
      <c r="C1103" s="14" t="s">
        <v>2012</v>
      </c>
      <c r="G1103" s="15" t="str">
        <f>IFERROR(__xludf.DUMMYFUNCTION("""COMPUTED_VALUE"""),"LIT 141 HM-01")</f>
        <v>LIT 141 HM-01</v>
      </c>
    </row>
    <row r="1104">
      <c r="A1104" s="14" t="s">
        <v>2013</v>
      </c>
      <c r="C1104" s="14" t="s">
        <v>2014</v>
      </c>
      <c r="G1104" s="15" t="str">
        <f>IFERROR(__xludf.DUMMYFUNCTION("""COMPUTED_VALUE"""),"LIT 152 CM-01")</f>
        <v>LIT 152 CM-01</v>
      </c>
    </row>
    <row r="1105">
      <c r="A1105" s="14" t="s">
        <v>2015</v>
      </c>
      <c r="C1105" s="14" t="s">
        <v>2016</v>
      </c>
      <c r="G1105" s="15" t="str">
        <f>IFERROR(__xludf.DUMMYFUNCTION("""COMPUTED_VALUE"""),"LIT 165 AF-01")</f>
        <v>LIT 165 AF-01</v>
      </c>
    </row>
    <row r="1106">
      <c r="A1106" s="14" t="s">
        <v>2017</v>
      </c>
      <c r="C1106" s="14" t="s">
        <v>2018</v>
      </c>
      <c r="G1106" s="15" t="str">
        <f>IFERROR(__xludf.DUMMYFUNCTION("""COMPUTED_VALUE"""),"LIT 181 CM-01")</f>
        <v>LIT 181 CM-01</v>
      </c>
    </row>
    <row r="1107">
      <c r="A1107" s="14" t="s">
        <v>2019</v>
      </c>
      <c r="C1107" s="14" t="s">
        <v>2020</v>
      </c>
      <c r="G1107" s="15" t="str">
        <f>IFERROR(__xludf.DUMMYFUNCTION("""COMPUTED_VALUE"""),"LIT 183 CM-01")</f>
        <v>LIT 183 CM-01</v>
      </c>
    </row>
    <row r="1108">
      <c r="A1108" s="14" t="s">
        <v>2021</v>
      </c>
      <c r="C1108" s="14" t="s">
        <v>2022</v>
      </c>
      <c r="G1108" s="15" t="str">
        <f>IFERROR(__xludf.DUMMYFUNCTION("""COMPUTED_VALUE"""),"LIT 185 CM-01")</f>
        <v>LIT 185 CM-01</v>
      </c>
    </row>
    <row r="1109">
      <c r="A1109" s="14" t="s">
        <v>2023</v>
      </c>
      <c r="C1109" s="14" t="s">
        <v>2024</v>
      </c>
      <c r="G1109" s="15" t="str">
        <f>IFERROR(__xludf.DUMMYFUNCTION("""COMPUTED_VALUE"""),"MATH 008 PZ-01")</f>
        <v>MATH 008 PZ-01</v>
      </c>
    </row>
    <row r="1110">
      <c r="A1110" s="14" t="s">
        <v>2025</v>
      </c>
      <c r="C1110" s="14" t="s">
        <v>42</v>
      </c>
      <c r="G1110" s="15" t="str">
        <f>IFERROR(__xludf.DUMMYFUNCTION("""COMPUTED_VALUE"""),"MATH 030 CM-01")</f>
        <v>MATH 030 CM-01</v>
      </c>
    </row>
    <row r="1111">
      <c r="A1111" s="14" t="s">
        <v>2026</v>
      </c>
      <c r="C1111" s="14" t="s">
        <v>42</v>
      </c>
      <c r="G1111" s="15" t="str">
        <f>IFERROR(__xludf.DUMMYFUNCTION("""COMPUTED_VALUE"""),"MATH 030 CM-02")</f>
        <v>MATH 030 CM-02</v>
      </c>
    </row>
    <row r="1112">
      <c r="A1112" s="14" t="s">
        <v>2027</v>
      </c>
      <c r="C1112" s="14" t="s">
        <v>42</v>
      </c>
      <c r="G1112" s="15" t="str">
        <f>IFERROR(__xludf.DUMMYFUNCTION("""COMPUTED_VALUE"""),"MATH 030 CM-03")</f>
        <v>MATH 030 CM-03</v>
      </c>
    </row>
    <row r="1113">
      <c r="A1113" s="14" t="s">
        <v>2028</v>
      </c>
      <c r="C1113" s="14" t="s">
        <v>42</v>
      </c>
      <c r="G1113" s="15" t="str">
        <f>IFERROR(__xludf.DUMMYFUNCTION("""COMPUTED_VALUE"""),"MATH 030 PO-01")</f>
        <v>MATH 030 PO-01</v>
      </c>
    </row>
    <row r="1114">
      <c r="A1114" s="14" t="s">
        <v>2029</v>
      </c>
      <c r="C1114" s="14" t="s">
        <v>42</v>
      </c>
      <c r="G1114" s="15" t="str">
        <f>IFERROR(__xludf.DUMMYFUNCTION("""COMPUTED_VALUE"""),"MATH 030 PO-02")</f>
        <v>MATH 030 PO-02</v>
      </c>
    </row>
    <row r="1115">
      <c r="A1115" s="14" t="s">
        <v>2030</v>
      </c>
      <c r="C1115" s="14" t="s">
        <v>42</v>
      </c>
      <c r="G1115" s="15" t="str">
        <f>IFERROR(__xludf.DUMMYFUNCTION("""COMPUTED_VALUE"""),"MATH 030 PZ-01")</f>
        <v>MATH 030 PZ-01</v>
      </c>
    </row>
    <row r="1116">
      <c r="A1116" s="14" t="s">
        <v>2031</v>
      </c>
      <c r="C1116" s="14" t="s">
        <v>42</v>
      </c>
      <c r="G1116" s="15" t="str">
        <f>IFERROR(__xludf.DUMMYFUNCTION("""COMPUTED_VALUE"""),"MATH 030 SC-01")</f>
        <v>MATH 030 SC-01</v>
      </c>
    </row>
    <row r="1117">
      <c r="A1117" s="14" t="s">
        <v>2032</v>
      </c>
      <c r="C1117" s="14" t="s">
        <v>2033</v>
      </c>
      <c r="G1117" s="15" t="str">
        <f>IFERROR(__xludf.DUMMYFUNCTION("""COMPUTED_VALUE"""),"MATH 031 CM-01")</f>
        <v>MATH 031 CM-01</v>
      </c>
    </row>
    <row r="1118">
      <c r="A1118" s="14" t="s">
        <v>2034</v>
      </c>
      <c r="C1118" s="14" t="s">
        <v>2033</v>
      </c>
      <c r="G1118" s="15" t="str">
        <f>IFERROR(__xludf.DUMMYFUNCTION("""COMPUTED_VALUE"""),"MATH 031 PO-01")</f>
        <v>MATH 031 PO-01</v>
      </c>
    </row>
    <row r="1119">
      <c r="A1119" s="14" t="s">
        <v>2035</v>
      </c>
      <c r="C1119" s="14" t="s">
        <v>2033</v>
      </c>
      <c r="G1119" s="15" t="str">
        <f>IFERROR(__xludf.DUMMYFUNCTION("""COMPUTED_VALUE"""),"MATH 031 PZ-01")</f>
        <v>MATH 031 PZ-01</v>
      </c>
    </row>
    <row r="1120">
      <c r="A1120" s="14" t="s">
        <v>2036</v>
      </c>
      <c r="C1120" s="14" t="s">
        <v>2033</v>
      </c>
      <c r="G1120" s="15" t="str">
        <f>IFERROR(__xludf.DUMMYFUNCTION("""COMPUTED_VALUE"""),"MATH 031 SC-01")</f>
        <v>MATH 031 SC-01</v>
      </c>
    </row>
    <row r="1121">
      <c r="A1121" s="14" t="s">
        <v>2037</v>
      </c>
      <c r="C1121" s="14" t="s">
        <v>2038</v>
      </c>
      <c r="G1121" s="15" t="str">
        <f>IFERROR(__xludf.DUMMYFUNCTION("""COMPUTED_VALUE"""),"MATH 031A CM-01")</f>
        <v>MATH 031A CM-01</v>
      </c>
    </row>
    <row r="1122">
      <c r="A1122" s="14" t="s">
        <v>2039</v>
      </c>
      <c r="C1122" s="14" t="s">
        <v>2040</v>
      </c>
      <c r="G1122" s="15" t="str">
        <f>IFERROR(__xludf.DUMMYFUNCTION("""COMPUTED_VALUE"""),"MATH 031H PO-01")</f>
        <v>MATH 031H PO-01</v>
      </c>
    </row>
    <row r="1123">
      <c r="A1123" s="14" t="s">
        <v>2041</v>
      </c>
      <c r="C1123" s="14" t="s">
        <v>2042</v>
      </c>
      <c r="G1123" s="15" t="str">
        <f>IFERROR(__xludf.DUMMYFUNCTION("""COMPUTED_VALUE"""),"MATH 032 CM-01")</f>
        <v>MATH 032 CM-01</v>
      </c>
    </row>
    <row r="1124">
      <c r="A1124" s="14" t="s">
        <v>2043</v>
      </c>
      <c r="C1124" s="14" t="s">
        <v>2042</v>
      </c>
      <c r="G1124" s="15" t="str">
        <f>IFERROR(__xludf.DUMMYFUNCTION("""COMPUTED_VALUE"""),"MATH 032 CM-02")</f>
        <v>MATH 032 CM-02</v>
      </c>
    </row>
    <row r="1125">
      <c r="A1125" s="14" t="s">
        <v>2044</v>
      </c>
      <c r="C1125" s="14" t="s">
        <v>2042</v>
      </c>
      <c r="G1125" s="15" t="str">
        <f>IFERROR(__xludf.DUMMYFUNCTION("""COMPUTED_VALUE"""),"MATH 032 PO-01")</f>
        <v>MATH 032 PO-01</v>
      </c>
    </row>
    <row r="1126">
      <c r="A1126" s="14" t="s">
        <v>2045</v>
      </c>
      <c r="C1126" s="14" t="s">
        <v>2042</v>
      </c>
      <c r="G1126" s="15" t="str">
        <f>IFERROR(__xludf.DUMMYFUNCTION("""COMPUTED_VALUE"""),"MATH 032 PO-02")</f>
        <v>MATH 032 PO-02</v>
      </c>
    </row>
    <row r="1127">
      <c r="A1127" s="14" t="s">
        <v>2046</v>
      </c>
      <c r="C1127" s="14" t="s">
        <v>2042</v>
      </c>
      <c r="G1127" s="15" t="str">
        <f>IFERROR(__xludf.DUMMYFUNCTION("""COMPUTED_VALUE"""),"MATH 032 PZ-01")</f>
        <v>MATH 032 PZ-01</v>
      </c>
    </row>
    <row r="1128">
      <c r="A1128" s="14" t="s">
        <v>2047</v>
      </c>
      <c r="C1128" s="14" t="s">
        <v>2042</v>
      </c>
      <c r="G1128" s="15" t="str">
        <f>IFERROR(__xludf.DUMMYFUNCTION("""COMPUTED_VALUE"""),"MATH 032 SC-01")</f>
        <v>MATH 032 SC-01</v>
      </c>
    </row>
    <row r="1129">
      <c r="A1129" s="14" t="s">
        <v>2048</v>
      </c>
      <c r="C1129" s="14" t="s">
        <v>2049</v>
      </c>
      <c r="G1129" s="15" t="str">
        <f>IFERROR(__xludf.DUMMYFUNCTION("""COMPUTED_VALUE"""),"MATH 032S PO-01")</f>
        <v>MATH 032S PO-01</v>
      </c>
    </row>
    <row r="1130">
      <c r="A1130" s="14" t="s">
        <v>2050</v>
      </c>
      <c r="C1130" s="14" t="s">
        <v>2051</v>
      </c>
      <c r="G1130" s="15" t="str">
        <f>IFERROR(__xludf.DUMMYFUNCTION("""COMPUTED_VALUE"""),"MATH 052 CM-01")</f>
        <v>MATH 052 CM-01</v>
      </c>
    </row>
    <row r="1131">
      <c r="A1131" s="14" t="s">
        <v>2052</v>
      </c>
      <c r="C1131" s="14" t="s">
        <v>67</v>
      </c>
      <c r="G1131" s="15" t="str">
        <f>IFERROR(__xludf.DUMMYFUNCTION("""COMPUTED_VALUE"""),"MATH 055 CM-01")</f>
        <v>MATH 055 CM-01</v>
      </c>
    </row>
    <row r="1132">
      <c r="A1132" s="14" t="s">
        <v>2053</v>
      </c>
      <c r="C1132" s="14" t="s">
        <v>67</v>
      </c>
      <c r="G1132" s="15" t="str">
        <f>IFERROR(__xludf.DUMMYFUNCTION("""COMPUTED_VALUE"""),"MATH 055 HM-01")</f>
        <v>MATH 055 HM-01</v>
      </c>
    </row>
    <row r="1133">
      <c r="A1133" s="14" t="s">
        <v>2054</v>
      </c>
      <c r="C1133" s="14" t="s">
        <v>67</v>
      </c>
      <c r="G1133" s="15" t="str">
        <f>IFERROR(__xludf.DUMMYFUNCTION("""COMPUTED_VALUE"""),"MATH 055 HM-02")</f>
        <v>MATH 055 HM-02</v>
      </c>
    </row>
    <row r="1134">
      <c r="A1134" s="14" t="s">
        <v>2055</v>
      </c>
      <c r="C1134" s="14" t="s">
        <v>67</v>
      </c>
      <c r="G1134" s="15" t="str">
        <f>IFERROR(__xludf.DUMMYFUNCTION("""COMPUTED_VALUE"""),"MATH 055 HM-03")</f>
        <v>MATH 055 HM-03</v>
      </c>
    </row>
    <row r="1135">
      <c r="A1135" s="14" t="s">
        <v>2056</v>
      </c>
      <c r="C1135" s="14" t="s">
        <v>67</v>
      </c>
      <c r="G1135" s="15" t="str">
        <f>IFERROR(__xludf.DUMMYFUNCTION("""COMPUTED_VALUE"""),"MATH 055 SC-01")</f>
        <v>MATH 055 SC-01</v>
      </c>
    </row>
    <row r="1136">
      <c r="A1136" s="14" t="s">
        <v>2057</v>
      </c>
      <c r="C1136" s="14" t="s">
        <v>2058</v>
      </c>
      <c r="G1136" s="15" t="str">
        <f>IFERROR(__xludf.DUMMYFUNCTION("""COMPUTED_VALUE"""),"MATH 058 PO-01")</f>
        <v>MATH 058 PO-01</v>
      </c>
    </row>
    <row r="1137">
      <c r="A1137" s="14" t="s">
        <v>2059</v>
      </c>
      <c r="C1137" s="14" t="s">
        <v>2060</v>
      </c>
      <c r="G1137" s="15" t="str">
        <f>IFERROR(__xludf.DUMMYFUNCTION("""COMPUTED_VALUE"""),"MATH 058B PO-01")</f>
        <v>MATH 058B PO-01</v>
      </c>
    </row>
    <row r="1138">
      <c r="A1138" s="14" t="s">
        <v>2061</v>
      </c>
      <c r="C1138" s="14" t="s">
        <v>76</v>
      </c>
      <c r="G1138" s="15" t="str">
        <f>IFERROR(__xludf.DUMMYFUNCTION("""COMPUTED_VALUE"""),"MATH 060 CM-01")</f>
        <v>MATH 060 CM-01</v>
      </c>
    </row>
    <row r="1139">
      <c r="A1139" s="14" t="s">
        <v>2062</v>
      </c>
      <c r="C1139" s="14" t="s">
        <v>76</v>
      </c>
      <c r="G1139" s="15" t="str">
        <f>IFERROR(__xludf.DUMMYFUNCTION("""COMPUTED_VALUE"""),"MATH 060 CM-02")</f>
        <v>MATH 060 CM-02</v>
      </c>
    </row>
    <row r="1140">
      <c r="A1140" s="14" t="s">
        <v>2063</v>
      </c>
      <c r="C1140" s="14" t="s">
        <v>76</v>
      </c>
      <c r="G1140" s="15" t="str">
        <f>IFERROR(__xludf.DUMMYFUNCTION("""COMPUTED_VALUE"""),"MATH 060 CM-03")</f>
        <v>MATH 060 CM-03</v>
      </c>
    </row>
    <row r="1141">
      <c r="A1141" s="14" t="s">
        <v>2064</v>
      </c>
      <c r="C1141" s="14" t="s">
        <v>76</v>
      </c>
      <c r="G1141" s="15" t="str">
        <f>IFERROR(__xludf.DUMMYFUNCTION("""COMPUTED_VALUE"""),"MATH 060 PO-01")</f>
        <v>MATH 060 PO-01</v>
      </c>
    </row>
    <row r="1142">
      <c r="A1142" s="14" t="s">
        <v>2065</v>
      </c>
      <c r="C1142" s="14" t="s">
        <v>76</v>
      </c>
      <c r="G1142" s="15" t="str">
        <f>IFERROR(__xludf.DUMMYFUNCTION("""COMPUTED_VALUE"""),"MATH 060 PO-02")</f>
        <v>MATH 060 PO-02</v>
      </c>
    </row>
    <row r="1143">
      <c r="A1143" s="14" t="s">
        <v>2066</v>
      </c>
      <c r="C1143" s="14" t="s">
        <v>76</v>
      </c>
      <c r="G1143" s="15" t="str">
        <f>IFERROR(__xludf.DUMMYFUNCTION("""COMPUTED_VALUE"""),"MATH 060 PO-03")</f>
        <v>MATH 060 PO-03</v>
      </c>
    </row>
    <row r="1144">
      <c r="A1144" s="14" t="s">
        <v>2067</v>
      </c>
      <c r="C1144" s="14" t="s">
        <v>76</v>
      </c>
      <c r="G1144" s="15" t="str">
        <f>IFERROR(__xludf.DUMMYFUNCTION("""COMPUTED_VALUE"""),"MATH 060 SC-01")</f>
        <v>MATH 060 SC-01</v>
      </c>
    </row>
    <row r="1145">
      <c r="A1145" s="14" t="s">
        <v>2068</v>
      </c>
      <c r="C1145" s="14" t="s">
        <v>2069</v>
      </c>
      <c r="G1145" s="15" t="str">
        <f>IFERROR(__xludf.DUMMYFUNCTION("""COMPUTED_VALUE"""),"MATH 062 HM-01")</f>
        <v>MATH 062 HM-01</v>
      </c>
    </row>
    <row r="1146">
      <c r="A1146" s="14" t="s">
        <v>2070</v>
      </c>
      <c r="C1146" s="14" t="s">
        <v>2071</v>
      </c>
      <c r="G1146" s="15" t="str">
        <f>IFERROR(__xludf.DUMMYFUNCTION("""COMPUTED_VALUE"""),"MATH 067 PO-01")</f>
        <v>MATH 067 PO-01</v>
      </c>
    </row>
    <row r="1147">
      <c r="A1147" s="14" t="s">
        <v>2072</v>
      </c>
      <c r="C1147" s="14" t="s">
        <v>2073</v>
      </c>
      <c r="G1147" s="15" t="str">
        <f>IFERROR(__xludf.DUMMYFUNCTION("""COMPUTED_VALUE"""),"MATH 070 HM-01")</f>
        <v>MATH 070 HM-01</v>
      </c>
    </row>
    <row r="1148">
      <c r="A1148" s="14" t="s">
        <v>2074</v>
      </c>
      <c r="C1148" s="14" t="s">
        <v>2075</v>
      </c>
      <c r="G1148" s="15" t="str">
        <f>IFERROR(__xludf.DUMMYFUNCTION("""COMPUTED_VALUE"""),"MATH 073 HM-01")</f>
        <v>MATH 073 HM-01</v>
      </c>
    </row>
    <row r="1149">
      <c r="A1149" s="14" t="s">
        <v>2076</v>
      </c>
      <c r="C1149" s="14" t="s">
        <v>2075</v>
      </c>
      <c r="G1149" s="15" t="str">
        <f>IFERROR(__xludf.DUMMYFUNCTION("""COMPUTED_VALUE"""),"MATH 073 HM-02")</f>
        <v>MATH 073 HM-02</v>
      </c>
    </row>
    <row r="1150">
      <c r="A1150" s="14" t="s">
        <v>2077</v>
      </c>
      <c r="C1150" s="14" t="s">
        <v>2075</v>
      </c>
      <c r="G1150" s="15" t="str">
        <f>IFERROR(__xludf.DUMMYFUNCTION("""COMPUTED_VALUE"""),"MATH 073 HM-03")</f>
        <v>MATH 073 HM-03</v>
      </c>
    </row>
    <row r="1151">
      <c r="A1151" s="14" t="s">
        <v>2078</v>
      </c>
      <c r="C1151" s="14" t="s">
        <v>2075</v>
      </c>
      <c r="G1151" s="15" t="str">
        <f>IFERROR(__xludf.DUMMYFUNCTION("""COMPUTED_VALUE"""),"MATH 073 HM-04")</f>
        <v>MATH 073 HM-04</v>
      </c>
    </row>
    <row r="1152">
      <c r="A1152" s="14" t="s">
        <v>2079</v>
      </c>
      <c r="C1152" s="14" t="s">
        <v>2075</v>
      </c>
      <c r="G1152" s="15" t="str">
        <f>IFERROR(__xludf.DUMMYFUNCTION("""COMPUTED_VALUE"""),"MATH 073 HM-05")</f>
        <v>MATH 073 HM-05</v>
      </c>
    </row>
    <row r="1153">
      <c r="A1153" s="14" t="s">
        <v>2080</v>
      </c>
      <c r="C1153" s="14" t="s">
        <v>2075</v>
      </c>
      <c r="G1153" s="15" t="str">
        <f>IFERROR(__xludf.DUMMYFUNCTION("""COMPUTED_VALUE"""),"MATH 073 HM-06")</f>
        <v>MATH 073 HM-06</v>
      </c>
    </row>
    <row r="1154">
      <c r="A1154" s="14" t="s">
        <v>2081</v>
      </c>
      <c r="C1154" s="14" t="s">
        <v>2075</v>
      </c>
      <c r="G1154" s="15" t="str">
        <f>IFERROR(__xludf.DUMMYFUNCTION("""COMPUTED_VALUE"""),"MATH 073 HM-07")</f>
        <v>MATH 073 HM-07</v>
      </c>
    </row>
    <row r="1155">
      <c r="A1155" s="14" t="s">
        <v>2082</v>
      </c>
      <c r="C1155" s="14" t="s">
        <v>2075</v>
      </c>
      <c r="G1155" s="15" t="str">
        <f>IFERROR(__xludf.DUMMYFUNCTION("""COMPUTED_VALUE"""),"MATH 073 HM-08")</f>
        <v>MATH 073 HM-08</v>
      </c>
    </row>
    <row r="1156">
      <c r="A1156" s="14" t="s">
        <v>2083</v>
      </c>
      <c r="C1156" s="14" t="s">
        <v>2084</v>
      </c>
      <c r="G1156" s="15" t="str">
        <f>IFERROR(__xludf.DUMMYFUNCTION("""COMPUTED_VALUE"""),"MATH 080 HM-01")</f>
        <v>MATH 080 HM-01</v>
      </c>
    </row>
    <row r="1157">
      <c r="A1157" s="14" t="s">
        <v>2085</v>
      </c>
      <c r="C1157" s="14" t="s">
        <v>2086</v>
      </c>
      <c r="G1157" s="15" t="str">
        <f>IFERROR(__xludf.DUMMYFUNCTION("""COMPUTED_VALUE"""),"MATH 101 PO-01")</f>
        <v>MATH 101 PO-01</v>
      </c>
    </row>
    <row r="1158">
      <c r="A1158" s="14" t="s">
        <v>2087</v>
      </c>
      <c r="C1158" s="14" t="s">
        <v>2088</v>
      </c>
      <c r="G1158" s="15" t="str">
        <f>IFERROR(__xludf.DUMMYFUNCTION("""COMPUTED_VALUE"""),"MATH 102 PO-01")</f>
        <v>MATH 102 PO-01</v>
      </c>
    </row>
    <row r="1159">
      <c r="A1159" s="14" t="s">
        <v>2089</v>
      </c>
      <c r="C1159" s="14" t="s">
        <v>2088</v>
      </c>
      <c r="G1159" s="15" t="str">
        <f>IFERROR(__xludf.DUMMYFUNCTION("""COMPUTED_VALUE"""),"MATH 102 PZ-01")</f>
        <v>MATH 102 PZ-01</v>
      </c>
    </row>
    <row r="1160">
      <c r="A1160" s="14" t="s">
        <v>2090</v>
      </c>
      <c r="C1160" s="14" t="s">
        <v>2088</v>
      </c>
      <c r="G1160" s="15" t="str">
        <f>IFERROR(__xludf.DUMMYFUNCTION("""COMPUTED_VALUE"""),"MATH 102 SC-01")</f>
        <v>MATH 102 SC-01</v>
      </c>
    </row>
    <row r="1161">
      <c r="A1161" s="14" t="s">
        <v>56</v>
      </c>
      <c r="C1161" s="14" t="s">
        <v>2091</v>
      </c>
      <c r="G1161" s="15" t="str">
        <f>IFERROR(__xludf.DUMMYFUNCTION("""COMPUTED_VALUE"""),"MATH 103 PO-01")</f>
        <v>MATH 103 PO-01</v>
      </c>
    </row>
    <row r="1162">
      <c r="A1162" s="14" t="s">
        <v>24</v>
      </c>
      <c r="C1162" s="14" t="s">
        <v>2092</v>
      </c>
      <c r="G1162" s="15" t="str">
        <f>IFERROR(__xludf.DUMMYFUNCTION("""COMPUTED_VALUE"""),"MATH 104 HM-01")</f>
        <v>MATH 104 HM-01</v>
      </c>
    </row>
    <row r="1163">
      <c r="A1163" s="14" t="s">
        <v>2093</v>
      </c>
      <c r="C1163" s="14" t="s">
        <v>2094</v>
      </c>
      <c r="G1163" s="15" t="str">
        <f>IFERROR(__xludf.DUMMYFUNCTION("""COMPUTED_VALUE"""),"MATH 111 CM-01")</f>
        <v>MATH 111 CM-01</v>
      </c>
    </row>
    <row r="1164">
      <c r="A1164" s="14" t="s">
        <v>2095</v>
      </c>
      <c r="C1164" s="14" t="s">
        <v>2096</v>
      </c>
      <c r="G1164" s="15" t="str">
        <f>IFERROR(__xludf.DUMMYFUNCTION("""COMPUTED_VALUE"""),"MATH 112 PO-01")</f>
        <v>MATH 112 PO-01</v>
      </c>
    </row>
    <row r="1165">
      <c r="A1165" s="14" t="s">
        <v>2097</v>
      </c>
      <c r="C1165" s="14" t="s">
        <v>2098</v>
      </c>
      <c r="G1165" s="15" t="str">
        <f>IFERROR(__xludf.DUMMYFUNCTION("""COMPUTED_VALUE"""),"MATH 115 HM-01")</f>
        <v>MATH 115 HM-01</v>
      </c>
    </row>
    <row r="1166">
      <c r="A1166" s="14" t="s">
        <v>2099</v>
      </c>
      <c r="C1166" s="14" t="s">
        <v>93</v>
      </c>
      <c r="G1166" s="15" t="str">
        <f>IFERROR(__xludf.DUMMYFUNCTION("""COMPUTED_VALUE"""),"MATH 131 CM-01")</f>
        <v>MATH 131 CM-01</v>
      </c>
    </row>
    <row r="1167">
      <c r="A1167" s="14" t="s">
        <v>2100</v>
      </c>
      <c r="C1167" s="14" t="s">
        <v>93</v>
      </c>
      <c r="G1167" s="15" t="str">
        <f>IFERROR(__xludf.DUMMYFUNCTION("""COMPUTED_VALUE"""),"MATH 131 HM-01")</f>
        <v>MATH 131 HM-01</v>
      </c>
    </row>
    <row r="1168">
      <c r="A1168" s="14" t="s">
        <v>2101</v>
      </c>
      <c r="C1168" s="14" t="s">
        <v>93</v>
      </c>
      <c r="G1168" s="15" t="str">
        <f>IFERROR(__xludf.DUMMYFUNCTION("""COMPUTED_VALUE"""),"MATH 131 HM-02")</f>
        <v>MATH 131 HM-02</v>
      </c>
    </row>
    <row r="1169">
      <c r="A1169" s="14" t="s">
        <v>2102</v>
      </c>
      <c r="C1169" s="14" t="s">
        <v>2103</v>
      </c>
      <c r="G1169" s="15" t="str">
        <f>IFERROR(__xludf.DUMMYFUNCTION("""COMPUTED_VALUE"""),"MATH 132 PO-01")</f>
        <v>MATH 132 PO-01</v>
      </c>
    </row>
    <row r="1170">
      <c r="A1170" s="14" t="s">
        <v>2104</v>
      </c>
      <c r="C1170" s="14" t="s">
        <v>2105</v>
      </c>
      <c r="G1170" s="15" t="str">
        <f>IFERROR(__xludf.DUMMYFUNCTION("""COMPUTED_VALUE"""),"MATH 135 SC-01")</f>
        <v>MATH 135 SC-01</v>
      </c>
    </row>
    <row r="1171">
      <c r="A1171" s="14" t="s">
        <v>2106</v>
      </c>
      <c r="C1171" s="14" t="s">
        <v>2107</v>
      </c>
      <c r="G1171" s="15" t="str">
        <f>IFERROR(__xludf.DUMMYFUNCTION("""COMPUTED_VALUE"""),"MATH 138 CM-01")</f>
        <v>MATH 138 CM-01</v>
      </c>
    </row>
    <row r="1172">
      <c r="A1172" s="14" t="s">
        <v>2108</v>
      </c>
      <c r="C1172" s="14" t="s">
        <v>2109</v>
      </c>
      <c r="G1172" s="15" t="str">
        <f>IFERROR(__xludf.DUMMYFUNCTION("""COMPUTED_VALUE"""),"MATH 145 PO-01")</f>
        <v>MATH 145 PO-01</v>
      </c>
    </row>
    <row r="1173">
      <c r="A1173" s="14" t="s">
        <v>2110</v>
      </c>
      <c r="C1173" s="14" t="s">
        <v>2111</v>
      </c>
      <c r="G1173" s="15" t="str">
        <f>IFERROR(__xludf.DUMMYFUNCTION("""COMPUTED_VALUE"""),"MATH 150 PO-01")</f>
        <v>MATH 150 PO-01</v>
      </c>
    </row>
    <row r="1174">
      <c r="A1174" s="14" t="s">
        <v>2112</v>
      </c>
      <c r="C1174" s="14" t="s">
        <v>2113</v>
      </c>
      <c r="G1174" s="15" t="str">
        <f>IFERROR(__xludf.DUMMYFUNCTION("""COMPUTED_VALUE"""),"MATH 151 CM-01")</f>
        <v>MATH 151 CM-01</v>
      </c>
    </row>
    <row r="1175">
      <c r="A1175" s="14" t="s">
        <v>2114</v>
      </c>
      <c r="C1175" s="14" t="s">
        <v>2113</v>
      </c>
      <c r="G1175" s="15" t="str">
        <f>IFERROR(__xludf.DUMMYFUNCTION("""COMPUTED_VALUE"""),"MATH 151 PO-01")</f>
        <v>MATH 151 PO-01</v>
      </c>
    </row>
    <row r="1176">
      <c r="A1176" s="14" t="s">
        <v>2115</v>
      </c>
      <c r="C1176" s="14" t="s">
        <v>2116</v>
      </c>
      <c r="G1176" s="15" t="str">
        <f>IFERROR(__xludf.DUMMYFUNCTION("""COMPUTED_VALUE"""),"MATH 152 CM-01")</f>
        <v>MATH 152 CM-01</v>
      </c>
    </row>
    <row r="1177">
      <c r="A1177" s="14" t="s">
        <v>44</v>
      </c>
      <c r="C1177" s="14" t="s">
        <v>2117</v>
      </c>
      <c r="G1177" s="15" t="str">
        <f>IFERROR(__xludf.DUMMYFUNCTION("""COMPUTED_VALUE"""),"MATH 155 HM-01")</f>
        <v>MATH 155 HM-01</v>
      </c>
    </row>
    <row r="1178">
      <c r="A1178" s="14" t="s">
        <v>2118</v>
      </c>
      <c r="C1178" s="14" t="s">
        <v>2119</v>
      </c>
      <c r="G1178" s="15" t="str">
        <f>IFERROR(__xludf.DUMMYFUNCTION("""COMPUTED_VALUE"""),"MATH 157 HM-01")</f>
        <v>MATH 157 HM-01</v>
      </c>
    </row>
    <row r="1179">
      <c r="A1179" s="14" t="s">
        <v>2120</v>
      </c>
      <c r="C1179" s="14" t="s">
        <v>2121</v>
      </c>
      <c r="G1179" s="15" t="str">
        <f>IFERROR(__xludf.DUMMYFUNCTION("""COMPUTED_VALUE"""),"MATH 158 PO-01")</f>
        <v>MATH 158 PO-01</v>
      </c>
    </row>
    <row r="1180">
      <c r="A1180" s="14" t="s">
        <v>2122</v>
      </c>
      <c r="C1180" s="14" t="s">
        <v>2123</v>
      </c>
      <c r="G1180" s="15" t="str">
        <f>IFERROR(__xludf.DUMMYFUNCTION("""COMPUTED_VALUE"""),"MATH 160 CM-01")</f>
        <v>MATH 160 CM-01</v>
      </c>
    </row>
    <row r="1181">
      <c r="A1181" s="14" t="s">
        <v>54</v>
      </c>
      <c r="C1181" s="14" t="s">
        <v>2124</v>
      </c>
      <c r="G1181" s="15" t="str">
        <f>IFERROR(__xludf.DUMMYFUNCTION("""COMPUTED_VALUE"""),"MATH 164 HM-01")</f>
        <v>MATH 164 HM-01</v>
      </c>
    </row>
    <row r="1182">
      <c r="A1182" s="14" t="s">
        <v>2125</v>
      </c>
      <c r="C1182" s="14" t="s">
        <v>2126</v>
      </c>
      <c r="G1182" s="15" t="str">
        <f>IFERROR(__xludf.DUMMYFUNCTION("""COMPUTED_VALUE"""),"MATH 168 HM-01")</f>
        <v>MATH 168 HM-01</v>
      </c>
    </row>
    <row r="1183">
      <c r="A1183" s="14" t="s">
        <v>2127</v>
      </c>
      <c r="C1183" s="14" t="s">
        <v>2126</v>
      </c>
      <c r="G1183" s="15" t="str">
        <f>IFERROR(__xludf.DUMMYFUNCTION("""COMPUTED_VALUE"""),"MATH 168 HM-02")</f>
        <v>MATH 168 HM-02</v>
      </c>
    </row>
    <row r="1184">
      <c r="A1184" s="14" t="s">
        <v>2128</v>
      </c>
      <c r="C1184" s="14" t="s">
        <v>86</v>
      </c>
      <c r="G1184" s="15" t="str">
        <f>IFERROR(__xludf.DUMMYFUNCTION("""COMPUTED_VALUE"""),"MATH 171 HM-01")</f>
        <v>MATH 171 HM-01</v>
      </c>
    </row>
    <row r="1185">
      <c r="A1185" s="14" t="s">
        <v>2129</v>
      </c>
      <c r="C1185" s="14" t="s">
        <v>86</v>
      </c>
      <c r="G1185" s="15" t="str">
        <f>IFERROR(__xludf.DUMMYFUNCTION("""COMPUTED_VALUE"""),"MATH 171 PO-01")</f>
        <v>MATH 171 PO-01</v>
      </c>
    </row>
    <row r="1186">
      <c r="A1186" s="14" t="s">
        <v>2130</v>
      </c>
      <c r="C1186" s="14" t="s">
        <v>2131</v>
      </c>
      <c r="G1186" s="15" t="str">
        <f>IFERROR(__xludf.DUMMYFUNCTION("""COMPUTED_VALUE"""),"MATH 172 CM-01")</f>
        <v>MATH 172 CM-01</v>
      </c>
    </row>
    <row r="1187">
      <c r="A1187" s="14" t="s">
        <v>2132</v>
      </c>
      <c r="C1187" s="14" t="s">
        <v>2133</v>
      </c>
      <c r="G1187" s="15" t="str">
        <f>IFERROR(__xludf.DUMMYFUNCTION("""COMPUTED_VALUE"""),"MATH 175 HM-01")</f>
        <v>MATH 175 HM-01</v>
      </c>
    </row>
    <row r="1188">
      <c r="A1188" s="14" t="s">
        <v>2134</v>
      </c>
      <c r="C1188" s="14" t="s">
        <v>2135</v>
      </c>
      <c r="G1188" s="15" t="str">
        <f>IFERROR(__xludf.DUMMYFUNCTION("""COMPUTED_VALUE"""),"MATH 176 HM-01")</f>
        <v>MATH 176 HM-01</v>
      </c>
    </row>
    <row r="1189">
      <c r="A1189" s="14" t="s">
        <v>2136</v>
      </c>
      <c r="C1189" s="14" t="s">
        <v>2137</v>
      </c>
      <c r="G1189" s="15" t="str">
        <f>IFERROR(__xludf.DUMMYFUNCTION("""COMPUTED_VALUE"""),"MATH 180 CM-01")</f>
        <v>MATH 180 CM-01</v>
      </c>
    </row>
    <row r="1190">
      <c r="A1190" s="14" t="s">
        <v>2138</v>
      </c>
      <c r="C1190" s="14" t="s">
        <v>2139</v>
      </c>
      <c r="G1190" s="15" t="str">
        <f>IFERROR(__xludf.DUMMYFUNCTION("""COMPUTED_VALUE"""),"MATH 181 PO-01")</f>
        <v>MATH 181 PO-01</v>
      </c>
    </row>
    <row r="1191">
      <c r="A1191" s="14" t="s">
        <v>2140</v>
      </c>
      <c r="C1191" s="14" t="s">
        <v>2141</v>
      </c>
      <c r="G1191" s="15" t="str">
        <f>IFERROR(__xludf.DUMMYFUNCTION("""COMPUTED_VALUE"""),"MATH 189AA HM-01")</f>
        <v>MATH 189AA HM-01</v>
      </c>
    </row>
    <row r="1192">
      <c r="A1192" s="14" t="s">
        <v>2142</v>
      </c>
      <c r="C1192" s="14" t="s">
        <v>2143</v>
      </c>
      <c r="G1192" s="15" t="str">
        <f>IFERROR(__xludf.DUMMYFUNCTION("""COMPUTED_VALUE"""),"MATH 190 CM-01")</f>
        <v>MATH 190 CM-01</v>
      </c>
    </row>
    <row r="1193">
      <c r="A1193" s="14" t="s">
        <v>2144</v>
      </c>
      <c r="C1193" s="14" t="s">
        <v>2145</v>
      </c>
      <c r="G1193" s="15" t="str">
        <f>IFERROR(__xludf.DUMMYFUNCTION("""COMPUTED_VALUE"""),"MATH 191 CM-01")</f>
        <v>MATH 191 CM-01</v>
      </c>
    </row>
    <row r="1194">
      <c r="A1194" s="14" t="s">
        <v>2146</v>
      </c>
      <c r="C1194" s="14" t="s">
        <v>2145</v>
      </c>
      <c r="G1194" s="15" t="str">
        <f>IFERROR(__xludf.DUMMYFUNCTION("""COMPUTED_VALUE"""),"MATH 191 PO-04")</f>
        <v>MATH 191 PO-04</v>
      </c>
    </row>
    <row r="1195">
      <c r="A1195" s="14" t="s">
        <v>2147</v>
      </c>
      <c r="C1195" s="14" t="s">
        <v>2148</v>
      </c>
      <c r="G1195" s="15" t="str">
        <f>IFERROR(__xludf.DUMMYFUNCTION("""COMPUTED_VALUE"""),"MATH 193 HM-01")</f>
        <v>MATH 193 HM-01</v>
      </c>
    </row>
    <row r="1196">
      <c r="A1196" s="14" t="s">
        <v>2149</v>
      </c>
      <c r="C1196" s="14" t="s">
        <v>2150</v>
      </c>
      <c r="G1196" s="15" t="str">
        <f>IFERROR(__xludf.DUMMYFUNCTION("""COMPUTED_VALUE"""),"MATH 195 CM-01")</f>
        <v>MATH 195 CM-01</v>
      </c>
    </row>
    <row r="1197">
      <c r="A1197" s="14" t="s">
        <v>2151</v>
      </c>
      <c r="C1197" s="14" t="s">
        <v>2152</v>
      </c>
      <c r="G1197" s="15" t="str">
        <f>IFERROR(__xludf.DUMMYFUNCTION("""COMPUTED_VALUE"""),"MATH 196 HM-01")</f>
        <v>MATH 196 HM-01</v>
      </c>
    </row>
    <row r="1198">
      <c r="A1198" s="14" t="s">
        <v>2153</v>
      </c>
      <c r="C1198" s="14" t="s">
        <v>2154</v>
      </c>
      <c r="G1198" s="15" t="str">
        <f>IFERROR(__xludf.DUMMYFUNCTION("""COMPUTED_VALUE"""),"MATH 197 HM-01")</f>
        <v>MATH 197 HM-01</v>
      </c>
    </row>
    <row r="1199">
      <c r="A1199" s="14" t="s">
        <v>2155</v>
      </c>
      <c r="C1199" s="14" t="s">
        <v>2154</v>
      </c>
      <c r="G1199" s="15" t="str">
        <f>IFERROR(__xludf.DUMMYFUNCTION("""COMPUTED_VALUE"""),"MATH 197 HM-02")</f>
        <v>MATH 197 HM-02</v>
      </c>
    </row>
    <row r="1200">
      <c r="A1200" s="14" t="s">
        <v>2156</v>
      </c>
      <c r="C1200" s="14" t="s">
        <v>2154</v>
      </c>
      <c r="G1200" s="15" t="str">
        <f>IFERROR(__xludf.DUMMYFUNCTION("""COMPUTED_VALUE"""),"MATH 197 HM-03")</f>
        <v>MATH 197 HM-03</v>
      </c>
    </row>
    <row r="1201">
      <c r="A1201" s="14" t="s">
        <v>2157</v>
      </c>
      <c r="C1201" s="14" t="s">
        <v>2154</v>
      </c>
      <c r="G1201" s="15" t="str">
        <f>IFERROR(__xludf.DUMMYFUNCTION("""COMPUTED_VALUE"""),"MATH 197 HM-04")</f>
        <v>MATH 197 HM-04</v>
      </c>
    </row>
    <row r="1202">
      <c r="A1202" s="14" t="s">
        <v>41</v>
      </c>
      <c r="C1202" s="14" t="s">
        <v>2154</v>
      </c>
      <c r="G1202" s="15" t="str">
        <f>IFERROR(__xludf.DUMMYFUNCTION("""COMPUTED_VALUE"""),"MATH 197 HM-05")</f>
        <v>MATH 197 HM-05</v>
      </c>
    </row>
    <row r="1203">
      <c r="A1203" s="14" t="s">
        <v>2158</v>
      </c>
      <c r="C1203" s="14" t="s">
        <v>2154</v>
      </c>
      <c r="G1203" s="15" t="str">
        <f>IFERROR(__xludf.DUMMYFUNCTION("""COMPUTED_VALUE"""),"MATH 197 HM-06")</f>
        <v>MATH 197 HM-06</v>
      </c>
    </row>
    <row r="1204">
      <c r="A1204" s="14" t="s">
        <v>2159</v>
      </c>
      <c r="C1204" s="14" t="s">
        <v>2154</v>
      </c>
      <c r="G1204" s="15" t="str">
        <f>IFERROR(__xludf.DUMMYFUNCTION("""COMPUTED_VALUE"""),"MATH 197 HM-07")</f>
        <v>MATH 197 HM-07</v>
      </c>
    </row>
    <row r="1205">
      <c r="A1205" s="14" t="s">
        <v>2160</v>
      </c>
      <c r="C1205" s="14" t="s">
        <v>2154</v>
      </c>
      <c r="G1205" s="15" t="str">
        <f>IFERROR(__xludf.DUMMYFUNCTION("""COMPUTED_VALUE"""),"MATH 197 HM-09")</f>
        <v>MATH 197 HM-09</v>
      </c>
    </row>
    <row r="1206">
      <c r="A1206" s="14" t="s">
        <v>2161</v>
      </c>
      <c r="C1206" s="14" t="s">
        <v>2154</v>
      </c>
      <c r="G1206" s="15" t="str">
        <f>IFERROR(__xludf.DUMMYFUNCTION("""COMPUTED_VALUE"""),"MATH 197 HM-10")</f>
        <v>MATH 197 HM-10</v>
      </c>
    </row>
    <row r="1207">
      <c r="A1207" s="14" t="s">
        <v>2162</v>
      </c>
      <c r="C1207" s="14" t="s">
        <v>2154</v>
      </c>
      <c r="G1207" s="15" t="str">
        <f>IFERROR(__xludf.DUMMYFUNCTION("""COMPUTED_VALUE"""),"MATH 197 HM-11")</f>
        <v>MATH 197 HM-11</v>
      </c>
    </row>
    <row r="1208">
      <c r="A1208" s="14" t="s">
        <v>2163</v>
      </c>
      <c r="C1208" s="14" t="s">
        <v>2154</v>
      </c>
      <c r="G1208" s="15" t="str">
        <f>IFERROR(__xludf.DUMMYFUNCTION("""COMPUTED_VALUE"""),"MATH 197 HM-12")</f>
        <v>MATH 197 HM-12</v>
      </c>
    </row>
    <row r="1209">
      <c r="A1209" s="14" t="s">
        <v>2164</v>
      </c>
      <c r="C1209" s="14" t="s">
        <v>2154</v>
      </c>
      <c r="G1209" s="15" t="str">
        <f>IFERROR(__xludf.DUMMYFUNCTION("""COMPUTED_VALUE"""),"MATH 197 HM-13")</f>
        <v>MATH 197 HM-13</v>
      </c>
    </row>
    <row r="1210">
      <c r="A1210" s="14" t="s">
        <v>2165</v>
      </c>
      <c r="C1210" s="14" t="s">
        <v>2154</v>
      </c>
      <c r="G1210" s="15" t="str">
        <f>IFERROR(__xludf.DUMMYFUNCTION("""COMPUTED_VALUE"""),"MATH 197 HM-14")</f>
        <v>MATH 197 HM-14</v>
      </c>
    </row>
    <row r="1211">
      <c r="A1211" s="14" t="s">
        <v>2166</v>
      </c>
      <c r="C1211" s="14" t="s">
        <v>2167</v>
      </c>
      <c r="G1211" s="15" t="str">
        <f>IFERROR(__xludf.DUMMYFUNCTION("""COMPUTED_VALUE"""),"MATH 198 HM-01")</f>
        <v>MATH 198 HM-01</v>
      </c>
    </row>
    <row r="1212">
      <c r="A1212" s="14" t="s">
        <v>2168</v>
      </c>
      <c r="C1212" s="14" t="s">
        <v>2167</v>
      </c>
      <c r="G1212" s="15" t="str">
        <f>IFERROR(__xludf.DUMMYFUNCTION("""COMPUTED_VALUE"""),"MATH 198 HM-02")</f>
        <v>MATH 198 HM-02</v>
      </c>
    </row>
    <row r="1213">
      <c r="A1213" s="14" t="s">
        <v>2169</v>
      </c>
      <c r="C1213" s="14" t="s">
        <v>2167</v>
      </c>
      <c r="G1213" s="15" t="str">
        <f>IFERROR(__xludf.DUMMYFUNCTION("""COMPUTED_VALUE"""),"MATH 198 HM-03")</f>
        <v>MATH 198 HM-03</v>
      </c>
    </row>
    <row r="1214">
      <c r="A1214" s="14" t="s">
        <v>2170</v>
      </c>
      <c r="C1214" s="14" t="s">
        <v>2171</v>
      </c>
      <c r="G1214" s="15" t="str">
        <f>IFERROR(__xludf.DUMMYFUNCTION("""COMPUTED_VALUE"""),"MATH 199 HM-01")</f>
        <v>MATH 199 HM-01</v>
      </c>
    </row>
    <row r="1215">
      <c r="A1215" s="14" t="s">
        <v>59</v>
      </c>
      <c r="C1215" s="14" t="s">
        <v>2172</v>
      </c>
      <c r="G1215" s="15" t="str">
        <f>IFERROR(__xludf.DUMMYFUNCTION("""COMPUTED_VALUE"""),"MCBI 118A HM-01")</f>
        <v>MCBI 118A HM-01</v>
      </c>
    </row>
    <row r="1216">
      <c r="A1216" s="14" t="s">
        <v>61</v>
      </c>
      <c r="C1216" s="14" t="s">
        <v>2173</v>
      </c>
      <c r="G1216" s="15" t="str">
        <f>IFERROR(__xludf.DUMMYFUNCTION("""COMPUTED_VALUE"""),"MCBI 118B HM-01")</f>
        <v>MCBI 118B HM-01</v>
      </c>
    </row>
    <row r="1217">
      <c r="A1217" s="14" t="s">
        <v>2174</v>
      </c>
      <c r="C1217" s="14" t="s">
        <v>2175</v>
      </c>
      <c r="G1217" s="15" t="str">
        <f>IFERROR(__xludf.DUMMYFUNCTION("""COMPUTED_VALUE"""),"MCBI 199 HM-01")</f>
        <v>MCBI 199 HM-01</v>
      </c>
    </row>
    <row r="1218">
      <c r="A1218" s="14" t="s">
        <v>2176</v>
      </c>
      <c r="C1218" s="14" t="s">
        <v>2177</v>
      </c>
      <c r="G1218" s="15" t="str">
        <f>IFERROR(__xludf.DUMMYFUNCTION("""COMPUTED_VALUE"""),"MCSI 195 PZ-01")</f>
        <v>MCSI 195 PZ-01</v>
      </c>
    </row>
    <row r="1219">
      <c r="A1219" s="14" t="s">
        <v>2178</v>
      </c>
      <c r="C1219" s="14" t="s">
        <v>2179</v>
      </c>
      <c r="G1219" s="15" t="str">
        <f>IFERROR(__xludf.DUMMYFUNCTION("""COMPUTED_VALUE"""),"MENA 191 SC-01")</f>
        <v>MENA 191 SC-01</v>
      </c>
    </row>
    <row r="1220">
      <c r="A1220" s="14" t="s">
        <v>2180</v>
      </c>
      <c r="C1220" s="14" t="s">
        <v>2181</v>
      </c>
      <c r="G1220" s="15" t="str">
        <f>IFERROR(__xludf.DUMMYFUNCTION("""COMPUTED_VALUE"""),"MES 191 PO-04")</f>
        <v>MES 191 PO-04</v>
      </c>
    </row>
    <row r="1221">
      <c r="A1221" s="14" t="s">
        <v>2182</v>
      </c>
      <c r="C1221" s="14" t="s">
        <v>2183</v>
      </c>
      <c r="G1221" s="15" t="str">
        <f>IFERROR(__xludf.DUMMYFUNCTION("""COMPUTED_VALUE"""),"MLLC 144 PZ-01")</f>
        <v>MLLC 144 PZ-01</v>
      </c>
    </row>
    <row r="1222">
      <c r="A1222" s="14" t="s">
        <v>2184</v>
      </c>
      <c r="C1222" s="14" t="s">
        <v>2185</v>
      </c>
      <c r="G1222" s="15" t="str">
        <f>IFERROR(__xludf.DUMMYFUNCTION("""COMPUTED_VALUE"""),"MLLC 150 PZ-01")</f>
        <v>MLLC 150 PZ-01</v>
      </c>
    </row>
    <row r="1223">
      <c r="A1223" s="14" t="s">
        <v>2186</v>
      </c>
      <c r="C1223" s="14" t="s">
        <v>2187</v>
      </c>
      <c r="G1223" s="15" t="str">
        <f>IFERROR(__xludf.DUMMYFUNCTION("""COMPUTED_VALUE"""),"MLLC 155 PZ-01")</f>
        <v>MLLC 155 PZ-01</v>
      </c>
    </row>
    <row r="1224">
      <c r="A1224" s="14" t="s">
        <v>2188</v>
      </c>
      <c r="C1224" s="14" t="s">
        <v>2189</v>
      </c>
      <c r="G1224" s="15" t="str">
        <f>IFERROR(__xludf.DUMMYFUNCTION("""COMPUTED_VALUE"""),"MLLC 188 PZ-01")</f>
        <v>MLLC 188 PZ-01</v>
      </c>
    </row>
    <row r="1225">
      <c r="A1225" s="14" t="s">
        <v>2190</v>
      </c>
      <c r="C1225" s="14" t="s">
        <v>2191</v>
      </c>
      <c r="G1225" s="15" t="str">
        <f>IFERROR(__xludf.DUMMYFUNCTION("""COMPUTED_VALUE"""),"MOBI 188 PO-01")</f>
        <v>MOBI 188 PO-01</v>
      </c>
    </row>
    <row r="1226">
      <c r="A1226" s="14" t="s">
        <v>2192</v>
      </c>
      <c r="C1226" s="14" t="s">
        <v>2193</v>
      </c>
      <c r="G1226" s="15" t="str">
        <f>IFERROR(__xludf.DUMMYFUNCTION("""COMPUTED_VALUE"""),"MOBI 191A PO-04")</f>
        <v>MOBI 191A PO-04</v>
      </c>
    </row>
    <row r="1227">
      <c r="A1227" s="14" t="s">
        <v>2194</v>
      </c>
      <c r="C1227" s="14" t="s">
        <v>2193</v>
      </c>
      <c r="G1227" s="15" t="str">
        <f>IFERROR(__xludf.DUMMYFUNCTION("""COMPUTED_VALUE"""),"MOBI 191A PO-08")</f>
        <v>MOBI 191A PO-08</v>
      </c>
    </row>
    <row r="1228">
      <c r="A1228" s="14" t="s">
        <v>2195</v>
      </c>
      <c r="C1228" s="14" t="s">
        <v>2193</v>
      </c>
      <c r="G1228" s="15" t="str">
        <f>IFERROR(__xludf.DUMMYFUNCTION("""COMPUTED_VALUE"""),"MOBI 191A PO-12")</f>
        <v>MOBI 191A PO-12</v>
      </c>
    </row>
    <row r="1229">
      <c r="A1229" s="14" t="s">
        <v>2196</v>
      </c>
      <c r="C1229" s="14" t="s">
        <v>2193</v>
      </c>
      <c r="G1229" s="15" t="str">
        <f>IFERROR(__xludf.DUMMYFUNCTION("""COMPUTED_VALUE"""),"MOBI 191A PO-16")</f>
        <v>MOBI 191A PO-16</v>
      </c>
    </row>
    <row r="1230">
      <c r="A1230" s="14" t="s">
        <v>2197</v>
      </c>
      <c r="C1230" s="14" t="s">
        <v>2193</v>
      </c>
      <c r="G1230" s="15" t="str">
        <f>IFERROR(__xludf.DUMMYFUNCTION("""COMPUTED_VALUE"""),"MOBI 191A PO-20")</f>
        <v>MOBI 191A PO-20</v>
      </c>
    </row>
    <row r="1231">
      <c r="A1231" s="14" t="s">
        <v>2198</v>
      </c>
      <c r="C1231" s="14" t="s">
        <v>2193</v>
      </c>
      <c r="G1231" s="15" t="str">
        <f>IFERROR(__xludf.DUMMYFUNCTION("""COMPUTED_VALUE"""),"MOBI 191A PO-24")</f>
        <v>MOBI 191A PO-24</v>
      </c>
    </row>
    <row r="1232">
      <c r="A1232" s="14" t="s">
        <v>2199</v>
      </c>
      <c r="C1232" s="14" t="s">
        <v>2193</v>
      </c>
      <c r="G1232" s="15" t="str">
        <f>IFERROR(__xludf.DUMMYFUNCTION("""COMPUTED_VALUE"""),"MOBI 191A PO-28")</f>
        <v>MOBI 191A PO-28</v>
      </c>
    </row>
    <row r="1233">
      <c r="A1233" s="14" t="s">
        <v>2200</v>
      </c>
      <c r="C1233" s="14" t="s">
        <v>2193</v>
      </c>
      <c r="G1233" s="15" t="str">
        <f>IFERROR(__xludf.DUMMYFUNCTION("""COMPUTED_VALUE"""),"MOBI 191A PO-32")</f>
        <v>MOBI 191A PO-32</v>
      </c>
    </row>
    <row r="1234">
      <c r="A1234" s="14" t="s">
        <v>2201</v>
      </c>
      <c r="C1234" s="14" t="s">
        <v>2193</v>
      </c>
      <c r="G1234" s="15" t="str">
        <f>IFERROR(__xludf.DUMMYFUNCTION("""COMPUTED_VALUE"""),"MOBI 191A PO-36")</f>
        <v>MOBI 191A PO-36</v>
      </c>
    </row>
    <row r="1235">
      <c r="A1235" s="14" t="s">
        <v>2202</v>
      </c>
      <c r="C1235" s="14" t="s">
        <v>2193</v>
      </c>
      <c r="G1235" s="15" t="str">
        <f>IFERROR(__xludf.DUMMYFUNCTION("""COMPUTED_VALUE"""),"MOBI 191A PO-40")</f>
        <v>MOBI 191A PO-40</v>
      </c>
    </row>
    <row r="1236">
      <c r="A1236" s="14" t="s">
        <v>2203</v>
      </c>
      <c r="C1236" s="14" t="s">
        <v>2193</v>
      </c>
      <c r="G1236" s="15" t="str">
        <f>IFERROR(__xludf.DUMMYFUNCTION("""COMPUTED_VALUE"""),"MOBI 191A PO-44")</f>
        <v>MOBI 191A PO-44</v>
      </c>
    </row>
    <row r="1237">
      <c r="A1237" s="14" t="s">
        <v>2204</v>
      </c>
      <c r="C1237" s="14" t="s">
        <v>2193</v>
      </c>
      <c r="G1237" s="15" t="str">
        <f>IFERROR(__xludf.DUMMYFUNCTION("""COMPUTED_VALUE"""),"MOBI 191A PO-48")</f>
        <v>MOBI 191A PO-48</v>
      </c>
    </row>
    <row r="1238">
      <c r="A1238" s="14" t="s">
        <v>2205</v>
      </c>
      <c r="C1238" s="14" t="s">
        <v>2193</v>
      </c>
      <c r="G1238" s="15" t="str">
        <f>IFERROR(__xludf.DUMMYFUNCTION("""COMPUTED_VALUE"""),"MOBI 191A PO-52")</f>
        <v>MOBI 191A PO-52</v>
      </c>
    </row>
    <row r="1239">
      <c r="A1239" s="14" t="s">
        <v>2206</v>
      </c>
      <c r="C1239" s="14" t="s">
        <v>2193</v>
      </c>
      <c r="G1239" s="15" t="str">
        <f>IFERROR(__xludf.DUMMYFUNCTION("""COMPUTED_VALUE"""),"MOBI 191A PO-56")</f>
        <v>MOBI 191A PO-56</v>
      </c>
    </row>
    <row r="1240">
      <c r="A1240" s="14" t="s">
        <v>2207</v>
      </c>
      <c r="C1240" s="14" t="s">
        <v>2193</v>
      </c>
      <c r="G1240" s="15" t="str">
        <f>IFERROR(__xludf.DUMMYFUNCTION("""COMPUTED_VALUE"""),"MOBI 191A PO-60")</f>
        <v>MOBI 191A PO-60</v>
      </c>
    </row>
    <row r="1241">
      <c r="A1241" s="14" t="s">
        <v>2208</v>
      </c>
      <c r="C1241" s="14" t="s">
        <v>2193</v>
      </c>
      <c r="G1241" s="15" t="str">
        <f>IFERROR(__xludf.DUMMYFUNCTION("""COMPUTED_VALUE"""),"MOBI 191A PO-64")</f>
        <v>MOBI 191A PO-64</v>
      </c>
    </row>
    <row r="1242">
      <c r="A1242" s="14" t="s">
        <v>2209</v>
      </c>
      <c r="C1242" s="14" t="s">
        <v>2210</v>
      </c>
      <c r="G1242" s="15" t="str">
        <f>IFERROR(__xludf.DUMMYFUNCTION("""COMPUTED_VALUE"""),"MOBI 194A PO-04")</f>
        <v>MOBI 194A PO-04</v>
      </c>
    </row>
    <row r="1243">
      <c r="A1243" s="14" t="s">
        <v>2211</v>
      </c>
      <c r="C1243" s="14" t="s">
        <v>2210</v>
      </c>
      <c r="G1243" s="15" t="str">
        <f>IFERROR(__xludf.DUMMYFUNCTION("""COMPUTED_VALUE"""),"MOBI 194A PO-08")</f>
        <v>MOBI 194A PO-08</v>
      </c>
    </row>
    <row r="1244">
      <c r="A1244" s="14" t="s">
        <v>2212</v>
      </c>
      <c r="C1244" s="14" t="s">
        <v>2210</v>
      </c>
      <c r="G1244" s="15" t="str">
        <f>IFERROR(__xludf.DUMMYFUNCTION("""COMPUTED_VALUE"""),"MOBI 194A PO-12")</f>
        <v>MOBI 194A PO-12</v>
      </c>
    </row>
    <row r="1245">
      <c r="A1245" s="14" t="s">
        <v>2213</v>
      </c>
      <c r="C1245" s="14" t="s">
        <v>2210</v>
      </c>
      <c r="G1245" s="15" t="str">
        <f>IFERROR(__xludf.DUMMYFUNCTION("""COMPUTED_VALUE"""),"MOBI 194A PO-16")</f>
        <v>MOBI 194A PO-16</v>
      </c>
    </row>
    <row r="1246">
      <c r="A1246" s="14" t="s">
        <v>2214</v>
      </c>
      <c r="C1246" s="14" t="s">
        <v>2210</v>
      </c>
      <c r="G1246" s="15" t="str">
        <f>IFERROR(__xludf.DUMMYFUNCTION("""COMPUTED_VALUE"""),"MOBI 194A PO-20")</f>
        <v>MOBI 194A PO-20</v>
      </c>
    </row>
    <row r="1247">
      <c r="A1247" s="14" t="s">
        <v>2215</v>
      </c>
      <c r="C1247" s="14" t="s">
        <v>2210</v>
      </c>
      <c r="G1247" s="15" t="str">
        <f>IFERROR(__xludf.DUMMYFUNCTION("""COMPUTED_VALUE"""),"MOBI 194A PO-24")</f>
        <v>MOBI 194A PO-24</v>
      </c>
    </row>
    <row r="1248">
      <c r="A1248" s="14" t="s">
        <v>2216</v>
      </c>
      <c r="C1248" s="14" t="s">
        <v>2210</v>
      </c>
      <c r="G1248" s="15" t="str">
        <f>IFERROR(__xludf.DUMMYFUNCTION("""COMPUTED_VALUE"""),"MOBI 194A PO-28")</f>
        <v>MOBI 194A PO-28</v>
      </c>
    </row>
    <row r="1249">
      <c r="A1249" s="14" t="s">
        <v>2217</v>
      </c>
      <c r="C1249" s="14" t="s">
        <v>2210</v>
      </c>
      <c r="G1249" s="15" t="str">
        <f>IFERROR(__xludf.DUMMYFUNCTION("""COMPUTED_VALUE"""),"MOBI 194A PO-32")</f>
        <v>MOBI 194A PO-32</v>
      </c>
    </row>
    <row r="1250">
      <c r="A1250" s="14" t="s">
        <v>2218</v>
      </c>
      <c r="C1250" s="14" t="s">
        <v>2210</v>
      </c>
      <c r="G1250" s="15" t="str">
        <f>IFERROR(__xludf.DUMMYFUNCTION("""COMPUTED_VALUE"""),"MOBI 194A PO-36")</f>
        <v>MOBI 194A PO-36</v>
      </c>
    </row>
    <row r="1251">
      <c r="A1251" s="14" t="s">
        <v>2219</v>
      </c>
      <c r="C1251" s="14" t="s">
        <v>2210</v>
      </c>
      <c r="G1251" s="15" t="str">
        <f>IFERROR(__xludf.DUMMYFUNCTION("""COMPUTED_VALUE"""),"MOBI 194A PO-40")</f>
        <v>MOBI 194A PO-40</v>
      </c>
    </row>
    <row r="1252">
      <c r="A1252" s="14" t="s">
        <v>2220</v>
      </c>
      <c r="C1252" s="14" t="s">
        <v>2210</v>
      </c>
      <c r="G1252" s="15" t="str">
        <f>IFERROR(__xludf.DUMMYFUNCTION("""COMPUTED_VALUE"""),"MOBI 194A PO-44")</f>
        <v>MOBI 194A PO-44</v>
      </c>
    </row>
    <row r="1253">
      <c r="A1253" s="14" t="s">
        <v>2221</v>
      </c>
      <c r="C1253" s="14" t="s">
        <v>2210</v>
      </c>
      <c r="G1253" s="15" t="str">
        <f>IFERROR(__xludf.DUMMYFUNCTION("""COMPUTED_VALUE"""),"MOBI 194A PO-48")</f>
        <v>MOBI 194A PO-48</v>
      </c>
    </row>
    <row r="1254">
      <c r="A1254" s="14" t="s">
        <v>2222</v>
      </c>
      <c r="C1254" s="14" t="s">
        <v>2210</v>
      </c>
      <c r="G1254" s="15" t="str">
        <f>IFERROR(__xludf.DUMMYFUNCTION("""COMPUTED_VALUE"""),"MOBI 194A PO-52")</f>
        <v>MOBI 194A PO-52</v>
      </c>
    </row>
    <row r="1255">
      <c r="A1255" s="14" t="s">
        <v>2223</v>
      </c>
      <c r="C1255" s="14" t="s">
        <v>2210</v>
      </c>
      <c r="G1255" s="15" t="str">
        <f>IFERROR(__xludf.DUMMYFUNCTION("""COMPUTED_VALUE"""),"MOBI 194A PO-56")</f>
        <v>MOBI 194A PO-56</v>
      </c>
    </row>
    <row r="1256">
      <c r="A1256" s="14" t="s">
        <v>2224</v>
      </c>
      <c r="C1256" s="14" t="s">
        <v>2210</v>
      </c>
      <c r="G1256" s="15" t="str">
        <f>IFERROR(__xludf.DUMMYFUNCTION("""COMPUTED_VALUE"""),"MOBI 194A PO-60")</f>
        <v>MOBI 194A PO-60</v>
      </c>
    </row>
    <row r="1257">
      <c r="A1257" s="14" t="s">
        <v>2225</v>
      </c>
      <c r="C1257" s="14" t="s">
        <v>2210</v>
      </c>
      <c r="G1257" s="15" t="str">
        <f>IFERROR(__xludf.DUMMYFUNCTION("""COMPUTED_VALUE"""),"MOBI 194A PO-64")</f>
        <v>MOBI 194A PO-64</v>
      </c>
    </row>
    <row r="1258">
      <c r="A1258" s="14" t="s">
        <v>2226</v>
      </c>
      <c r="C1258" s="14" t="s">
        <v>2210</v>
      </c>
      <c r="G1258" s="15" t="str">
        <f>IFERROR(__xludf.DUMMYFUNCTION("""COMPUTED_VALUE"""),"MOBI 194A PO-68")</f>
        <v>MOBI 194A PO-68</v>
      </c>
    </row>
    <row r="1259">
      <c r="A1259" s="14" t="s">
        <v>2227</v>
      </c>
      <c r="C1259" s="14" t="s">
        <v>2228</v>
      </c>
      <c r="G1259" s="15" t="str">
        <f>IFERROR(__xludf.DUMMYFUNCTION("""COMPUTED_VALUE"""),"MOBI 194B PO-04")</f>
        <v>MOBI 194B PO-04</v>
      </c>
    </row>
    <row r="1260">
      <c r="A1260" s="14" t="s">
        <v>2229</v>
      </c>
      <c r="C1260" s="14" t="s">
        <v>2230</v>
      </c>
      <c r="G1260" s="15" t="str">
        <f>IFERROR(__xludf.DUMMYFUNCTION("""COMPUTED_VALUE"""),"MS 038 SC-01")</f>
        <v>MS 038 SC-01</v>
      </c>
    </row>
    <row r="1261">
      <c r="A1261" s="14" t="s">
        <v>2231</v>
      </c>
      <c r="C1261" s="14" t="s">
        <v>2232</v>
      </c>
      <c r="G1261" s="15" t="str">
        <f>IFERROR(__xludf.DUMMYFUNCTION("""COMPUTED_VALUE"""),"MS 050 PO-01")</f>
        <v>MS 050 PO-01</v>
      </c>
    </row>
    <row r="1262">
      <c r="A1262" s="14" t="s">
        <v>2233</v>
      </c>
      <c r="C1262" s="14" t="s">
        <v>2232</v>
      </c>
      <c r="G1262" s="15" t="str">
        <f>IFERROR(__xludf.DUMMYFUNCTION("""COMPUTED_VALUE"""),"MS 050 PZ-01")</f>
        <v>MS 050 PZ-01</v>
      </c>
    </row>
    <row r="1263">
      <c r="A1263" s="14" t="s">
        <v>2234</v>
      </c>
      <c r="C1263" s="14" t="s">
        <v>2235</v>
      </c>
      <c r="G1263" s="15" t="str">
        <f>IFERROR(__xludf.DUMMYFUNCTION("""COMPUTED_VALUE"""),"MS 051 PO-01")</f>
        <v>MS 051 PO-01</v>
      </c>
    </row>
    <row r="1264">
      <c r="A1264" s="14" t="s">
        <v>2236</v>
      </c>
      <c r="C1264" s="14" t="s">
        <v>2235</v>
      </c>
      <c r="G1264" s="15" t="str">
        <f>IFERROR(__xludf.DUMMYFUNCTION("""COMPUTED_VALUE"""),"MS 051 PZ-01")</f>
        <v>MS 051 PZ-01</v>
      </c>
    </row>
    <row r="1265">
      <c r="A1265" s="14" t="s">
        <v>2237</v>
      </c>
      <c r="C1265" s="14" t="s">
        <v>2235</v>
      </c>
      <c r="G1265" s="15" t="str">
        <f>IFERROR(__xludf.DUMMYFUNCTION("""COMPUTED_VALUE"""),"MS 051 SC-01")</f>
        <v>MS 051 SC-01</v>
      </c>
    </row>
    <row r="1266">
      <c r="A1266" s="14" t="s">
        <v>2238</v>
      </c>
      <c r="C1266" s="14" t="s">
        <v>2239</v>
      </c>
      <c r="G1266" s="15" t="str">
        <f>IFERROR(__xludf.DUMMYFUNCTION("""COMPUTED_VALUE"""),"MS 053 SC-01")</f>
        <v>MS 053 SC-01</v>
      </c>
    </row>
    <row r="1267">
      <c r="A1267" s="14" t="s">
        <v>2240</v>
      </c>
      <c r="C1267" s="14" t="s">
        <v>2241</v>
      </c>
      <c r="G1267" s="15" t="str">
        <f>IFERROR(__xludf.DUMMYFUNCTION("""COMPUTED_VALUE"""),"MS 054 SC-01")</f>
        <v>MS 054 SC-01</v>
      </c>
    </row>
    <row r="1268">
      <c r="A1268" s="14" t="s">
        <v>2242</v>
      </c>
      <c r="C1268" s="14" t="s">
        <v>2243</v>
      </c>
      <c r="G1268" s="15" t="str">
        <f>IFERROR(__xludf.DUMMYFUNCTION("""COMPUTED_VALUE"""),"MS 059 SC-01")</f>
        <v>MS 059 SC-01</v>
      </c>
    </row>
    <row r="1269">
      <c r="A1269" s="14" t="s">
        <v>2244</v>
      </c>
      <c r="C1269" s="14" t="s">
        <v>2245</v>
      </c>
      <c r="G1269" s="15" t="str">
        <f>IFERROR(__xludf.DUMMYFUNCTION("""COMPUTED_VALUE"""),"MS 082 PZ-01")</f>
        <v>MS 082 PZ-01</v>
      </c>
    </row>
    <row r="1270">
      <c r="A1270" s="14" t="s">
        <v>2246</v>
      </c>
      <c r="C1270" s="14" t="s">
        <v>2247</v>
      </c>
      <c r="G1270" s="15" t="str">
        <f>IFERROR(__xludf.DUMMYFUNCTION("""COMPUTED_VALUE"""),"MS 087 PZ-01")</f>
        <v>MS 087 PZ-01</v>
      </c>
    </row>
    <row r="1271">
      <c r="A1271" s="14" t="s">
        <v>2248</v>
      </c>
      <c r="C1271" s="14" t="s">
        <v>2249</v>
      </c>
      <c r="G1271" s="15" t="str">
        <f>IFERROR(__xludf.DUMMYFUNCTION("""COMPUTED_VALUE"""),"MS 092 PO-01")</f>
        <v>MS 092 PO-01</v>
      </c>
    </row>
    <row r="1272">
      <c r="A1272" s="14" t="s">
        <v>2250</v>
      </c>
      <c r="C1272" s="14" t="s">
        <v>2251</v>
      </c>
      <c r="G1272" s="15" t="str">
        <f>IFERROR(__xludf.DUMMYFUNCTION("""COMPUTED_VALUE"""),"MS 097 PZ-01")</f>
        <v>MS 097 PZ-01</v>
      </c>
    </row>
    <row r="1273">
      <c r="A1273" s="14" t="s">
        <v>2252</v>
      </c>
      <c r="C1273" s="14" t="s">
        <v>2253</v>
      </c>
      <c r="G1273" s="15" t="str">
        <f>IFERROR(__xludf.DUMMYFUNCTION("""COMPUTED_VALUE"""),"MS 098 PZ-01")</f>
        <v>MS 098 PZ-01</v>
      </c>
    </row>
    <row r="1274">
      <c r="A1274" s="14" t="s">
        <v>2254</v>
      </c>
      <c r="C1274" s="14" t="s">
        <v>2255</v>
      </c>
      <c r="G1274" s="15" t="str">
        <f>IFERROR(__xludf.DUMMYFUNCTION("""COMPUTED_VALUE"""),"MS 111 PZ-01")</f>
        <v>MS 111 PZ-01</v>
      </c>
    </row>
    <row r="1275">
      <c r="A1275" s="14" t="s">
        <v>2256</v>
      </c>
      <c r="C1275" s="14" t="s">
        <v>2257</v>
      </c>
      <c r="G1275" s="15" t="str">
        <f>IFERROR(__xludf.DUMMYFUNCTION("""COMPUTED_VALUE"""),"MS 115 PZ-01")</f>
        <v>MS 115 PZ-01</v>
      </c>
    </row>
    <row r="1276">
      <c r="A1276" s="14" t="s">
        <v>2258</v>
      </c>
      <c r="C1276" s="14" t="s">
        <v>2259</v>
      </c>
      <c r="G1276" s="15" t="str">
        <f>IFERROR(__xludf.DUMMYFUNCTION("""COMPUTED_VALUE"""),"MS 117 PZ-01")</f>
        <v>MS 117 PZ-01</v>
      </c>
    </row>
    <row r="1277">
      <c r="A1277" s="14" t="s">
        <v>2260</v>
      </c>
      <c r="C1277" s="14" t="s">
        <v>2261</v>
      </c>
      <c r="G1277" s="15" t="str">
        <f>IFERROR(__xludf.DUMMYFUNCTION("""COMPUTED_VALUE"""),"MS 120 HM-01")</f>
        <v>MS 120 HM-01</v>
      </c>
    </row>
    <row r="1278">
      <c r="A1278" s="14" t="s">
        <v>2262</v>
      </c>
      <c r="C1278" s="14" t="s">
        <v>2263</v>
      </c>
      <c r="G1278" s="15" t="str">
        <f>IFERROR(__xludf.DUMMYFUNCTION("""COMPUTED_VALUE"""),"MS 121 PZ-01")</f>
        <v>MS 121 PZ-01</v>
      </c>
    </row>
    <row r="1279">
      <c r="A1279" s="14" t="s">
        <v>2264</v>
      </c>
      <c r="C1279" s="14" t="s">
        <v>2265</v>
      </c>
      <c r="G1279" s="15" t="str">
        <f>IFERROR(__xludf.DUMMYFUNCTION("""COMPUTED_VALUE"""),"MS 132 SC-01")</f>
        <v>MS 132 SC-01</v>
      </c>
    </row>
    <row r="1280">
      <c r="A1280" s="14" t="s">
        <v>2266</v>
      </c>
      <c r="C1280" s="14" t="s">
        <v>2267</v>
      </c>
      <c r="G1280" s="15" t="str">
        <f>IFERROR(__xludf.DUMMYFUNCTION("""COMPUTED_VALUE"""),"MS 148F PO-01")</f>
        <v>MS 148F PO-01</v>
      </c>
    </row>
    <row r="1281">
      <c r="A1281" s="14" t="s">
        <v>2268</v>
      </c>
      <c r="C1281" s="14" t="s">
        <v>2269</v>
      </c>
      <c r="G1281" s="15" t="str">
        <f>IFERROR(__xludf.DUMMYFUNCTION("""COMPUTED_VALUE"""),"MS 148G PO-01")</f>
        <v>MS 148G PO-01</v>
      </c>
    </row>
    <row r="1282">
      <c r="A1282" s="14" t="s">
        <v>2270</v>
      </c>
      <c r="C1282" s="14" t="s">
        <v>2271</v>
      </c>
      <c r="G1282" s="15" t="str">
        <f>IFERROR(__xludf.DUMMYFUNCTION("""COMPUTED_VALUE"""),"MS 149T PO-01")</f>
        <v>MS 149T PO-01</v>
      </c>
    </row>
    <row r="1283">
      <c r="A1283" s="14" t="s">
        <v>2272</v>
      </c>
      <c r="C1283" s="14" t="s">
        <v>2273</v>
      </c>
      <c r="G1283" s="15" t="str">
        <f>IFERROR(__xludf.DUMMYFUNCTION("""COMPUTED_VALUE"""),"MS 160 SC-01")</f>
        <v>MS 160 SC-01</v>
      </c>
    </row>
    <row r="1284">
      <c r="A1284" s="14" t="s">
        <v>2274</v>
      </c>
      <c r="C1284" s="14" t="s">
        <v>2275</v>
      </c>
      <c r="G1284" s="15" t="str">
        <f>IFERROR(__xludf.DUMMYFUNCTION("""COMPUTED_VALUE"""),"MS 173 HM-01")</f>
        <v>MS 173 HM-01</v>
      </c>
    </row>
    <row r="1285">
      <c r="A1285" s="14" t="s">
        <v>2276</v>
      </c>
      <c r="C1285" s="14" t="s">
        <v>2275</v>
      </c>
      <c r="G1285" s="15" t="str">
        <f>IFERROR(__xludf.DUMMYFUNCTION("""COMPUTED_VALUE"""),"MS 173 HM-02")</f>
        <v>MS 173 HM-02</v>
      </c>
    </row>
    <row r="1286">
      <c r="A1286" s="14" t="s">
        <v>2277</v>
      </c>
      <c r="C1286" s="14" t="s">
        <v>2278</v>
      </c>
      <c r="G1286" s="15" t="str">
        <f>IFERROR(__xludf.DUMMYFUNCTION("""COMPUTED_VALUE"""),"MS 175 PO-01")</f>
        <v>MS 175 PO-01</v>
      </c>
    </row>
    <row r="1287">
      <c r="A1287" s="14" t="s">
        <v>2279</v>
      </c>
      <c r="C1287" s="14" t="s">
        <v>2278</v>
      </c>
      <c r="G1287" s="15" t="str">
        <f>IFERROR(__xludf.DUMMYFUNCTION("""COMPUTED_VALUE"""),"MS 175 PZ-01")</f>
        <v>MS 175 PZ-01</v>
      </c>
    </row>
    <row r="1288">
      <c r="A1288" s="14" t="s">
        <v>2280</v>
      </c>
      <c r="C1288" s="14" t="s">
        <v>2281</v>
      </c>
      <c r="G1288" s="15" t="str">
        <f>IFERROR(__xludf.DUMMYFUNCTION("""COMPUTED_VALUE"""),"MS 192 JT-01")</f>
        <v>MS 192 JT-01</v>
      </c>
    </row>
    <row r="1289">
      <c r="A1289" s="14" t="s">
        <v>2282</v>
      </c>
      <c r="C1289" s="14" t="s">
        <v>2283</v>
      </c>
      <c r="G1289" s="15" t="str">
        <f>IFERROR(__xludf.DUMMYFUNCTION("""COMPUTED_VALUE"""),"MS 194 PZ-01")</f>
        <v>MS 194 PZ-01</v>
      </c>
    </row>
    <row r="1290">
      <c r="A1290" s="14" t="s">
        <v>2284</v>
      </c>
      <c r="C1290" s="14" t="s">
        <v>2285</v>
      </c>
      <c r="G1290" s="15" t="str">
        <f>IFERROR(__xludf.DUMMYFUNCTION("""COMPUTED_VALUE"""),"MS 196 PZ-01")</f>
        <v>MS 196 PZ-01</v>
      </c>
    </row>
    <row r="1291">
      <c r="A1291" s="14" t="s">
        <v>2286</v>
      </c>
      <c r="C1291" s="14" t="s">
        <v>2287</v>
      </c>
      <c r="G1291" s="15" t="str">
        <f>IFERROR(__xludf.DUMMYFUNCTION("""COMPUTED_VALUE"""),"MSL 001A CM-01")</f>
        <v>MSL 001A CM-01</v>
      </c>
    </row>
    <row r="1292">
      <c r="A1292" s="14" t="s">
        <v>2288</v>
      </c>
      <c r="C1292" s="14" t="s">
        <v>2289</v>
      </c>
      <c r="G1292" s="15" t="str">
        <f>IFERROR(__xludf.DUMMYFUNCTION("""COMPUTED_VALUE"""),"MSL 089 CM-01")</f>
        <v>MSL 089 CM-01</v>
      </c>
    </row>
    <row r="1293">
      <c r="A1293" s="14" t="s">
        <v>2290</v>
      </c>
      <c r="C1293" s="14" t="s">
        <v>2291</v>
      </c>
      <c r="G1293" s="15" t="str">
        <f>IFERROR(__xludf.DUMMYFUNCTION("""COMPUTED_VALUE"""),"MSL 099 CM-01")</f>
        <v>MSL 099 CM-01</v>
      </c>
    </row>
    <row r="1294">
      <c r="A1294" s="14" t="s">
        <v>2292</v>
      </c>
      <c r="C1294" s="14" t="s">
        <v>2293</v>
      </c>
      <c r="G1294" s="15" t="str">
        <f>IFERROR(__xludf.DUMMYFUNCTION("""COMPUTED_VALUE"""),"MSL 101B CM-01")</f>
        <v>MSL 101B CM-01</v>
      </c>
    </row>
    <row r="1295">
      <c r="A1295" s="14" t="s">
        <v>2294</v>
      </c>
      <c r="C1295" s="14" t="s">
        <v>2295</v>
      </c>
      <c r="G1295" s="15" t="str">
        <f>IFERROR(__xludf.DUMMYFUNCTION("""COMPUTED_VALUE"""),"MSL 102B CM-01")</f>
        <v>MSL 102B CM-01</v>
      </c>
    </row>
    <row r="1296">
      <c r="A1296" s="14" t="s">
        <v>2296</v>
      </c>
      <c r="C1296" s="14" t="s">
        <v>2297</v>
      </c>
      <c r="G1296" s="15" t="str">
        <f>IFERROR(__xludf.DUMMYFUNCTION("""COMPUTED_VALUE"""),"MSL 103B CM-01")</f>
        <v>MSL 103B CM-01</v>
      </c>
    </row>
    <row r="1297">
      <c r="A1297" s="14" t="s">
        <v>2298</v>
      </c>
      <c r="C1297" s="14" t="s">
        <v>2299</v>
      </c>
      <c r="G1297" s="15" t="str">
        <f>IFERROR(__xludf.DUMMYFUNCTION("""COMPUTED_VALUE"""),"MSL 104B CM-01")</f>
        <v>MSL 104B CM-01</v>
      </c>
    </row>
    <row r="1298">
      <c r="A1298" s="14" t="s">
        <v>33</v>
      </c>
      <c r="C1298" s="14" t="s">
        <v>2300</v>
      </c>
      <c r="G1298" s="15" t="str">
        <f>IFERROR(__xludf.DUMMYFUNCTION("""COMPUTED_VALUE"""),"MUS 003 HM-01")</f>
        <v>MUS 003 HM-01</v>
      </c>
    </row>
    <row r="1299">
      <c r="A1299" s="14" t="s">
        <v>2301</v>
      </c>
      <c r="C1299" s="14" t="s">
        <v>2302</v>
      </c>
      <c r="G1299" s="15" t="str">
        <f>IFERROR(__xludf.DUMMYFUNCTION("""COMPUTED_VALUE"""),"MUS 004 PO-01")</f>
        <v>MUS 004 PO-01</v>
      </c>
    </row>
    <row r="1300">
      <c r="A1300" s="14" t="s">
        <v>2303</v>
      </c>
      <c r="C1300" s="14" t="s">
        <v>2304</v>
      </c>
      <c r="G1300" s="15" t="str">
        <f>IFERROR(__xludf.DUMMYFUNCTION("""COMPUTED_VALUE"""),"MUS 007 PO-01")</f>
        <v>MUS 007 PO-01</v>
      </c>
    </row>
    <row r="1301">
      <c r="A1301" s="14" t="s">
        <v>2305</v>
      </c>
      <c r="C1301" s="14" t="s">
        <v>2304</v>
      </c>
      <c r="G1301" s="15" t="str">
        <f>IFERROR(__xludf.DUMMYFUNCTION("""COMPUTED_VALUE"""),"MUS 007 PO-02")</f>
        <v>MUS 007 PO-02</v>
      </c>
    </row>
    <row r="1302">
      <c r="A1302" s="14" t="s">
        <v>2306</v>
      </c>
      <c r="C1302" s="14" t="s">
        <v>2307</v>
      </c>
      <c r="G1302" s="15" t="str">
        <f>IFERROR(__xludf.DUMMYFUNCTION("""COMPUTED_VALUE"""),"MUS 010 PO-01")</f>
        <v>MUS 010 PO-01</v>
      </c>
    </row>
    <row r="1303">
      <c r="A1303" s="14" t="s">
        <v>2308</v>
      </c>
      <c r="C1303" s="14" t="s">
        <v>2309</v>
      </c>
      <c r="G1303" s="15" t="str">
        <f>IFERROR(__xludf.DUMMYFUNCTION("""COMPUTED_VALUE"""),"MUS 015 PO-01")</f>
        <v>MUS 015 PO-01</v>
      </c>
    </row>
    <row r="1304">
      <c r="A1304" s="14" t="s">
        <v>2310</v>
      </c>
      <c r="C1304" s="14" t="s">
        <v>2311</v>
      </c>
      <c r="G1304" s="15" t="str">
        <f>IFERROR(__xludf.DUMMYFUNCTION("""COMPUTED_VALUE"""),"MUS 016 PO-01")</f>
        <v>MUS 016 PO-01</v>
      </c>
    </row>
    <row r="1305">
      <c r="A1305" s="14" t="s">
        <v>2312</v>
      </c>
      <c r="C1305" s="14" t="s">
        <v>2313</v>
      </c>
      <c r="G1305" s="15" t="str">
        <f>IFERROR(__xludf.DUMMYFUNCTION("""COMPUTED_VALUE"""),"MUS 020 PO-01")</f>
        <v>MUS 020 PO-01</v>
      </c>
    </row>
    <row r="1306">
      <c r="A1306" s="14" t="s">
        <v>2314</v>
      </c>
      <c r="C1306" s="14" t="s">
        <v>2315</v>
      </c>
      <c r="G1306" s="15" t="str">
        <f>IFERROR(__xludf.DUMMYFUNCTION("""COMPUTED_VALUE"""),"MUS 031P PO-01")</f>
        <v>MUS 031P PO-01</v>
      </c>
    </row>
    <row r="1307">
      <c r="A1307" s="14" t="s">
        <v>2316</v>
      </c>
      <c r="C1307" s="14" t="s">
        <v>2317</v>
      </c>
      <c r="G1307" s="15" t="str">
        <f>IFERROR(__xludf.DUMMYFUNCTION("""COMPUTED_VALUE"""),"MUS 032P PO-01")</f>
        <v>MUS 032P PO-01</v>
      </c>
    </row>
    <row r="1308">
      <c r="A1308" s="14" t="s">
        <v>2318</v>
      </c>
      <c r="C1308" s="14" t="s">
        <v>2319</v>
      </c>
      <c r="G1308" s="15" t="str">
        <f>IFERROR(__xludf.DUMMYFUNCTION("""COMPUTED_VALUE"""),"MUS 033P PO-01")</f>
        <v>MUS 033P PO-01</v>
      </c>
    </row>
    <row r="1309">
      <c r="A1309" s="14" t="s">
        <v>2320</v>
      </c>
      <c r="C1309" s="14" t="s">
        <v>2321</v>
      </c>
      <c r="G1309" s="15" t="str">
        <f>IFERROR(__xludf.DUMMYFUNCTION("""COMPUTED_VALUE"""),"MUS 035P PO-01")</f>
        <v>MUS 035P PO-01</v>
      </c>
    </row>
    <row r="1310">
      <c r="A1310" s="14" t="s">
        <v>2322</v>
      </c>
      <c r="C1310" s="14" t="s">
        <v>2323</v>
      </c>
      <c r="G1310" s="15" t="str">
        <f>IFERROR(__xludf.DUMMYFUNCTION("""COMPUTED_VALUE"""),"MUS 037P PO-01")</f>
        <v>MUS 037P PO-01</v>
      </c>
    </row>
    <row r="1311">
      <c r="A1311" s="14" t="s">
        <v>2324</v>
      </c>
      <c r="C1311" s="14" t="s">
        <v>2325</v>
      </c>
      <c r="G1311" s="15" t="str">
        <f>IFERROR(__xludf.DUMMYFUNCTION("""COMPUTED_VALUE"""),"MUS 041P PO-01")</f>
        <v>MUS 041P PO-01</v>
      </c>
    </row>
    <row r="1312">
      <c r="A1312" s="14" t="s">
        <v>2326</v>
      </c>
      <c r="C1312" s="14" t="s">
        <v>2327</v>
      </c>
      <c r="G1312" s="15" t="str">
        <f>IFERROR(__xludf.DUMMYFUNCTION("""COMPUTED_VALUE"""),"MUS 042B PO-01")</f>
        <v>MUS 042B PO-01</v>
      </c>
    </row>
    <row r="1313">
      <c r="A1313" s="14" t="s">
        <v>2328</v>
      </c>
      <c r="C1313" s="14" t="s">
        <v>2329</v>
      </c>
      <c r="G1313" s="15" t="str">
        <f>IFERROR(__xludf.DUMMYFUNCTION("""COMPUTED_VALUE"""),"MUS 051 PO-01")</f>
        <v>MUS 051 PO-01</v>
      </c>
    </row>
    <row r="1314">
      <c r="A1314" s="14" t="s">
        <v>2330</v>
      </c>
      <c r="C1314" s="14" t="s">
        <v>2331</v>
      </c>
      <c r="G1314" s="15" t="str">
        <f>IFERROR(__xludf.DUMMYFUNCTION("""COMPUTED_VALUE"""),"MUS 060 PO-01")</f>
        <v>MUS 060 PO-01</v>
      </c>
    </row>
    <row r="1315">
      <c r="A1315" s="14" t="s">
        <v>2332</v>
      </c>
      <c r="C1315" s="14" t="s">
        <v>2333</v>
      </c>
      <c r="G1315" s="15" t="str">
        <f>IFERROR(__xludf.DUMMYFUNCTION("""COMPUTED_VALUE"""),"MUS 065 PO-01")</f>
        <v>MUS 065 PO-01</v>
      </c>
    </row>
    <row r="1316">
      <c r="A1316" s="14" t="s">
        <v>2334</v>
      </c>
      <c r="C1316" s="14" t="s">
        <v>2335</v>
      </c>
      <c r="G1316" s="15" t="str">
        <f>IFERROR(__xludf.DUMMYFUNCTION("""COMPUTED_VALUE"""),"MUS 067 HM-01")</f>
        <v>MUS 067 HM-01</v>
      </c>
    </row>
    <row r="1317">
      <c r="A1317" s="14" t="s">
        <v>2336</v>
      </c>
      <c r="C1317" s="14" t="s">
        <v>2337</v>
      </c>
      <c r="G1317" s="15" t="str">
        <f>IFERROR(__xludf.DUMMYFUNCTION("""COMPUTED_VALUE"""),"MUS 072 SC-01")</f>
        <v>MUS 072 SC-01</v>
      </c>
    </row>
    <row r="1318">
      <c r="A1318" s="14" t="s">
        <v>2338</v>
      </c>
      <c r="C1318" s="14" t="s">
        <v>2339</v>
      </c>
      <c r="G1318" s="15" t="str">
        <f>IFERROR(__xludf.DUMMYFUNCTION("""COMPUTED_VALUE"""),"MUS 080 PO-01")</f>
        <v>MUS 080 PO-01</v>
      </c>
    </row>
    <row r="1319">
      <c r="A1319" s="14" t="s">
        <v>2340</v>
      </c>
      <c r="C1319" s="14" t="s">
        <v>2341</v>
      </c>
      <c r="G1319" s="15" t="str">
        <f>IFERROR(__xludf.DUMMYFUNCTION("""COMPUTED_VALUE"""),"MUS 080L PO-01")</f>
        <v>MUS 080L PO-01</v>
      </c>
    </row>
    <row r="1320">
      <c r="A1320" s="14" t="s">
        <v>2342</v>
      </c>
      <c r="C1320" s="14" t="s">
        <v>2341</v>
      </c>
      <c r="G1320" s="15" t="str">
        <f>IFERROR(__xludf.DUMMYFUNCTION("""COMPUTED_VALUE"""),"MUS 080L PO-02")</f>
        <v>MUS 080L PO-02</v>
      </c>
    </row>
    <row r="1321">
      <c r="A1321" s="14" t="s">
        <v>2343</v>
      </c>
      <c r="C1321" s="14" t="s">
        <v>2344</v>
      </c>
      <c r="G1321" s="15" t="str">
        <f>IFERROR(__xludf.DUMMYFUNCTION("""COMPUTED_VALUE"""),"MUS 082 PO-01")</f>
        <v>MUS 082 PO-01</v>
      </c>
    </row>
    <row r="1322">
      <c r="A1322" s="14" t="s">
        <v>2345</v>
      </c>
      <c r="C1322" s="14" t="s">
        <v>2346</v>
      </c>
      <c r="G1322" s="15" t="str">
        <f>IFERROR(__xludf.DUMMYFUNCTION("""COMPUTED_VALUE"""),"MUS 082L PO-01")</f>
        <v>MUS 082L PO-01</v>
      </c>
    </row>
    <row r="1323">
      <c r="A1323" s="14" t="s">
        <v>2347</v>
      </c>
      <c r="C1323" s="14" t="s">
        <v>2348</v>
      </c>
      <c r="G1323" s="15" t="str">
        <f>IFERROR(__xludf.DUMMYFUNCTION("""COMPUTED_VALUE"""),"MUS 085 SC-01")</f>
        <v>MUS 085 SC-01</v>
      </c>
    </row>
    <row r="1324">
      <c r="A1324" s="14" t="s">
        <v>2349</v>
      </c>
      <c r="C1324" s="14" t="s">
        <v>2350</v>
      </c>
      <c r="G1324" s="15" t="str">
        <f>IFERROR(__xludf.DUMMYFUNCTION("""COMPUTED_VALUE"""),"MUS 088 PO-01")</f>
        <v>MUS 088 PO-01</v>
      </c>
    </row>
    <row r="1325">
      <c r="A1325" s="14" t="s">
        <v>2351</v>
      </c>
      <c r="C1325" s="14" t="s">
        <v>2352</v>
      </c>
      <c r="G1325" s="15" t="str">
        <f>IFERROR(__xludf.DUMMYFUNCTION("""COMPUTED_VALUE"""),"MUS 089 SC-01")</f>
        <v>MUS 089 SC-01</v>
      </c>
    </row>
    <row r="1326">
      <c r="A1326" s="14" t="s">
        <v>2353</v>
      </c>
      <c r="C1326" s="14" t="s">
        <v>2352</v>
      </c>
      <c r="G1326" s="15" t="str">
        <f>IFERROR(__xludf.DUMMYFUNCTION("""COMPUTED_VALUE"""),"MUS 089 SC-02")</f>
        <v>MUS 089 SC-02</v>
      </c>
    </row>
    <row r="1327">
      <c r="A1327" s="14" t="s">
        <v>2354</v>
      </c>
      <c r="C1327" s="14" t="s">
        <v>2355</v>
      </c>
      <c r="G1327" s="15" t="str">
        <f>IFERROR(__xludf.DUMMYFUNCTION("""COMPUTED_VALUE"""),"MUS 092F SC-01")</f>
        <v>MUS 092F SC-01</v>
      </c>
    </row>
    <row r="1328">
      <c r="A1328" s="14" t="s">
        <v>2356</v>
      </c>
      <c r="C1328" s="14" t="s">
        <v>2355</v>
      </c>
      <c r="G1328" s="15" t="str">
        <f>IFERROR(__xludf.DUMMYFUNCTION("""COMPUTED_VALUE"""),"MUS 092F SC-02")</f>
        <v>MUS 092F SC-02</v>
      </c>
    </row>
    <row r="1329">
      <c r="A1329" s="14" t="s">
        <v>2357</v>
      </c>
      <c r="C1329" s="14" t="s">
        <v>2355</v>
      </c>
      <c r="G1329" s="15" t="str">
        <f>IFERROR(__xludf.DUMMYFUNCTION("""COMPUTED_VALUE"""),"MUS 092F SC-03")</f>
        <v>MUS 092F SC-03</v>
      </c>
    </row>
    <row r="1330">
      <c r="A1330" s="14" t="s">
        <v>2358</v>
      </c>
      <c r="C1330" s="14" t="s">
        <v>2359</v>
      </c>
      <c r="G1330" s="15" t="str">
        <f>IFERROR(__xludf.DUMMYFUNCTION("""COMPUTED_VALUE"""),"MUS 092H SC-01")</f>
        <v>MUS 092H SC-01</v>
      </c>
    </row>
    <row r="1331">
      <c r="A1331" s="14" t="s">
        <v>2360</v>
      </c>
      <c r="C1331" s="14" t="s">
        <v>2359</v>
      </c>
      <c r="G1331" s="15" t="str">
        <f>IFERROR(__xludf.DUMMYFUNCTION("""COMPUTED_VALUE"""),"MUS 092H SC-02")</f>
        <v>MUS 092H SC-02</v>
      </c>
    </row>
    <row r="1332">
      <c r="A1332" s="14" t="s">
        <v>2361</v>
      </c>
      <c r="C1332" s="14" t="s">
        <v>2359</v>
      </c>
      <c r="G1332" s="15" t="str">
        <f>IFERROR(__xludf.DUMMYFUNCTION("""COMPUTED_VALUE"""),"MUS 092H SC-03")</f>
        <v>MUS 092H SC-03</v>
      </c>
    </row>
    <row r="1333">
      <c r="A1333" s="14" t="s">
        <v>2362</v>
      </c>
      <c r="C1333" s="14" t="s">
        <v>2363</v>
      </c>
      <c r="G1333" s="15" t="str">
        <f>IFERROR(__xludf.DUMMYFUNCTION("""COMPUTED_VALUE"""),"MUS 095 PO-01")</f>
        <v>MUS 095 PO-01</v>
      </c>
    </row>
    <row r="1334">
      <c r="A1334" s="14" t="s">
        <v>2364</v>
      </c>
      <c r="C1334" s="14" t="s">
        <v>2365</v>
      </c>
      <c r="G1334" s="15" t="str">
        <f>IFERROR(__xludf.DUMMYFUNCTION("""COMPUTED_VALUE"""),"MUS 096B PO-01")</f>
        <v>MUS 096B PO-01</v>
      </c>
    </row>
    <row r="1335">
      <c r="A1335" s="14" t="s">
        <v>2366</v>
      </c>
      <c r="C1335" s="14" t="s">
        <v>2367</v>
      </c>
      <c r="G1335" s="15" t="str">
        <f>IFERROR(__xludf.DUMMYFUNCTION("""COMPUTED_VALUE"""),"MUS 100 PO-01")</f>
        <v>MUS 100 PO-01</v>
      </c>
    </row>
    <row r="1336">
      <c r="A1336" s="14" t="s">
        <v>2368</v>
      </c>
      <c r="C1336" s="14" t="s">
        <v>2369</v>
      </c>
      <c r="G1336" s="15" t="str">
        <f>IFERROR(__xludf.DUMMYFUNCTION("""COMPUTED_VALUE"""),"MUS 102 SC-01")</f>
        <v>MUS 102 SC-01</v>
      </c>
    </row>
    <row r="1337">
      <c r="A1337" s="14" t="s">
        <v>2370</v>
      </c>
      <c r="C1337" s="14" t="s">
        <v>2371</v>
      </c>
      <c r="G1337" s="15" t="str">
        <f>IFERROR(__xludf.DUMMYFUNCTION("""COMPUTED_VALUE"""),"MUS 110B SC-01")</f>
        <v>MUS 110B SC-01</v>
      </c>
    </row>
    <row r="1338">
      <c r="A1338" s="14" t="s">
        <v>2372</v>
      </c>
      <c r="C1338" s="14" t="s">
        <v>2373</v>
      </c>
      <c r="G1338" s="15" t="str">
        <f>IFERROR(__xludf.DUMMYFUNCTION("""COMPUTED_VALUE"""),"MUS 112 SC-01")</f>
        <v>MUS 112 SC-01</v>
      </c>
    </row>
    <row r="1339">
      <c r="A1339" s="14" t="s">
        <v>2374</v>
      </c>
      <c r="C1339" s="14" t="s">
        <v>2375</v>
      </c>
      <c r="G1339" s="15" t="str">
        <f>IFERROR(__xludf.DUMMYFUNCTION("""COMPUTED_VALUE"""),"MUS 119 SC-01")</f>
        <v>MUS 119 SC-01</v>
      </c>
    </row>
    <row r="1340">
      <c r="A1340" s="14" t="s">
        <v>2376</v>
      </c>
      <c r="C1340" s="14" t="s">
        <v>2377</v>
      </c>
      <c r="G1340" s="15" t="str">
        <f>IFERROR(__xludf.DUMMYFUNCTION("""COMPUTED_VALUE"""),"MUS 120 SC-01")</f>
        <v>MUS 120 SC-01</v>
      </c>
    </row>
    <row r="1341">
      <c r="A1341" s="14" t="s">
        <v>2378</v>
      </c>
      <c r="C1341" s="14" t="s">
        <v>2379</v>
      </c>
      <c r="G1341" s="15" t="str">
        <f>IFERROR(__xludf.DUMMYFUNCTION("""COMPUTED_VALUE"""),"MUS 121 PO-01")</f>
        <v>MUS 121 PO-01</v>
      </c>
    </row>
    <row r="1342">
      <c r="A1342" s="14" t="s">
        <v>2380</v>
      </c>
      <c r="C1342" s="14" t="s">
        <v>2381</v>
      </c>
      <c r="G1342" s="15" t="str">
        <f>IFERROR(__xludf.DUMMYFUNCTION("""COMPUTED_VALUE"""),"MUS 130 SC-01")</f>
        <v>MUS 130 SC-01</v>
      </c>
    </row>
    <row r="1343">
      <c r="A1343" s="14" t="s">
        <v>2382</v>
      </c>
      <c r="C1343" s="14" t="s">
        <v>2383</v>
      </c>
      <c r="G1343" s="15" t="str">
        <f>IFERROR(__xludf.DUMMYFUNCTION("""COMPUTED_VALUE"""),"MUS 147 PO-01")</f>
        <v>MUS 147 PO-01</v>
      </c>
    </row>
    <row r="1344">
      <c r="A1344" s="14" t="s">
        <v>2384</v>
      </c>
      <c r="C1344" s="14" t="s">
        <v>2385</v>
      </c>
      <c r="G1344" s="15" t="str">
        <f>IFERROR(__xludf.DUMMYFUNCTION("""COMPUTED_VALUE"""),"MUS 170F SC-01")</f>
        <v>MUS 170F SC-01</v>
      </c>
    </row>
    <row r="1345">
      <c r="A1345" s="14" t="s">
        <v>2386</v>
      </c>
      <c r="C1345" s="14" t="s">
        <v>2387</v>
      </c>
      <c r="G1345" s="15" t="str">
        <f>IFERROR(__xludf.DUMMYFUNCTION("""COMPUTED_VALUE"""),"MUS 170H SC-01")</f>
        <v>MUS 170H SC-01</v>
      </c>
    </row>
    <row r="1346">
      <c r="A1346" s="14" t="s">
        <v>2388</v>
      </c>
      <c r="C1346" s="14" t="s">
        <v>2387</v>
      </c>
      <c r="G1346" s="15" t="str">
        <f>IFERROR(__xludf.DUMMYFUNCTION("""COMPUTED_VALUE"""),"MUS 170H SC-02")</f>
        <v>MUS 170H SC-02</v>
      </c>
    </row>
    <row r="1347">
      <c r="A1347" s="14" t="s">
        <v>2389</v>
      </c>
      <c r="C1347" s="14" t="s">
        <v>2387</v>
      </c>
      <c r="G1347" s="15" t="str">
        <f>IFERROR(__xludf.DUMMYFUNCTION("""COMPUTED_VALUE"""),"MUS 170H SC-03")</f>
        <v>MUS 170H SC-03</v>
      </c>
    </row>
    <row r="1348">
      <c r="A1348" s="14" t="s">
        <v>2390</v>
      </c>
      <c r="C1348" s="14" t="s">
        <v>2391</v>
      </c>
      <c r="G1348" s="15" t="str">
        <f>IFERROR(__xludf.DUMMYFUNCTION("""COMPUTED_VALUE"""),"MUS 171F SC-01")</f>
        <v>MUS 171F SC-01</v>
      </c>
    </row>
    <row r="1349">
      <c r="A1349" s="14" t="s">
        <v>2392</v>
      </c>
      <c r="C1349" s="14" t="s">
        <v>2391</v>
      </c>
      <c r="G1349" s="15" t="str">
        <f>IFERROR(__xludf.DUMMYFUNCTION("""COMPUTED_VALUE"""),"MUS 171F SC-02")</f>
        <v>MUS 171F SC-02</v>
      </c>
    </row>
    <row r="1350">
      <c r="A1350" s="14" t="s">
        <v>2393</v>
      </c>
      <c r="C1350" s="14" t="s">
        <v>2394</v>
      </c>
      <c r="G1350" s="15" t="str">
        <f>IFERROR(__xludf.DUMMYFUNCTION("""COMPUTED_VALUE"""),"MUS 171H SC-01")</f>
        <v>MUS 171H SC-01</v>
      </c>
    </row>
    <row r="1351">
      <c r="A1351" s="14" t="s">
        <v>2395</v>
      </c>
      <c r="C1351" s="14" t="s">
        <v>2394</v>
      </c>
      <c r="G1351" s="15" t="str">
        <f>IFERROR(__xludf.DUMMYFUNCTION("""COMPUTED_VALUE"""),"MUS 171H SC-02")</f>
        <v>MUS 171H SC-02</v>
      </c>
    </row>
    <row r="1352">
      <c r="A1352" s="14" t="s">
        <v>2396</v>
      </c>
      <c r="C1352" s="14" t="s">
        <v>2394</v>
      </c>
      <c r="G1352" s="15" t="str">
        <f>IFERROR(__xludf.DUMMYFUNCTION("""COMPUTED_VALUE"""),"MUS 171H SC-03")</f>
        <v>MUS 171H SC-03</v>
      </c>
    </row>
    <row r="1353">
      <c r="A1353" s="14" t="s">
        <v>2397</v>
      </c>
      <c r="C1353" s="14" t="s">
        <v>2398</v>
      </c>
      <c r="G1353" s="15" t="str">
        <f>IFERROR(__xludf.DUMMYFUNCTION("""COMPUTED_VALUE"""),"MUS 172 SC-01")</f>
        <v>MUS 172 SC-01</v>
      </c>
    </row>
    <row r="1354">
      <c r="A1354" s="14" t="s">
        <v>2399</v>
      </c>
      <c r="C1354" s="14" t="s">
        <v>2400</v>
      </c>
      <c r="G1354" s="15" t="str">
        <f>IFERROR(__xludf.DUMMYFUNCTION("""COMPUTED_VALUE"""),"MUS 173 JM-01")</f>
        <v>MUS 173 JM-01</v>
      </c>
    </row>
    <row r="1355">
      <c r="A1355" s="14" t="s">
        <v>2401</v>
      </c>
      <c r="C1355" s="14" t="s">
        <v>2402</v>
      </c>
      <c r="G1355" s="15" t="str">
        <f>IFERROR(__xludf.DUMMYFUNCTION("""COMPUTED_VALUE"""),"MUS 175 JM-01")</f>
        <v>MUS 175 JM-01</v>
      </c>
    </row>
    <row r="1356">
      <c r="A1356" s="14" t="s">
        <v>2403</v>
      </c>
      <c r="C1356" s="14" t="s">
        <v>2404</v>
      </c>
      <c r="G1356" s="15" t="str">
        <f>IFERROR(__xludf.DUMMYFUNCTION("""COMPUTED_VALUE"""),"MUS 177F SC-01")</f>
        <v>MUS 177F SC-01</v>
      </c>
    </row>
    <row r="1357">
      <c r="A1357" s="14" t="s">
        <v>2405</v>
      </c>
      <c r="C1357" s="14" t="s">
        <v>2406</v>
      </c>
      <c r="G1357" s="15" t="str">
        <f>IFERROR(__xludf.DUMMYFUNCTION("""COMPUTED_VALUE"""),"MUS 177H SC-01")</f>
        <v>MUS 177H SC-01</v>
      </c>
    </row>
    <row r="1358">
      <c r="A1358" s="14" t="s">
        <v>2407</v>
      </c>
      <c r="C1358" s="14" t="s">
        <v>2408</v>
      </c>
      <c r="G1358" s="15" t="str">
        <f>IFERROR(__xludf.DUMMYFUNCTION("""COMPUTED_VALUE"""),"MUS 189 SC-01")</f>
        <v>MUS 189 SC-01</v>
      </c>
    </row>
    <row r="1359">
      <c r="A1359" s="14" t="s">
        <v>2409</v>
      </c>
      <c r="C1359" s="14" t="s">
        <v>2410</v>
      </c>
      <c r="G1359" s="15" t="str">
        <f>IFERROR(__xludf.DUMMYFUNCTION("""COMPUTED_VALUE"""),"MUS 191 SC-01")</f>
        <v>MUS 191 SC-01</v>
      </c>
    </row>
    <row r="1360">
      <c r="A1360" s="14" t="s">
        <v>2411</v>
      </c>
      <c r="C1360" s="14" t="s">
        <v>2412</v>
      </c>
      <c r="G1360" s="15" t="str">
        <f>IFERROR(__xludf.DUMMYFUNCTION("""COMPUTED_VALUE"""),"MUS 192 PO-04")</f>
        <v>MUS 192 PO-04</v>
      </c>
    </row>
    <row r="1361">
      <c r="A1361" s="14" t="s">
        <v>2413</v>
      </c>
      <c r="C1361" s="14" t="s">
        <v>2414</v>
      </c>
      <c r="G1361" s="15" t="str">
        <f>IFERROR(__xludf.DUMMYFUNCTION("""COMPUTED_VALUE"""),"NEUR 095L JT-01")</f>
        <v>NEUR 095L JT-01</v>
      </c>
    </row>
    <row r="1362">
      <c r="A1362" s="14" t="s">
        <v>2415</v>
      </c>
      <c r="C1362" s="14" t="s">
        <v>2416</v>
      </c>
      <c r="G1362" s="15" t="str">
        <f>IFERROR(__xludf.DUMMYFUNCTION("""COMPUTED_VALUE"""),"NEUR 101B PO-01")</f>
        <v>NEUR 101B PO-01</v>
      </c>
    </row>
    <row r="1363">
      <c r="A1363" s="14" t="s">
        <v>2417</v>
      </c>
      <c r="C1363" s="14" t="s">
        <v>2418</v>
      </c>
      <c r="G1363" s="15" t="str">
        <f>IFERROR(__xludf.DUMMYFUNCTION("""COMPUTED_VALUE"""),"NEUR 101BL PO-01")</f>
        <v>NEUR 101BL PO-01</v>
      </c>
    </row>
    <row r="1364">
      <c r="A1364" s="14" t="s">
        <v>2419</v>
      </c>
      <c r="C1364" s="14" t="s">
        <v>2418</v>
      </c>
      <c r="G1364" s="15" t="str">
        <f>IFERROR(__xludf.DUMMYFUNCTION("""COMPUTED_VALUE"""),"NEUR 101BL PO-02")</f>
        <v>NEUR 101BL PO-02</v>
      </c>
    </row>
    <row r="1365">
      <c r="A1365" s="14" t="s">
        <v>2420</v>
      </c>
      <c r="C1365" s="14" t="s">
        <v>2421</v>
      </c>
      <c r="G1365" s="15" t="str">
        <f>IFERROR(__xludf.DUMMYFUNCTION("""COMPUTED_VALUE"""),"NEUR 123 PO-01")</f>
        <v>NEUR 123 PO-01</v>
      </c>
    </row>
    <row r="1366">
      <c r="A1366" s="14" t="s">
        <v>2422</v>
      </c>
      <c r="C1366" s="14" t="s">
        <v>2423</v>
      </c>
      <c r="G1366" s="15" t="str">
        <f>IFERROR(__xludf.DUMMYFUNCTION("""COMPUTED_VALUE"""),"NEUR 168 PO-01")</f>
        <v>NEUR 168 PO-01</v>
      </c>
    </row>
    <row r="1367">
      <c r="A1367" s="14" t="s">
        <v>2424</v>
      </c>
      <c r="C1367" s="14" t="s">
        <v>2425</v>
      </c>
      <c r="G1367" s="15" t="str">
        <f>IFERROR(__xludf.DUMMYFUNCTION("""COMPUTED_VALUE"""),"NEUR 168L PO-01")</f>
        <v>NEUR 168L PO-01</v>
      </c>
    </row>
    <row r="1368">
      <c r="A1368" s="14" t="s">
        <v>2426</v>
      </c>
      <c r="C1368" s="14" t="s">
        <v>2427</v>
      </c>
      <c r="G1368" s="15" t="str">
        <f>IFERROR(__xludf.DUMMYFUNCTION("""COMPUTED_VALUE"""),"NEUR 178 PO-01")</f>
        <v>NEUR 178 PO-01</v>
      </c>
    </row>
    <row r="1369">
      <c r="A1369" s="14" t="s">
        <v>2428</v>
      </c>
      <c r="C1369" s="14" t="s">
        <v>2429</v>
      </c>
      <c r="G1369" s="15" t="str">
        <f>IFERROR(__xludf.DUMMYFUNCTION("""COMPUTED_VALUE"""),"NEUR 188L KS-01")</f>
        <v>NEUR 188L KS-01</v>
      </c>
    </row>
    <row r="1370">
      <c r="A1370" s="14" t="s">
        <v>2430</v>
      </c>
      <c r="C1370" s="14" t="s">
        <v>2431</v>
      </c>
      <c r="G1370" s="15" t="str">
        <f>IFERROR(__xludf.DUMMYFUNCTION("""COMPUTED_VALUE"""),"NEUR 189L KS-01")</f>
        <v>NEUR 189L KS-01</v>
      </c>
    </row>
    <row r="1371">
      <c r="A1371" s="14" t="s">
        <v>2432</v>
      </c>
      <c r="C1371" s="14" t="s">
        <v>2433</v>
      </c>
      <c r="G1371" s="15" t="str">
        <f>IFERROR(__xludf.DUMMYFUNCTION("""COMPUTED_VALUE"""),"NEUR 190L KS-01")</f>
        <v>NEUR 190L KS-01</v>
      </c>
    </row>
    <row r="1372">
      <c r="A1372" s="14" t="s">
        <v>2434</v>
      </c>
      <c r="C1372" s="14" t="s">
        <v>2435</v>
      </c>
      <c r="G1372" s="15" t="str">
        <f>IFERROR(__xludf.DUMMYFUNCTION("""COMPUTED_VALUE"""),"NEUR 191 KS-01")</f>
        <v>NEUR 191 KS-01</v>
      </c>
    </row>
    <row r="1373">
      <c r="A1373" s="14" t="s">
        <v>2436</v>
      </c>
      <c r="C1373" s="14" t="s">
        <v>2435</v>
      </c>
      <c r="G1373" s="15" t="str">
        <f>IFERROR(__xludf.DUMMYFUNCTION("""COMPUTED_VALUE"""),"NEUR 191 PO-04")</f>
        <v>NEUR 191 PO-04</v>
      </c>
    </row>
    <row r="1374">
      <c r="A1374" s="14" t="s">
        <v>2437</v>
      </c>
      <c r="C1374" s="14" t="s">
        <v>2435</v>
      </c>
      <c r="G1374" s="15" t="str">
        <f>IFERROR(__xludf.DUMMYFUNCTION("""COMPUTED_VALUE"""),"NEUR 191 PO-08")</f>
        <v>NEUR 191 PO-08</v>
      </c>
    </row>
    <row r="1375">
      <c r="A1375" s="14" t="s">
        <v>2438</v>
      </c>
      <c r="C1375" s="14" t="s">
        <v>2435</v>
      </c>
      <c r="G1375" s="15" t="str">
        <f>IFERROR(__xludf.DUMMYFUNCTION("""COMPUTED_VALUE"""),"NEUR 191 PO-12")</f>
        <v>NEUR 191 PO-12</v>
      </c>
    </row>
    <row r="1376">
      <c r="A1376" s="14" t="s">
        <v>2439</v>
      </c>
      <c r="C1376" s="14" t="s">
        <v>2435</v>
      </c>
      <c r="G1376" s="15" t="str">
        <f>IFERROR(__xludf.DUMMYFUNCTION("""COMPUTED_VALUE"""),"NEUR 191 PO-16")</f>
        <v>NEUR 191 PO-16</v>
      </c>
    </row>
    <row r="1377">
      <c r="A1377" s="14" t="s">
        <v>2440</v>
      </c>
      <c r="C1377" s="14" t="s">
        <v>2441</v>
      </c>
      <c r="G1377" s="15" t="str">
        <f>IFERROR(__xludf.DUMMYFUNCTION("""COMPUTED_VALUE"""),"NEUR 192 PO-04")</f>
        <v>NEUR 192 PO-04</v>
      </c>
    </row>
    <row r="1378">
      <c r="A1378" s="14" t="s">
        <v>2442</v>
      </c>
      <c r="C1378" s="14" t="s">
        <v>2443</v>
      </c>
      <c r="G1378" s="15" t="str">
        <f>IFERROR(__xludf.DUMMYFUNCTION("""COMPUTED_VALUE"""),"NEUR 194A PO-04")</f>
        <v>NEUR 194A PO-04</v>
      </c>
    </row>
    <row r="1379">
      <c r="A1379" s="14" t="s">
        <v>2444</v>
      </c>
      <c r="C1379" s="14" t="s">
        <v>2443</v>
      </c>
      <c r="G1379" s="15" t="str">
        <f>IFERROR(__xludf.DUMMYFUNCTION("""COMPUTED_VALUE"""),"NEUR 194A PO-08")</f>
        <v>NEUR 194A PO-08</v>
      </c>
    </row>
    <row r="1380">
      <c r="A1380" s="14" t="s">
        <v>2445</v>
      </c>
      <c r="C1380" s="14" t="s">
        <v>2443</v>
      </c>
      <c r="G1380" s="15" t="str">
        <f>IFERROR(__xludf.DUMMYFUNCTION("""COMPUTED_VALUE"""),"NEUR 194A PO-12")</f>
        <v>NEUR 194A PO-12</v>
      </c>
    </row>
    <row r="1381">
      <c r="A1381" s="14" t="s">
        <v>2446</v>
      </c>
      <c r="C1381" s="14" t="s">
        <v>2443</v>
      </c>
      <c r="G1381" s="15" t="str">
        <f>IFERROR(__xludf.DUMMYFUNCTION("""COMPUTED_VALUE"""),"NEUR 194A PO-16")</f>
        <v>NEUR 194A PO-16</v>
      </c>
    </row>
    <row r="1382">
      <c r="A1382" s="14" t="s">
        <v>2447</v>
      </c>
      <c r="C1382" s="14" t="s">
        <v>2443</v>
      </c>
      <c r="G1382" s="15" t="str">
        <f>IFERROR(__xludf.DUMMYFUNCTION("""COMPUTED_VALUE"""),"NEUR 194A PO-20")</f>
        <v>NEUR 194A PO-20</v>
      </c>
    </row>
    <row r="1383">
      <c r="A1383" s="14" t="s">
        <v>2448</v>
      </c>
      <c r="C1383" s="14" t="s">
        <v>2443</v>
      </c>
      <c r="G1383" s="15" t="str">
        <f>IFERROR(__xludf.DUMMYFUNCTION("""COMPUTED_VALUE"""),"NEUR 194A PO-24")</f>
        <v>NEUR 194A PO-24</v>
      </c>
    </row>
    <row r="1384">
      <c r="A1384" s="14" t="s">
        <v>2449</v>
      </c>
      <c r="C1384" s="14" t="s">
        <v>2450</v>
      </c>
      <c r="G1384" s="15" t="str">
        <f>IFERROR(__xludf.DUMMYFUNCTION("""COMPUTED_VALUE"""),"ORST 103 PZ-01")</f>
        <v>ORST 103 PZ-01</v>
      </c>
    </row>
    <row r="1385">
      <c r="A1385" s="14" t="s">
        <v>2451</v>
      </c>
      <c r="C1385" s="14" t="s">
        <v>2452</v>
      </c>
      <c r="G1385" s="15" t="str">
        <f>IFERROR(__xludf.DUMMYFUNCTION("""COMPUTED_VALUE"""),"ORST 135 PZ-01")</f>
        <v>ORST 135 PZ-01</v>
      </c>
    </row>
    <row r="1386">
      <c r="A1386" s="14" t="s">
        <v>2453</v>
      </c>
      <c r="C1386" s="14" t="s">
        <v>2454</v>
      </c>
      <c r="G1386" s="15" t="str">
        <f>IFERROR(__xludf.DUMMYFUNCTION("""COMPUTED_VALUE"""),"ORST 150 PZ-01")</f>
        <v>ORST 150 PZ-01</v>
      </c>
    </row>
    <row r="1387">
      <c r="A1387" s="14" t="s">
        <v>2455</v>
      </c>
      <c r="C1387" s="14" t="s">
        <v>2456</v>
      </c>
      <c r="G1387" s="15" t="str">
        <f>IFERROR(__xludf.DUMMYFUNCTION("""COMPUTED_VALUE"""),"ORST 198 PZ-01")</f>
        <v>ORST 198 PZ-01</v>
      </c>
    </row>
    <row r="1388">
      <c r="A1388" s="14" t="s">
        <v>2457</v>
      </c>
      <c r="C1388" s="14" t="s">
        <v>2458</v>
      </c>
      <c r="G1388" s="15" t="str">
        <f>IFERROR(__xludf.DUMMYFUNCTION("""COMPUTED_VALUE"""),"PE 001D PO-01")</f>
        <v>PE 001D PO-01</v>
      </c>
    </row>
    <row r="1389">
      <c r="A1389" s="14" t="s">
        <v>2459</v>
      </c>
      <c r="C1389" s="14" t="s">
        <v>2460</v>
      </c>
      <c r="G1389" s="15" t="str">
        <f>IFERROR(__xludf.DUMMYFUNCTION("""COMPUTED_VALUE"""),"PE 002 PO-01")</f>
        <v>PE 002 PO-01</v>
      </c>
    </row>
    <row r="1390">
      <c r="A1390" s="14" t="s">
        <v>2461</v>
      </c>
      <c r="C1390" s="14" t="s">
        <v>2462</v>
      </c>
      <c r="G1390" s="15" t="str">
        <f>IFERROR(__xludf.DUMMYFUNCTION("""COMPUTED_VALUE"""),"PE 003 PO-01")</f>
        <v>PE 003 PO-01</v>
      </c>
    </row>
    <row r="1391">
      <c r="A1391" s="14" t="s">
        <v>2463</v>
      </c>
      <c r="C1391" s="14" t="s">
        <v>2462</v>
      </c>
      <c r="G1391" s="15" t="str">
        <f>IFERROR(__xludf.DUMMYFUNCTION("""COMPUTED_VALUE"""),"PE 003 PO-02")</f>
        <v>PE 003 PO-02</v>
      </c>
    </row>
    <row r="1392">
      <c r="A1392" s="14" t="s">
        <v>2464</v>
      </c>
      <c r="C1392" s="14" t="s">
        <v>2465</v>
      </c>
      <c r="G1392" s="15" t="str">
        <f>IFERROR(__xludf.DUMMYFUNCTION("""COMPUTED_VALUE"""),"PE 004 JP-01")</f>
        <v>PE 004 JP-01</v>
      </c>
    </row>
    <row r="1393">
      <c r="A1393" s="14" t="s">
        <v>2466</v>
      </c>
      <c r="C1393" s="14" t="s">
        <v>2467</v>
      </c>
      <c r="G1393" s="15" t="str">
        <f>IFERROR(__xludf.DUMMYFUNCTION("""COMPUTED_VALUE"""),"PE 004B JP-01")</f>
        <v>PE 004B JP-01</v>
      </c>
    </row>
    <row r="1394">
      <c r="A1394" s="14" t="s">
        <v>2468</v>
      </c>
      <c r="C1394" s="14" t="s">
        <v>2469</v>
      </c>
      <c r="G1394" s="15" t="str">
        <f>IFERROR(__xludf.DUMMYFUNCTION("""COMPUTED_VALUE"""),"PE 005 JP-01")</f>
        <v>PE 005 JP-01</v>
      </c>
    </row>
    <row r="1395">
      <c r="A1395" s="14" t="s">
        <v>2470</v>
      </c>
      <c r="C1395" s="14" t="s">
        <v>2471</v>
      </c>
      <c r="G1395" s="15" t="str">
        <f>IFERROR(__xludf.DUMMYFUNCTION("""COMPUTED_VALUE"""),"PE 005A JP-01")</f>
        <v>PE 005A JP-01</v>
      </c>
    </row>
    <row r="1396">
      <c r="A1396" s="14" t="s">
        <v>2472</v>
      </c>
      <c r="C1396" s="14" t="s">
        <v>2473</v>
      </c>
      <c r="G1396" s="15" t="str">
        <f>IFERROR(__xludf.DUMMYFUNCTION("""COMPUTED_VALUE"""),"PE 005C JP-01")</f>
        <v>PE 005C JP-01</v>
      </c>
    </row>
    <row r="1397">
      <c r="A1397" s="14" t="s">
        <v>2474</v>
      </c>
      <c r="C1397" s="14" t="s">
        <v>2475</v>
      </c>
      <c r="G1397" s="15" t="str">
        <f>IFERROR(__xludf.DUMMYFUNCTION("""COMPUTED_VALUE"""),"PE 005D JP-01")</f>
        <v>PE 005D JP-01</v>
      </c>
    </row>
    <row r="1398">
      <c r="A1398" s="14" t="s">
        <v>2476</v>
      </c>
      <c r="C1398" s="14" t="s">
        <v>2477</v>
      </c>
      <c r="G1398" s="15" t="str">
        <f>IFERROR(__xludf.DUMMYFUNCTION("""COMPUTED_VALUE"""),"PE 005E JP-01")</f>
        <v>PE 005E JP-01</v>
      </c>
    </row>
    <row r="1399">
      <c r="A1399" s="14" t="s">
        <v>2478</v>
      </c>
      <c r="C1399" s="14" t="s">
        <v>2479</v>
      </c>
      <c r="G1399" s="15" t="str">
        <f>IFERROR(__xludf.DUMMYFUNCTION("""COMPUTED_VALUE"""),"PE 006 PO-01")</f>
        <v>PE 006 PO-01</v>
      </c>
    </row>
    <row r="1400">
      <c r="A1400" s="14" t="s">
        <v>2480</v>
      </c>
      <c r="C1400" s="14" t="s">
        <v>2479</v>
      </c>
      <c r="G1400" s="15" t="str">
        <f>IFERROR(__xludf.DUMMYFUNCTION("""COMPUTED_VALUE"""),"PE 006 PO-02")</f>
        <v>PE 006 PO-02</v>
      </c>
    </row>
    <row r="1401">
      <c r="A1401" s="14" t="s">
        <v>2481</v>
      </c>
      <c r="C1401" s="14" t="s">
        <v>2482</v>
      </c>
      <c r="G1401" s="15" t="str">
        <f>IFERROR(__xludf.DUMMYFUNCTION("""COMPUTED_VALUE"""),"PE 007 PO-01")</f>
        <v>PE 007 PO-01</v>
      </c>
    </row>
    <row r="1402">
      <c r="A1402" s="14" t="s">
        <v>2483</v>
      </c>
      <c r="C1402" s="14" t="s">
        <v>2484</v>
      </c>
      <c r="G1402" s="15" t="str">
        <f>IFERROR(__xludf.DUMMYFUNCTION("""COMPUTED_VALUE"""),"PE 007D JP-01")</f>
        <v>PE 007D JP-01</v>
      </c>
    </row>
    <row r="1403">
      <c r="A1403" s="14" t="s">
        <v>2485</v>
      </c>
      <c r="C1403" s="14" t="s">
        <v>2486</v>
      </c>
      <c r="G1403" s="15" t="str">
        <f>IFERROR(__xludf.DUMMYFUNCTION("""COMPUTED_VALUE"""),"PE 008 PO-01")</f>
        <v>PE 008 PO-01</v>
      </c>
    </row>
    <row r="1404">
      <c r="A1404" s="14" t="s">
        <v>2487</v>
      </c>
      <c r="C1404" s="14" t="s">
        <v>2486</v>
      </c>
      <c r="G1404" s="15" t="str">
        <f>IFERROR(__xludf.DUMMYFUNCTION("""COMPUTED_VALUE"""),"PE 008 PO-02")</f>
        <v>PE 008 PO-02</v>
      </c>
    </row>
    <row r="1405">
      <c r="A1405" s="14" t="s">
        <v>2488</v>
      </c>
      <c r="C1405" s="14" t="s">
        <v>78</v>
      </c>
      <c r="G1405" s="15" t="str">
        <f>IFERROR(__xludf.DUMMYFUNCTION("""COMPUTED_VALUE"""),"PE 008B JP-01")</f>
        <v>PE 008B JP-01</v>
      </c>
    </row>
    <row r="1406">
      <c r="A1406" s="14" t="s">
        <v>2489</v>
      </c>
      <c r="C1406" s="14" t="s">
        <v>78</v>
      </c>
      <c r="G1406" s="15" t="str">
        <f>IFERROR(__xludf.DUMMYFUNCTION("""COMPUTED_VALUE"""),"PE 008B JP-02")</f>
        <v>PE 008B JP-02</v>
      </c>
    </row>
    <row r="1407">
      <c r="A1407" s="14" t="s">
        <v>2490</v>
      </c>
      <c r="C1407" s="14" t="s">
        <v>2491</v>
      </c>
      <c r="G1407" s="15" t="str">
        <f>IFERROR(__xludf.DUMMYFUNCTION("""COMPUTED_VALUE"""),"PE 008D JP-01")</f>
        <v>PE 008D JP-01</v>
      </c>
    </row>
    <row r="1408">
      <c r="A1408" s="14" t="s">
        <v>2492</v>
      </c>
      <c r="C1408" s="14" t="s">
        <v>2493</v>
      </c>
      <c r="G1408" s="15" t="str">
        <f>IFERROR(__xludf.DUMMYFUNCTION("""COMPUTED_VALUE"""),"PE 009 JP-01")</f>
        <v>PE 009 JP-01</v>
      </c>
    </row>
    <row r="1409">
      <c r="A1409" s="14" t="s">
        <v>2494</v>
      </c>
      <c r="C1409" s="14" t="s">
        <v>2493</v>
      </c>
      <c r="G1409" s="15" t="str">
        <f>IFERROR(__xludf.DUMMYFUNCTION("""COMPUTED_VALUE"""),"PE 009 PO-01")</f>
        <v>PE 009 PO-01</v>
      </c>
    </row>
    <row r="1410">
      <c r="A1410" s="14" t="s">
        <v>2495</v>
      </c>
      <c r="C1410" s="14" t="s">
        <v>2493</v>
      </c>
      <c r="G1410" s="15" t="str">
        <f>IFERROR(__xludf.DUMMYFUNCTION("""COMPUTED_VALUE"""),"PE 009 PO-02")</f>
        <v>PE 009 PO-02</v>
      </c>
    </row>
    <row r="1411">
      <c r="A1411" s="14" t="s">
        <v>2496</v>
      </c>
      <c r="C1411" s="14" t="s">
        <v>2497</v>
      </c>
      <c r="G1411" s="15" t="str">
        <f>IFERROR(__xludf.DUMMYFUNCTION("""COMPUTED_VALUE"""),"PE 009A PO-01")</f>
        <v>PE 009A PO-01</v>
      </c>
    </row>
    <row r="1412">
      <c r="A1412" s="14" t="s">
        <v>2498</v>
      </c>
      <c r="C1412" s="14" t="s">
        <v>2497</v>
      </c>
      <c r="G1412" s="15" t="str">
        <f>IFERROR(__xludf.DUMMYFUNCTION("""COMPUTED_VALUE"""),"PE 009A PO-02")</f>
        <v>PE 009A PO-02</v>
      </c>
    </row>
    <row r="1413">
      <c r="A1413" s="14" t="s">
        <v>2499</v>
      </c>
      <c r="C1413" s="14" t="s">
        <v>2500</v>
      </c>
      <c r="G1413" s="15" t="str">
        <f>IFERROR(__xludf.DUMMYFUNCTION("""COMPUTED_VALUE"""),"PE 010 JP-01")</f>
        <v>PE 010 JP-01</v>
      </c>
    </row>
    <row r="1414">
      <c r="A1414" s="14" t="s">
        <v>2501</v>
      </c>
      <c r="C1414" s="14" t="s">
        <v>2502</v>
      </c>
      <c r="G1414" s="15" t="str">
        <f>IFERROR(__xludf.DUMMYFUNCTION("""COMPUTED_VALUE"""),"PE 011 JP-01")</f>
        <v>PE 011 JP-01</v>
      </c>
    </row>
    <row r="1415">
      <c r="A1415" s="14" t="s">
        <v>2503</v>
      </c>
      <c r="C1415" s="14" t="s">
        <v>2504</v>
      </c>
      <c r="G1415" s="15" t="str">
        <f>IFERROR(__xludf.DUMMYFUNCTION("""COMPUTED_VALUE"""),"PE 011A JP-01")</f>
        <v>PE 011A JP-01</v>
      </c>
    </row>
    <row r="1416">
      <c r="A1416" s="14" t="s">
        <v>2505</v>
      </c>
      <c r="C1416" s="14" t="s">
        <v>2506</v>
      </c>
      <c r="G1416" s="15" t="str">
        <f>IFERROR(__xludf.DUMMYFUNCTION("""COMPUTED_VALUE"""),"PE 013 JP-01")</f>
        <v>PE 013 JP-01</v>
      </c>
    </row>
    <row r="1417">
      <c r="A1417" s="14" t="s">
        <v>2507</v>
      </c>
      <c r="C1417" s="14" t="s">
        <v>2508</v>
      </c>
      <c r="G1417" s="15" t="str">
        <f>IFERROR(__xludf.DUMMYFUNCTION("""COMPUTED_VALUE"""),"PE 013C JP-01")</f>
        <v>PE 013C JP-01</v>
      </c>
    </row>
    <row r="1418">
      <c r="A1418" s="14" t="s">
        <v>2509</v>
      </c>
      <c r="C1418" s="14" t="s">
        <v>2510</v>
      </c>
      <c r="G1418" s="15" t="str">
        <f>IFERROR(__xludf.DUMMYFUNCTION("""COMPUTED_VALUE"""),"PE 014 JP-01")</f>
        <v>PE 014 JP-01</v>
      </c>
    </row>
    <row r="1419">
      <c r="A1419" s="14" t="s">
        <v>2511</v>
      </c>
      <c r="C1419" s="14" t="s">
        <v>2510</v>
      </c>
      <c r="G1419" s="15" t="str">
        <f>IFERROR(__xludf.DUMMYFUNCTION("""COMPUTED_VALUE"""),"PE 014 JP-02")</f>
        <v>PE 014 JP-02</v>
      </c>
    </row>
    <row r="1420">
      <c r="A1420" s="14" t="s">
        <v>2512</v>
      </c>
      <c r="C1420" s="14" t="s">
        <v>2510</v>
      </c>
      <c r="G1420" s="15" t="str">
        <f>IFERROR(__xludf.DUMMYFUNCTION("""COMPUTED_VALUE"""),"PE 014 JP-03")</f>
        <v>PE 014 JP-03</v>
      </c>
    </row>
    <row r="1421">
      <c r="A1421" s="14" t="s">
        <v>2513</v>
      </c>
      <c r="C1421" s="14" t="s">
        <v>2514</v>
      </c>
      <c r="G1421" s="15" t="str">
        <f>IFERROR(__xludf.DUMMYFUNCTION("""COMPUTED_VALUE"""),"PE 014A JP-01")</f>
        <v>PE 014A JP-01</v>
      </c>
    </row>
    <row r="1422">
      <c r="A1422" s="14" t="s">
        <v>2515</v>
      </c>
      <c r="C1422" s="14" t="s">
        <v>2516</v>
      </c>
      <c r="G1422" s="15" t="str">
        <f>IFERROR(__xludf.DUMMYFUNCTION("""COMPUTED_VALUE"""),"PE 015 JP-01")</f>
        <v>PE 015 JP-01</v>
      </c>
    </row>
    <row r="1423">
      <c r="A1423" s="14" t="s">
        <v>2517</v>
      </c>
      <c r="C1423" s="14" t="s">
        <v>2516</v>
      </c>
      <c r="G1423" s="15" t="str">
        <f>IFERROR(__xludf.DUMMYFUNCTION("""COMPUTED_VALUE"""),"PE 015 PO-01")</f>
        <v>PE 015 PO-01</v>
      </c>
    </row>
    <row r="1424">
      <c r="A1424" s="14" t="s">
        <v>2518</v>
      </c>
      <c r="C1424" s="14" t="s">
        <v>2519</v>
      </c>
      <c r="G1424" s="15" t="str">
        <f>IFERROR(__xludf.DUMMYFUNCTION("""COMPUTED_VALUE"""),"PE 018 PO-01")</f>
        <v>PE 018 PO-01</v>
      </c>
    </row>
    <row r="1425">
      <c r="A1425" s="14" t="s">
        <v>2520</v>
      </c>
      <c r="C1425" s="14" t="s">
        <v>2521</v>
      </c>
      <c r="G1425" s="15" t="str">
        <f>IFERROR(__xludf.DUMMYFUNCTION("""COMPUTED_VALUE"""),"PE 018A JP-01")</f>
        <v>PE 018A JP-01</v>
      </c>
    </row>
    <row r="1426">
      <c r="A1426" s="14" t="s">
        <v>2522</v>
      </c>
      <c r="C1426" s="14" t="s">
        <v>2523</v>
      </c>
      <c r="G1426" s="15" t="str">
        <f>IFERROR(__xludf.DUMMYFUNCTION("""COMPUTED_VALUE"""),"PE 019 PO-01")</f>
        <v>PE 019 PO-01</v>
      </c>
    </row>
    <row r="1427">
      <c r="A1427" s="14" t="s">
        <v>2524</v>
      </c>
      <c r="C1427" s="14" t="s">
        <v>2523</v>
      </c>
      <c r="G1427" s="15" t="str">
        <f>IFERROR(__xludf.DUMMYFUNCTION("""COMPUTED_VALUE"""),"PE 019 PO-02")</f>
        <v>PE 019 PO-02</v>
      </c>
    </row>
    <row r="1428">
      <c r="A1428" s="14" t="s">
        <v>2525</v>
      </c>
      <c r="C1428" s="14" t="s">
        <v>2526</v>
      </c>
      <c r="G1428" s="15" t="str">
        <f>IFERROR(__xludf.DUMMYFUNCTION("""COMPUTED_VALUE"""),"PE 019B JP-01")</f>
        <v>PE 019B JP-01</v>
      </c>
    </row>
    <row r="1429">
      <c r="A1429" s="14" t="s">
        <v>2527</v>
      </c>
      <c r="C1429" s="14" t="s">
        <v>2528</v>
      </c>
      <c r="G1429" s="15" t="str">
        <f>IFERROR(__xludf.DUMMYFUNCTION("""COMPUTED_VALUE"""),"PE 020B PO-01")</f>
        <v>PE 020B PO-01</v>
      </c>
    </row>
    <row r="1430">
      <c r="A1430" s="14" t="s">
        <v>2529</v>
      </c>
      <c r="C1430" s="14" t="s">
        <v>2530</v>
      </c>
      <c r="G1430" s="15" t="str">
        <f>IFERROR(__xludf.DUMMYFUNCTION("""COMPUTED_VALUE"""),"PE 022A PO-01")</f>
        <v>PE 022A PO-01</v>
      </c>
    </row>
    <row r="1431">
      <c r="A1431" s="14" t="s">
        <v>2531</v>
      </c>
      <c r="C1431" s="14" t="s">
        <v>2530</v>
      </c>
      <c r="G1431" s="15" t="str">
        <f>IFERROR(__xludf.DUMMYFUNCTION("""COMPUTED_VALUE"""),"PE 022A PO-02")</f>
        <v>PE 022A PO-02</v>
      </c>
    </row>
    <row r="1432">
      <c r="A1432" s="14" t="s">
        <v>2532</v>
      </c>
      <c r="C1432" s="14" t="s">
        <v>2530</v>
      </c>
      <c r="G1432" s="15" t="str">
        <f>IFERROR(__xludf.DUMMYFUNCTION("""COMPUTED_VALUE"""),"PE 022A PO-03")</f>
        <v>PE 022A PO-03</v>
      </c>
    </row>
    <row r="1433">
      <c r="A1433" s="14" t="s">
        <v>2533</v>
      </c>
      <c r="C1433" s="14" t="s">
        <v>2534</v>
      </c>
      <c r="G1433" s="15" t="str">
        <f>IFERROR(__xludf.DUMMYFUNCTION("""COMPUTED_VALUE"""),"PE 022B PO-01")</f>
        <v>PE 022B PO-01</v>
      </c>
    </row>
    <row r="1434">
      <c r="A1434" s="14" t="s">
        <v>2535</v>
      </c>
      <c r="C1434" s="14" t="s">
        <v>2536</v>
      </c>
      <c r="G1434" s="15" t="str">
        <f>IFERROR(__xludf.DUMMYFUNCTION("""COMPUTED_VALUE"""),"PE 023 PO-01")</f>
        <v>PE 023 PO-01</v>
      </c>
    </row>
    <row r="1435">
      <c r="A1435" s="14" t="s">
        <v>2537</v>
      </c>
      <c r="C1435" s="14" t="s">
        <v>2538</v>
      </c>
      <c r="G1435" s="15" t="str">
        <f>IFERROR(__xludf.DUMMYFUNCTION("""COMPUTED_VALUE"""),"PE 024 JP-01")</f>
        <v>PE 024 JP-01</v>
      </c>
    </row>
    <row r="1436">
      <c r="A1436" s="14" t="s">
        <v>2539</v>
      </c>
      <c r="C1436" s="14" t="s">
        <v>2540</v>
      </c>
      <c r="G1436" s="15" t="str">
        <f>IFERROR(__xludf.DUMMYFUNCTION("""COMPUTED_VALUE"""),"PE 025 JP-01")</f>
        <v>PE 025 JP-01</v>
      </c>
    </row>
    <row r="1437">
      <c r="A1437" s="14" t="s">
        <v>2541</v>
      </c>
      <c r="C1437" s="14" t="s">
        <v>2542</v>
      </c>
      <c r="G1437" s="15" t="str">
        <f>IFERROR(__xludf.DUMMYFUNCTION("""COMPUTED_VALUE"""),"PE 026 PO-01")</f>
        <v>PE 026 PO-01</v>
      </c>
    </row>
    <row r="1438">
      <c r="A1438" s="14" t="s">
        <v>2543</v>
      </c>
      <c r="C1438" s="14" t="s">
        <v>2544</v>
      </c>
      <c r="G1438" s="15" t="str">
        <f>IFERROR(__xludf.DUMMYFUNCTION("""COMPUTED_VALUE"""),"PE 028B JP-01")</f>
        <v>PE 028B JP-01</v>
      </c>
    </row>
    <row r="1439">
      <c r="A1439" s="14" t="s">
        <v>2545</v>
      </c>
      <c r="C1439" s="14" t="s">
        <v>2546</v>
      </c>
      <c r="G1439" s="15" t="str">
        <f>IFERROR(__xludf.DUMMYFUNCTION("""COMPUTED_VALUE"""),"PE 029 PO-01")</f>
        <v>PE 029 PO-01</v>
      </c>
    </row>
    <row r="1440">
      <c r="A1440" s="14" t="s">
        <v>2547</v>
      </c>
      <c r="C1440" s="14" t="s">
        <v>2548</v>
      </c>
      <c r="G1440" s="15" t="str">
        <f>IFERROR(__xludf.DUMMYFUNCTION("""COMPUTED_VALUE"""),"PE 032 PO-01")</f>
        <v>PE 032 PO-01</v>
      </c>
    </row>
    <row r="1441">
      <c r="A1441" s="14" t="s">
        <v>2549</v>
      </c>
      <c r="C1441" s="14" t="s">
        <v>2550</v>
      </c>
      <c r="G1441" s="15" t="str">
        <f>IFERROR(__xludf.DUMMYFUNCTION("""COMPUTED_VALUE"""),"PE 033B PO-01")</f>
        <v>PE 033B PO-01</v>
      </c>
    </row>
    <row r="1442">
      <c r="A1442" s="14" t="s">
        <v>2551</v>
      </c>
      <c r="C1442" s="14" t="s">
        <v>2552</v>
      </c>
      <c r="G1442" s="15" t="str">
        <f>IFERROR(__xludf.DUMMYFUNCTION("""COMPUTED_VALUE"""),"PE 035A PO-01")</f>
        <v>PE 035A PO-01</v>
      </c>
    </row>
    <row r="1443">
      <c r="A1443" s="14" t="s">
        <v>2553</v>
      </c>
      <c r="C1443" s="14" t="s">
        <v>68</v>
      </c>
      <c r="G1443" s="15" t="str">
        <f>IFERROR(__xludf.DUMMYFUNCTION("""COMPUTED_VALUE"""),"PE 035B PO-01")</f>
        <v>PE 035B PO-01</v>
      </c>
    </row>
    <row r="1444">
      <c r="A1444" s="14" t="s">
        <v>2554</v>
      </c>
      <c r="C1444" s="14" t="s">
        <v>2555</v>
      </c>
      <c r="G1444" s="15" t="str">
        <f>IFERROR(__xludf.DUMMYFUNCTION("""COMPUTED_VALUE"""),"PE 038A PO-01")</f>
        <v>PE 038A PO-01</v>
      </c>
    </row>
    <row r="1445">
      <c r="A1445" s="14" t="s">
        <v>2556</v>
      </c>
      <c r="C1445" s="14" t="s">
        <v>2557</v>
      </c>
      <c r="G1445" s="15" t="str">
        <f>IFERROR(__xludf.DUMMYFUNCTION("""COMPUTED_VALUE"""),"PE 039 JP-01")</f>
        <v>PE 039 JP-01</v>
      </c>
    </row>
    <row r="1446">
      <c r="A1446" s="14" t="s">
        <v>2558</v>
      </c>
      <c r="C1446" s="14" t="s">
        <v>2559</v>
      </c>
      <c r="G1446" s="15" t="str">
        <f>IFERROR(__xludf.DUMMYFUNCTION("""COMPUTED_VALUE"""),"PE 039A JP-01")</f>
        <v>PE 039A JP-01</v>
      </c>
    </row>
    <row r="1447">
      <c r="A1447" s="14" t="s">
        <v>2560</v>
      </c>
      <c r="C1447" s="14" t="s">
        <v>2561</v>
      </c>
      <c r="G1447" s="15" t="str">
        <f>IFERROR(__xludf.DUMMYFUNCTION("""COMPUTED_VALUE"""),"PE 039D JP-01")</f>
        <v>PE 039D JP-01</v>
      </c>
    </row>
    <row r="1448">
      <c r="A1448" s="14" t="s">
        <v>2562</v>
      </c>
      <c r="C1448" s="14" t="s">
        <v>2563</v>
      </c>
      <c r="G1448" s="15" t="str">
        <f>IFERROR(__xludf.DUMMYFUNCTION("""COMPUTED_VALUE"""),"PE 042 JP-01")</f>
        <v>PE 042 JP-01</v>
      </c>
    </row>
    <row r="1449">
      <c r="A1449" s="14" t="s">
        <v>2564</v>
      </c>
      <c r="C1449" s="14" t="s">
        <v>2565</v>
      </c>
      <c r="G1449" s="15" t="str">
        <f>IFERROR(__xludf.DUMMYFUNCTION("""COMPUTED_VALUE"""),"PE 042A JP-01")</f>
        <v>PE 042A JP-01</v>
      </c>
    </row>
    <row r="1450">
      <c r="A1450" s="14" t="s">
        <v>2566</v>
      </c>
      <c r="C1450" s="14" t="s">
        <v>2567</v>
      </c>
      <c r="G1450" s="15" t="str">
        <f>IFERROR(__xludf.DUMMYFUNCTION("""COMPUTED_VALUE"""),"PE 056D JP-01")</f>
        <v>PE 056D JP-01</v>
      </c>
    </row>
    <row r="1451">
      <c r="A1451" s="14" t="s">
        <v>2568</v>
      </c>
      <c r="C1451" s="14" t="s">
        <v>2569</v>
      </c>
      <c r="G1451" s="15" t="str">
        <f>IFERROR(__xludf.DUMMYFUNCTION("""COMPUTED_VALUE"""),"PE 057A JP-01")</f>
        <v>PE 057A JP-01</v>
      </c>
    </row>
    <row r="1452">
      <c r="A1452" s="14" t="s">
        <v>2570</v>
      </c>
      <c r="C1452" s="14" t="s">
        <v>2571</v>
      </c>
      <c r="G1452" s="15" t="str">
        <f>IFERROR(__xludf.DUMMYFUNCTION("""COMPUTED_VALUE"""),"PE 057B JP-01")</f>
        <v>PE 057B JP-01</v>
      </c>
    </row>
    <row r="1453">
      <c r="A1453" s="14" t="s">
        <v>2572</v>
      </c>
      <c r="C1453" s="14" t="s">
        <v>2573</v>
      </c>
      <c r="G1453" s="15" t="str">
        <f>IFERROR(__xludf.DUMMYFUNCTION("""COMPUTED_VALUE"""),"PE 057C JP-01")</f>
        <v>PE 057C JP-01</v>
      </c>
    </row>
    <row r="1454">
      <c r="A1454" s="14" t="s">
        <v>2574</v>
      </c>
      <c r="C1454" s="14" t="s">
        <v>2575</v>
      </c>
      <c r="G1454" s="15" t="str">
        <f>IFERROR(__xludf.DUMMYFUNCTION("""COMPUTED_VALUE"""),"PE 057D JP-01")</f>
        <v>PE 057D JP-01</v>
      </c>
    </row>
    <row r="1455">
      <c r="A1455" s="14" t="s">
        <v>2576</v>
      </c>
      <c r="C1455" s="14" t="s">
        <v>2577</v>
      </c>
      <c r="G1455" s="15" t="str">
        <f>IFERROR(__xludf.DUMMYFUNCTION("""COMPUTED_VALUE"""),"PE 067B JP-01")</f>
        <v>PE 067B JP-01</v>
      </c>
    </row>
    <row r="1456">
      <c r="A1456" s="14" t="s">
        <v>2578</v>
      </c>
      <c r="C1456" s="14" t="s">
        <v>2579</v>
      </c>
      <c r="G1456" s="15" t="str">
        <f>IFERROR(__xludf.DUMMYFUNCTION("""COMPUTED_VALUE"""),"PE 070B JP-01")</f>
        <v>PE 070B JP-01</v>
      </c>
    </row>
    <row r="1457">
      <c r="A1457" s="14" t="s">
        <v>2580</v>
      </c>
      <c r="C1457" s="14" t="s">
        <v>2581</v>
      </c>
      <c r="G1457" s="15" t="str">
        <f>IFERROR(__xludf.DUMMYFUNCTION("""COMPUTED_VALUE"""),"PE 073 JP-01")</f>
        <v>PE 073 JP-01</v>
      </c>
    </row>
    <row r="1458">
      <c r="A1458" s="14" t="s">
        <v>2582</v>
      </c>
      <c r="C1458" s="14" t="s">
        <v>2583</v>
      </c>
      <c r="G1458" s="15" t="str">
        <f>IFERROR(__xludf.DUMMYFUNCTION("""COMPUTED_VALUE"""),"PE 073D JP-01")</f>
        <v>PE 073D JP-01</v>
      </c>
    </row>
    <row r="1459">
      <c r="A1459" s="14" t="s">
        <v>2584</v>
      </c>
      <c r="C1459" s="14" t="s">
        <v>2585</v>
      </c>
      <c r="G1459" s="15" t="str">
        <f>IFERROR(__xludf.DUMMYFUNCTION("""COMPUTED_VALUE"""),"PE 074 JP-01")</f>
        <v>PE 074 JP-01</v>
      </c>
    </row>
    <row r="1460">
      <c r="A1460" s="14" t="s">
        <v>2586</v>
      </c>
      <c r="C1460" s="14" t="s">
        <v>2585</v>
      </c>
      <c r="G1460" s="15" t="str">
        <f>IFERROR(__xludf.DUMMYFUNCTION("""COMPUTED_VALUE"""),"PE 074 JP-02")</f>
        <v>PE 074 JP-02</v>
      </c>
    </row>
    <row r="1461">
      <c r="A1461" s="14" t="s">
        <v>2587</v>
      </c>
      <c r="C1461" s="14" t="s">
        <v>2588</v>
      </c>
      <c r="G1461" s="15" t="str">
        <f>IFERROR(__xludf.DUMMYFUNCTION("""COMPUTED_VALUE"""),"PE 075 JP-01")</f>
        <v>PE 075 JP-01</v>
      </c>
    </row>
    <row r="1462">
      <c r="A1462" s="14" t="s">
        <v>2589</v>
      </c>
      <c r="C1462" s="14" t="s">
        <v>2588</v>
      </c>
      <c r="G1462" s="15" t="str">
        <f>IFERROR(__xludf.DUMMYFUNCTION("""COMPUTED_VALUE"""),"PE 075 JP-02")</f>
        <v>PE 075 JP-02</v>
      </c>
    </row>
    <row r="1463">
      <c r="A1463" s="14" t="s">
        <v>2590</v>
      </c>
      <c r="C1463" s="14" t="s">
        <v>2588</v>
      </c>
      <c r="G1463" s="15" t="str">
        <f>IFERROR(__xludf.DUMMYFUNCTION("""COMPUTED_VALUE"""),"PE 075 JP-03")</f>
        <v>PE 075 JP-03</v>
      </c>
    </row>
    <row r="1464">
      <c r="A1464" s="14" t="s">
        <v>2591</v>
      </c>
      <c r="C1464" s="14" t="s">
        <v>2588</v>
      </c>
      <c r="G1464" s="15" t="str">
        <f>IFERROR(__xludf.DUMMYFUNCTION("""COMPUTED_VALUE"""),"PE 075 JP-04")</f>
        <v>PE 075 JP-04</v>
      </c>
    </row>
    <row r="1465">
      <c r="A1465" s="14" t="s">
        <v>2592</v>
      </c>
      <c r="C1465" s="14" t="s">
        <v>2593</v>
      </c>
      <c r="G1465" s="15" t="str">
        <f>IFERROR(__xludf.DUMMYFUNCTION("""COMPUTED_VALUE"""),"PE 075H JP-01")</f>
        <v>PE 075H JP-01</v>
      </c>
    </row>
    <row r="1466">
      <c r="A1466" s="14" t="s">
        <v>2594</v>
      </c>
      <c r="C1466" s="14" t="s">
        <v>2595</v>
      </c>
      <c r="G1466" s="15" t="str">
        <f>IFERROR(__xludf.DUMMYFUNCTION("""COMPUTED_VALUE"""),"PE 076 JP-01")</f>
        <v>PE 076 JP-01</v>
      </c>
    </row>
    <row r="1467">
      <c r="A1467" s="14" t="s">
        <v>2596</v>
      </c>
      <c r="C1467" s="14" t="s">
        <v>2595</v>
      </c>
      <c r="G1467" s="15" t="str">
        <f>IFERROR(__xludf.DUMMYFUNCTION("""COMPUTED_VALUE"""),"PE 076 JP-02")</f>
        <v>PE 076 JP-02</v>
      </c>
    </row>
    <row r="1468">
      <c r="A1468" s="14" t="s">
        <v>2597</v>
      </c>
      <c r="C1468" s="14" t="s">
        <v>2598</v>
      </c>
      <c r="G1468" s="15" t="str">
        <f>IFERROR(__xludf.DUMMYFUNCTION("""COMPUTED_VALUE"""),"PE 076A JP-01")</f>
        <v>PE 076A JP-01</v>
      </c>
    </row>
    <row r="1469">
      <c r="A1469" s="14" t="s">
        <v>2599</v>
      </c>
      <c r="C1469" s="14" t="s">
        <v>2598</v>
      </c>
      <c r="G1469" s="15" t="str">
        <f>IFERROR(__xludf.DUMMYFUNCTION("""COMPUTED_VALUE"""),"PE 076A JP-02")</f>
        <v>PE 076A JP-02</v>
      </c>
    </row>
    <row r="1470">
      <c r="A1470" s="14" t="s">
        <v>2600</v>
      </c>
      <c r="C1470" s="14" t="s">
        <v>2601</v>
      </c>
      <c r="G1470" s="15" t="str">
        <f>IFERROR(__xludf.DUMMYFUNCTION("""COMPUTED_VALUE"""),"PE 077A PO-01")</f>
        <v>PE 077A PO-01</v>
      </c>
    </row>
    <row r="1471">
      <c r="A1471" s="14" t="s">
        <v>2602</v>
      </c>
      <c r="C1471" s="14" t="s">
        <v>2603</v>
      </c>
      <c r="G1471" s="15" t="str">
        <f>IFERROR(__xludf.DUMMYFUNCTION("""COMPUTED_VALUE"""),"PE 080 JP-01")</f>
        <v>PE 080 JP-01</v>
      </c>
    </row>
    <row r="1472">
      <c r="A1472" s="14" t="s">
        <v>2604</v>
      </c>
      <c r="C1472" s="14" t="s">
        <v>2605</v>
      </c>
      <c r="G1472" s="15" t="str">
        <f>IFERROR(__xludf.DUMMYFUNCTION("""COMPUTED_VALUE"""),"PE 082 JP-01")</f>
        <v>PE 082 JP-01</v>
      </c>
    </row>
    <row r="1473">
      <c r="A1473" s="14" t="s">
        <v>2606</v>
      </c>
      <c r="C1473" s="14" t="s">
        <v>2605</v>
      </c>
      <c r="G1473" s="15" t="str">
        <f>IFERROR(__xludf.DUMMYFUNCTION("""COMPUTED_VALUE"""),"PE 082 PO-01")</f>
        <v>PE 082 PO-01</v>
      </c>
    </row>
    <row r="1474">
      <c r="A1474" s="14" t="s">
        <v>2607</v>
      </c>
      <c r="C1474" s="14" t="s">
        <v>2608</v>
      </c>
      <c r="G1474" s="15" t="str">
        <f>IFERROR(__xludf.DUMMYFUNCTION("""COMPUTED_VALUE"""),"PE 084 JP-01")</f>
        <v>PE 084 JP-01</v>
      </c>
    </row>
    <row r="1475">
      <c r="A1475" s="14" t="s">
        <v>2609</v>
      </c>
      <c r="C1475" s="14" t="s">
        <v>2610</v>
      </c>
      <c r="G1475" s="15" t="str">
        <f>IFERROR(__xludf.DUMMYFUNCTION("""COMPUTED_VALUE"""),"PE 085 PO-01")</f>
        <v>PE 085 PO-01</v>
      </c>
    </row>
    <row r="1476">
      <c r="A1476" s="14" t="s">
        <v>2611</v>
      </c>
      <c r="C1476" s="14" t="s">
        <v>2612</v>
      </c>
      <c r="G1476" s="15" t="str">
        <f>IFERROR(__xludf.DUMMYFUNCTION("""COMPUTED_VALUE"""),"PE 086 PO-01")</f>
        <v>PE 086 PO-01</v>
      </c>
    </row>
    <row r="1477">
      <c r="A1477" s="14" t="s">
        <v>2613</v>
      </c>
      <c r="C1477" s="14" t="s">
        <v>2614</v>
      </c>
      <c r="G1477" s="15" t="str">
        <f>IFERROR(__xludf.DUMMYFUNCTION("""COMPUTED_VALUE"""),"PE 087 PO-01")</f>
        <v>PE 087 PO-01</v>
      </c>
    </row>
    <row r="1478">
      <c r="A1478" s="14" t="s">
        <v>2615</v>
      </c>
      <c r="C1478" s="14" t="s">
        <v>2616</v>
      </c>
      <c r="G1478" s="15" t="str">
        <f>IFERROR(__xludf.DUMMYFUNCTION("""COMPUTED_VALUE"""),"PE 087A JP-01")</f>
        <v>PE 087A JP-01</v>
      </c>
    </row>
    <row r="1479">
      <c r="A1479" s="14" t="s">
        <v>2617</v>
      </c>
      <c r="C1479" s="14" t="s">
        <v>2618</v>
      </c>
      <c r="G1479" s="15" t="str">
        <f>IFERROR(__xludf.DUMMYFUNCTION("""COMPUTED_VALUE"""),"PE 088 JP-01")</f>
        <v>PE 088 JP-01</v>
      </c>
    </row>
    <row r="1480">
      <c r="A1480" s="14" t="s">
        <v>2619</v>
      </c>
      <c r="C1480" s="14" t="s">
        <v>2620</v>
      </c>
      <c r="G1480" s="15" t="str">
        <f>IFERROR(__xludf.DUMMYFUNCTION("""COMPUTED_VALUE"""),"PE 088A JP-01")</f>
        <v>PE 088A JP-01</v>
      </c>
    </row>
    <row r="1481">
      <c r="A1481" s="14" t="s">
        <v>2621</v>
      </c>
      <c r="C1481" s="14" t="s">
        <v>2622</v>
      </c>
      <c r="G1481" s="15" t="str">
        <f>IFERROR(__xludf.DUMMYFUNCTION("""COMPUTED_VALUE"""),"PE 088D JP-01")</f>
        <v>PE 088D JP-01</v>
      </c>
    </row>
    <row r="1482">
      <c r="A1482" s="14" t="s">
        <v>2623</v>
      </c>
      <c r="C1482" s="14" t="s">
        <v>2624</v>
      </c>
      <c r="G1482" s="15" t="str">
        <f>IFERROR(__xludf.DUMMYFUNCTION("""COMPUTED_VALUE"""),"PE 088E JP-01")</f>
        <v>PE 088E JP-01</v>
      </c>
    </row>
    <row r="1483">
      <c r="A1483" s="14" t="s">
        <v>2625</v>
      </c>
      <c r="C1483" s="14" t="s">
        <v>2626</v>
      </c>
      <c r="G1483" s="15" t="str">
        <f>IFERROR(__xludf.DUMMYFUNCTION("""COMPUTED_VALUE"""),"PE 090A JP-01")</f>
        <v>PE 090A JP-01</v>
      </c>
    </row>
    <row r="1484">
      <c r="A1484" s="14" t="s">
        <v>2627</v>
      </c>
      <c r="C1484" s="14" t="s">
        <v>2628</v>
      </c>
      <c r="G1484" s="15" t="str">
        <f>IFERROR(__xludf.DUMMYFUNCTION("""COMPUTED_VALUE"""),"PE 100 JP-01")</f>
        <v>PE 100 JP-01</v>
      </c>
    </row>
    <row r="1485">
      <c r="A1485" s="14" t="s">
        <v>2629</v>
      </c>
      <c r="C1485" s="14" t="s">
        <v>2630</v>
      </c>
      <c r="G1485" s="15" t="str">
        <f>IFERROR(__xludf.DUMMYFUNCTION("""COMPUTED_VALUE"""),"PE 105M PO-01")</f>
        <v>PE 105M PO-01</v>
      </c>
    </row>
    <row r="1486">
      <c r="A1486" s="14" t="s">
        <v>2631</v>
      </c>
      <c r="C1486" s="14" t="s">
        <v>2632</v>
      </c>
      <c r="G1486" s="15" t="str">
        <f>IFERROR(__xludf.DUMMYFUNCTION("""COMPUTED_VALUE"""),"PE 105W PO-01")</f>
        <v>PE 105W PO-01</v>
      </c>
    </row>
    <row r="1487">
      <c r="A1487" s="14" t="s">
        <v>2633</v>
      </c>
      <c r="C1487" s="14" t="s">
        <v>2634</v>
      </c>
      <c r="G1487" s="15" t="str">
        <f>IFERROR(__xludf.DUMMYFUNCTION("""COMPUTED_VALUE"""),"PE 110 PO-01")</f>
        <v>PE 110 PO-01</v>
      </c>
    </row>
    <row r="1488">
      <c r="A1488" s="14" t="s">
        <v>2635</v>
      </c>
      <c r="C1488" s="14" t="s">
        <v>2636</v>
      </c>
      <c r="G1488" s="15" t="str">
        <f>IFERROR(__xludf.DUMMYFUNCTION("""COMPUTED_VALUE"""),"PE 115 JP-01")</f>
        <v>PE 115 JP-01</v>
      </c>
    </row>
    <row r="1489">
      <c r="A1489" s="14" t="s">
        <v>2637</v>
      </c>
      <c r="C1489" s="14" t="s">
        <v>2638</v>
      </c>
      <c r="G1489" s="15" t="str">
        <f>IFERROR(__xludf.DUMMYFUNCTION("""COMPUTED_VALUE"""),"PE 115M PO-01")</f>
        <v>PE 115M PO-01</v>
      </c>
    </row>
    <row r="1490">
      <c r="A1490" s="14" t="s">
        <v>2639</v>
      </c>
      <c r="C1490" s="14" t="s">
        <v>2640</v>
      </c>
      <c r="G1490" s="15" t="str">
        <f>IFERROR(__xludf.DUMMYFUNCTION("""COMPUTED_VALUE"""),"PE 115W PO-01")</f>
        <v>PE 115W PO-01</v>
      </c>
    </row>
    <row r="1491">
      <c r="A1491" s="14" t="s">
        <v>2641</v>
      </c>
      <c r="C1491" s="14" t="s">
        <v>2642</v>
      </c>
      <c r="G1491" s="15" t="str">
        <f>IFERROR(__xludf.DUMMYFUNCTION("""COMPUTED_VALUE"""),"PE 120 PO-01")</f>
        <v>PE 120 PO-01</v>
      </c>
    </row>
    <row r="1492">
      <c r="A1492" s="14" t="s">
        <v>2643</v>
      </c>
      <c r="C1492" s="14" t="s">
        <v>2644</v>
      </c>
      <c r="G1492" s="15" t="str">
        <f>IFERROR(__xludf.DUMMYFUNCTION("""COMPUTED_VALUE"""),"PE 125 JP-01")</f>
        <v>PE 125 JP-01</v>
      </c>
    </row>
    <row r="1493">
      <c r="A1493" s="14" t="s">
        <v>2645</v>
      </c>
      <c r="C1493" s="14" t="s">
        <v>2646</v>
      </c>
      <c r="G1493" s="15" t="str">
        <f>IFERROR(__xludf.DUMMYFUNCTION("""COMPUTED_VALUE"""),"PE 125M PO-01")</f>
        <v>PE 125M PO-01</v>
      </c>
    </row>
    <row r="1494">
      <c r="A1494" s="14" t="s">
        <v>2647</v>
      </c>
      <c r="C1494" s="14" t="s">
        <v>2648</v>
      </c>
      <c r="G1494" s="15" t="str">
        <f>IFERROR(__xludf.DUMMYFUNCTION("""COMPUTED_VALUE"""),"PE 125W PO-01")</f>
        <v>PE 125W PO-01</v>
      </c>
    </row>
    <row r="1495">
      <c r="A1495" s="14" t="s">
        <v>2649</v>
      </c>
      <c r="C1495" s="14" t="s">
        <v>2650</v>
      </c>
      <c r="G1495" s="15" t="str">
        <f>IFERROR(__xludf.DUMMYFUNCTION("""COMPUTED_VALUE"""),"PE 127 JP-01")</f>
        <v>PE 127 JP-01</v>
      </c>
    </row>
    <row r="1496">
      <c r="A1496" s="14" t="s">
        <v>2651</v>
      </c>
      <c r="C1496" s="14" t="s">
        <v>2652</v>
      </c>
      <c r="G1496" s="15" t="str">
        <f>IFERROR(__xludf.DUMMYFUNCTION("""COMPUTED_VALUE"""),"PE 130 JP-01")</f>
        <v>PE 130 JP-01</v>
      </c>
    </row>
    <row r="1497">
      <c r="A1497" s="14" t="s">
        <v>2653</v>
      </c>
      <c r="C1497" s="14" t="s">
        <v>2654</v>
      </c>
      <c r="G1497" s="15" t="str">
        <f>IFERROR(__xludf.DUMMYFUNCTION("""COMPUTED_VALUE"""),"PE 130M PO-01")</f>
        <v>PE 130M PO-01</v>
      </c>
    </row>
    <row r="1498">
      <c r="A1498" s="14" t="s">
        <v>2655</v>
      </c>
      <c r="C1498" s="14" t="s">
        <v>2656</v>
      </c>
      <c r="G1498" s="15" t="str">
        <f>IFERROR(__xludf.DUMMYFUNCTION("""COMPUTED_VALUE"""),"PE 130W PO-01")</f>
        <v>PE 130W PO-01</v>
      </c>
    </row>
    <row r="1499">
      <c r="A1499" s="14" t="s">
        <v>2657</v>
      </c>
      <c r="C1499" s="14" t="s">
        <v>2658</v>
      </c>
      <c r="G1499" s="15" t="str">
        <f>IFERROR(__xludf.DUMMYFUNCTION("""COMPUTED_VALUE"""),"PE 137 JP-01")</f>
        <v>PE 137 JP-01</v>
      </c>
    </row>
    <row r="1500">
      <c r="A1500" s="14" t="s">
        <v>2659</v>
      </c>
      <c r="C1500" s="14" t="s">
        <v>2660</v>
      </c>
      <c r="G1500" s="15" t="str">
        <f>IFERROR(__xludf.DUMMYFUNCTION("""COMPUTED_VALUE"""),"PE 140M PO-01")</f>
        <v>PE 140M PO-01</v>
      </c>
    </row>
    <row r="1501">
      <c r="A1501" s="14" t="s">
        <v>2661</v>
      </c>
      <c r="C1501" s="14" t="s">
        <v>2662</v>
      </c>
      <c r="G1501" s="15" t="str">
        <f>IFERROR(__xludf.DUMMYFUNCTION("""COMPUTED_VALUE"""),"PE 140W PO-01")</f>
        <v>PE 140W PO-01</v>
      </c>
    </row>
    <row r="1502">
      <c r="A1502" s="14" t="s">
        <v>2663</v>
      </c>
      <c r="C1502" s="14" t="s">
        <v>2664</v>
      </c>
      <c r="G1502" s="15" t="str">
        <f>IFERROR(__xludf.DUMMYFUNCTION("""COMPUTED_VALUE"""),"PE 145 JP-01")</f>
        <v>PE 145 JP-01</v>
      </c>
    </row>
    <row r="1503">
      <c r="A1503" s="14" t="s">
        <v>2665</v>
      </c>
      <c r="C1503" s="14" t="s">
        <v>2666</v>
      </c>
      <c r="G1503" s="15" t="str">
        <f>IFERROR(__xludf.DUMMYFUNCTION("""COMPUTED_VALUE"""),"PE 150 JP-01")</f>
        <v>PE 150 JP-01</v>
      </c>
    </row>
    <row r="1504">
      <c r="A1504" s="14" t="s">
        <v>2667</v>
      </c>
      <c r="C1504" s="14" t="s">
        <v>2666</v>
      </c>
      <c r="G1504" s="15" t="str">
        <f>IFERROR(__xludf.DUMMYFUNCTION("""COMPUTED_VALUE"""),"PE 150 PO-01")</f>
        <v>PE 150 PO-01</v>
      </c>
    </row>
    <row r="1505">
      <c r="A1505" s="14" t="s">
        <v>2668</v>
      </c>
      <c r="C1505" s="14" t="s">
        <v>2669</v>
      </c>
      <c r="G1505" s="15" t="str">
        <f>IFERROR(__xludf.DUMMYFUNCTION("""COMPUTED_VALUE"""),"PE 152 JP-01")</f>
        <v>PE 152 JP-01</v>
      </c>
    </row>
    <row r="1506">
      <c r="A1506" s="14" t="s">
        <v>2670</v>
      </c>
      <c r="C1506" s="14" t="s">
        <v>2671</v>
      </c>
      <c r="G1506" s="15" t="str">
        <f>IFERROR(__xludf.DUMMYFUNCTION("""COMPUTED_VALUE"""),"PE 155 JP-01")</f>
        <v>PE 155 JP-01</v>
      </c>
    </row>
    <row r="1507">
      <c r="A1507" s="14" t="s">
        <v>2672</v>
      </c>
      <c r="C1507" s="14" t="s">
        <v>2673</v>
      </c>
      <c r="G1507" s="15" t="str">
        <f>IFERROR(__xludf.DUMMYFUNCTION("""COMPUTED_VALUE"""),"PE 155M PO-01")</f>
        <v>PE 155M PO-01</v>
      </c>
    </row>
    <row r="1508">
      <c r="A1508" s="14" t="s">
        <v>2674</v>
      </c>
      <c r="C1508" s="14" t="s">
        <v>2675</v>
      </c>
      <c r="G1508" s="15" t="str">
        <f>IFERROR(__xludf.DUMMYFUNCTION("""COMPUTED_VALUE"""),"PE 155W PO-01")</f>
        <v>PE 155W PO-01</v>
      </c>
    </row>
    <row r="1509">
      <c r="A1509" s="14" t="s">
        <v>2676</v>
      </c>
      <c r="C1509" s="14" t="s">
        <v>2677</v>
      </c>
      <c r="G1509" s="15" t="str">
        <f>IFERROR(__xludf.DUMMYFUNCTION("""COMPUTED_VALUE"""),"PE 160W PO-01")</f>
        <v>PE 160W PO-01</v>
      </c>
    </row>
    <row r="1510">
      <c r="A1510" s="14" t="s">
        <v>2678</v>
      </c>
      <c r="C1510" s="14" t="s">
        <v>2679</v>
      </c>
      <c r="G1510" s="15" t="str">
        <f>IFERROR(__xludf.DUMMYFUNCTION("""COMPUTED_VALUE"""),"PE 165 PO-01")</f>
        <v>PE 165 PO-01</v>
      </c>
    </row>
    <row r="1511">
      <c r="A1511" s="14" t="s">
        <v>2680</v>
      </c>
      <c r="C1511" s="14" t="s">
        <v>2681</v>
      </c>
      <c r="G1511" s="15" t="str">
        <f>IFERROR(__xludf.DUMMYFUNCTION("""COMPUTED_VALUE"""),"PE 166 JP-01")</f>
        <v>PE 166 JP-01</v>
      </c>
    </row>
    <row r="1512">
      <c r="A1512" s="14" t="s">
        <v>2682</v>
      </c>
      <c r="C1512" s="14" t="s">
        <v>2683</v>
      </c>
      <c r="G1512" s="15" t="str">
        <f>IFERROR(__xludf.DUMMYFUNCTION("""COMPUTED_VALUE"""),"PE 170M PO-01")</f>
        <v>PE 170M PO-01</v>
      </c>
    </row>
    <row r="1513">
      <c r="A1513" s="14" t="s">
        <v>2684</v>
      </c>
      <c r="C1513" s="14" t="s">
        <v>2685</v>
      </c>
      <c r="G1513" s="15" t="str">
        <f>IFERROR(__xludf.DUMMYFUNCTION("""COMPUTED_VALUE"""),"PE 170W PO-01")</f>
        <v>PE 170W PO-01</v>
      </c>
    </row>
    <row r="1514">
      <c r="A1514" s="14" t="s">
        <v>2686</v>
      </c>
      <c r="C1514" s="14" t="s">
        <v>2687</v>
      </c>
      <c r="G1514" s="15" t="str">
        <f>IFERROR(__xludf.DUMMYFUNCTION("""COMPUTED_VALUE"""),"PE 175M PO-01")</f>
        <v>PE 175M PO-01</v>
      </c>
    </row>
    <row r="1515">
      <c r="A1515" s="14" t="s">
        <v>2688</v>
      </c>
      <c r="C1515" s="14" t="s">
        <v>2689</v>
      </c>
      <c r="G1515" s="15" t="str">
        <f>IFERROR(__xludf.DUMMYFUNCTION("""COMPUTED_VALUE"""),"PE 175W PO-01")</f>
        <v>PE 175W PO-01</v>
      </c>
    </row>
    <row r="1516">
      <c r="A1516" s="14" t="s">
        <v>2690</v>
      </c>
      <c r="C1516" s="14" t="s">
        <v>2691</v>
      </c>
      <c r="G1516" s="15" t="str">
        <f>IFERROR(__xludf.DUMMYFUNCTION("""COMPUTED_VALUE"""),"PE 225 JP-01")</f>
        <v>PE 225 JP-01</v>
      </c>
    </row>
    <row r="1517">
      <c r="A1517" s="14" t="s">
        <v>2692</v>
      </c>
      <c r="C1517" s="14" t="s">
        <v>2693</v>
      </c>
      <c r="G1517" s="15" t="str">
        <f>IFERROR(__xludf.DUMMYFUNCTION("""COMPUTED_VALUE"""),"PE 230 JP-01")</f>
        <v>PE 230 JP-01</v>
      </c>
    </row>
    <row r="1518">
      <c r="A1518" s="14" t="s">
        <v>2694</v>
      </c>
      <c r="C1518" s="14" t="s">
        <v>2695</v>
      </c>
      <c r="G1518" s="15" t="str">
        <f>IFERROR(__xludf.DUMMYFUNCTION("""COMPUTED_VALUE"""),"PE 232 JP-01")</f>
        <v>PE 232 JP-01</v>
      </c>
    </row>
    <row r="1519">
      <c r="A1519" s="14" t="s">
        <v>2696</v>
      </c>
      <c r="C1519" s="14" t="s">
        <v>2697</v>
      </c>
      <c r="G1519" s="15" t="str">
        <f>IFERROR(__xludf.DUMMYFUNCTION("""COMPUTED_VALUE"""),"PHIL 001 PO-01")</f>
        <v>PHIL 001 PO-01</v>
      </c>
    </row>
    <row r="1520">
      <c r="A1520" s="14" t="s">
        <v>2698</v>
      </c>
      <c r="C1520" s="14" t="s">
        <v>2699</v>
      </c>
      <c r="G1520" s="15" t="str">
        <f>IFERROR(__xludf.DUMMYFUNCTION("""COMPUTED_VALUE"""),"PHIL 007 PZ-01")</f>
        <v>PHIL 007 PZ-01</v>
      </c>
    </row>
    <row r="1521">
      <c r="A1521" s="14" t="s">
        <v>2700</v>
      </c>
      <c r="C1521" s="14" t="s">
        <v>2701</v>
      </c>
      <c r="G1521" s="15" t="str">
        <f>IFERROR(__xludf.DUMMYFUNCTION("""COMPUTED_VALUE"""),"PHIL 030 CM-01")</f>
        <v>PHIL 030 CM-01</v>
      </c>
    </row>
    <row r="1522">
      <c r="A1522" s="14" t="s">
        <v>2702</v>
      </c>
      <c r="C1522" s="14" t="s">
        <v>2701</v>
      </c>
      <c r="G1522" s="15" t="str">
        <f>IFERROR(__xludf.DUMMYFUNCTION("""COMPUTED_VALUE"""),"PHIL 030 CM-02")</f>
        <v>PHIL 030 CM-02</v>
      </c>
    </row>
    <row r="1523">
      <c r="A1523" s="14" t="s">
        <v>2703</v>
      </c>
      <c r="C1523" s="14" t="s">
        <v>2701</v>
      </c>
      <c r="G1523" s="15" t="str">
        <f>IFERROR(__xludf.DUMMYFUNCTION("""COMPUTED_VALUE"""),"PHIL 030 CM-03")</f>
        <v>PHIL 030 CM-03</v>
      </c>
    </row>
    <row r="1524">
      <c r="A1524" s="14" t="s">
        <v>2704</v>
      </c>
      <c r="C1524" s="14" t="s">
        <v>2701</v>
      </c>
      <c r="G1524" s="15" t="str">
        <f>IFERROR(__xludf.DUMMYFUNCTION("""COMPUTED_VALUE"""),"PHIL 030 CM-04")</f>
        <v>PHIL 030 CM-04</v>
      </c>
    </row>
    <row r="1525">
      <c r="A1525" s="14" t="s">
        <v>2705</v>
      </c>
      <c r="C1525" s="14" t="s">
        <v>2701</v>
      </c>
      <c r="G1525" s="15" t="str">
        <f>IFERROR(__xludf.DUMMYFUNCTION("""COMPUTED_VALUE"""),"PHIL 030 CM-05")</f>
        <v>PHIL 030 CM-05</v>
      </c>
    </row>
    <row r="1526">
      <c r="A1526" s="14" t="s">
        <v>2706</v>
      </c>
      <c r="C1526" s="14" t="s">
        <v>2701</v>
      </c>
      <c r="G1526" s="15" t="str">
        <f>IFERROR(__xludf.DUMMYFUNCTION("""COMPUTED_VALUE"""),"PHIL 030 PZ-01")</f>
        <v>PHIL 030 PZ-01</v>
      </c>
    </row>
    <row r="1527">
      <c r="A1527" s="14" t="s">
        <v>2707</v>
      </c>
      <c r="C1527" s="14" t="s">
        <v>2708</v>
      </c>
      <c r="G1527" s="15" t="str">
        <f>IFERROR(__xludf.DUMMYFUNCTION("""COMPUTED_VALUE"""),"PHIL 032 CM-01")</f>
        <v>PHIL 032 CM-01</v>
      </c>
    </row>
    <row r="1528">
      <c r="A1528" s="14" t="s">
        <v>2709</v>
      </c>
      <c r="C1528" s="14" t="s">
        <v>2708</v>
      </c>
      <c r="G1528" s="15" t="str">
        <f>IFERROR(__xludf.DUMMYFUNCTION("""COMPUTED_VALUE"""),"PHIL 032 CM-02")</f>
        <v>PHIL 032 CM-02</v>
      </c>
    </row>
    <row r="1529">
      <c r="A1529" s="14" t="s">
        <v>2710</v>
      </c>
      <c r="C1529" s="14" t="s">
        <v>2708</v>
      </c>
      <c r="G1529" s="15" t="str">
        <f>IFERROR(__xludf.DUMMYFUNCTION("""COMPUTED_VALUE"""),"PHIL 032 PO-01")</f>
        <v>PHIL 032 PO-01</v>
      </c>
    </row>
    <row r="1530">
      <c r="A1530" s="14" t="s">
        <v>2711</v>
      </c>
      <c r="C1530" s="14" t="s">
        <v>2712</v>
      </c>
      <c r="G1530" s="15" t="str">
        <f>IFERROR(__xludf.DUMMYFUNCTION("""COMPUTED_VALUE"""),"PHIL 033 PO-01")</f>
        <v>PHIL 033 PO-01</v>
      </c>
    </row>
    <row r="1531">
      <c r="A1531" s="14" t="s">
        <v>2713</v>
      </c>
      <c r="C1531" s="14" t="s">
        <v>2714</v>
      </c>
      <c r="G1531" s="15" t="str">
        <f>IFERROR(__xludf.DUMMYFUNCTION("""COMPUTED_VALUE"""),"PHIL 035 PO-01")</f>
        <v>PHIL 035 PO-01</v>
      </c>
    </row>
    <row r="1532">
      <c r="A1532" s="14" t="s">
        <v>2715</v>
      </c>
      <c r="C1532" s="14" t="s">
        <v>2716</v>
      </c>
      <c r="G1532" s="15" t="str">
        <f>IFERROR(__xludf.DUMMYFUNCTION("""COMPUTED_VALUE"""),"PHIL 039 CM-01")</f>
        <v>PHIL 039 CM-01</v>
      </c>
    </row>
    <row r="1533">
      <c r="A1533" s="14" t="s">
        <v>2717</v>
      </c>
      <c r="C1533" s="14" t="s">
        <v>2718</v>
      </c>
      <c r="G1533" s="15" t="str">
        <f>IFERROR(__xludf.DUMMYFUNCTION("""COMPUTED_VALUE"""),"PHIL 042 PO-01")</f>
        <v>PHIL 042 PO-01</v>
      </c>
    </row>
    <row r="1534">
      <c r="A1534" s="14" t="s">
        <v>2719</v>
      </c>
      <c r="C1534" s="14" t="s">
        <v>2720</v>
      </c>
      <c r="G1534" s="15" t="str">
        <f>IFERROR(__xludf.DUMMYFUNCTION("""COMPUTED_VALUE"""),"PHIL 043 PO-01")</f>
        <v>PHIL 043 PO-01</v>
      </c>
    </row>
    <row r="1535">
      <c r="A1535" s="14" t="s">
        <v>2721</v>
      </c>
      <c r="C1535" s="14" t="s">
        <v>2722</v>
      </c>
      <c r="G1535" s="15" t="str">
        <f>IFERROR(__xludf.DUMMYFUNCTION("""COMPUTED_VALUE"""),"PHIL 046 PO-01")</f>
        <v>PHIL 046 PO-01</v>
      </c>
    </row>
    <row r="1536">
      <c r="A1536" s="14" t="s">
        <v>2723</v>
      </c>
      <c r="C1536" s="14" t="s">
        <v>2724</v>
      </c>
      <c r="G1536" s="15" t="str">
        <f>IFERROR(__xludf.DUMMYFUNCTION("""COMPUTED_VALUE"""),"PHIL 047 PO-01")</f>
        <v>PHIL 047 PO-01</v>
      </c>
    </row>
    <row r="1537">
      <c r="A1537" s="14" t="s">
        <v>2725</v>
      </c>
      <c r="C1537" s="14" t="s">
        <v>2726</v>
      </c>
      <c r="G1537" s="15" t="str">
        <f>IFERROR(__xludf.DUMMYFUNCTION("""COMPUTED_VALUE"""),"PHIL 057 JT-01")</f>
        <v>PHIL 057 JT-01</v>
      </c>
    </row>
    <row r="1538">
      <c r="A1538" s="14" t="s">
        <v>2727</v>
      </c>
      <c r="C1538" s="14" t="s">
        <v>2728</v>
      </c>
      <c r="G1538" s="15" t="str">
        <f>IFERROR(__xludf.DUMMYFUNCTION("""COMPUTED_VALUE"""),"PHIL 080 PO-01")</f>
        <v>PHIL 080 PO-01</v>
      </c>
    </row>
    <row r="1539">
      <c r="A1539" s="14" t="s">
        <v>2729</v>
      </c>
      <c r="C1539" s="14" t="s">
        <v>2730</v>
      </c>
      <c r="G1539" s="15" t="str">
        <f>IFERROR(__xludf.DUMMYFUNCTION("""COMPUTED_VALUE"""),"PHIL 081 PO-01")</f>
        <v>PHIL 081 PO-01</v>
      </c>
    </row>
    <row r="1540">
      <c r="A1540" s="14" t="s">
        <v>2731</v>
      </c>
      <c r="C1540" s="14" t="s">
        <v>2732</v>
      </c>
      <c r="G1540" s="15" t="str">
        <f>IFERROR(__xludf.DUMMYFUNCTION("""COMPUTED_VALUE"""),"PHIL 084 PZ-01")</f>
        <v>PHIL 084 PZ-01</v>
      </c>
    </row>
    <row r="1541">
      <c r="A1541" s="14" t="s">
        <v>2733</v>
      </c>
      <c r="C1541" s="14" t="s">
        <v>2734</v>
      </c>
      <c r="G1541" s="15" t="str">
        <f>IFERROR(__xludf.DUMMYFUNCTION("""COMPUTED_VALUE"""),"PHIL 095 CM-01")</f>
        <v>PHIL 095 CM-01</v>
      </c>
    </row>
    <row r="1542">
      <c r="A1542" s="14" t="s">
        <v>2735</v>
      </c>
      <c r="C1542" s="14" t="s">
        <v>2734</v>
      </c>
      <c r="G1542" s="15" t="str">
        <f>IFERROR(__xludf.DUMMYFUNCTION("""COMPUTED_VALUE"""),"PHIL 095 CM-02")</f>
        <v>PHIL 095 CM-02</v>
      </c>
    </row>
    <row r="1543">
      <c r="A1543" s="14" t="s">
        <v>2736</v>
      </c>
      <c r="C1543" s="14" t="s">
        <v>2737</v>
      </c>
      <c r="G1543" s="15" t="str">
        <f>IFERROR(__xludf.DUMMYFUNCTION("""COMPUTED_VALUE"""),"PHIL 109 CM-01")</f>
        <v>PHIL 109 CM-01</v>
      </c>
    </row>
    <row r="1544">
      <c r="A1544" s="14" t="s">
        <v>2738</v>
      </c>
      <c r="C1544" s="14" t="s">
        <v>2739</v>
      </c>
      <c r="G1544" s="15" t="str">
        <f>IFERROR(__xludf.DUMMYFUNCTION("""COMPUTED_VALUE"""),"PHIL 118 SC-01")</f>
        <v>PHIL 118 SC-01</v>
      </c>
    </row>
    <row r="1545">
      <c r="A1545" s="14" t="s">
        <v>2740</v>
      </c>
      <c r="C1545" s="14" t="s">
        <v>2741</v>
      </c>
      <c r="G1545" s="15" t="str">
        <f>IFERROR(__xludf.DUMMYFUNCTION("""COMPUTED_VALUE"""),"PHIL 121 CM-01")</f>
        <v>PHIL 121 CM-01</v>
      </c>
    </row>
    <row r="1546">
      <c r="A1546" s="14" t="s">
        <v>2742</v>
      </c>
      <c r="C1546" s="14" t="s">
        <v>2741</v>
      </c>
      <c r="G1546" s="15" t="str">
        <f>IFERROR(__xludf.DUMMYFUNCTION("""COMPUTED_VALUE"""),"PHIL 121 CM-02")</f>
        <v>PHIL 121 CM-02</v>
      </c>
    </row>
    <row r="1547">
      <c r="A1547" s="14" t="s">
        <v>2743</v>
      </c>
      <c r="C1547" s="14" t="s">
        <v>2741</v>
      </c>
      <c r="G1547" s="15" t="str">
        <f>IFERROR(__xludf.DUMMYFUNCTION("""COMPUTED_VALUE"""),"PHIL 121 HM-01")</f>
        <v>PHIL 121 HM-01</v>
      </c>
    </row>
    <row r="1548">
      <c r="A1548" s="14" t="s">
        <v>2744</v>
      </c>
      <c r="C1548" s="14" t="s">
        <v>2745</v>
      </c>
      <c r="G1548" s="15" t="str">
        <f>IFERROR(__xludf.DUMMYFUNCTION("""COMPUTED_VALUE"""),"PHIL 160 CM-01")</f>
        <v>PHIL 160 CM-01</v>
      </c>
    </row>
    <row r="1549">
      <c r="A1549" s="14" t="s">
        <v>2746</v>
      </c>
      <c r="C1549" s="14" t="s">
        <v>2747</v>
      </c>
      <c r="G1549" s="15" t="str">
        <f>IFERROR(__xludf.DUMMYFUNCTION("""COMPUTED_VALUE"""),"PHIL 160IO CM-01")</f>
        <v>PHIL 160IO CM-01</v>
      </c>
    </row>
    <row r="1550">
      <c r="A1550" s="14" t="s">
        <v>2748</v>
      </c>
      <c r="C1550" s="14" t="s">
        <v>2749</v>
      </c>
      <c r="G1550" s="15" t="str">
        <f>IFERROR(__xludf.DUMMYFUNCTION("""COMPUTED_VALUE"""),"PHIL 183 CM-01")</f>
        <v>PHIL 183 CM-01</v>
      </c>
    </row>
    <row r="1551">
      <c r="A1551" s="14" t="s">
        <v>2750</v>
      </c>
      <c r="C1551" s="14" t="s">
        <v>2751</v>
      </c>
      <c r="G1551" s="15" t="str">
        <f>IFERROR(__xludf.DUMMYFUNCTION("""COMPUTED_VALUE"""),"PHIL 185R PO-01")</f>
        <v>PHIL 185R PO-01</v>
      </c>
    </row>
    <row r="1552">
      <c r="A1552" s="14" t="s">
        <v>2752</v>
      </c>
      <c r="C1552" s="14" t="s">
        <v>2753</v>
      </c>
      <c r="G1552" s="15" t="str">
        <f>IFERROR(__xludf.DUMMYFUNCTION("""COMPUTED_VALUE"""),"PHIL 185S PO-01")</f>
        <v>PHIL 185S PO-01</v>
      </c>
    </row>
    <row r="1553">
      <c r="A1553" s="14" t="s">
        <v>2754</v>
      </c>
      <c r="C1553" s="14" t="s">
        <v>2755</v>
      </c>
      <c r="G1553" s="15" t="str">
        <f>IFERROR(__xludf.DUMMYFUNCTION("""COMPUTED_VALUE"""),"PHIL 191 SC-01")</f>
        <v>PHIL 191 SC-01</v>
      </c>
    </row>
    <row r="1554">
      <c r="A1554" s="14" t="s">
        <v>2756</v>
      </c>
      <c r="C1554" s="14" t="s">
        <v>2757</v>
      </c>
      <c r="G1554" s="15" t="str">
        <f>IFERROR(__xludf.DUMMYFUNCTION("""COMPUTED_VALUE"""),"PHIL 198 CM-01")</f>
        <v>PHIL 198 CM-01</v>
      </c>
    </row>
    <row r="1555">
      <c r="A1555" s="14" t="s">
        <v>2758</v>
      </c>
      <c r="C1555" s="14" t="s">
        <v>2759</v>
      </c>
      <c r="G1555" s="15" t="str">
        <f>IFERROR(__xludf.DUMMYFUNCTION("""COMPUTED_VALUE"""),"PHYS 009 PO-01")</f>
        <v>PHYS 009 PO-01</v>
      </c>
    </row>
    <row r="1556">
      <c r="A1556" s="14" t="s">
        <v>2760</v>
      </c>
      <c r="C1556" s="14" t="s">
        <v>70</v>
      </c>
      <c r="G1556" s="15" t="str">
        <f>IFERROR(__xludf.DUMMYFUNCTION("""COMPUTED_VALUE"""),"PHYS 024 HM-01")</f>
        <v>PHYS 024 HM-01</v>
      </c>
    </row>
    <row r="1557">
      <c r="A1557" s="14" t="s">
        <v>2761</v>
      </c>
      <c r="C1557" s="14" t="s">
        <v>70</v>
      </c>
      <c r="G1557" s="15" t="str">
        <f>IFERROR(__xludf.DUMMYFUNCTION("""COMPUTED_VALUE"""),"PHYS 024 HM-02")</f>
        <v>PHYS 024 HM-02</v>
      </c>
    </row>
    <row r="1558">
      <c r="A1558" s="14" t="s">
        <v>2762</v>
      </c>
      <c r="C1558" s="14" t="s">
        <v>70</v>
      </c>
      <c r="G1558" s="15" t="str">
        <f>IFERROR(__xludf.DUMMYFUNCTION("""COMPUTED_VALUE"""),"PHYS 024 HM-03")</f>
        <v>PHYS 024 HM-03</v>
      </c>
    </row>
    <row r="1559">
      <c r="A1559" s="14" t="s">
        <v>2763</v>
      </c>
      <c r="C1559" s="14" t="s">
        <v>70</v>
      </c>
      <c r="G1559" s="15" t="str">
        <f>IFERROR(__xludf.DUMMYFUNCTION("""COMPUTED_VALUE"""),"PHYS 024 HM-04")</f>
        <v>PHYS 024 HM-04</v>
      </c>
    </row>
    <row r="1560">
      <c r="A1560" s="14" t="s">
        <v>2764</v>
      </c>
      <c r="C1560" s="14" t="s">
        <v>70</v>
      </c>
      <c r="G1560" s="15" t="str">
        <f>IFERROR(__xludf.DUMMYFUNCTION("""COMPUTED_VALUE"""),"PHYS 024 HM-05")</f>
        <v>PHYS 024 HM-05</v>
      </c>
    </row>
    <row r="1561">
      <c r="A1561" s="14" t="s">
        <v>2765</v>
      </c>
      <c r="C1561" s="14" t="s">
        <v>70</v>
      </c>
      <c r="G1561" s="15" t="str">
        <f>IFERROR(__xludf.DUMMYFUNCTION("""COMPUTED_VALUE"""),"PHYS 024 HM-06")</f>
        <v>PHYS 024 HM-06</v>
      </c>
    </row>
    <row r="1562">
      <c r="A1562" s="14" t="s">
        <v>2766</v>
      </c>
      <c r="C1562" s="14" t="s">
        <v>70</v>
      </c>
      <c r="G1562" s="15" t="str">
        <f>IFERROR(__xludf.DUMMYFUNCTION("""COMPUTED_VALUE"""),"PHYS 024 HM-07")</f>
        <v>PHYS 024 HM-07</v>
      </c>
    </row>
    <row r="1563">
      <c r="A1563" s="14" t="s">
        <v>2767</v>
      </c>
      <c r="C1563" s="14" t="s">
        <v>70</v>
      </c>
      <c r="G1563" s="15" t="str">
        <f>IFERROR(__xludf.DUMMYFUNCTION("""COMPUTED_VALUE"""),"PHYS 024 HM-08")</f>
        <v>PHYS 024 HM-08</v>
      </c>
    </row>
    <row r="1564">
      <c r="A1564" s="14" t="s">
        <v>2768</v>
      </c>
      <c r="C1564" s="14" t="s">
        <v>70</v>
      </c>
      <c r="G1564" s="15" t="str">
        <f>IFERROR(__xludf.DUMMYFUNCTION("""COMPUTED_VALUE"""),"PHYS 024 HM-09")</f>
        <v>PHYS 024 HM-09</v>
      </c>
    </row>
    <row r="1565">
      <c r="A1565" s="14" t="s">
        <v>2769</v>
      </c>
      <c r="C1565" s="14" t="s">
        <v>70</v>
      </c>
      <c r="G1565" s="15" t="str">
        <f>IFERROR(__xludf.DUMMYFUNCTION("""COMPUTED_VALUE"""),"PHYS 024 HM-10")</f>
        <v>PHYS 024 HM-10</v>
      </c>
    </row>
    <row r="1566">
      <c r="A1566" s="14" t="s">
        <v>2770</v>
      </c>
      <c r="C1566" s="14" t="s">
        <v>2771</v>
      </c>
      <c r="G1566" s="15" t="str">
        <f>IFERROR(__xludf.DUMMYFUNCTION("""COMPUTED_VALUE"""),"PHYS 024A HM-01")</f>
        <v>PHYS 024A HM-01</v>
      </c>
    </row>
    <row r="1567">
      <c r="A1567" s="14" t="s">
        <v>2772</v>
      </c>
      <c r="C1567" s="14" t="s">
        <v>2771</v>
      </c>
      <c r="G1567" s="15" t="str">
        <f>IFERROR(__xludf.DUMMYFUNCTION("""COMPUTED_VALUE"""),"PHYS 024A HM-02")</f>
        <v>PHYS 024A HM-02</v>
      </c>
    </row>
    <row r="1568">
      <c r="A1568" s="14" t="s">
        <v>2773</v>
      </c>
      <c r="C1568" s="14" t="s">
        <v>2774</v>
      </c>
      <c r="G1568" s="15" t="str">
        <f>IFERROR(__xludf.DUMMYFUNCTION("""COMPUTED_VALUE"""),"PHYS 031L KS-01")</f>
        <v>PHYS 031L KS-01</v>
      </c>
    </row>
    <row r="1569">
      <c r="A1569" s="14" t="s">
        <v>2775</v>
      </c>
      <c r="C1569" s="14" t="s">
        <v>2774</v>
      </c>
      <c r="G1569" s="15" t="str">
        <f>IFERROR(__xludf.DUMMYFUNCTION("""COMPUTED_VALUE"""),"PHYS 031L KS-02")</f>
        <v>PHYS 031L KS-02</v>
      </c>
    </row>
    <row r="1570">
      <c r="A1570" s="14" t="s">
        <v>2776</v>
      </c>
      <c r="C1570" s="14" t="s">
        <v>2774</v>
      </c>
      <c r="G1570" s="15" t="str">
        <f>IFERROR(__xludf.DUMMYFUNCTION("""COMPUTED_VALUE"""),"PHYS 031L KS-03")</f>
        <v>PHYS 031L KS-03</v>
      </c>
    </row>
    <row r="1571">
      <c r="A1571" s="14" t="s">
        <v>2777</v>
      </c>
      <c r="C1571" s="14" t="s">
        <v>2778</v>
      </c>
      <c r="G1571" s="15" t="str">
        <f>IFERROR(__xludf.DUMMYFUNCTION("""COMPUTED_VALUE"""),"PHYS 031LX KS-01")</f>
        <v>PHYS 031LX KS-01</v>
      </c>
    </row>
    <row r="1572">
      <c r="A1572" s="14" t="s">
        <v>2779</v>
      </c>
      <c r="C1572" s="14" t="s">
        <v>2778</v>
      </c>
      <c r="G1572" s="15" t="str">
        <f>IFERROR(__xludf.DUMMYFUNCTION("""COMPUTED_VALUE"""),"PHYS 031LX KS-02")</f>
        <v>PHYS 031LX KS-02</v>
      </c>
    </row>
    <row r="1573">
      <c r="A1573" s="14" t="s">
        <v>2780</v>
      </c>
      <c r="C1573" s="14" t="s">
        <v>2778</v>
      </c>
      <c r="G1573" s="15" t="str">
        <f>IFERROR(__xludf.DUMMYFUNCTION("""COMPUTED_VALUE"""),"PHYS 031LX KS-03")</f>
        <v>PHYS 031LX KS-03</v>
      </c>
    </row>
    <row r="1574">
      <c r="A1574" s="14" t="s">
        <v>2781</v>
      </c>
      <c r="C1574" s="14" t="s">
        <v>2778</v>
      </c>
      <c r="G1574" s="15" t="str">
        <f>IFERROR(__xludf.DUMMYFUNCTION("""COMPUTED_VALUE"""),"PHYS 031LX KS-04")</f>
        <v>PHYS 031LX KS-04</v>
      </c>
    </row>
    <row r="1575">
      <c r="A1575" s="14" t="s">
        <v>2782</v>
      </c>
      <c r="C1575" s="14" t="s">
        <v>2778</v>
      </c>
      <c r="G1575" s="15" t="str">
        <f>IFERROR(__xludf.DUMMYFUNCTION("""COMPUTED_VALUE"""),"PHYS 031LX KS-05")</f>
        <v>PHYS 031LX KS-05</v>
      </c>
    </row>
    <row r="1576">
      <c r="A1576" s="14" t="s">
        <v>2783</v>
      </c>
      <c r="C1576" s="14" t="s">
        <v>2784</v>
      </c>
      <c r="G1576" s="15" t="str">
        <f>IFERROR(__xludf.DUMMYFUNCTION("""COMPUTED_VALUE"""),"PHYS 034L KS-01")</f>
        <v>PHYS 034L KS-01</v>
      </c>
    </row>
    <row r="1577">
      <c r="A1577" s="14" t="s">
        <v>2785</v>
      </c>
      <c r="C1577" s="14" t="s">
        <v>2784</v>
      </c>
      <c r="G1577" s="15" t="str">
        <f>IFERROR(__xludf.DUMMYFUNCTION("""COMPUTED_VALUE"""),"PHYS 034L KS-02")</f>
        <v>PHYS 034L KS-02</v>
      </c>
    </row>
    <row r="1578">
      <c r="A1578" s="14" t="s">
        <v>2786</v>
      </c>
      <c r="C1578" s="14" t="s">
        <v>2787</v>
      </c>
      <c r="G1578" s="15" t="str">
        <f>IFERROR(__xludf.DUMMYFUNCTION("""COMPUTED_VALUE"""),"PHYS 042 PO-01")</f>
        <v>PHYS 042 PO-01</v>
      </c>
    </row>
    <row r="1579">
      <c r="A1579" s="14" t="s">
        <v>2788</v>
      </c>
      <c r="C1579" s="14" t="s">
        <v>2787</v>
      </c>
      <c r="G1579" s="15" t="str">
        <f>IFERROR(__xludf.DUMMYFUNCTION("""COMPUTED_VALUE"""),"PHYS 042 PO-02")</f>
        <v>PHYS 042 PO-02</v>
      </c>
    </row>
    <row r="1580">
      <c r="A1580" s="14" t="s">
        <v>2789</v>
      </c>
      <c r="C1580" s="14" t="s">
        <v>2790</v>
      </c>
      <c r="G1580" s="15" t="str">
        <f>IFERROR(__xludf.DUMMYFUNCTION("""COMPUTED_VALUE"""),"PHYS 042L PO-01")</f>
        <v>PHYS 042L PO-01</v>
      </c>
    </row>
    <row r="1581">
      <c r="A1581" s="14" t="s">
        <v>2791</v>
      </c>
      <c r="C1581" s="14" t="s">
        <v>2790</v>
      </c>
      <c r="G1581" s="15" t="str">
        <f>IFERROR(__xludf.DUMMYFUNCTION("""COMPUTED_VALUE"""),"PHYS 042L PO-02")</f>
        <v>PHYS 042L PO-02</v>
      </c>
    </row>
    <row r="1582">
      <c r="A1582" s="14" t="s">
        <v>2792</v>
      </c>
      <c r="C1582" s="14" t="s">
        <v>2790</v>
      </c>
      <c r="G1582" s="15" t="str">
        <f>IFERROR(__xludf.DUMMYFUNCTION("""COMPUTED_VALUE"""),"PHYS 042L PO-03")</f>
        <v>PHYS 042L PO-03</v>
      </c>
    </row>
    <row r="1583">
      <c r="A1583" s="14" t="s">
        <v>2793</v>
      </c>
      <c r="C1583" s="14" t="s">
        <v>2790</v>
      </c>
      <c r="G1583" s="15" t="str">
        <f>IFERROR(__xludf.DUMMYFUNCTION("""COMPUTED_VALUE"""),"PHYS 042L PO-04")</f>
        <v>PHYS 042L PO-04</v>
      </c>
    </row>
    <row r="1584">
      <c r="A1584" s="14" t="s">
        <v>2794</v>
      </c>
      <c r="C1584" s="14" t="s">
        <v>79</v>
      </c>
      <c r="G1584" s="15" t="str">
        <f>IFERROR(__xludf.DUMMYFUNCTION("""COMPUTED_VALUE"""),"PHYS 050 HM-01")</f>
        <v>PHYS 050 HM-01</v>
      </c>
    </row>
    <row r="1585">
      <c r="A1585" s="14" t="s">
        <v>2795</v>
      </c>
      <c r="C1585" s="14" t="s">
        <v>2796</v>
      </c>
      <c r="G1585" s="15" t="str">
        <f>IFERROR(__xludf.DUMMYFUNCTION("""COMPUTED_VALUE"""),"PHYS 052 HM-01")</f>
        <v>PHYS 052 HM-01</v>
      </c>
    </row>
    <row r="1586">
      <c r="A1586" s="14" t="s">
        <v>2797</v>
      </c>
      <c r="C1586" s="14" t="s">
        <v>2796</v>
      </c>
      <c r="G1586" s="15" t="str">
        <f>IFERROR(__xludf.DUMMYFUNCTION("""COMPUTED_VALUE"""),"PHYS 052 HM-02")</f>
        <v>PHYS 052 HM-02</v>
      </c>
    </row>
    <row r="1587">
      <c r="A1587" s="14" t="s">
        <v>2798</v>
      </c>
      <c r="C1587" s="14" t="s">
        <v>2796</v>
      </c>
      <c r="G1587" s="15" t="str">
        <f>IFERROR(__xludf.DUMMYFUNCTION("""COMPUTED_VALUE"""),"PHYS 052 HM-03")</f>
        <v>PHYS 052 HM-03</v>
      </c>
    </row>
    <row r="1588">
      <c r="A1588" s="14" t="s">
        <v>2799</v>
      </c>
      <c r="C1588" s="14" t="s">
        <v>2800</v>
      </c>
      <c r="G1588" s="15" t="str">
        <f>IFERROR(__xludf.DUMMYFUNCTION("""COMPUTED_VALUE"""),"PHYS 054 HM-01")</f>
        <v>PHYS 054 HM-01</v>
      </c>
    </row>
    <row r="1589">
      <c r="A1589" s="14" t="s">
        <v>2801</v>
      </c>
      <c r="C1589" s="14" t="s">
        <v>2802</v>
      </c>
      <c r="G1589" s="15" t="str">
        <f>IFERROR(__xludf.DUMMYFUNCTION("""COMPUTED_VALUE"""),"PHYS 078 HM-01")</f>
        <v>PHYS 078 HM-01</v>
      </c>
    </row>
    <row r="1590">
      <c r="A1590" s="14" t="s">
        <v>2803</v>
      </c>
      <c r="C1590" s="14" t="s">
        <v>2804</v>
      </c>
      <c r="G1590" s="15" t="str">
        <f>IFERROR(__xludf.DUMMYFUNCTION("""COMPUTED_VALUE"""),"PHYS 089B PO-01")</f>
        <v>PHYS 089B PO-01</v>
      </c>
    </row>
    <row r="1591">
      <c r="A1591" s="14" t="s">
        <v>2805</v>
      </c>
      <c r="C1591" s="14" t="s">
        <v>2804</v>
      </c>
      <c r="G1591" s="15" t="str">
        <f>IFERROR(__xludf.DUMMYFUNCTION("""COMPUTED_VALUE"""),"PHYS 089B PO-02")</f>
        <v>PHYS 089B PO-02</v>
      </c>
    </row>
    <row r="1592">
      <c r="A1592" s="14" t="s">
        <v>2806</v>
      </c>
      <c r="C1592" s="14" t="s">
        <v>2807</v>
      </c>
      <c r="G1592" s="15" t="str">
        <f>IFERROR(__xludf.DUMMYFUNCTION("""COMPUTED_VALUE"""),"PHYS 089C PO-01")</f>
        <v>PHYS 089C PO-01</v>
      </c>
    </row>
    <row r="1593">
      <c r="A1593" s="14" t="s">
        <v>2808</v>
      </c>
      <c r="C1593" s="14" t="s">
        <v>2807</v>
      </c>
      <c r="G1593" s="15" t="str">
        <f>IFERROR(__xludf.DUMMYFUNCTION("""COMPUTED_VALUE"""),"PHYS 089C PO-02")</f>
        <v>PHYS 089C PO-02</v>
      </c>
    </row>
    <row r="1594">
      <c r="A1594" s="14" t="s">
        <v>2809</v>
      </c>
      <c r="C1594" s="14" t="s">
        <v>2810</v>
      </c>
      <c r="G1594" s="15" t="str">
        <f>IFERROR(__xludf.DUMMYFUNCTION("""COMPUTED_VALUE"""),"PHYS 089CL PO-01")</f>
        <v>PHYS 089CL PO-01</v>
      </c>
    </row>
    <row r="1595">
      <c r="A1595" s="14" t="s">
        <v>2811</v>
      </c>
      <c r="C1595" s="14" t="s">
        <v>2810</v>
      </c>
      <c r="G1595" s="15" t="str">
        <f>IFERROR(__xludf.DUMMYFUNCTION("""COMPUTED_VALUE"""),"PHYS 089CL PO-02")</f>
        <v>PHYS 089CL PO-02</v>
      </c>
    </row>
    <row r="1596">
      <c r="A1596" s="14" t="s">
        <v>2812</v>
      </c>
      <c r="C1596" s="14" t="s">
        <v>2810</v>
      </c>
      <c r="G1596" s="15" t="str">
        <f>IFERROR(__xludf.DUMMYFUNCTION("""COMPUTED_VALUE"""),"PHYS 089CL PO-03")</f>
        <v>PHYS 089CL PO-03</v>
      </c>
    </row>
    <row r="1597">
      <c r="A1597" s="14" t="s">
        <v>2813</v>
      </c>
      <c r="C1597" s="14" t="s">
        <v>2814</v>
      </c>
      <c r="G1597" s="15" t="str">
        <f>IFERROR(__xludf.DUMMYFUNCTION("""COMPUTED_VALUE"""),"PHYS 100 KS-01")</f>
        <v>PHYS 100 KS-01</v>
      </c>
    </row>
    <row r="1598">
      <c r="A1598" s="14" t="s">
        <v>2815</v>
      </c>
      <c r="C1598" s="14" t="s">
        <v>2816</v>
      </c>
      <c r="G1598" s="15" t="str">
        <f>IFERROR(__xludf.DUMMYFUNCTION("""COMPUTED_VALUE"""),"PHYS 102 KS-01")</f>
        <v>PHYS 102 KS-01</v>
      </c>
    </row>
    <row r="1599">
      <c r="A1599" s="14" t="s">
        <v>2817</v>
      </c>
      <c r="C1599" s="14" t="s">
        <v>2818</v>
      </c>
      <c r="G1599" s="15" t="str">
        <f>IFERROR(__xludf.DUMMYFUNCTION("""COMPUTED_VALUE"""),"PHYS 105 KS-01")</f>
        <v>PHYS 105 KS-01</v>
      </c>
    </row>
    <row r="1600">
      <c r="A1600" s="14" t="s">
        <v>2819</v>
      </c>
      <c r="C1600" s="14" t="s">
        <v>2820</v>
      </c>
      <c r="G1600" s="15" t="str">
        <f>IFERROR(__xludf.DUMMYFUNCTION("""COMPUTED_VALUE"""),"PHYS 106L KS-01")</f>
        <v>PHYS 106L KS-01</v>
      </c>
    </row>
    <row r="1601">
      <c r="A1601" s="14" t="s">
        <v>2821</v>
      </c>
      <c r="C1601" s="14" t="s">
        <v>2822</v>
      </c>
      <c r="G1601" s="15" t="str">
        <f>IFERROR(__xludf.DUMMYFUNCTION("""COMPUTED_VALUE"""),"PHYS 114 KS-01")</f>
        <v>PHYS 114 KS-01</v>
      </c>
    </row>
    <row r="1602">
      <c r="A1602" s="14" t="s">
        <v>2823</v>
      </c>
      <c r="C1602" s="14" t="s">
        <v>2824</v>
      </c>
      <c r="G1602" s="15" t="str">
        <f>IFERROR(__xludf.DUMMYFUNCTION("""COMPUTED_VALUE"""),"PHYS 116 HM-01")</f>
        <v>PHYS 116 HM-01</v>
      </c>
    </row>
    <row r="1603">
      <c r="A1603" s="14" t="s">
        <v>2825</v>
      </c>
      <c r="C1603" s="14" t="s">
        <v>2826</v>
      </c>
      <c r="G1603" s="15" t="str">
        <f>IFERROR(__xludf.DUMMYFUNCTION("""COMPUTED_VALUE"""),"PHYS 125 PO-01")</f>
        <v>PHYS 125 PO-01</v>
      </c>
    </row>
    <row r="1604">
      <c r="A1604" s="14" t="s">
        <v>2827</v>
      </c>
      <c r="C1604" s="14" t="s">
        <v>2828</v>
      </c>
      <c r="G1604" s="15" t="str">
        <f>IFERROR(__xludf.DUMMYFUNCTION("""COMPUTED_VALUE"""),"PHYS 128 PO-01")</f>
        <v>PHYS 128 PO-01</v>
      </c>
    </row>
    <row r="1605">
      <c r="A1605" s="14" t="s">
        <v>2829</v>
      </c>
      <c r="C1605" s="14" t="s">
        <v>2830</v>
      </c>
      <c r="G1605" s="15" t="str">
        <f>IFERROR(__xludf.DUMMYFUNCTION("""COMPUTED_VALUE"""),"PHYS 134 HM-01")</f>
        <v>PHYS 134 HM-01</v>
      </c>
    </row>
    <row r="1606">
      <c r="A1606" s="14" t="s">
        <v>2831</v>
      </c>
      <c r="C1606" s="14" t="s">
        <v>2832</v>
      </c>
      <c r="G1606" s="15" t="str">
        <f>IFERROR(__xludf.DUMMYFUNCTION("""COMPUTED_VALUE"""),"PHYS 142 PO-01")</f>
        <v>PHYS 142 PO-01</v>
      </c>
    </row>
    <row r="1607">
      <c r="A1607" s="14" t="s">
        <v>2833</v>
      </c>
      <c r="C1607" s="14" t="s">
        <v>2834</v>
      </c>
      <c r="G1607" s="15" t="str">
        <f>IFERROR(__xludf.DUMMYFUNCTION("""COMPUTED_VALUE"""),"PHYS 154 HM-01")</f>
        <v>PHYS 154 HM-01</v>
      </c>
    </row>
    <row r="1608">
      <c r="A1608" s="14" t="s">
        <v>2835</v>
      </c>
      <c r="C1608" s="14" t="s">
        <v>2836</v>
      </c>
      <c r="G1608" s="15" t="str">
        <f>IFERROR(__xludf.DUMMYFUNCTION("""COMPUTED_VALUE"""),"PHYS 162 HM-01")</f>
        <v>PHYS 162 HM-01</v>
      </c>
    </row>
    <row r="1609">
      <c r="A1609" s="14" t="s">
        <v>2837</v>
      </c>
      <c r="C1609" s="14" t="s">
        <v>2838</v>
      </c>
      <c r="G1609" s="15" t="str">
        <f>IFERROR(__xludf.DUMMYFUNCTION("""COMPUTED_VALUE"""),"PHYS 170 HM-01")</f>
        <v>PHYS 170 HM-01</v>
      </c>
    </row>
    <row r="1610">
      <c r="A1610" s="14" t="s">
        <v>2839</v>
      </c>
      <c r="C1610" s="14" t="s">
        <v>2840</v>
      </c>
      <c r="G1610" s="15" t="str">
        <f>IFERROR(__xludf.DUMMYFUNCTION("""COMPUTED_VALUE"""),"PHYS 172 HM-01")</f>
        <v>PHYS 172 HM-01</v>
      </c>
    </row>
    <row r="1611">
      <c r="A1611" s="14" t="s">
        <v>2841</v>
      </c>
      <c r="C1611" s="14" t="s">
        <v>2842</v>
      </c>
      <c r="G1611" s="15" t="str">
        <f>IFERROR(__xludf.DUMMYFUNCTION("""COMPUTED_VALUE"""),"PHYS 174 HM-01")</f>
        <v>PHYS 174 HM-01</v>
      </c>
    </row>
    <row r="1612">
      <c r="A1612" s="14" t="s">
        <v>2843</v>
      </c>
      <c r="C1612" s="14" t="s">
        <v>2842</v>
      </c>
      <c r="G1612" s="15" t="str">
        <f>IFERROR(__xludf.DUMMYFUNCTION("""COMPUTED_VALUE"""),"PHYS 174 PO-01")</f>
        <v>PHYS 174 PO-01</v>
      </c>
    </row>
    <row r="1613">
      <c r="A1613" s="14" t="s">
        <v>2844</v>
      </c>
      <c r="C1613" s="14" t="s">
        <v>2845</v>
      </c>
      <c r="G1613" s="15" t="str">
        <f>IFERROR(__xludf.DUMMYFUNCTION("""COMPUTED_VALUE"""),"PHYS 175 PO-01")</f>
        <v>PHYS 175 PO-01</v>
      </c>
    </row>
    <row r="1614">
      <c r="A1614" s="14" t="s">
        <v>2846</v>
      </c>
      <c r="C1614" s="14" t="s">
        <v>2847</v>
      </c>
      <c r="G1614" s="15" t="str">
        <f>IFERROR(__xludf.DUMMYFUNCTION("""COMPUTED_VALUE"""),"PHYS 178 KS-01")</f>
        <v>PHYS 178 KS-01</v>
      </c>
    </row>
    <row r="1615">
      <c r="A1615" s="14" t="s">
        <v>2848</v>
      </c>
      <c r="C1615" s="14" t="s">
        <v>2849</v>
      </c>
      <c r="G1615" s="15" t="str">
        <f>IFERROR(__xludf.DUMMYFUNCTION("""COMPUTED_VALUE"""),"PHYS 178F HM-01")</f>
        <v>PHYS 178F HM-01</v>
      </c>
    </row>
    <row r="1616">
      <c r="A1616" s="14" t="s">
        <v>2850</v>
      </c>
      <c r="C1616" s="14" t="s">
        <v>2851</v>
      </c>
      <c r="G1616" s="15" t="str">
        <f>IFERROR(__xludf.DUMMYFUNCTION("""COMPUTED_VALUE"""),"PHYS 188L KS-01")</f>
        <v>PHYS 188L KS-01</v>
      </c>
    </row>
    <row r="1617">
      <c r="A1617" s="14" t="s">
        <v>2852</v>
      </c>
      <c r="C1617" s="14" t="s">
        <v>2853</v>
      </c>
      <c r="G1617" s="15" t="str">
        <f>IFERROR(__xludf.DUMMYFUNCTION("""COMPUTED_VALUE"""),"PHYS 189L KS-01")</f>
        <v>PHYS 189L KS-01</v>
      </c>
    </row>
    <row r="1618">
      <c r="A1618" s="14" t="s">
        <v>2854</v>
      </c>
      <c r="C1618" s="14" t="s">
        <v>2855</v>
      </c>
      <c r="G1618" s="15" t="str">
        <f>IFERROR(__xludf.DUMMYFUNCTION("""COMPUTED_VALUE"""),"PHYS 190L KS-01")</f>
        <v>PHYS 190L KS-01</v>
      </c>
    </row>
    <row r="1619">
      <c r="A1619" s="14" t="s">
        <v>2856</v>
      </c>
      <c r="C1619" s="14" t="s">
        <v>2857</v>
      </c>
      <c r="G1619" s="15" t="str">
        <f>IFERROR(__xludf.DUMMYFUNCTION("""COMPUTED_VALUE"""),"PHYS 191 HM-01")</f>
        <v>PHYS 191 HM-01</v>
      </c>
    </row>
    <row r="1620">
      <c r="A1620" s="14" t="s">
        <v>2858</v>
      </c>
      <c r="C1620" s="14" t="s">
        <v>2857</v>
      </c>
      <c r="G1620" s="15" t="str">
        <f>IFERROR(__xludf.DUMMYFUNCTION("""COMPUTED_VALUE"""),"PHYS 191 KS-01")</f>
        <v>PHYS 191 KS-01</v>
      </c>
    </row>
    <row r="1621">
      <c r="A1621" s="14" t="s">
        <v>2859</v>
      </c>
      <c r="C1621" s="14" t="s">
        <v>2860</v>
      </c>
      <c r="G1621" s="15" t="str">
        <f>IFERROR(__xludf.DUMMYFUNCTION("""COMPUTED_VALUE"""),"PHYS 191E PO-04")</f>
        <v>PHYS 191E PO-04</v>
      </c>
    </row>
    <row r="1622">
      <c r="A1622" s="14" t="s">
        <v>2861</v>
      </c>
      <c r="C1622" s="14" t="s">
        <v>2860</v>
      </c>
      <c r="G1622" s="15" t="str">
        <f>IFERROR(__xludf.DUMMYFUNCTION("""COMPUTED_VALUE"""),"PHYS 191E PO-08")</f>
        <v>PHYS 191E PO-08</v>
      </c>
    </row>
    <row r="1623">
      <c r="A1623" s="14" t="s">
        <v>2862</v>
      </c>
      <c r="C1623" s="14" t="s">
        <v>2860</v>
      </c>
      <c r="G1623" s="15" t="str">
        <f>IFERROR(__xludf.DUMMYFUNCTION("""COMPUTED_VALUE"""),"PHYS 191E PO-12")</f>
        <v>PHYS 191E PO-12</v>
      </c>
    </row>
    <row r="1624">
      <c r="A1624" s="14" t="s">
        <v>2863</v>
      </c>
      <c r="C1624" s="14" t="s">
        <v>2860</v>
      </c>
      <c r="G1624" s="15" t="str">
        <f>IFERROR(__xludf.DUMMYFUNCTION("""COMPUTED_VALUE"""),"PHYS 191E PO-16")</f>
        <v>PHYS 191E PO-16</v>
      </c>
    </row>
    <row r="1625">
      <c r="A1625" s="14" t="s">
        <v>2864</v>
      </c>
      <c r="C1625" s="14" t="s">
        <v>2860</v>
      </c>
      <c r="G1625" s="15" t="str">
        <f>IFERROR(__xludf.DUMMYFUNCTION("""COMPUTED_VALUE"""),"PHYS 191E PO-20")</f>
        <v>PHYS 191E PO-20</v>
      </c>
    </row>
    <row r="1626">
      <c r="A1626" s="14" t="s">
        <v>2865</v>
      </c>
      <c r="C1626" s="14" t="s">
        <v>2860</v>
      </c>
      <c r="G1626" s="15" t="str">
        <f>IFERROR(__xludf.DUMMYFUNCTION("""COMPUTED_VALUE"""),"PHYS 191E PO-24")</f>
        <v>PHYS 191E PO-24</v>
      </c>
    </row>
    <row r="1627">
      <c r="A1627" s="14" t="s">
        <v>2866</v>
      </c>
      <c r="C1627" s="14" t="s">
        <v>2860</v>
      </c>
      <c r="G1627" s="15" t="str">
        <f>IFERROR(__xludf.DUMMYFUNCTION("""COMPUTED_VALUE"""),"PHYS 191E PO-28")</f>
        <v>PHYS 191E PO-28</v>
      </c>
    </row>
    <row r="1628">
      <c r="A1628" s="14" t="s">
        <v>2867</v>
      </c>
      <c r="C1628" s="14" t="s">
        <v>2868</v>
      </c>
      <c r="G1628" s="15" t="str">
        <f>IFERROR(__xludf.DUMMYFUNCTION("""COMPUTED_VALUE"""),"PHYS 191L PO-04")</f>
        <v>PHYS 191L PO-04</v>
      </c>
    </row>
    <row r="1629">
      <c r="A1629" s="14" t="s">
        <v>2869</v>
      </c>
      <c r="C1629" s="14" t="s">
        <v>2868</v>
      </c>
      <c r="G1629" s="15" t="str">
        <f>IFERROR(__xludf.DUMMYFUNCTION("""COMPUTED_VALUE"""),"PHYS 191L PO-08")</f>
        <v>PHYS 191L PO-08</v>
      </c>
    </row>
    <row r="1630">
      <c r="A1630" s="14" t="s">
        <v>2870</v>
      </c>
      <c r="C1630" s="14" t="s">
        <v>2868</v>
      </c>
      <c r="G1630" s="15" t="str">
        <f>IFERROR(__xludf.DUMMYFUNCTION("""COMPUTED_VALUE"""),"PHYS 191L PO-12")</f>
        <v>PHYS 191L PO-12</v>
      </c>
    </row>
    <row r="1631">
      <c r="A1631" s="14" t="s">
        <v>2871</v>
      </c>
      <c r="C1631" s="14" t="s">
        <v>2868</v>
      </c>
      <c r="G1631" s="15" t="str">
        <f>IFERROR(__xludf.DUMMYFUNCTION("""COMPUTED_VALUE"""),"PHYS 191L PO-16")</f>
        <v>PHYS 191L PO-16</v>
      </c>
    </row>
    <row r="1632">
      <c r="A1632" s="14" t="s">
        <v>2872</v>
      </c>
      <c r="C1632" s="14" t="s">
        <v>2868</v>
      </c>
      <c r="G1632" s="15" t="str">
        <f>IFERROR(__xludf.DUMMYFUNCTION("""COMPUTED_VALUE"""),"PHYS 191L PO-20")</f>
        <v>PHYS 191L PO-20</v>
      </c>
    </row>
    <row r="1633">
      <c r="A1633" s="14" t="s">
        <v>2873</v>
      </c>
      <c r="C1633" s="14" t="s">
        <v>2868</v>
      </c>
      <c r="G1633" s="15" t="str">
        <f>IFERROR(__xludf.DUMMYFUNCTION("""COMPUTED_VALUE"""),"PHYS 191L PO-24")</f>
        <v>PHYS 191L PO-24</v>
      </c>
    </row>
    <row r="1634">
      <c r="A1634" s="14" t="s">
        <v>2874</v>
      </c>
      <c r="C1634" s="14" t="s">
        <v>2875</v>
      </c>
      <c r="G1634" s="15" t="str">
        <f>IFERROR(__xludf.DUMMYFUNCTION("""COMPUTED_VALUE"""),"PHYS 193 PO-04")</f>
        <v>PHYS 193 PO-04</v>
      </c>
    </row>
    <row r="1635">
      <c r="A1635" s="14" t="s">
        <v>2876</v>
      </c>
      <c r="C1635" s="14" t="s">
        <v>2877</v>
      </c>
      <c r="G1635" s="15" t="str">
        <f>IFERROR(__xludf.DUMMYFUNCTION("""COMPUTED_VALUE"""),"PHYS 194 HM-01")</f>
        <v>PHYS 194 HM-01</v>
      </c>
    </row>
    <row r="1636">
      <c r="A1636" s="14" t="s">
        <v>2878</v>
      </c>
      <c r="C1636" s="14" t="s">
        <v>2879</v>
      </c>
      <c r="G1636" s="15" t="str">
        <f>IFERROR(__xludf.DUMMYFUNCTION("""COMPUTED_VALUE"""),"PHYS 195 HM-01")</f>
        <v>PHYS 195 HM-01</v>
      </c>
    </row>
    <row r="1637">
      <c r="A1637" s="14" t="s">
        <v>2880</v>
      </c>
      <c r="C1637" s="14" t="s">
        <v>2881</v>
      </c>
      <c r="G1637" s="15" t="str">
        <f>IFERROR(__xludf.DUMMYFUNCTION("""COMPUTED_VALUE"""),"PHYS 197 HM-01")</f>
        <v>PHYS 197 HM-01</v>
      </c>
    </row>
    <row r="1638">
      <c r="A1638" s="14" t="s">
        <v>2882</v>
      </c>
      <c r="C1638" s="14" t="s">
        <v>2883</v>
      </c>
      <c r="G1638" s="15" t="str">
        <f>IFERROR(__xludf.DUMMYFUNCTION("""COMPUTED_VALUE"""),"PHYS 199 HM-01")</f>
        <v>PHYS 199 HM-01</v>
      </c>
    </row>
    <row r="1639">
      <c r="A1639" s="14" t="s">
        <v>2884</v>
      </c>
      <c r="C1639" s="14" t="s">
        <v>2883</v>
      </c>
      <c r="G1639" s="15" t="str">
        <f>IFERROR(__xludf.DUMMYFUNCTION("""COMPUTED_VALUE"""),"PHYS 199 HM-02")</f>
        <v>PHYS 199 HM-02</v>
      </c>
    </row>
    <row r="1640">
      <c r="A1640" s="14" t="s">
        <v>2885</v>
      </c>
      <c r="C1640" s="14" t="s">
        <v>2883</v>
      </c>
      <c r="G1640" s="15" t="str">
        <f>IFERROR(__xludf.DUMMYFUNCTION("""COMPUTED_VALUE"""),"PHYS 199 HM-03")</f>
        <v>PHYS 199 HM-03</v>
      </c>
    </row>
    <row r="1641">
      <c r="A1641" s="14" t="s">
        <v>2886</v>
      </c>
      <c r="C1641" s="14" t="s">
        <v>2883</v>
      </c>
      <c r="G1641" s="15" t="str">
        <f>IFERROR(__xludf.DUMMYFUNCTION("""COMPUTED_VALUE"""),"PHYS 199 HM-04")</f>
        <v>PHYS 199 HM-04</v>
      </c>
    </row>
    <row r="1642">
      <c r="A1642" s="14" t="s">
        <v>2887</v>
      </c>
      <c r="C1642" s="14" t="s">
        <v>2883</v>
      </c>
      <c r="G1642" s="15" t="str">
        <f>IFERROR(__xludf.DUMMYFUNCTION("""COMPUTED_VALUE"""),"PHYS 199 HM-05")</f>
        <v>PHYS 199 HM-05</v>
      </c>
    </row>
    <row r="1643">
      <c r="A1643" s="14" t="s">
        <v>2888</v>
      </c>
      <c r="C1643" s="14" t="s">
        <v>2883</v>
      </c>
      <c r="G1643" s="15" t="str">
        <f>IFERROR(__xludf.DUMMYFUNCTION("""COMPUTED_VALUE"""),"PHYS 199 HM-06")</f>
        <v>PHYS 199 HM-06</v>
      </c>
    </row>
    <row r="1644">
      <c r="A1644" s="14" t="s">
        <v>2889</v>
      </c>
      <c r="C1644" s="14" t="s">
        <v>2883</v>
      </c>
      <c r="G1644" s="15" t="str">
        <f>IFERROR(__xludf.DUMMYFUNCTION("""COMPUTED_VALUE"""),"PHYS 199 HM-07")</f>
        <v>PHYS 199 HM-07</v>
      </c>
    </row>
    <row r="1645">
      <c r="A1645" s="14" t="s">
        <v>2890</v>
      </c>
      <c r="C1645" s="14" t="s">
        <v>2883</v>
      </c>
      <c r="G1645" s="15" t="str">
        <f>IFERROR(__xludf.DUMMYFUNCTION("""COMPUTED_VALUE"""),"PHYS 199 HM-08")</f>
        <v>PHYS 199 HM-08</v>
      </c>
    </row>
    <row r="1646">
      <c r="A1646" s="14" t="s">
        <v>2891</v>
      </c>
      <c r="C1646" s="14" t="s">
        <v>2883</v>
      </c>
      <c r="G1646" s="15" t="str">
        <f>IFERROR(__xludf.DUMMYFUNCTION("""COMPUTED_VALUE"""),"PHYS 199 HM-09")</f>
        <v>PHYS 199 HM-09</v>
      </c>
    </row>
    <row r="1647">
      <c r="A1647" s="14" t="s">
        <v>2892</v>
      </c>
      <c r="C1647" s="14" t="s">
        <v>2883</v>
      </c>
      <c r="G1647" s="15" t="str">
        <f>IFERROR(__xludf.DUMMYFUNCTION("""COMPUTED_VALUE"""),"PHYS 199 HM-10")</f>
        <v>PHYS 199 HM-10</v>
      </c>
    </row>
    <row r="1648">
      <c r="A1648" s="14" t="s">
        <v>2893</v>
      </c>
      <c r="C1648" s="14" t="s">
        <v>2894</v>
      </c>
      <c r="G1648" s="15" t="str">
        <f>IFERROR(__xludf.DUMMYFUNCTION("""COMPUTED_VALUE"""),"POLI 001B PO-01")</f>
        <v>POLI 001B PO-01</v>
      </c>
    </row>
    <row r="1649">
      <c r="A1649" s="14" t="s">
        <v>2895</v>
      </c>
      <c r="C1649" s="14" t="s">
        <v>2896</v>
      </c>
      <c r="G1649" s="15" t="str">
        <f>IFERROR(__xludf.DUMMYFUNCTION("""COMPUTED_VALUE"""),"POLI 003 PO-01")</f>
        <v>POLI 003 PO-01</v>
      </c>
    </row>
    <row r="1650">
      <c r="A1650" s="14" t="s">
        <v>2897</v>
      </c>
      <c r="C1650" s="14" t="s">
        <v>2898</v>
      </c>
      <c r="G1650" s="15" t="str">
        <f>IFERROR(__xludf.DUMMYFUNCTION("""COMPUTED_VALUE"""),"POLI 005 PO-01")</f>
        <v>POLI 005 PO-01</v>
      </c>
    </row>
    <row r="1651">
      <c r="A1651" s="14" t="s">
        <v>2899</v>
      </c>
      <c r="C1651" s="14" t="s">
        <v>2898</v>
      </c>
      <c r="G1651" s="15" t="str">
        <f>IFERROR(__xludf.DUMMYFUNCTION("""COMPUTED_VALUE"""),"POLI 005 PO-02")</f>
        <v>POLI 005 PO-02</v>
      </c>
    </row>
    <row r="1652">
      <c r="A1652" s="14" t="s">
        <v>2900</v>
      </c>
      <c r="C1652" s="14" t="s">
        <v>2901</v>
      </c>
      <c r="G1652" s="15" t="str">
        <f>IFERROR(__xludf.DUMMYFUNCTION("""COMPUTED_VALUE"""),"POLI 008 PO-01")</f>
        <v>POLI 008 PO-01</v>
      </c>
    </row>
    <row r="1653">
      <c r="A1653" s="14" t="s">
        <v>2902</v>
      </c>
      <c r="C1653" s="14" t="s">
        <v>2901</v>
      </c>
      <c r="G1653" s="15" t="str">
        <f>IFERROR(__xludf.DUMMYFUNCTION("""COMPUTED_VALUE"""),"POLI 008 PO-02")</f>
        <v>POLI 008 PO-02</v>
      </c>
    </row>
    <row r="1654">
      <c r="A1654" s="14" t="s">
        <v>2903</v>
      </c>
      <c r="C1654" s="14" t="s">
        <v>2904</v>
      </c>
      <c r="G1654" s="15" t="str">
        <f>IFERROR(__xludf.DUMMYFUNCTION("""COMPUTED_VALUE"""),"POLI 033B PO-01")</f>
        <v>POLI 033B PO-01</v>
      </c>
    </row>
    <row r="1655">
      <c r="A1655" s="14" t="s">
        <v>2905</v>
      </c>
      <c r="C1655" s="14" t="s">
        <v>2906</v>
      </c>
      <c r="G1655" s="15" t="str">
        <f>IFERROR(__xludf.DUMMYFUNCTION("""COMPUTED_VALUE"""),"POLI 060 PO-01")</f>
        <v>POLI 060 PO-01</v>
      </c>
    </row>
    <row r="1656">
      <c r="A1656" s="14" t="s">
        <v>2907</v>
      </c>
      <c r="C1656" s="14" t="s">
        <v>2908</v>
      </c>
      <c r="G1656" s="15" t="str">
        <f>IFERROR(__xludf.DUMMYFUNCTION("""COMPUTED_VALUE"""),"POLI 090 PO-01")</f>
        <v>POLI 090 PO-01</v>
      </c>
    </row>
    <row r="1657">
      <c r="A1657" s="14" t="s">
        <v>2909</v>
      </c>
      <c r="C1657" s="14" t="s">
        <v>2910</v>
      </c>
      <c r="G1657" s="15" t="str">
        <f>IFERROR(__xludf.DUMMYFUNCTION("""COMPUTED_VALUE"""),"POLI 100 SC-01")</f>
        <v>POLI 100 SC-01</v>
      </c>
    </row>
    <row r="1658">
      <c r="A1658" s="14" t="s">
        <v>2911</v>
      </c>
      <c r="C1658" s="14" t="s">
        <v>2912</v>
      </c>
      <c r="G1658" s="15" t="str">
        <f>IFERROR(__xludf.DUMMYFUNCTION("""COMPUTED_VALUE"""),"POLI 110 SC-01")</f>
        <v>POLI 110 SC-01</v>
      </c>
    </row>
    <row r="1659">
      <c r="A1659" s="14" t="s">
        <v>2913</v>
      </c>
      <c r="C1659" s="14" t="s">
        <v>2914</v>
      </c>
      <c r="G1659" s="15" t="str">
        <f>IFERROR(__xludf.DUMMYFUNCTION("""COMPUTED_VALUE"""),"POLI 111 PO-01")</f>
        <v>POLI 111 PO-01</v>
      </c>
    </row>
    <row r="1660">
      <c r="A1660" s="14" t="s">
        <v>2915</v>
      </c>
      <c r="C1660" s="14" t="s">
        <v>2916</v>
      </c>
      <c r="G1660" s="15" t="str">
        <f>IFERROR(__xludf.DUMMYFUNCTION("""COMPUTED_VALUE"""),"POLI 115 SC-01")</f>
        <v>POLI 115 SC-01</v>
      </c>
    </row>
    <row r="1661">
      <c r="A1661" s="14" t="s">
        <v>2917</v>
      </c>
      <c r="C1661" s="14" t="s">
        <v>55</v>
      </c>
      <c r="G1661" s="15" t="str">
        <f>IFERROR(__xludf.DUMMYFUNCTION("""COMPUTED_VALUE"""),"POLI 120 JT-01")</f>
        <v>POLI 120 JT-01</v>
      </c>
    </row>
    <row r="1662">
      <c r="A1662" s="14" t="s">
        <v>2918</v>
      </c>
      <c r="C1662" s="14" t="s">
        <v>2919</v>
      </c>
      <c r="G1662" s="15" t="str">
        <f>IFERROR(__xludf.DUMMYFUNCTION("""COMPUTED_VALUE"""),"POLI 123IO SC-01")</f>
        <v>POLI 123IO SC-01</v>
      </c>
    </row>
    <row r="1663">
      <c r="A1663" s="14" t="s">
        <v>2920</v>
      </c>
      <c r="C1663" s="14" t="s">
        <v>2921</v>
      </c>
      <c r="G1663" s="15" t="str">
        <f>IFERROR(__xludf.DUMMYFUNCTION("""COMPUTED_VALUE"""),"POLI 130 SC-01")</f>
        <v>POLI 130 SC-01</v>
      </c>
    </row>
    <row r="1664">
      <c r="A1664" s="14" t="s">
        <v>2922</v>
      </c>
      <c r="C1664" s="14" t="s">
        <v>2923</v>
      </c>
      <c r="G1664" s="15" t="str">
        <f>IFERROR(__xludf.DUMMYFUNCTION("""COMPUTED_VALUE"""),"POLI 134 PO-01")</f>
        <v>POLI 134 PO-01</v>
      </c>
    </row>
    <row r="1665">
      <c r="A1665" s="14" t="s">
        <v>2924</v>
      </c>
      <c r="C1665" s="14" t="s">
        <v>2925</v>
      </c>
      <c r="G1665" s="15" t="str">
        <f>IFERROR(__xludf.DUMMYFUNCTION("""COMPUTED_VALUE"""),"POLI 136 PO-01")</f>
        <v>POLI 136 PO-01</v>
      </c>
    </row>
    <row r="1666">
      <c r="A1666" s="14" t="s">
        <v>2926</v>
      </c>
      <c r="C1666" s="14" t="s">
        <v>2927</v>
      </c>
      <c r="G1666" s="15" t="str">
        <f>IFERROR(__xludf.DUMMYFUNCTION("""COMPUTED_VALUE"""),"POLI 145 SC-01")</f>
        <v>POLI 145 SC-01</v>
      </c>
    </row>
    <row r="1667">
      <c r="A1667" s="14" t="s">
        <v>2928</v>
      </c>
      <c r="C1667" s="14" t="s">
        <v>2929</v>
      </c>
      <c r="G1667" s="15" t="str">
        <f>IFERROR(__xludf.DUMMYFUNCTION("""COMPUTED_VALUE"""),"POLI 147 PO-01")</f>
        <v>POLI 147 PO-01</v>
      </c>
    </row>
    <row r="1668">
      <c r="A1668" s="14" t="s">
        <v>2930</v>
      </c>
      <c r="C1668" s="14" t="s">
        <v>2931</v>
      </c>
      <c r="G1668" s="15" t="str">
        <f>IFERROR(__xludf.DUMMYFUNCTION("""COMPUTED_VALUE"""),"POLI 150 SC-01")</f>
        <v>POLI 150 SC-01</v>
      </c>
    </row>
    <row r="1669">
      <c r="A1669" s="14" t="s">
        <v>2932</v>
      </c>
      <c r="C1669" s="14" t="s">
        <v>2933</v>
      </c>
      <c r="G1669" s="15" t="str">
        <f>IFERROR(__xludf.DUMMYFUNCTION("""COMPUTED_VALUE"""),"POLI 172 PO-01")</f>
        <v>POLI 172 PO-01</v>
      </c>
    </row>
    <row r="1670">
      <c r="A1670" s="14" t="s">
        <v>2934</v>
      </c>
      <c r="C1670" s="14" t="s">
        <v>2935</v>
      </c>
      <c r="G1670" s="15" t="str">
        <f>IFERROR(__xludf.DUMMYFUNCTION("""COMPUTED_VALUE"""),"POLI 177 PO-01")</f>
        <v>POLI 177 PO-01</v>
      </c>
    </row>
    <row r="1671">
      <c r="A1671" s="14" t="s">
        <v>2936</v>
      </c>
      <c r="C1671" s="14" t="s">
        <v>2937</v>
      </c>
      <c r="G1671" s="15" t="str">
        <f>IFERROR(__xludf.DUMMYFUNCTION("""COMPUTED_VALUE"""),"POLI 180 PO-01")</f>
        <v>POLI 180 PO-01</v>
      </c>
    </row>
    <row r="1672">
      <c r="A1672" s="14" t="s">
        <v>2938</v>
      </c>
      <c r="C1672" s="14" t="s">
        <v>2937</v>
      </c>
      <c r="G1672" s="15" t="str">
        <f>IFERROR(__xludf.DUMMYFUNCTION("""COMPUTED_VALUE"""),"POLI 180 SC-01")</f>
        <v>POLI 180 SC-01</v>
      </c>
    </row>
    <row r="1673">
      <c r="A1673" s="14" t="s">
        <v>2939</v>
      </c>
      <c r="C1673" s="14" t="s">
        <v>2940</v>
      </c>
      <c r="G1673" s="15" t="str">
        <f>IFERROR(__xludf.DUMMYFUNCTION("""COMPUTED_VALUE"""),"POLI 189Y PO-01")</f>
        <v>POLI 189Y PO-01</v>
      </c>
    </row>
    <row r="1674">
      <c r="A1674" s="14" t="s">
        <v>2941</v>
      </c>
      <c r="C1674" s="14" t="s">
        <v>2942</v>
      </c>
      <c r="G1674" s="15" t="str">
        <f>IFERROR(__xludf.DUMMYFUNCTION("""COMPUTED_VALUE"""),"POLI 189Z PO-01")</f>
        <v>POLI 189Z PO-01</v>
      </c>
    </row>
    <row r="1675">
      <c r="A1675" s="14" t="s">
        <v>2943</v>
      </c>
      <c r="C1675" s="14" t="s">
        <v>2944</v>
      </c>
      <c r="G1675" s="15" t="str">
        <f>IFERROR(__xludf.DUMMYFUNCTION("""COMPUTED_VALUE"""),"POLI 190B PO-01")</f>
        <v>POLI 190B PO-01</v>
      </c>
    </row>
    <row r="1676">
      <c r="A1676" s="14" t="s">
        <v>2945</v>
      </c>
      <c r="C1676" s="14" t="s">
        <v>2946</v>
      </c>
      <c r="G1676" s="15" t="str">
        <f>IFERROR(__xludf.DUMMYFUNCTION("""COMPUTED_VALUE"""),"POLI 190D PO-01")</f>
        <v>POLI 190D PO-01</v>
      </c>
    </row>
    <row r="1677">
      <c r="A1677" s="14" t="s">
        <v>2947</v>
      </c>
      <c r="C1677" s="14" t="s">
        <v>2948</v>
      </c>
      <c r="G1677" s="15" t="str">
        <f>IFERROR(__xludf.DUMMYFUNCTION("""COMPUTED_VALUE"""),"POLI 191 PO-04")</f>
        <v>POLI 191 PO-04</v>
      </c>
    </row>
    <row r="1678">
      <c r="A1678" s="14" t="s">
        <v>2949</v>
      </c>
      <c r="C1678" s="14" t="s">
        <v>2948</v>
      </c>
      <c r="G1678" s="15" t="str">
        <f>IFERROR(__xludf.DUMMYFUNCTION("""COMPUTED_VALUE"""),"POLI 191 PO-08")</f>
        <v>POLI 191 PO-08</v>
      </c>
    </row>
    <row r="1679">
      <c r="A1679" s="14" t="s">
        <v>2950</v>
      </c>
      <c r="C1679" s="14" t="s">
        <v>2948</v>
      </c>
      <c r="G1679" s="15" t="str">
        <f>IFERROR(__xludf.DUMMYFUNCTION("""COMPUTED_VALUE"""),"POLI 191 PO-12")</f>
        <v>POLI 191 PO-12</v>
      </c>
    </row>
    <row r="1680">
      <c r="A1680" s="14" t="s">
        <v>2951</v>
      </c>
      <c r="C1680" s="14" t="s">
        <v>2948</v>
      </c>
      <c r="G1680" s="15" t="str">
        <f>IFERROR(__xludf.DUMMYFUNCTION("""COMPUTED_VALUE"""),"POLI 191 PO-16")</f>
        <v>POLI 191 PO-16</v>
      </c>
    </row>
    <row r="1681">
      <c r="A1681" s="14" t="s">
        <v>2952</v>
      </c>
      <c r="C1681" s="14" t="s">
        <v>2948</v>
      </c>
      <c r="G1681" s="15" t="str">
        <f>IFERROR(__xludf.DUMMYFUNCTION("""COMPUTED_VALUE"""),"POLI 191 PO-20")</f>
        <v>POLI 191 PO-20</v>
      </c>
    </row>
    <row r="1682">
      <c r="A1682" s="14" t="s">
        <v>2953</v>
      </c>
      <c r="C1682" s="14" t="s">
        <v>2948</v>
      </c>
      <c r="G1682" s="15" t="str">
        <f>IFERROR(__xludf.DUMMYFUNCTION("""COMPUTED_VALUE"""),"POLI 191 PO-24")</f>
        <v>POLI 191 PO-24</v>
      </c>
    </row>
    <row r="1683">
      <c r="A1683" s="14" t="s">
        <v>2954</v>
      </c>
      <c r="C1683" s="14" t="s">
        <v>2948</v>
      </c>
      <c r="G1683" s="15" t="str">
        <f>IFERROR(__xludf.DUMMYFUNCTION("""COMPUTED_VALUE"""),"POLI 191 PO-28")</f>
        <v>POLI 191 PO-28</v>
      </c>
    </row>
    <row r="1684">
      <c r="A1684" s="14" t="s">
        <v>2955</v>
      </c>
      <c r="C1684" s="14" t="s">
        <v>2948</v>
      </c>
      <c r="G1684" s="15" t="str">
        <f>IFERROR(__xludf.DUMMYFUNCTION("""COMPUTED_VALUE"""),"POLI 191 PO-32")</f>
        <v>POLI 191 PO-32</v>
      </c>
    </row>
    <row r="1685">
      <c r="A1685" s="14" t="s">
        <v>2956</v>
      </c>
      <c r="C1685" s="14" t="s">
        <v>2948</v>
      </c>
      <c r="G1685" s="15" t="str">
        <f>IFERROR(__xludf.DUMMYFUNCTION("""COMPUTED_VALUE"""),"POLI 191 PO-36")</f>
        <v>POLI 191 PO-36</v>
      </c>
    </row>
    <row r="1686">
      <c r="A1686" s="14" t="s">
        <v>2957</v>
      </c>
      <c r="C1686" s="14" t="s">
        <v>2958</v>
      </c>
      <c r="G1686" s="15" t="str">
        <f>IFERROR(__xludf.DUMMYFUNCTION("""COMPUTED_VALUE"""),"POLI 193 PO-04")</f>
        <v>POLI 193 PO-04</v>
      </c>
    </row>
    <row r="1687">
      <c r="A1687" s="14" t="s">
        <v>2959</v>
      </c>
      <c r="C1687" s="14" t="s">
        <v>2960</v>
      </c>
      <c r="G1687" s="15" t="str">
        <f>IFERROR(__xludf.DUMMYFUNCTION("""COMPUTED_VALUE"""),"POLI 195 PO-04")</f>
        <v>POLI 195 PO-04</v>
      </c>
    </row>
    <row r="1688">
      <c r="A1688" s="14" t="s">
        <v>2961</v>
      </c>
      <c r="C1688" s="14" t="s">
        <v>2962</v>
      </c>
      <c r="G1688" s="15" t="str">
        <f>IFERROR(__xludf.DUMMYFUNCTION("""COMPUTED_VALUE"""),"PORT 022 PZ-01")</f>
        <v>PORT 022 PZ-01</v>
      </c>
    </row>
    <row r="1689">
      <c r="A1689" s="14" t="s">
        <v>2963</v>
      </c>
      <c r="C1689" s="14" t="s">
        <v>2964</v>
      </c>
      <c r="G1689" s="15" t="str">
        <f>IFERROR(__xludf.DUMMYFUNCTION("""COMPUTED_VALUE"""),"PORT 035 PZ-01")</f>
        <v>PORT 035 PZ-01</v>
      </c>
    </row>
    <row r="1690">
      <c r="A1690" s="14" t="s">
        <v>2965</v>
      </c>
      <c r="C1690" s="14" t="s">
        <v>2966</v>
      </c>
      <c r="G1690" s="15" t="str">
        <f>IFERROR(__xludf.DUMMYFUNCTION("""COMPUTED_VALUE"""),"PORT 044 CM-01")</f>
        <v>PORT 044 CM-01</v>
      </c>
    </row>
    <row r="1691">
      <c r="A1691" s="14" t="s">
        <v>2967</v>
      </c>
      <c r="C1691" s="14" t="s">
        <v>2968</v>
      </c>
      <c r="G1691" s="15" t="str">
        <f>IFERROR(__xludf.DUMMYFUNCTION("""COMPUTED_VALUE"""),"POST 050 PZ-01")</f>
        <v>POST 050 PZ-01</v>
      </c>
    </row>
    <row r="1692">
      <c r="A1692" s="14" t="s">
        <v>2969</v>
      </c>
      <c r="C1692" s="14" t="s">
        <v>2970</v>
      </c>
      <c r="G1692" s="15" t="str">
        <f>IFERROR(__xludf.DUMMYFUNCTION("""COMPUTED_VALUE"""),"POST 070 PZ-01")</f>
        <v>POST 070 PZ-01</v>
      </c>
    </row>
    <row r="1693">
      <c r="A1693" s="14" t="s">
        <v>2971</v>
      </c>
      <c r="C1693" s="14" t="s">
        <v>2972</v>
      </c>
      <c r="G1693" s="15" t="str">
        <f>IFERROR(__xludf.DUMMYFUNCTION("""COMPUTED_VALUE"""),"POST 096 PZ-01")</f>
        <v>POST 096 PZ-01</v>
      </c>
    </row>
    <row r="1694">
      <c r="A1694" s="14" t="s">
        <v>2973</v>
      </c>
      <c r="C1694" s="14" t="s">
        <v>2974</v>
      </c>
      <c r="G1694" s="15" t="str">
        <f>IFERROR(__xludf.DUMMYFUNCTION("""COMPUTED_VALUE"""),"POST 106 PZ-01")</f>
        <v>POST 106 PZ-01</v>
      </c>
    </row>
    <row r="1695">
      <c r="A1695" s="14" t="s">
        <v>2975</v>
      </c>
      <c r="C1695" s="14" t="s">
        <v>2976</v>
      </c>
      <c r="G1695" s="15" t="str">
        <f>IFERROR(__xludf.DUMMYFUNCTION("""COMPUTED_VALUE"""),"POST 123 PZ-01")</f>
        <v>POST 123 PZ-01</v>
      </c>
    </row>
    <row r="1696">
      <c r="A1696" s="14" t="s">
        <v>2977</v>
      </c>
      <c r="C1696" s="14" t="s">
        <v>2978</v>
      </c>
      <c r="G1696" s="15" t="str">
        <f>IFERROR(__xludf.DUMMYFUNCTION("""COMPUTED_VALUE"""),"POST 134 PZ-01")</f>
        <v>POST 134 PZ-01</v>
      </c>
    </row>
    <row r="1697">
      <c r="A1697" s="14" t="s">
        <v>2979</v>
      </c>
      <c r="C1697" s="14" t="s">
        <v>2980</v>
      </c>
      <c r="G1697" s="15" t="str">
        <f>IFERROR(__xludf.DUMMYFUNCTION("""COMPUTED_VALUE"""),"POST 140 HM-01")</f>
        <v>POST 140 HM-01</v>
      </c>
    </row>
    <row r="1698">
      <c r="A1698" s="14" t="s">
        <v>2981</v>
      </c>
      <c r="C1698" s="14" t="s">
        <v>2980</v>
      </c>
      <c r="G1698" s="15" t="str">
        <f>IFERROR(__xludf.DUMMYFUNCTION("""COMPUTED_VALUE"""),"POST 140 HM-02")</f>
        <v>POST 140 HM-02</v>
      </c>
    </row>
    <row r="1699">
      <c r="A1699" s="14" t="s">
        <v>2982</v>
      </c>
      <c r="C1699" s="14" t="s">
        <v>2980</v>
      </c>
      <c r="G1699" s="15" t="str">
        <f>IFERROR(__xludf.DUMMYFUNCTION("""COMPUTED_VALUE"""),"POST 140 PZ-01")</f>
        <v>POST 140 PZ-01</v>
      </c>
    </row>
    <row r="1700">
      <c r="A1700" s="14" t="s">
        <v>2983</v>
      </c>
      <c r="C1700" s="14" t="s">
        <v>2984</v>
      </c>
      <c r="G1700" s="15" t="str">
        <f>IFERROR(__xludf.DUMMYFUNCTION("""COMPUTED_VALUE"""),"POST 141 PZ-01")</f>
        <v>POST 141 PZ-01</v>
      </c>
    </row>
    <row r="1701">
      <c r="A1701" s="14" t="s">
        <v>2985</v>
      </c>
      <c r="C1701" s="14" t="s">
        <v>2986</v>
      </c>
      <c r="G1701" s="15" t="str">
        <f>IFERROR(__xludf.DUMMYFUNCTION("""COMPUTED_VALUE"""),"POST 170 PZ-01")</f>
        <v>POST 170 PZ-01</v>
      </c>
    </row>
    <row r="1702">
      <c r="A1702" s="14" t="s">
        <v>2987</v>
      </c>
      <c r="C1702" s="14" t="s">
        <v>2988</v>
      </c>
      <c r="G1702" s="15" t="str">
        <f>IFERROR(__xludf.DUMMYFUNCTION("""COMPUTED_VALUE"""),"POST 185 PZ-01")</f>
        <v>POST 185 PZ-01</v>
      </c>
    </row>
    <row r="1703">
      <c r="A1703" s="14" t="s">
        <v>2989</v>
      </c>
      <c r="C1703" s="14" t="s">
        <v>2990</v>
      </c>
      <c r="G1703" s="15" t="str">
        <f>IFERROR(__xludf.DUMMYFUNCTION("""COMPUTED_VALUE"""),"POST 190 PZ-01")</f>
        <v>POST 190 PZ-01</v>
      </c>
    </row>
    <row r="1704">
      <c r="A1704" s="14" t="s">
        <v>2991</v>
      </c>
      <c r="C1704" s="14" t="s">
        <v>2992</v>
      </c>
      <c r="G1704" s="15" t="str">
        <f>IFERROR(__xludf.DUMMYFUNCTION("""COMPUTED_VALUE"""),"POST 199 PZ-01")</f>
        <v>POST 199 PZ-01</v>
      </c>
    </row>
    <row r="1705">
      <c r="A1705" s="14" t="s">
        <v>2993</v>
      </c>
      <c r="C1705" s="14" t="s">
        <v>2994</v>
      </c>
      <c r="G1705" s="15" t="str">
        <f>IFERROR(__xludf.DUMMYFUNCTION("""COMPUTED_VALUE"""),"PPA 001 PO-01")</f>
        <v>PPA 001 PO-01</v>
      </c>
    </row>
    <row r="1706">
      <c r="A1706" s="14" t="s">
        <v>2995</v>
      </c>
      <c r="C1706" s="14" t="s">
        <v>2996</v>
      </c>
      <c r="G1706" s="15" t="str">
        <f>IFERROR(__xludf.DUMMYFUNCTION("""COMPUTED_VALUE"""),"PPA 191 PO-04")</f>
        <v>PPA 191 PO-04</v>
      </c>
    </row>
    <row r="1707">
      <c r="A1707" s="14" t="s">
        <v>2997</v>
      </c>
      <c r="C1707" s="14" t="s">
        <v>2998</v>
      </c>
      <c r="G1707" s="15" t="str">
        <f>IFERROR(__xludf.DUMMYFUNCTION("""COMPUTED_VALUE"""),"PPA 195 PO-04")</f>
        <v>PPA 195 PO-04</v>
      </c>
    </row>
    <row r="1708">
      <c r="A1708" s="14" t="s">
        <v>2999</v>
      </c>
      <c r="C1708" s="14" t="s">
        <v>3000</v>
      </c>
      <c r="G1708" s="15" t="str">
        <f>IFERROR(__xludf.DUMMYFUNCTION("""COMPUTED_VALUE"""),"PPE 001A CM-01")</f>
        <v>PPE 001A CM-01</v>
      </c>
    </row>
    <row r="1709">
      <c r="A1709" s="14" t="s">
        <v>3001</v>
      </c>
      <c r="C1709" s="14" t="s">
        <v>3000</v>
      </c>
      <c r="G1709" s="15" t="str">
        <f>IFERROR(__xludf.DUMMYFUNCTION("""COMPUTED_VALUE"""),"PPE 001A CM-02")</f>
        <v>PPE 001A CM-02</v>
      </c>
    </row>
    <row r="1710">
      <c r="A1710" s="14" t="s">
        <v>3002</v>
      </c>
      <c r="C1710" s="14" t="s">
        <v>3003</v>
      </c>
      <c r="G1710" s="15" t="str">
        <f>IFERROR(__xludf.DUMMYFUNCTION("""COMPUTED_VALUE"""),"PPE 001B CM-01")</f>
        <v>PPE 001B CM-01</v>
      </c>
    </row>
    <row r="1711">
      <c r="A1711" s="14" t="s">
        <v>3004</v>
      </c>
      <c r="C1711" s="14" t="s">
        <v>3003</v>
      </c>
      <c r="G1711" s="15" t="str">
        <f>IFERROR(__xludf.DUMMYFUNCTION("""COMPUTED_VALUE"""),"PPE 001B CM-02")</f>
        <v>PPE 001B CM-02</v>
      </c>
    </row>
    <row r="1712">
      <c r="A1712" s="14" t="s">
        <v>3005</v>
      </c>
      <c r="C1712" s="14" t="s">
        <v>3006</v>
      </c>
      <c r="G1712" s="15" t="str">
        <f>IFERROR(__xludf.DUMMYFUNCTION("""COMPUTED_VALUE"""),"PPE 011A CM-01")</f>
        <v>PPE 011A CM-01</v>
      </c>
    </row>
    <row r="1713">
      <c r="A1713" s="14" t="s">
        <v>3007</v>
      </c>
      <c r="C1713" s="14" t="s">
        <v>3006</v>
      </c>
      <c r="G1713" s="15" t="str">
        <f>IFERROR(__xludf.DUMMYFUNCTION("""COMPUTED_VALUE"""),"PPE 011A CM-02")</f>
        <v>PPE 011A CM-02</v>
      </c>
    </row>
    <row r="1714">
      <c r="A1714" s="14" t="s">
        <v>3008</v>
      </c>
      <c r="C1714" s="14" t="s">
        <v>3009</v>
      </c>
      <c r="G1714" s="15" t="str">
        <f>IFERROR(__xludf.DUMMYFUNCTION("""COMPUTED_VALUE"""),"PPE 011B CM-01")</f>
        <v>PPE 011B CM-01</v>
      </c>
    </row>
    <row r="1715">
      <c r="A1715" s="14" t="s">
        <v>3010</v>
      </c>
      <c r="C1715" s="14" t="s">
        <v>3009</v>
      </c>
      <c r="G1715" s="15" t="str">
        <f>IFERROR(__xludf.DUMMYFUNCTION("""COMPUTED_VALUE"""),"PPE 011B CM-02")</f>
        <v>PPE 011B CM-02</v>
      </c>
    </row>
    <row r="1716">
      <c r="A1716" s="14" t="s">
        <v>3011</v>
      </c>
      <c r="C1716" s="14" t="s">
        <v>3012</v>
      </c>
      <c r="G1716" s="15" t="str">
        <f>IFERROR(__xludf.DUMMYFUNCTION("""COMPUTED_VALUE"""),"PPE 100 PO-01")</f>
        <v>PPE 100 PO-01</v>
      </c>
    </row>
    <row r="1717">
      <c r="A1717" s="14" t="s">
        <v>3013</v>
      </c>
      <c r="C1717" s="14" t="s">
        <v>3014</v>
      </c>
      <c r="G1717" s="15" t="str">
        <f>IFERROR(__xludf.DUMMYFUNCTION("""COMPUTED_VALUE"""),"PPE 110A CM-01")</f>
        <v>PPE 110A CM-01</v>
      </c>
    </row>
    <row r="1718">
      <c r="A1718" s="14" t="s">
        <v>3015</v>
      </c>
      <c r="C1718" s="14" t="s">
        <v>3014</v>
      </c>
      <c r="G1718" s="15" t="str">
        <f>IFERROR(__xludf.DUMMYFUNCTION("""COMPUTED_VALUE"""),"PPE 110A CM-02")</f>
        <v>PPE 110A CM-02</v>
      </c>
    </row>
    <row r="1719">
      <c r="A1719" s="14" t="s">
        <v>3016</v>
      </c>
      <c r="C1719" s="14" t="s">
        <v>3017</v>
      </c>
      <c r="G1719" s="15" t="str">
        <f>IFERROR(__xludf.DUMMYFUNCTION("""COMPUTED_VALUE"""),"PPE 110B CM-01")</f>
        <v>PPE 110B CM-01</v>
      </c>
    </row>
    <row r="1720">
      <c r="A1720" s="14" t="s">
        <v>3018</v>
      </c>
      <c r="C1720" s="14" t="s">
        <v>3017</v>
      </c>
      <c r="G1720" s="15" t="str">
        <f>IFERROR(__xludf.DUMMYFUNCTION("""COMPUTED_VALUE"""),"PPE 110B CM-02")</f>
        <v>PPE 110B CM-02</v>
      </c>
    </row>
    <row r="1721">
      <c r="A1721" s="14" t="s">
        <v>3019</v>
      </c>
      <c r="C1721" s="14" t="s">
        <v>3020</v>
      </c>
      <c r="G1721" s="15" t="str">
        <f>IFERROR(__xludf.DUMMYFUNCTION("""COMPUTED_VALUE"""),"PPE 195 PO-04")</f>
        <v>PPE 195 PO-04</v>
      </c>
    </row>
    <row r="1722">
      <c r="A1722" s="14" t="s">
        <v>3021</v>
      </c>
      <c r="C1722" s="14" t="s">
        <v>3022</v>
      </c>
      <c r="G1722" s="15" t="str">
        <f>IFERROR(__xludf.DUMMYFUNCTION("""COMPUTED_VALUE"""),"PSYC 010 PZ-01")</f>
        <v>PSYC 010 PZ-01</v>
      </c>
    </row>
    <row r="1723">
      <c r="A1723" s="14" t="s">
        <v>3023</v>
      </c>
      <c r="C1723" s="14" t="s">
        <v>3022</v>
      </c>
      <c r="G1723" s="15" t="str">
        <f>IFERROR(__xludf.DUMMYFUNCTION("""COMPUTED_VALUE"""),"PSYC 010 PZ-02")</f>
        <v>PSYC 010 PZ-02</v>
      </c>
    </row>
    <row r="1724">
      <c r="A1724" s="14" t="s">
        <v>3024</v>
      </c>
      <c r="C1724" s="14" t="s">
        <v>3025</v>
      </c>
      <c r="G1724" s="15" t="str">
        <f>IFERROR(__xludf.DUMMYFUNCTION("""COMPUTED_VALUE"""),"PSYC 030 CM-01")</f>
        <v>PSYC 030 CM-01</v>
      </c>
    </row>
    <row r="1725">
      <c r="A1725" s="14" t="s">
        <v>3026</v>
      </c>
      <c r="C1725" s="14" t="s">
        <v>3025</v>
      </c>
      <c r="G1725" s="15" t="str">
        <f>IFERROR(__xludf.DUMMYFUNCTION("""COMPUTED_VALUE"""),"PSYC 030 CM-02")</f>
        <v>PSYC 030 CM-02</v>
      </c>
    </row>
    <row r="1726">
      <c r="A1726" s="14" t="s">
        <v>3027</v>
      </c>
      <c r="C1726" s="14" t="s">
        <v>3025</v>
      </c>
      <c r="G1726" s="15" t="str">
        <f>IFERROR(__xludf.DUMMYFUNCTION("""COMPUTED_VALUE"""),"PSYC 030 CM-03")</f>
        <v>PSYC 030 CM-03</v>
      </c>
    </row>
    <row r="1727">
      <c r="A1727" s="14" t="s">
        <v>3028</v>
      </c>
      <c r="C1727" s="14" t="s">
        <v>3025</v>
      </c>
      <c r="G1727" s="15" t="str">
        <f>IFERROR(__xludf.DUMMYFUNCTION("""COMPUTED_VALUE"""),"PSYC 030 CM-04")</f>
        <v>PSYC 030 CM-04</v>
      </c>
    </row>
    <row r="1728">
      <c r="A1728" s="14" t="s">
        <v>3029</v>
      </c>
      <c r="C1728" s="14" t="s">
        <v>3025</v>
      </c>
      <c r="G1728" s="15" t="str">
        <f>IFERROR(__xludf.DUMMYFUNCTION("""COMPUTED_VALUE"""),"PSYC 030 CM-05")</f>
        <v>PSYC 030 CM-05</v>
      </c>
    </row>
    <row r="1729">
      <c r="A1729" s="14" t="s">
        <v>3030</v>
      </c>
      <c r="C1729" s="14" t="s">
        <v>3025</v>
      </c>
      <c r="G1729" s="15" t="str">
        <f>IFERROR(__xludf.DUMMYFUNCTION("""COMPUTED_VALUE"""),"PSYC 030 CM-06")</f>
        <v>PSYC 030 CM-06</v>
      </c>
    </row>
    <row r="1730">
      <c r="A1730" s="14" t="s">
        <v>3031</v>
      </c>
      <c r="C1730" s="14" t="s">
        <v>3032</v>
      </c>
      <c r="G1730" s="15" t="str">
        <f>IFERROR(__xludf.DUMMYFUNCTION("""COMPUTED_VALUE"""),"PSYC 037 CM-01")</f>
        <v>PSYC 037 CM-01</v>
      </c>
    </row>
    <row r="1731">
      <c r="A1731" s="14" t="s">
        <v>3033</v>
      </c>
      <c r="C1731" s="14" t="s">
        <v>3032</v>
      </c>
      <c r="G1731" s="15" t="str">
        <f>IFERROR(__xludf.DUMMYFUNCTION("""COMPUTED_VALUE"""),"PSYC 037 CM-02")</f>
        <v>PSYC 037 CM-02</v>
      </c>
    </row>
    <row r="1732">
      <c r="A1732" s="14" t="s">
        <v>3034</v>
      </c>
      <c r="C1732" s="14" t="s">
        <v>3032</v>
      </c>
      <c r="G1732" s="15" t="str">
        <f>IFERROR(__xludf.DUMMYFUNCTION("""COMPUTED_VALUE"""),"PSYC 037 CM-03")</f>
        <v>PSYC 037 CM-03</v>
      </c>
    </row>
    <row r="1733">
      <c r="A1733" s="14" t="s">
        <v>3035</v>
      </c>
      <c r="C1733" s="14" t="s">
        <v>3036</v>
      </c>
      <c r="G1733" s="15" t="str">
        <f>IFERROR(__xludf.DUMMYFUNCTION("""COMPUTED_VALUE"""),"PSYC 040 CM-01")</f>
        <v>PSYC 040 CM-01</v>
      </c>
    </row>
    <row r="1734">
      <c r="A1734" s="14" t="s">
        <v>3037</v>
      </c>
      <c r="C1734" s="14" t="s">
        <v>3036</v>
      </c>
      <c r="G1734" s="15" t="str">
        <f>IFERROR(__xludf.DUMMYFUNCTION("""COMPUTED_VALUE"""),"PSYC 040 CM-02")</f>
        <v>PSYC 040 CM-02</v>
      </c>
    </row>
    <row r="1735">
      <c r="A1735" s="14" t="s">
        <v>3038</v>
      </c>
      <c r="C1735" s="14" t="s">
        <v>3039</v>
      </c>
      <c r="G1735" s="15" t="str">
        <f>IFERROR(__xludf.DUMMYFUNCTION("""COMPUTED_VALUE"""),"PSYC 051 PO-01")</f>
        <v>PSYC 051 PO-01</v>
      </c>
    </row>
    <row r="1736">
      <c r="A1736" s="14" t="s">
        <v>3040</v>
      </c>
      <c r="C1736" s="14" t="s">
        <v>3039</v>
      </c>
      <c r="G1736" s="15" t="str">
        <f>IFERROR(__xludf.DUMMYFUNCTION("""COMPUTED_VALUE"""),"PSYC 051 PO-02")</f>
        <v>PSYC 051 PO-02</v>
      </c>
    </row>
    <row r="1737">
      <c r="A1737" s="14" t="s">
        <v>3041</v>
      </c>
      <c r="C1737" s="14" t="s">
        <v>3039</v>
      </c>
      <c r="G1737" s="15" t="str">
        <f>IFERROR(__xludf.DUMMYFUNCTION("""COMPUTED_VALUE"""),"PSYC 051 PO-03")</f>
        <v>PSYC 051 PO-03</v>
      </c>
    </row>
    <row r="1738">
      <c r="A1738" s="14" t="s">
        <v>3042</v>
      </c>
      <c r="C1738" s="14" t="s">
        <v>3039</v>
      </c>
      <c r="G1738" s="15" t="str">
        <f>IFERROR(__xludf.DUMMYFUNCTION("""COMPUTED_VALUE"""),"PSYC 051 PO-04")</f>
        <v>PSYC 051 PO-04</v>
      </c>
    </row>
    <row r="1739">
      <c r="A1739" s="14" t="s">
        <v>3043</v>
      </c>
      <c r="C1739" s="14" t="s">
        <v>3044</v>
      </c>
      <c r="G1739" s="15" t="str">
        <f>IFERROR(__xludf.DUMMYFUNCTION("""COMPUTED_VALUE"""),"PSYC 052 SC-01")</f>
        <v>PSYC 052 SC-01</v>
      </c>
    </row>
    <row r="1740">
      <c r="A1740" s="14" t="s">
        <v>3045</v>
      </c>
      <c r="C1740" s="14" t="s">
        <v>3046</v>
      </c>
      <c r="G1740" s="15" t="str">
        <f>IFERROR(__xludf.DUMMYFUNCTION("""COMPUTED_VALUE"""),"PSYC 065 CM-01")</f>
        <v>PSYC 065 CM-01</v>
      </c>
    </row>
    <row r="1741">
      <c r="A1741" s="14" t="s">
        <v>3047</v>
      </c>
      <c r="C1741" s="14" t="s">
        <v>3048</v>
      </c>
      <c r="G1741" s="15" t="str">
        <f>IFERROR(__xludf.DUMMYFUNCTION("""COMPUTED_VALUE"""),"PSYC 070 CM-01")</f>
        <v>PSYC 070 CM-01</v>
      </c>
    </row>
    <row r="1742">
      <c r="A1742" s="14" t="s">
        <v>3049</v>
      </c>
      <c r="C1742" s="14" t="s">
        <v>3050</v>
      </c>
      <c r="G1742" s="15" t="str">
        <f>IFERROR(__xludf.DUMMYFUNCTION("""COMPUTED_VALUE"""),"PSYC 084 CH-01")</f>
        <v>PSYC 084 CH-01</v>
      </c>
    </row>
    <row r="1743">
      <c r="A1743" s="14" t="s">
        <v>3051</v>
      </c>
      <c r="C1743" s="14" t="s">
        <v>3052</v>
      </c>
      <c r="G1743" s="15" t="str">
        <f>IFERROR(__xludf.DUMMYFUNCTION("""COMPUTED_VALUE"""),"PSYC 091 PZ-01")</f>
        <v>PSYC 091 PZ-01</v>
      </c>
    </row>
    <row r="1744">
      <c r="A1744" s="14" t="s">
        <v>3053</v>
      </c>
      <c r="C1744" s="14" t="s">
        <v>3054</v>
      </c>
      <c r="G1744" s="15" t="str">
        <f>IFERROR(__xludf.DUMMYFUNCTION("""COMPUTED_VALUE"""),"PSYC 091P PZ-01")</f>
        <v>PSYC 091P PZ-01</v>
      </c>
    </row>
    <row r="1745">
      <c r="A1745" s="14" t="s">
        <v>3055</v>
      </c>
      <c r="C1745" s="14" t="s">
        <v>3056</v>
      </c>
      <c r="G1745" s="15" t="str">
        <f>IFERROR(__xludf.DUMMYFUNCTION("""COMPUTED_VALUE"""),"PSYC 092 CM-01")</f>
        <v>PSYC 092 CM-01</v>
      </c>
    </row>
    <row r="1746">
      <c r="A1746" s="14" t="s">
        <v>3057</v>
      </c>
      <c r="C1746" s="14" t="s">
        <v>3056</v>
      </c>
      <c r="G1746" s="15" t="str">
        <f>IFERROR(__xludf.DUMMYFUNCTION("""COMPUTED_VALUE"""),"PSYC 092 PZ-01")</f>
        <v>PSYC 092 PZ-01</v>
      </c>
    </row>
    <row r="1747">
      <c r="A1747" s="14" t="s">
        <v>3058</v>
      </c>
      <c r="C1747" s="14" t="s">
        <v>3059</v>
      </c>
      <c r="G1747" s="15" t="str">
        <f>IFERROR(__xludf.DUMMYFUNCTION("""COMPUTED_VALUE"""),"PSYC 092P PZ-01")</f>
        <v>PSYC 092P PZ-01</v>
      </c>
    </row>
    <row r="1748">
      <c r="A1748" s="14" t="s">
        <v>3060</v>
      </c>
      <c r="C1748" s="14" t="s">
        <v>3061</v>
      </c>
      <c r="G1748" s="15" t="str">
        <f>IFERROR(__xludf.DUMMYFUNCTION("""COMPUTED_VALUE"""),"PSYC 096 PZ-01")</f>
        <v>PSYC 096 PZ-01</v>
      </c>
    </row>
    <row r="1749">
      <c r="A1749" s="14" t="s">
        <v>3062</v>
      </c>
      <c r="C1749" s="14" t="s">
        <v>3063</v>
      </c>
      <c r="G1749" s="15" t="str">
        <f>IFERROR(__xludf.DUMMYFUNCTION("""COMPUTED_VALUE"""),"PSYC 097 CM-01")</f>
        <v>PSYC 097 CM-01</v>
      </c>
    </row>
    <row r="1750">
      <c r="A1750" s="14" t="s">
        <v>3064</v>
      </c>
      <c r="C1750" s="14" t="s">
        <v>3063</v>
      </c>
      <c r="G1750" s="15" t="str">
        <f>IFERROR(__xludf.DUMMYFUNCTION("""COMPUTED_VALUE"""),"PSYC 097 CM-02")</f>
        <v>PSYC 097 CM-02</v>
      </c>
    </row>
    <row r="1751">
      <c r="A1751" s="14" t="s">
        <v>3065</v>
      </c>
      <c r="C1751" s="14" t="s">
        <v>3066</v>
      </c>
      <c r="G1751" s="15" t="str">
        <f>IFERROR(__xludf.DUMMYFUNCTION("""COMPUTED_VALUE"""),"PSYC 103 SC-01")</f>
        <v>PSYC 103 SC-01</v>
      </c>
    </row>
    <row r="1752">
      <c r="A1752" s="14" t="s">
        <v>3067</v>
      </c>
      <c r="C1752" s="14" t="s">
        <v>3068</v>
      </c>
      <c r="G1752" s="15" t="str">
        <f>IFERROR(__xludf.DUMMYFUNCTION("""COMPUTED_VALUE"""),"PSYC 105 PZ-01")</f>
        <v>PSYC 105 PZ-01</v>
      </c>
    </row>
    <row r="1753">
      <c r="A1753" s="14" t="s">
        <v>3069</v>
      </c>
      <c r="C1753" s="14" t="s">
        <v>3068</v>
      </c>
      <c r="G1753" s="15" t="str">
        <f>IFERROR(__xludf.DUMMYFUNCTION("""COMPUTED_VALUE"""),"PSYC 105 PZ-02")</f>
        <v>PSYC 105 PZ-02</v>
      </c>
    </row>
    <row r="1754">
      <c r="A1754" s="14" t="s">
        <v>3070</v>
      </c>
      <c r="C1754" s="14" t="s">
        <v>3071</v>
      </c>
      <c r="G1754" s="15" t="str">
        <f>IFERROR(__xludf.DUMMYFUNCTION("""COMPUTED_VALUE"""),"PSYC 108 PO-01")</f>
        <v>PSYC 108 PO-01</v>
      </c>
    </row>
    <row r="1755">
      <c r="A1755" s="14" t="s">
        <v>3072</v>
      </c>
      <c r="C1755" s="14" t="s">
        <v>3073</v>
      </c>
      <c r="G1755" s="15" t="str">
        <f>IFERROR(__xludf.DUMMYFUNCTION("""COMPUTED_VALUE"""),"PSYC 109 CM-01")</f>
        <v>PSYC 109 CM-01</v>
      </c>
    </row>
    <row r="1756">
      <c r="A1756" s="14" t="s">
        <v>3074</v>
      </c>
      <c r="C1756" s="14" t="s">
        <v>3075</v>
      </c>
      <c r="G1756" s="15" t="str">
        <f>IFERROR(__xludf.DUMMYFUNCTION("""COMPUTED_VALUE"""),"PSYC 110 CM-01")</f>
        <v>PSYC 110 CM-01</v>
      </c>
    </row>
    <row r="1757">
      <c r="A1757" s="14" t="s">
        <v>3076</v>
      </c>
      <c r="C1757" s="14" t="s">
        <v>3075</v>
      </c>
      <c r="G1757" s="15" t="str">
        <f>IFERROR(__xludf.DUMMYFUNCTION("""COMPUTED_VALUE"""),"PSYC 110 CM-02")</f>
        <v>PSYC 110 CM-02</v>
      </c>
    </row>
    <row r="1758">
      <c r="A1758" s="14" t="s">
        <v>3077</v>
      </c>
      <c r="C1758" s="14" t="s">
        <v>3078</v>
      </c>
      <c r="G1758" s="15" t="str">
        <f>IFERROR(__xludf.DUMMYFUNCTION("""COMPUTED_VALUE"""),"PSYC 111L CM-01")</f>
        <v>PSYC 111L CM-01</v>
      </c>
    </row>
    <row r="1759">
      <c r="A1759" s="14" t="s">
        <v>3079</v>
      </c>
      <c r="C1759" s="14" t="s">
        <v>3078</v>
      </c>
      <c r="G1759" s="15" t="str">
        <f>IFERROR(__xludf.DUMMYFUNCTION("""COMPUTED_VALUE"""),"PSYC 111L CM-02")</f>
        <v>PSYC 111L CM-02</v>
      </c>
    </row>
    <row r="1760">
      <c r="A1760" s="14" t="s">
        <v>3080</v>
      </c>
      <c r="C1760" s="14" t="s">
        <v>3081</v>
      </c>
      <c r="G1760" s="15" t="str">
        <f>IFERROR(__xludf.DUMMYFUNCTION("""COMPUTED_VALUE"""),"PSYC 113 PZ-01")</f>
        <v>PSYC 113 PZ-01</v>
      </c>
    </row>
    <row r="1761">
      <c r="A1761" s="14" t="s">
        <v>3082</v>
      </c>
      <c r="C1761" s="14" t="s">
        <v>3083</v>
      </c>
      <c r="G1761" s="15" t="str">
        <f>IFERROR(__xludf.DUMMYFUNCTION("""COMPUTED_VALUE"""),"PSYC 117 PZ-01")</f>
        <v>PSYC 117 PZ-01</v>
      </c>
    </row>
    <row r="1762">
      <c r="A1762" s="14" t="s">
        <v>3084</v>
      </c>
      <c r="C1762" s="14" t="s">
        <v>3085</v>
      </c>
      <c r="G1762" s="15" t="str">
        <f>IFERROR(__xludf.DUMMYFUNCTION("""COMPUTED_VALUE"""),"PSYC 120 CM-01")</f>
        <v>PSYC 120 CM-01</v>
      </c>
    </row>
    <row r="1763">
      <c r="A1763" s="14" t="s">
        <v>3086</v>
      </c>
      <c r="C1763" s="14" t="s">
        <v>3087</v>
      </c>
      <c r="G1763" s="15" t="str">
        <f>IFERROR(__xludf.DUMMYFUNCTION("""COMPUTED_VALUE"""),"PSYC 124 SC-01")</f>
        <v>PSYC 124 SC-01</v>
      </c>
    </row>
    <row r="1764">
      <c r="A1764" s="14" t="s">
        <v>3088</v>
      </c>
      <c r="C1764" s="14" t="s">
        <v>3089</v>
      </c>
      <c r="G1764" s="15" t="str">
        <f>IFERROR(__xludf.DUMMYFUNCTION("""COMPUTED_VALUE"""),"PSYC 130 PZ-01")</f>
        <v>PSYC 130 PZ-01</v>
      </c>
    </row>
    <row r="1765">
      <c r="A1765" s="14" t="s">
        <v>3090</v>
      </c>
      <c r="C1765" s="14" t="s">
        <v>3091</v>
      </c>
      <c r="G1765" s="15" t="str">
        <f>IFERROR(__xludf.DUMMYFUNCTION("""COMPUTED_VALUE"""),"PSYC 130P PZ-01")</f>
        <v>PSYC 130P PZ-01</v>
      </c>
    </row>
    <row r="1766">
      <c r="A1766" s="14" t="s">
        <v>3092</v>
      </c>
      <c r="C1766" s="14" t="s">
        <v>3093</v>
      </c>
      <c r="G1766" s="15" t="str">
        <f>IFERROR(__xludf.DUMMYFUNCTION("""COMPUTED_VALUE"""),"PSYC 131 CM-01")</f>
        <v>PSYC 131 CM-01</v>
      </c>
    </row>
    <row r="1767">
      <c r="A1767" s="14" t="s">
        <v>3094</v>
      </c>
      <c r="C1767" s="14" t="s">
        <v>3095</v>
      </c>
      <c r="G1767" s="15" t="str">
        <f>IFERROR(__xludf.DUMMYFUNCTION("""COMPUTED_VALUE"""),"PSYC 132 CM-01")</f>
        <v>PSYC 132 CM-01</v>
      </c>
    </row>
    <row r="1768">
      <c r="A1768" s="14" t="s">
        <v>3096</v>
      </c>
      <c r="C1768" s="14" t="s">
        <v>3097</v>
      </c>
      <c r="G1768" s="15" t="str">
        <f>IFERROR(__xludf.DUMMYFUNCTION("""COMPUTED_VALUE"""),"PSYC 133 SC-01")</f>
        <v>PSYC 133 SC-01</v>
      </c>
    </row>
    <row r="1769">
      <c r="A1769" s="14" t="s">
        <v>3098</v>
      </c>
      <c r="C1769" s="14" t="s">
        <v>3099</v>
      </c>
      <c r="G1769" s="15" t="str">
        <f>IFERROR(__xludf.DUMMYFUNCTION("""COMPUTED_VALUE"""),"PSYC 140 CM-01")</f>
        <v>PSYC 140 CM-01</v>
      </c>
    </row>
    <row r="1770">
      <c r="A1770" s="14" t="s">
        <v>3100</v>
      </c>
      <c r="C1770" s="14" t="s">
        <v>3101</v>
      </c>
      <c r="G1770" s="15" t="str">
        <f>IFERROR(__xludf.DUMMYFUNCTION("""COMPUTED_VALUE"""),"PSYC 141 PO-01")</f>
        <v>PSYC 141 PO-01</v>
      </c>
    </row>
    <row r="1771">
      <c r="A1771" s="14" t="s">
        <v>3102</v>
      </c>
      <c r="C1771" s="14" t="s">
        <v>3103</v>
      </c>
      <c r="G1771" s="15" t="str">
        <f>IFERROR(__xludf.DUMMYFUNCTION("""COMPUTED_VALUE"""),"PSYC 142 CM-01")</f>
        <v>PSYC 142 CM-01</v>
      </c>
    </row>
    <row r="1772">
      <c r="A1772" s="14" t="s">
        <v>3104</v>
      </c>
      <c r="C1772" s="14" t="s">
        <v>3105</v>
      </c>
      <c r="G1772" s="15" t="str">
        <f>IFERROR(__xludf.DUMMYFUNCTION("""COMPUTED_VALUE"""),"PSYC 145 SC-01")</f>
        <v>PSYC 145 SC-01</v>
      </c>
    </row>
    <row r="1773">
      <c r="A1773" s="14" t="s">
        <v>3106</v>
      </c>
      <c r="C1773" s="14" t="s">
        <v>3107</v>
      </c>
      <c r="G1773" s="15" t="str">
        <f>IFERROR(__xludf.DUMMYFUNCTION("""COMPUTED_VALUE"""),"PSYC 148 PZ-01")</f>
        <v>PSYC 148 PZ-01</v>
      </c>
    </row>
    <row r="1774">
      <c r="A1774" s="14" t="s">
        <v>3108</v>
      </c>
      <c r="C1774" s="14" t="s">
        <v>3109</v>
      </c>
      <c r="G1774" s="15" t="str">
        <f>IFERROR(__xludf.DUMMYFUNCTION("""COMPUTED_VALUE"""),"PSYC 150 AF-01")</f>
        <v>PSYC 150 AF-01</v>
      </c>
    </row>
    <row r="1775">
      <c r="A1775" s="14" t="s">
        <v>3110</v>
      </c>
      <c r="C1775" s="14" t="s">
        <v>3111</v>
      </c>
      <c r="G1775" s="15" t="str">
        <f>IFERROR(__xludf.DUMMYFUNCTION("""COMPUTED_VALUE"""),"PSYC 152 PZ-01")</f>
        <v>PSYC 152 PZ-01</v>
      </c>
    </row>
    <row r="1776">
      <c r="A1776" s="14" t="s">
        <v>3112</v>
      </c>
      <c r="C1776" s="14" t="s">
        <v>3113</v>
      </c>
      <c r="G1776" s="15" t="str">
        <f>IFERROR(__xludf.DUMMYFUNCTION("""COMPUTED_VALUE"""),"PSYC 153 AA-01")</f>
        <v>PSYC 153 AA-01</v>
      </c>
    </row>
    <row r="1777">
      <c r="A1777" s="14" t="s">
        <v>3114</v>
      </c>
      <c r="C1777" s="14" t="s">
        <v>3115</v>
      </c>
      <c r="G1777" s="15" t="str">
        <f>IFERROR(__xludf.DUMMYFUNCTION("""COMPUTED_VALUE"""),"PSYC 155 PZ-01")</f>
        <v>PSYC 155 PZ-01</v>
      </c>
    </row>
    <row r="1778">
      <c r="A1778" s="14" t="s">
        <v>3116</v>
      </c>
      <c r="C1778" s="14" t="s">
        <v>3117</v>
      </c>
      <c r="G1778" s="15" t="str">
        <f>IFERROR(__xludf.DUMMYFUNCTION("""COMPUTED_VALUE"""),"PSYC 157 PO-01")</f>
        <v>PSYC 157 PO-01</v>
      </c>
    </row>
    <row r="1779">
      <c r="A1779" s="14" t="s">
        <v>3118</v>
      </c>
      <c r="C1779" s="14" t="s">
        <v>3119</v>
      </c>
      <c r="G1779" s="15" t="str">
        <f>IFERROR(__xludf.DUMMYFUNCTION("""COMPUTED_VALUE"""),"PSYC 159 CM-01")</f>
        <v>PSYC 159 CM-01</v>
      </c>
    </row>
    <row r="1780">
      <c r="A1780" s="14" t="s">
        <v>3120</v>
      </c>
      <c r="C1780" s="14" t="s">
        <v>3121</v>
      </c>
      <c r="G1780" s="15" t="str">
        <f>IFERROR(__xludf.DUMMYFUNCTION("""COMPUTED_VALUE"""),"PSYC 162 PO-01")</f>
        <v>PSYC 162 PO-01</v>
      </c>
    </row>
    <row r="1781">
      <c r="A1781" s="14" t="s">
        <v>3122</v>
      </c>
      <c r="C1781" s="14" t="s">
        <v>3123</v>
      </c>
      <c r="G1781" s="15" t="str">
        <f>IFERROR(__xludf.DUMMYFUNCTION("""COMPUTED_VALUE"""),"PSYC 168 SC-01")</f>
        <v>PSYC 168 SC-01</v>
      </c>
    </row>
    <row r="1782">
      <c r="A1782" s="14" t="s">
        <v>3124</v>
      </c>
      <c r="C1782" s="14" t="s">
        <v>3125</v>
      </c>
      <c r="G1782" s="15" t="str">
        <f>IFERROR(__xludf.DUMMYFUNCTION("""COMPUTED_VALUE"""),"PSYC 168L SC-01")</f>
        <v>PSYC 168L SC-01</v>
      </c>
    </row>
    <row r="1783">
      <c r="A1783" s="14" t="s">
        <v>3126</v>
      </c>
      <c r="C1783" s="14" t="s">
        <v>3127</v>
      </c>
      <c r="G1783" s="15" t="str">
        <f>IFERROR(__xludf.DUMMYFUNCTION("""COMPUTED_VALUE"""),"PSYC 175 CM-01")</f>
        <v>PSYC 175 CM-01</v>
      </c>
    </row>
    <row r="1784">
      <c r="A1784" s="14" t="s">
        <v>3128</v>
      </c>
      <c r="C1784" s="14" t="s">
        <v>3129</v>
      </c>
      <c r="G1784" s="15" t="str">
        <f>IFERROR(__xludf.DUMMYFUNCTION("""COMPUTED_VALUE"""),"PSYC 179T HM-01")</f>
        <v>PSYC 179T HM-01</v>
      </c>
    </row>
    <row r="1785">
      <c r="A1785" s="14" t="s">
        <v>3130</v>
      </c>
      <c r="C1785" s="14" t="s">
        <v>3131</v>
      </c>
      <c r="G1785" s="15" t="str">
        <f>IFERROR(__xludf.DUMMYFUNCTION("""COMPUTED_VALUE"""),"PSYC 180 CM-01")</f>
        <v>PSYC 180 CM-01</v>
      </c>
    </row>
    <row r="1786">
      <c r="A1786" s="14" t="s">
        <v>3132</v>
      </c>
      <c r="C1786" s="14" t="s">
        <v>3131</v>
      </c>
      <c r="G1786" s="15" t="str">
        <f>IFERROR(__xludf.DUMMYFUNCTION("""COMPUTED_VALUE"""),"PSYC 180 PZ-01")</f>
        <v>PSYC 180 PZ-01</v>
      </c>
    </row>
    <row r="1787">
      <c r="A1787" s="14" t="s">
        <v>3133</v>
      </c>
      <c r="C1787" s="14" t="s">
        <v>3134</v>
      </c>
      <c r="G1787" s="15" t="str">
        <f>IFERROR(__xludf.DUMMYFUNCTION("""COMPUTED_VALUE"""),"PSYC 180A PO-01")</f>
        <v>PSYC 180A PO-01</v>
      </c>
    </row>
    <row r="1788">
      <c r="A1788" s="14" t="s">
        <v>3135</v>
      </c>
      <c r="C1788" s="14" t="s">
        <v>3136</v>
      </c>
      <c r="G1788" s="15" t="str">
        <f>IFERROR(__xludf.DUMMYFUNCTION("""COMPUTED_VALUE"""),"PSYC 180C PO-01")</f>
        <v>PSYC 180C PO-01</v>
      </c>
    </row>
    <row r="1789">
      <c r="A1789" s="14" t="s">
        <v>3137</v>
      </c>
      <c r="C1789" s="14" t="s">
        <v>3138</v>
      </c>
      <c r="G1789" s="15" t="str">
        <f>IFERROR(__xludf.DUMMYFUNCTION("""COMPUTED_VALUE"""),"PSYC 180H PO-01")</f>
        <v>PSYC 180H PO-01</v>
      </c>
    </row>
    <row r="1790">
      <c r="A1790" s="14" t="s">
        <v>3139</v>
      </c>
      <c r="C1790" s="14" t="s">
        <v>3140</v>
      </c>
      <c r="G1790" s="15" t="str">
        <f>IFERROR(__xludf.DUMMYFUNCTION("""COMPUTED_VALUE"""),"PSYC 180M PO-01")</f>
        <v>PSYC 180M PO-01</v>
      </c>
    </row>
    <row r="1791">
      <c r="A1791" s="14" t="s">
        <v>3141</v>
      </c>
      <c r="C1791" s="14" t="s">
        <v>3142</v>
      </c>
      <c r="G1791" s="15" t="str">
        <f>IFERROR(__xludf.DUMMYFUNCTION("""COMPUTED_VALUE"""),"PSYC 180P PZ-01")</f>
        <v>PSYC 180P PZ-01</v>
      </c>
    </row>
    <row r="1792">
      <c r="A1792" s="14" t="s">
        <v>3143</v>
      </c>
      <c r="C1792" s="14" t="s">
        <v>3144</v>
      </c>
      <c r="G1792" s="15" t="str">
        <f>IFERROR(__xludf.DUMMYFUNCTION("""COMPUTED_VALUE"""),"PSYC 189 PZ-01")</f>
        <v>PSYC 189 PZ-01</v>
      </c>
    </row>
    <row r="1793">
      <c r="A1793" s="14" t="s">
        <v>3145</v>
      </c>
      <c r="C1793" s="14" t="s">
        <v>3146</v>
      </c>
      <c r="G1793" s="15" t="str">
        <f>IFERROR(__xludf.DUMMYFUNCTION("""COMPUTED_VALUE"""),"PSYC 189A PO-01")</f>
        <v>PSYC 189A PO-01</v>
      </c>
    </row>
    <row r="1794">
      <c r="A1794" s="14" t="s">
        <v>3147</v>
      </c>
      <c r="C1794" s="14" t="s">
        <v>3148</v>
      </c>
      <c r="G1794" s="15" t="str">
        <f>IFERROR(__xludf.DUMMYFUNCTION("""COMPUTED_VALUE"""),"PSYC 189L PO-01")</f>
        <v>PSYC 189L PO-01</v>
      </c>
    </row>
    <row r="1795">
      <c r="A1795" s="14" t="s">
        <v>3149</v>
      </c>
      <c r="C1795" s="14" t="s">
        <v>3150</v>
      </c>
      <c r="G1795" s="15" t="str">
        <f>IFERROR(__xludf.DUMMYFUNCTION("""COMPUTED_VALUE"""),"PSYC 189M PO-01")</f>
        <v>PSYC 189M PO-01</v>
      </c>
    </row>
    <row r="1796">
      <c r="A1796" s="14" t="s">
        <v>3151</v>
      </c>
      <c r="C1796" s="14" t="s">
        <v>3152</v>
      </c>
      <c r="G1796" s="15" t="str">
        <f>IFERROR(__xludf.DUMMYFUNCTION("""COMPUTED_VALUE"""),"PSYC 190R PO-04")</f>
        <v>PSYC 190R PO-04</v>
      </c>
    </row>
    <row r="1797">
      <c r="A1797" s="14" t="s">
        <v>3153</v>
      </c>
      <c r="C1797" s="14" t="s">
        <v>3152</v>
      </c>
      <c r="G1797" s="15" t="str">
        <f>IFERROR(__xludf.DUMMYFUNCTION("""COMPUTED_VALUE"""),"PSYC 190R PO-08")</f>
        <v>PSYC 190R PO-08</v>
      </c>
    </row>
    <row r="1798">
      <c r="A1798" s="14" t="s">
        <v>3154</v>
      </c>
      <c r="C1798" s="14" t="s">
        <v>3152</v>
      </c>
      <c r="G1798" s="15" t="str">
        <f>IFERROR(__xludf.DUMMYFUNCTION("""COMPUTED_VALUE"""),"PSYC 190R PO-12")</f>
        <v>PSYC 190R PO-12</v>
      </c>
    </row>
    <row r="1799">
      <c r="A1799" s="14" t="s">
        <v>3155</v>
      </c>
      <c r="C1799" s="14" t="s">
        <v>3152</v>
      </c>
      <c r="G1799" s="15" t="str">
        <f>IFERROR(__xludf.DUMMYFUNCTION("""COMPUTED_VALUE"""),"PSYC 190R PO-16")</f>
        <v>PSYC 190R PO-16</v>
      </c>
    </row>
    <row r="1800">
      <c r="A1800" s="14" t="s">
        <v>3156</v>
      </c>
      <c r="C1800" s="14" t="s">
        <v>3152</v>
      </c>
      <c r="G1800" s="15" t="str">
        <f>IFERROR(__xludf.DUMMYFUNCTION("""COMPUTED_VALUE"""),"PSYC 190R PO-20")</f>
        <v>PSYC 190R PO-20</v>
      </c>
    </row>
    <row r="1801">
      <c r="A1801" s="14" t="s">
        <v>3157</v>
      </c>
      <c r="C1801" s="14" t="s">
        <v>3152</v>
      </c>
      <c r="G1801" s="15" t="str">
        <f>IFERROR(__xludf.DUMMYFUNCTION("""COMPUTED_VALUE"""),"PSYC 190R PO-24")</f>
        <v>PSYC 190R PO-24</v>
      </c>
    </row>
    <row r="1802">
      <c r="A1802" s="14" t="s">
        <v>3158</v>
      </c>
      <c r="C1802" s="14" t="s">
        <v>3152</v>
      </c>
      <c r="G1802" s="15" t="str">
        <f>IFERROR(__xludf.DUMMYFUNCTION("""COMPUTED_VALUE"""),"PSYC 190R PO-28")</f>
        <v>PSYC 190R PO-28</v>
      </c>
    </row>
    <row r="1803">
      <c r="A1803" s="14" t="s">
        <v>3159</v>
      </c>
      <c r="C1803" s="14" t="s">
        <v>3152</v>
      </c>
      <c r="G1803" s="15" t="str">
        <f>IFERROR(__xludf.DUMMYFUNCTION("""COMPUTED_VALUE"""),"PSYC 190R PO-32")</f>
        <v>PSYC 190R PO-32</v>
      </c>
    </row>
    <row r="1804">
      <c r="A1804" s="14" t="s">
        <v>3160</v>
      </c>
      <c r="C1804" s="14" t="s">
        <v>3152</v>
      </c>
      <c r="G1804" s="15" t="str">
        <f>IFERROR(__xludf.DUMMYFUNCTION("""COMPUTED_VALUE"""),"PSYC 190R PO-36")</f>
        <v>PSYC 190R PO-36</v>
      </c>
    </row>
    <row r="1805">
      <c r="A1805" s="14" t="s">
        <v>3161</v>
      </c>
      <c r="C1805" s="14" t="s">
        <v>3152</v>
      </c>
      <c r="G1805" s="15" t="str">
        <f>IFERROR(__xludf.DUMMYFUNCTION("""COMPUTED_VALUE"""),"PSYC 190R PO-40")</f>
        <v>PSYC 190R PO-40</v>
      </c>
    </row>
    <row r="1806">
      <c r="A1806" s="14" t="s">
        <v>3162</v>
      </c>
      <c r="C1806" s="14" t="s">
        <v>3163</v>
      </c>
      <c r="G1806" s="15" t="str">
        <f>IFERROR(__xludf.DUMMYFUNCTION("""COMPUTED_VALUE"""),"PSYC 191 PO-01")</f>
        <v>PSYC 191 PO-01</v>
      </c>
    </row>
    <row r="1807">
      <c r="A1807" s="14" t="s">
        <v>3164</v>
      </c>
      <c r="C1807" s="14" t="s">
        <v>3163</v>
      </c>
      <c r="G1807" s="15" t="str">
        <f>IFERROR(__xludf.DUMMYFUNCTION("""COMPUTED_VALUE"""),"PSYC 191 PZ-01")</f>
        <v>PSYC 191 PZ-01</v>
      </c>
    </row>
    <row r="1808">
      <c r="A1808" s="14" t="s">
        <v>3165</v>
      </c>
      <c r="C1808" s="14" t="s">
        <v>3166</v>
      </c>
      <c r="G1808" s="15" t="str">
        <f>IFERROR(__xludf.DUMMYFUNCTION("""COMPUTED_VALUE"""),"PSYC 193 PZ-01")</f>
        <v>PSYC 193 PZ-01</v>
      </c>
    </row>
    <row r="1809">
      <c r="A1809" s="14" t="s">
        <v>3167</v>
      </c>
      <c r="C1809" s="14" t="s">
        <v>3168</v>
      </c>
      <c r="G1809" s="15" t="str">
        <f>IFERROR(__xludf.DUMMYFUNCTION("""COMPUTED_VALUE"""),"PSYC 197A CM-01")</f>
        <v>PSYC 197A CM-01</v>
      </c>
    </row>
    <row r="1810">
      <c r="A1810" s="14" t="s">
        <v>3169</v>
      </c>
      <c r="C1810" s="14" t="s">
        <v>3168</v>
      </c>
      <c r="G1810" s="15" t="str">
        <f>IFERROR(__xludf.DUMMYFUNCTION("""COMPUTED_VALUE"""),"PSYC 197A CM-02")</f>
        <v>PSYC 197A CM-02</v>
      </c>
    </row>
    <row r="1811">
      <c r="A1811" s="14" t="s">
        <v>3170</v>
      </c>
      <c r="C1811" s="14" t="s">
        <v>3168</v>
      </c>
      <c r="G1811" s="15" t="str">
        <f>IFERROR(__xludf.DUMMYFUNCTION("""COMPUTED_VALUE"""),"PSYC 197A CM-03")</f>
        <v>PSYC 197A CM-03</v>
      </c>
    </row>
    <row r="1812">
      <c r="A1812" s="14" t="s">
        <v>3171</v>
      </c>
      <c r="C1812" s="14" t="s">
        <v>3168</v>
      </c>
      <c r="G1812" s="15" t="str">
        <f>IFERROR(__xludf.DUMMYFUNCTION("""COMPUTED_VALUE"""),"PSYC 197A CM-04")</f>
        <v>PSYC 197A CM-04</v>
      </c>
    </row>
    <row r="1813">
      <c r="A1813" s="14" t="s">
        <v>3172</v>
      </c>
      <c r="C1813" s="14" t="s">
        <v>3168</v>
      </c>
      <c r="G1813" s="15" t="str">
        <f>IFERROR(__xludf.DUMMYFUNCTION("""COMPUTED_VALUE"""),"PSYC 197A CM-05")</f>
        <v>PSYC 197A CM-05</v>
      </c>
    </row>
    <row r="1814">
      <c r="A1814" s="14" t="s">
        <v>3173</v>
      </c>
      <c r="C1814" s="14" t="s">
        <v>3168</v>
      </c>
      <c r="G1814" s="15" t="str">
        <f>IFERROR(__xludf.DUMMYFUNCTION("""COMPUTED_VALUE"""),"PSYC 197A CM-06")</f>
        <v>PSYC 197A CM-06</v>
      </c>
    </row>
    <row r="1815">
      <c r="A1815" s="14" t="s">
        <v>3174</v>
      </c>
      <c r="C1815" s="14" t="s">
        <v>3168</v>
      </c>
      <c r="G1815" s="15" t="str">
        <f>IFERROR(__xludf.DUMMYFUNCTION("""COMPUTED_VALUE"""),"PSYC 197A CM-07")</f>
        <v>PSYC 197A CM-07</v>
      </c>
    </row>
    <row r="1816">
      <c r="A1816" s="14" t="s">
        <v>3175</v>
      </c>
      <c r="C1816" s="14" t="s">
        <v>3168</v>
      </c>
      <c r="G1816" s="15" t="str">
        <f>IFERROR(__xludf.DUMMYFUNCTION("""COMPUTED_VALUE"""),"PSYC 197A CM-08")</f>
        <v>PSYC 197A CM-08</v>
      </c>
    </row>
    <row r="1817">
      <c r="A1817" s="14" t="s">
        <v>3176</v>
      </c>
      <c r="C1817" s="14" t="s">
        <v>3168</v>
      </c>
      <c r="G1817" s="15" t="str">
        <f>IFERROR(__xludf.DUMMYFUNCTION("""COMPUTED_VALUE"""),"PSYC 197A CM-09")</f>
        <v>PSYC 197A CM-09</v>
      </c>
    </row>
    <row r="1818">
      <c r="A1818" s="14" t="s">
        <v>3177</v>
      </c>
      <c r="C1818" s="14" t="s">
        <v>3168</v>
      </c>
      <c r="G1818" s="15" t="str">
        <f>IFERROR(__xludf.DUMMYFUNCTION("""COMPUTED_VALUE"""),"PSYC 197A CM-10")</f>
        <v>PSYC 197A CM-10</v>
      </c>
    </row>
    <row r="1819">
      <c r="A1819" s="14" t="s">
        <v>3178</v>
      </c>
      <c r="C1819" s="14" t="s">
        <v>3168</v>
      </c>
      <c r="G1819" s="15" t="str">
        <f>IFERROR(__xludf.DUMMYFUNCTION("""COMPUTED_VALUE"""),"PSYC 197A CM-11")</f>
        <v>PSYC 197A CM-11</v>
      </c>
    </row>
    <row r="1820">
      <c r="A1820" s="14" t="s">
        <v>3179</v>
      </c>
      <c r="C1820" s="14" t="s">
        <v>3168</v>
      </c>
      <c r="G1820" s="15" t="str">
        <f>IFERROR(__xludf.DUMMYFUNCTION("""COMPUTED_VALUE"""),"PSYC 197A CM-12")</f>
        <v>PSYC 197A CM-12</v>
      </c>
    </row>
    <row r="1821">
      <c r="A1821" s="14" t="s">
        <v>3180</v>
      </c>
      <c r="C1821" s="14" t="s">
        <v>3168</v>
      </c>
      <c r="G1821" s="15" t="str">
        <f>IFERROR(__xludf.DUMMYFUNCTION("""COMPUTED_VALUE"""),"PSYC 197A CM-13")</f>
        <v>PSYC 197A CM-13</v>
      </c>
    </row>
    <row r="1822">
      <c r="A1822" s="14" t="s">
        <v>3181</v>
      </c>
      <c r="C1822" s="14" t="s">
        <v>3168</v>
      </c>
      <c r="G1822" s="15" t="str">
        <f>IFERROR(__xludf.DUMMYFUNCTION("""COMPUTED_VALUE"""),"PSYC 197A CM-14")</f>
        <v>PSYC 197A CM-14</v>
      </c>
    </row>
    <row r="1823">
      <c r="A1823" s="14" t="s">
        <v>3182</v>
      </c>
      <c r="C1823" s="14" t="s">
        <v>3168</v>
      </c>
      <c r="G1823" s="15" t="str">
        <f>IFERROR(__xludf.DUMMYFUNCTION("""COMPUTED_VALUE"""),"PSYC 197A CM-15")</f>
        <v>PSYC 197A CM-15</v>
      </c>
    </row>
    <row r="1824">
      <c r="A1824" s="14" t="s">
        <v>3183</v>
      </c>
      <c r="C1824" s="14" t="s">
        <v>3168</v>
      </c>
      <c r="G1824" s="15" t="str">
        <f>IFERROR(__xludf.DUMMYFUNCTION("""COMPUTED_VALUE"""),"PSYC 197A CM-16")</f>
        <v>PSYC 197A CM-16</v>
      </c>
    </row>
    <row r="1825">
      <c r="A1825" s="14" t="s">
        <v>3184</v>
      </c>
      <c r="C1825" s="14" t="s">
        <v>3185</v>
      </c>
      <c r="G1825" s="15" t="str">
        <f>IFERROR(__xludf.DUMMYFUNCTION("""COMPUTED_VALUE"""),"PSYC 197B CM-01")</f>
        <v>PSYC 197B CM-01</v>
      </c>
    </row>
    <row r="1826">
      <c r="A1826" s="14" t="s">
        <v>3186</v>
      </c>
      <c r="C1826" s="14" t="s">
        <v>3185</v>
      </c>
      <c r="G1826" s="15" t="str">
        <f>IFERROR(__xludf.DUMMYFUNCTION("""COMPUTED_VALUE"""),"PSYC 197B CM-02")</f>
        <v>PSYC 197B CM-02</v>
      </c>
    </row>
    <row r="1827">
      <c r="A1827" s="14" t="s">
        <v>3187</v>
      </c>
      <c r="C1827" s="14" t="s">
        <v>3185</v>
      </c>
      <c r="G1827" s="15" t="str">
        <f>IFERROR(__xludf.DUMMYFUNCTION("""COMPUTED_VALUE"""),"PSYC 197B CM-03")</f>
        <v>PSYC 197B CM-03</v>
      </c>
    </row>
    <row r="1828">
      <c r="A1828" s="14" t="s">
        <v>3188</v>
      </c>
      <c r="C1828" s="14" t="s">
        <v>3185</v>
      </c>
      <c r="G1828" s="15" t="str">
        <f>IFERROR(__xludf.DUMMYFUNCTION("""COMPUTED_VALUE"""),"PSYC 197B CM-04")</f>
        <v>PSYC 197B CM-04</v>
      </c>
    </row>
    <row r="1829">
      <c r="A1829" s="14" t="s">
        <v>3189</v>
      </c>
      <c r="C1829" s="14" t="s">
        <v>3185</v>
      </c>
      <c r="G1829" s="15" t="str">
        <f>IFERROR(__xludf.DUMMYFUNCTION("""COMPUTED_VALUE"""),"PSYC 197B CM-05")</f>
        <v>PSYC 197B CM-05</v>
      </c>
    </row>
    <row r="1830">
      <c r="A1830" s="14" t="s">
        <v>3190</v>
      </c>
      <c r="C1830" s="14" t="s">
        <v>3185</v>
      </c>
      <c r="G1830" s="15" t="str">
        <f>IFERROR(__xludf.DUMMYFUNCTION("""COMPUTED_VALUE"""),"PSYC 197B CM-06")</f>
        <v>PSYC 197B CM-06</v>
      </c>
    </row>
    <row r="1831">
      <c r="A1831" s="14" t="s">
        <v>3191</v>
      </c>
      <c r="C1831" s="14" t="s">
        <v>3185</v>
      </c>
      <c r="G1831" s="15" t="str">
        <f>IFERROR(__xludf.DUMMYFUNCTION("""COMPUTED_VALUE"""),"PSYC 197B CM-07")</f>
        <v>PSYC 197B CM-07</v>
      </c>
    </row>
    <row r="1832">
      <c r="A1832" s="14" t="s">
        <v>3192</v>
      </c>
      <c r="C1832" s="14" t="s">
        <v>3185</v>
      </c>
      <c r="G1832" s="15" t="str">
        <f>IFERROR(__xludf.DUMMYFUNCTION("""COMPUTED_VALUE"""),"PSYC 197B CM-08")</f>
        <v>PSYC 197B CM-08</v>
      </c>
    </row>
    <row r="1833">
      <c r="A1833" s="14" t="s">
        <v>3193</v>
      </c>
      <c r="C1833" s="14" t="s">
        <v>3185</v>
      </c>
      <c r="G1833" s="15" t="str">
        <f>IFERROR(__xludf.DUMMYFUNCTION("""COMPUTED_VALUE"""),"PSYC 197B CM-09")</f>
        <v>PSYC 197B CM-09</v>
      </c>
    </row>
    <row r="1834">
      <c r="A1834" s="14" t="s">
        <v>3194</v>
      </c>
      <c r="C1834" s="14" t="s">
        <v>3185</v>
      </c>
      <c r="G1834" s="15" t="str">
        <f>IFERROR(__xludf.DUMMYFUNCTION("""COMPUTED_VALUE"""),"PSYC 197B CM-10")</f>
        <v>PSYC 197B CM-10</v>
      </c>
    </row>
    <row r="1835">
      <c r="A1835" s="14" t="s">
        <v>3195</v>
      </c>
      <c r="C1835" s="14" t="s">
        <v>3185</v>
      </c>
      <c r="G1835" s="15" t="str">
        <f>IFERROR(__xludf.DUMMYFUNCTION("""COMPUTED_VALUE"""),"PSYC 197B CM-11")</f>
        <v>PSYC 197B CM-11</v>
      </c>
    </row>
    <row r="1836">
      <c r="A1836" s="14" t="s">
        <v>3196</v>
      </c>
      <c r="C1836" s="14" t="s">
        <v>3185</v>
      </c>
      <c r="G1836" s="15" t="str">
        <f>IFERROR(__xludf.DUMMYFUNCTION("""COMPUTED_VALUE"""),"PSYC 197B CM-12")</f>
        <v>PSYC 197B CM-12</v>
      </c>
    </row>
    <row r="1837">
      <c r="A1837" s="14" t="s">
        <v>3197</v>
      </c>
      <c r="C1837" s="14" t="s">
        <v>3185</v>
      </c>
      <c r="G1837" s="15" t="str">
        <f>IFERROR(__xludf.DUMMYFUNCTION("""COMPUTED_VALUE"""),"PSYC 197B CM-13")</f>
        <v>PSYC 197B CM-13</v>
      </c>
    </row>
    <row r="1838">
      <c r="A1838" s="14" t="s">
        <v>3198</v>
      </c>
      <c r="C1838" s="14" t="s">
        <v>3185</v>
      </c>
      <c r="G1838" s="15" t="str">
        <f>IFERROR(__xludf.DUMMYFUNCTION("""COMPUTED_VALUE"""),"PSYC 197B CM-14")</f>
        <v>PSYC 197B CM-14</v>
      </c>
    </row>
    <row r="1839">
      <c r="A1839" s="14" t="s">
        <v>3199</v>
      </c>
      <c r="C1839" s="14" t="s">
        <v>3185</v>
      </c>
      <c r="G1839" s="15" t="str">
        <f>IFERROR(__xludf.DUMMYFUNCTION("""COMPUTED_VALUE"""),"PSYC 197B CM-15")</f>
        <v>PSYC 197B CM-15</v>
      </c>
    </row>
    <row r="1840">
      <c r="A1840" s="14" t="s">
        <v>3200</v>
      </c>
      <c r="C1840" s="14" t="s">
        <v>3185</v>
      </c>
      <c r="G1840" s="15" t="str">
        <f>IFERROR(__xludf.DUMMYFUNCTION("""COMPUTED_VALUE"""),"PSYC 197B CM-16")</f>
        <v>PSYC 197B CM-16</v>
      </c>
    </row>
    <row r="1841">
      <c r="A1841" s="14" t="s">
        <v>3201</v>
      </c>
      <c r="C1841" s="14" t="s">
        <v>3202</v>
      </c>
      <c r="G1841" s="15" t="str">
        <f>IFERROR(__xludf.DUMMYFUNCTION("""COMPUTED_VALUE"""),"RLIT 191 PO-04")</f>
        <v>RLIT 191 PO-04</v>
      </c>
    </row>
    <row r="1842">
      <c r="A1842" s="14" t="s">
        <v>3203</v>
      </c>
      <c r="C1842" s="14" t="s">
        <v>3204</v>
      </c>
      <c r="G1842" s="15" t="str">
        <f>IFERROR(__xludf.DUMMYFUNCTION("""COMPUTED_VALUE"""),"RLST 002 PO-01")</f>
        <v>RLST 002 PO-01</v>
      </c>
    </row>
    <row r="1843">
      <c r="A1843" s="14" t="s">
        <v>3205</v>
      </c>
      <c r="C1843" s="14" t="s">
        <v>3206</v>
      </c>
      <c r="G1843" s="15" t="str">
        <f>IFERROR(__xludf.DUMMYFUNCTION("""COMPUTED_VALUE"""),"RLST 020 PO-01")</f>
        <v>RLST 020 PO-01</v>
      </c>
    </row>
    <row r="1844">
      <c r="A1844" s="14" t="s">
        <v>3207</v>
      </c>
      <c r="C1844" s="14" t="s">
        <v>3208</v>
      </c>
      <c r="G1844" s="15" t="str">
        <f>IFERROR(__xludf.DUMMYFUNCTION("""COMPUTED_VALUE"""),"RLST 025 PO-01")</f>
        <v>RLST 025 PO-01</v>
      </c>
    </row>
    <row r="1845">
      <c r="A1845" s="14" t="s">
        <v>3209</v>
      </c>
      <c r="C1845" s="14" t="s">
        <v>3210</v>
      </c>
      <c r="G1845" s="15" t="str">
        <f>IFERROR(__xludf.DUMMYFUNCTION("""COMPUTED_VALUE"""),"RLST 045 CM-01")</f>
        <v>RLST 045 CM-01</v>
      </c>
    </row>
    <row r="1846">
      <c r="A1846" s="14" t="s">
        <v>3211</v>
      </c>
      <c r="C1846" s="14" t="s">
        <v>3212</v>
      </c>
      <c r="G1846" s="15" t="str">
        <f>IFERROR(__xludf.DUMMYFUNCTION("""COMPUTED_VALUE"""),"RLST 055 CM-01")</f>
        <v>RLST 055 CM-01</v>
      </c>
    </row>
    <row r="1847">
      <c r="A1847" s="14" t="s">
        <v>3213</v>
      </c>
      <c r="C1847" s="14" t="s">
        <v>3214</v>
      </c>
      <c r="G1847" s="15" t="str">
        <f>IFERROR(__xludf.DUMMYFUNCTION("""COMPUTED_VALUE"""),"RLST 058 CM-01")</f>
        <v>RLST 058 CM-01</v>
      </c>
    </row>
    <row r="1848">
      <c r="A1848" s="14" t="s">
        <v>3215</v>
      </c>
      <c r="C1848" s="14" t="s">
        <v>3216</v>
      </c>
      <c r="G1848" s="15" t="str">
        <f>IFERROR(__xludf.DUMMYFUNCTION("""COMPUTED_VALUE"""),"RLST 084 CM-01")</f>
        <v>RLST 084 CM-01</v>
      </c>
    </row>
    <row r="1849">
      <c r="A1849" s="14" t="s">
        <v>3217</v>
      </c>
      <c r="C1849" s="14" t="s">
        <v>3218</v>
      </c>
      <c r="G1849" s="15" t="str">
        <f>IFERROR(__xludf.DUMMYFUNCTION("""COMPUTED_VALUE"""),"RLST 086 SC-01")</f>
        <v>RLST 086 SC-01</v>
      </c>
    </row>
    <row r="1850">
      <c r="A1850" s="14" t="s">
        <v>3219</v>
      </c>
      <c r="C1850" s="14" t="s">
        <v>3220</v>
      </c>
      <c r="G1850" s="15" t="str">
        <f>IFERROR(__xludf.DUMMYFUNCTION("""COMPUTED_VALUE"""),"RLST 095 SC-01")</f>
        <v>RLST 095 SC-01</v>
      </c>
    </row>
    <row r="1851">
      <c r="A1851" s="14" t="s">
        <v>3221</v>
      </c>
      <c r="C1851" s="14" t="s">
        <v>3222</v>
      </c>
      <c r="G1851" s="15" t="str">
        <f>IFERROR(__xludf.DUMMYFUNCTION("""COMPUTED_VALUE"""),"RLST 100 PO-01")</f>
        <v>RLST 100 PO-01</v>
      </c>
    </row>
    <row r="1852">
      <c r="A1852" s="14" t="s">
        <v>3223</v>
      </c>
      <c r="C1852" s="14" t="s">
        <v>3224</v>
      </c>
      <c r="G1852" s="15" t="str">
        <f>IFERROR(__xludf.DUMMYFUNCTION("""COMPUTED_VALUE"""),"RLST 102 CM-01")</f>
        <v>RLST 102 CM-01</v>
      </c>
    </row>
    <row r="1853">
      <c r="A1853" s="14" t="s">
        <v>3225</v>
      </c>
      <c r="C1853" s="14" t="s">
        <v>3224</v>
      </c>
      <c r="G1853" s="15" t="str">
        <f>IFERROR(__xludf.DUMMYFUNCTION("""COMPUTED_VALUE"""),"RLST 102 CM-02")</f>
        <v>RLST 102 CM-02</v>
      </c>
    </row>
    <row r="1854">
      <c r="A1854" s="14" t="s">
        <v>3226</v>
      </c>
      <c r="C1854" s="14" t="s">
        <v>3227</v>
      </c>
      <c r="G1854" s="15" t="str">
        <f>IFERROR(__xludf.DUMMYFUNCTION("""COMPUTED_VALUE"""),"RLST 110 PO-01")</f>
        <v>RLST 110 PO-01</v>
      </c>
    </row>
    <row r="1855">
      <c r="A1855" s="14" t="s">
        <v>28</v>
      </c>
      <c r="C1855" s="14" t="s">
        <v>3228</v>
      </c>
      <c r="G1855" s="15" t="str">
        <f>IFERROR(__xludf.DUMMYFUNCTION("""COMPUTED_VALUE"""),"RLST 113 HM-01")</f>
        <v>RLST 113 HM-01</v>
      </c>
    </row>
    <row r="1856">
      <c r="A1856" s="14" t="s">
        <v>3229</v>
      </c>
      <c r="C1856" s="14" t="s">
        <v>3230</v>
      </c>
      <c r="G1856" s="15" t="str">
        <f>IFERROR(__xludf.DUMMYFUNCTION("""COMPUTED_VALUE"""),"RLST 137 CM-01")</f>
        <v>RLST 137 CM-01</v>
      </c>
    </row>
    <row r="1857">
      <c r="A1857" s="14" t="s">
        <v>3231</v>
      </c>
      <c r="C1857" s="14" t="s">
        <v>3232</v>
      </c>
      <c r="G1857" s="15" t="str">
        <f>IFERROR(__xludf.DUMMYFUNCTION("""COMPUTED_VALUE"""),"RLST 139 PO-01")</f>
        <v>RLST 139 PO-01</v>
      </c>
    </row>
    <row r="1858">
      <c r="A1858" s="14" t="s">
        <v>3233</v>
      </c>
      <c r="C1858" s="14" t="s">
        <v>3234</v>
      </c>
      <c r="G1858" s="15" t="str">
        <f>IFERROR(__xludf.DUMMYFUNCTION("""COMPUTED_VALUE"""),"RLST 142 AF-01")</f>
        <v>RLST 142 AF-01</v>
      </c>
    </row>
    <row r="1859">
      <c r="A1859" s="14" t="s">
        <v>32</v>
      </c>
      <c r="C1859" s="14" t="s">
        <v>3235</v>
      </c>
      <c r="G1859" s="15" t="str">
        <f>IFERROR(__xludf.DUMMYFUNCTION("""COMPUTED_VALUE"""),"RLST 150 AF-01")</f>
        <v>RLST 150 AF-01</v>
      </c>
    </row>
    <row r="1860">
      <c r="A1860" s="14" t="s">
        <v>3236</v>
      </c>
      <c r="C1860" s="14" t="s">
        <v>3237</v>
      </c>
      <c r="G1860" s="15" t="str">
        <f>IFERROR(__xludf.DUMMYFUNCTION("""COMPUTED_VALUE"""),"RLST 151 CM-01")</f>
        <v>RLST 151 CM-01</v>
      </c>
    </row>
    <row r="1861">
      <c r="A1861" s="14" t="s">
        <v>3238</v>
      </c>
      <c r="C1861" s="14" t="s">
        <v>3239</v>
      </c>
      <c r="G1861" s="15" t="str">
        <f>IFERROR(__xludf.DUMMYFUNCTION("""COMPUTED_VALUE"""),"RLST 164 PO-01")</f>
        <v>RLST 164 PO-01</v>
      </c>
    </row>
    <row r="1862">
      <c r="A1862" s="14" t="s">
        <v>3240</v>
      </c>
      <c r="C1862" s="14" t="s">
        <v>3241</v>
      </c>
      <c r="G1862" s="15" t="str">
        <f>IFERROR(__xludf.DUMMYFUNCTION("""COMPUTED_VALUE"""),"RLST 169 CM-01")</f>
        <v>RLST 169 CM-01</v>
      </c>
    </row>
    <row r="1863">
      <c r="A1863" s="14" t="s">
        <v>3242</v>
      </c>
      <c r="C1863" s="14" t="s">
        <v>3243</v>
      </c>
      <c r="G1863" s="15" t="str">
        <f>IFERROR(__xludf.DUMMYFUNCTION("""COMPUTED_VALUE"""),"RLST 176 CM-01")</f>
        <v>RLST 176 CM-01</v>
      </c>
    </row>
    <row r="1864">
      <c r="A1864" s="14" t="s">
        <v>3244</v>
      </c>
      <c r="C1864" s="14" t="s">
        <v>3245</v>
      </c>
      <c r="G1864" s="15" t="str">
        <f>IFERROR(__xludf.DUMMYFUNCTION("""COMPUTED_VALUE"""),"RLST 180 HM-01")</f>
        <v>RLST 180 HM-01</v>
      </c>
    </row>
    <row r="1865">
      <c r="A1865" s="14" t="s">
        <v>3246</v>
      </c>
      <c r="C1865" s="14" t="s">
        <v>3247</v>
      </c>
      <c r="G1865" s="15" t="str">
        <f>IFERROR(__xludf.DUMMYFUNCTION("""COMPUTED_VALUE"""),"RLST 191 PO-04")</f>
        <v>RLST 191 PO-04</v>
      </c>
    </row>
    <row r="1866">
      <c r="A1866" s="14" t="s">
        <v>3248</v>
      </c>
      <c r="C1866" s="14" t="s">
        <v>3247</v>
      </c>
      <c r="G1866" s="15" t="str">
        <f>IFERROR(__xludf.DUMMYFUNCTION("""COMPUTED_VALUE"""),"RLST 191 SC-01")</f>
        <v>RLST 191 SC-01</v>
      </c>
    </row>
    <row r="1867">
      <c r="A1867" s="14" t="s">
        <v>3249</v>
      </c>
      <c r="C1867" s="14" t="s">
        <v>3250</v>
      </c>
      <c r="G1867" s="15" t="str">
        <f>IFERROR(__xludf.DUMMYFUNCTION("""COMPUTED_VALUE"""),"RUSS 002 PO-01")</f>
        <v>RUSS 002 PO-01</v>
      </c>
    </row>
    <row r="1868">
      <c r="A1868" s="14" t="s">
        <v>3251</v>
      </c>
      <c r="C1868" s="14" t="s">
        <v>3252</v>
      </c>
      <c r="G1868" s="15" t="str">
        <f>IFERROR(__xludf.DUMMYFUNCTION("""COMPUTED_VALUE"""),"RUSS 011 PO-01")</f>
        <v>RUSS 011 PO-01</v>
      </c>
    </row>
    <row r="1869">
      <c r="A1869" s="14" t="s">
        <v>3253</v>
      </c>
      <c r="C1869" s="14" t="s">
        <v>3254</v>
      </c>
      <c r="G1869" s="15" t="str">
        <f>IFERROR(__xludf.DUMMYFUNCTION("""COMPUTED_VALUE"""),"RUSS 013 PO-01")</f>
        <v>RUSS 013 PO-01</v>
      </c>
    </row>
    <row r="1870">
      <c r="A1870" s="14" t="s">
        <v>3255</v>
      </c>
      <c r="C1870" s="14" t="s">
        <v>3256</v>
      </c>
      <c r="G1870" s="15" t="str">
        <f>IFERROR(__xludf.DUMMYFUNCTION("""COMPUTED_VALUE"""),"RUSS 180 PO-01")</f>
        <v>RUSS 180 PO-01</v>
      </c>
    </row>
    <row r="1871">
      <c r="A1871" s="14" t="s">
        <v>3257</v>
      </c>
      <c r="C1871" s="14" t="s">
        <v>3258</v>
      </c>
      <c r="G1871" s="15" t="str">
        <f>IFERROR(__xludf.DUMMYFUNCTION("""COMPUTED_VALUE"""),"RUSS 191 PO-04")</f>
        <v>RUSS 191 PO-04</v>
      </c>
    </row>
    <row r="1872">
      <c r="A1872" s="14" t="s">
        <v>3259</v>
      </c>
      <c r="C1872" s="14" t="s">
        <v>3260</v>
      </c>
      <c r="G1872" s="15" t="str">
        <f>IFERROR(__xludf.DUMMYFUNCTION("""COMPUTED_VALUE"""),"RUST 103 PO-01")</f>
        <v>RUST 103 PO-01</v>
      </c>
    </row>
    <row r="1873">
      <c r="A1873" s="14" t="s">
        <v>3261</v>
      </c>
      <c r="C1873" s="14" t="s">
        <v>3262</v>
      </c>
      <c r="G1873" s="15" t="str">
        <f>IFERROR(__xludf.DUMMYFUNCTION("""COMPUTED_VALUE"""),"RUST 114 PO-01")</f>
        <v>RUST 114 PO-01</v>
      </c>
    </row>
    <row r="1874">
      <c r="A1874" s="14" t="s">
        <v>3263</v>
      </c>
      <c r="C1874" s="14" t="s">
        <v>3264</v>
      </c>
      <c r="G1874" s="15" t="str">
        <f>IFERROR(__xludf.DUMMYFUNCTION("""COMPUTED_VALUE"""),"SOC 001 PZ-01")</f>
        <v>SOC 001 PZ-01</v>
      </c>
    </row>
    <row r="1875">
      <c r="A1875" s="14" t="s">
        <v>3265</v>
      </c>
      <c r="C1875" s="14" t="s">
        <v>3264</v>
      </c>
      <c r="G1875" s="15" t="str">
        <f>IFERROR(__xludf.DUMMYFUNCTION("""COMPUTED_VALUE"""),"SOC 001 PZ-02")</f>
        <v>SOC 001 PZ-02</v>
      </c>
    </row>
    <row r="1876">
      <c r="A1876" s="14" t="s">
        <v>3266</v>
      </c>
      <c r="C1876" s="14" t="s">
        <v>3267</v>
      </c>
      <c r="G1876" s="15" t="str">
        <f>IFERROR(__xludf.DUMMYFUNCTION("""COMPUTED_VALUE"""),"SOC 035 PZ-01")</f>
        <v>SOC 035 PZ-01</v>
      </c>
    </row>
    <row r="1877">
      <c r="A1877" s="14" t="s">
        <v>3268</v>
      </c>
      <c r="C1877" s="14" t="s">
        <v>3269</v>
      </c>
      <c r="G1877" s="15" t="str">
        <f>IFERROR(__xludf.DUMMYFUNCTION("""COMPUTED_VALUE"""),"SOC 051 PO-01")</f>
        <v>SOC 051 PO-01</v>
      </c>
    </row>
    <row r="1878">
      <c r="A1878" s="14" t="s">
        <v>3270</v>
      </c>
      <c r="C1878" s="14" t="s">
        <v>3269</v>
      </c>
      <c r="G1878" s="15" t="str">
        <f>IFERROR(__xludf.DUMMYFUNCTION("""COMPUTED_VALUE"""),"SOC 051 PO-02")</f>
        <v>SOC 051 PO-02</v>
      </c>
    </row>
    <row r="1879">
      <c r="A1879" s="14" t="s">
        <v>3271</v>
      </c>
      <c r="C1879" s="14" t="s">
        <v>3269</v>
      </c>
      <c r="G1879" s="15" t="str">
        <f>IFERROR(__xludf.DUMMYFUNCTION("""COMPUTED_VALUE"""),"SOC 051 PO-03")</f>
        <v>SOC 051 PO-03</v>
      </c>
    </row>
    <row r="1880">
      <c r="A1880" s="14" t="s">
        <v>3272</v>
      </c>
      <c r="C1880" s="14" t="s">
        <v>3273</v>
      </c>
      <c r="G1880" s="15" t="str">
        <f>IFERROR(__xludf.DUMMYFUNCTION("""COMPUTED_VALUE"""),"SOC 055 PZ-01")</f>
        <v>SOC 055 PZ-01</v>
      </c>
    </row>
    <row r="1881">
      <c r="A1881" s="14" t="s">
        <v>3274</v>
      </c>
      <c r="C1881" s="14" t="s">
        <v>3275</v>
      </c>
      <c r="G1881" s="15" t="str">
        <f>IFERROR(__xludf.DUMMYFUNCTION("""COMPUTED_VALUE"""),"SOC 074 PZ-01")</f>
        <v>SOC 074 PZ-01</v>
      </c>
    </row>
    <row r="1882">
      <c r="A1882" s="14" t="s">
        <v>3276</v>
      </c>
      <c r="C1882" s="14" t="s">
        <v>3277</v>
      </c>
      <c r="G1882" s="15" t="str">
        <f>IFERROR(__xludf.DUMMYFUNCTION("""COMPUTED_VALUE"""),"SOC 083 PZ-01")</f>
        <v>SOC 083 PZ-01</v>
      </c>
    </row>
    <row r="1883">
      <c r="A1883" s="14" t="s">
        <v>3278</v>
      </c>
      <c r="C1883" s="14" t="s">
        <v>3279</v>
      </c>
      <c r="G1883" s="15" t="str">
        <f>IFERROR(__xludf.DUMMYFUNCTION("""COMPUTED_VALUE"""),"SOC 101 PZ-01")</f>
        <v>SOC 101 PZ-01</v>
      </c>
    </row>
    <row r="1884">
      <c r="A1884" s="14" t="s">
        <v>3280</v>
      </c>
      <c r="C1884" s="14" t="s">
        <v>3281</v>
      </c>
      <c r="G1884" s="15" t="str">
        <f>IFERROR(__xludf.DUMMYFUNCTION("""COMPUTED_VALUE"""),"SOC 102 PZ-01")</f>
        <v>SOC 102 PZ-01</v>
      </c>
    </row>
    <row r="1885">
      <c r="A1885" s="14" t="s">
        <v>3282</v>
      </c>
      <c r="C1885" s="14" t="s">
        <v>3283</v>
      </c>
      <c r="G1885" s="15" t="str">
        <f>IFERROR(__xludf.DUMMYFUNCTION("""COMPUTED_VALUE"""),"SOC 110 PZ-01")</f>
        <v>SOC 110 PZ-01</v>
      </c>
    </row>
    <row r="1886">
      <c r="A1886" s="14" t="s">
        <v>3284</v>
      </c>
      <c r="C1886" s="14" t="s">
        <v>3285</v>
      </c>
      <c r="G1886" s="15" t="str">
        <f>IFERROR(__xludf.DUMMYFUNCTION("""COMPUTED_VALUE"""),"SOC 126 AA-01")</f>
        <v>SOC 126 AA-01</v>
      </c>
    </row>
    <row r="1887">
      <c r="A1887" s="14" t="s">
        <v>3286</v>
      </c>
      <c r="C1887" s="14" t="s">
        <v>3287</v>
      </c>
      <c r="G1887" s="15" t="str">
        <f>IFERROR(__xludf.DUMMYFUNCTION("""COMPUTED_VALUE"""),"SOC 128 JT-01")</f>
        <v>SOC 128 JT-01</v>
      </c>
    </row>
    <row r="1888">
      <c r="A1888" s="14" t="s">
        <v>3288</v>
      </c>
      <c r="C1888" s="14" t="s">
        <v>3289</v>
      </c>
      <c r="G1888" s="15" t="str">
        <f>IFERROR(__xludf.DUMMYFUNCTION("""COMPUTED_VALUE"""),"SOC 147 PO-01")</f>
        <v>SOC 147 PO-01</v>
      </c>
    </row>
    <row r="1889">
      <c r="A1889" s="14" t="s">
        <v>3290</v>
      </c>
      <c r="C1889" s="14" t="s">
        <v>3291</v>
      </c>
      <c r="G1889" s="15" t="str">
        <f>IFERROR(__xludf.DUMMYFUNCTION("""COMPUTED_VALUE"""),"SOC 148 PO-01")</f>
        <v>SOC 148 PO-01</v>
      </c>
    </row>
    <row r="1890">
      <c r="A1890" s="14" t="s">
        <v>3292</v>
      </c>
      <c r="C1890" s="14" t="s">
        <v>3293</v>
      </c>
      <c r="G1890" s="15" t="str">
        <f>IFERROR(__xludf.DUMMYFUNCTION("""COMPUTED_VALUE"""),"SOC 150 CH-01")</f>
        <v>SOC 150 CH-01</v>
      </c>
    </row>
    <row r="1891">
      <c r="A1891" s="14" t="s">
        <v>3294</v>
      </c>
      <c r="C1891" s="14" t="s">
        <v>3295</v>
      </c>
      <c r="G1891" s="15" t="str">
        <f>IFERROR(__xludf.DUMMYFUNCTION("""COMPUTED_VALUE"""),"SOC 155 CH-01")</f>
        <v>SOC 155 CH-01</v>
      </c>
    </row>
    <row r="1892">
      <c r="A1892" s="14" t="s">
        <v>3296</v>
      </c>
      <c r="C1892" s="14" t="s">
        <v>3297</v>
      </c>
      <c r="G1892" s="15" t="str">
        <f>IFERROR(__xludf.DUMMYFUNCTION("""COMPUTED_VALUE"""),"SOC 157 PO-01")</f>
        <v>SOC 157 PO-01</v>
      </c>
    </row>
    <row r="1893">
      <c r="A1893" s="14" t="s">
        <v>3298</v>
      </c>
      <c r="C1893" s="14" t="s">
        <v>3299</v>
      </c>
      <c r="G1893" s="15" t="str">
        <f>IFERROR(__xludf.DUMMYFUNCTION("""COMPUTED_VALUE"""),"SOC 189E PO-01")</f>
        <v>SOC 189E PO-01</v>
      </c>
    </row>
    <row r="1894">
      <c r="A1894" s="14" t="s">
        <v>3300</v>
      </c>
      <c r="C1894" s="14" t="s">
        <v>3301</v>
      </c>
      <c r="G1894" s="15" t="str">
        <f>IFERROR(__xludf.DUMMYFUNCTION("""COMPUTED_VALUE"""),"SOC 189G PO-01")</f>
        <v>SOC 189G PO-01</v>
      </c>
    </row>
    <row r="1895">
      <c r="A1895" s="14" t="s">
        <v>3302</v>
      </c>
      <c r="C1895" s="14" t="s">
        <v>3303</v>
      </c>
      <c r="G1895" s="15" t="str">
        <f>IFERROR(__xludf.DUMMYFUNCTION("""COMPUTED_VALUE"""),"SOC 189K PO-01")</f>
        <v>SOC 189K PO-01</v>
      </c>
    </row>
    <row r="1896">
      <c r="A1896" s="14" t="s">
        <v>3304</v>
      </c>
      <c r="C1896" s="14" t="s">
        <v>3305</v>
      </c>
      <c r="G1896" s="15" t="str">
        <f>IFERROR(__xludf.DUMMYFUNCTION("""COMPUTED_VALUE"""),"SOC 191 PO-04")</f>
        <v>SOC 191 PO-04</v>
      </c>
    </row>
    <row r="1897">
      <c r="A1897" s="14" t="s">
        <v>3306</v>
      </c>
      <c r="C1897" s="14" t="s">
        <v>3305</v>
      </c>
      <c r="G1897" s="15" t="str">
        <f>IFERROR(__xludf.DUMMYFUNCTION("""COMPUTED_VALUE"""),"SOC 191 PO-08")</f>
        <v>SOC 191 PO-08</v>
      </c>
    </row>
    <row r="1898">
      <c r="A1898" s="14" t="s">
        <v>3307</v>
      </c>
      <c r="C1898" s="14" t="s">
        <v>3305</v>
      </c>
      <c r="G1898" s="15" t="str">
        <f>IFERROR(__xludf.DUMMYFUNCTION("""COMPUTED_VALUE"""),"SOC 191 PO-12")</f>
        <v>SOC 191 PO-12</v>
      </c>
    </row>
    <row r="1899">
      <c r="A1899" s="14" t="s">
        <v>3308</v>
      </c>
      <c r="C1899" s="14" t="s">
        <v>3305</v>
      </c>
      <c r="G1899" s="15" t="str">
        <f>IFERROR(__xludf.DUMMYFUNCTION("""COMPUTED_VALUE"""),"SOC 191 PO-16")</f>
        <v>SOC 191 PO-16</v>
      </c>
    </row>
    <row r="1900">
      <c r="A1900" s="14" t="s">
        <v>3309</v>
      </c>
      <c r="C1900" s="14" t="s">
        <v>3310</v>
      </c>
      <c r="G1900" s="15" t="str">
        <f>IFERROR(__xludf.DUMMYFUNCTION("""COMPUTED_VALUE"""),"SOC 199A PZ-01")</f>
        <v>SOC 199A PZ-01</v>
      </c>
    </row>
    <row r="1901">
      <c r="A1901" s="14" t="s">
        <v>3311</v>
      </c>
      <c r="C1901" s="14" t="s">
        <v>3312</v>
      </c>
      <c r="G1901" s="15" t="str">
        <f>IFERROR(__xludf.DUMMYFUNCTION("""COMPUTED_VALUE"""),"SOC 199B PZ-01")</f>
        <v>SOC 199B PZ-01</v>
      </c>
    </row>
    <row r="1902">
      <c r="A1902" s="14" t="s">
        <v>3313</v>
      </c>
      <c r="C1902" s="14" t="s">
        <v>3314</v>
      </c>
      <c r="G1902" s="15" t="str">
        <f>IFERROR(__xludf.DUMMYFUNCTION("""COMPUTED_VALUE"""),"SPAN 002 CM-01")</f>
        <v>SPAN 002 CM-01</v>
      </c>
    </row>
    <row r="1903">
      <c r="A1903" s="14" t="s">
        <v>3315</v>
      </c>
      <c r="C1903" s="14" t="s">
        <v>3314</v>
      </c>
      <c r="G1903" s="15" t="str">
        <f>IFERROR(__xludf.DUMMYFUNCTION("""COMPUTED_VALUE"""),"SPAN 002 CM-02")</f>
        <v>SPAN 002 CM-02</v>
      </c>
    </row>
    <row r="1904">
      <c r="A1904" s="14" t="s">
        <v>3316</v>
      </c>
      <c r="C1904" s="14" t="s">
        <v>3314</v>
      </c>
      <c r="G1904" s="15" t="str">
        <f>IFERROR(__xludf.DUMMYFUNCTION("""COMPUTED_VALUE"""),"SPAN 002 PO-01")</f>
        <v>SPAN 002 PO-01</v>
      </c>
    </row>
    <row r="1905">
      <c r="A1905" s="14" t="s">
        <v>3317</v>
      </c>
      <c r="C1905" s="14" t="s">
        <v>3314</v>
      </c>
      <c r="G1905" s="15" t="str">
        <f>IFERROR(__xludf.DUMMYFUNCTION("""COMPUTED_VALUE"""),"SPAN 002 PZ-01")</f>
        <v>SPAN 002 PZ-01</v>
      </c>
    </row>
    <row r="1906">
      <c r="A1906" s="14" t="s">
        <v>3318</v>
      </c>
      <c r="C1906" s="14" t="s">
        <v>3314</v>
      </c>
      <c r="G1906" s="15" t="str">
        <f>IFERROR(__xludf.DUMMYFUNCTION("""COMPUTED_VALUE"""),"SPAN 002 PZ-02")</f>
        <v>SPAN 002 PZ-02</v>
      </c>
    </row>
    <row r="1907">
      <c r="A1907" s="14" t="s">
        <v>3319</v>
      </c>
      <c r="C1907" s="14" t="s">
        <v>3320</v>
      </c>
      <c r="G1907" s="15" t="str">
        <f>IFERROR(__xludf.DUMMYFUNCTION("""COMPUTED_VALUE"""),"SPAN 011 PO-01")</f>
        <v>SPAN 011 PO-01</v>
      </c>
    </row>
    <row r="1908">
      <c r="A1908" s="14" t="s">
        <v>3321</v>
      </c>
      <c r="C1908" s="14" t="s">
        <v>3320</v>
      </c>
      <c r="G1908" s="15" t="str">
        <f>IFERROR(__xludf.DUMMYFUNCTION("""COMPUTED_VALUE"""),"SPAN 011 PO-02")</f>
        <v>SPAN 011 PO-02</v>
      </c>
    </row>
    <row r="1909">
      <c r="A1909" s="14" t="s">
        <v>3322</v>
      </c>
      <c r="C1909" s="14" t="s">
        <v>3323</v>
      </c>
      <c r="G1909" s="15" t="str">
        <f>IFERROR(__xludf.DUMMYFUNCTION("""COMPUTED_VALUE"""),"SPAN 013 PO-01")</f>
        <v>SPAN 013 PO-01</v>
      </c>
    </row>
    <row r="1910">
      <c r="A1910" s="14" t="s">
        <v>3324</v>
      </c>
      <c r="C1910" s="14" t="s">
        <v>3323</v>
      </c>
      <c r="G1910" s="15" t="str">
        <f>IFERROR(__xludf.DUMMYFUNCTION("""COMPUTED_VALUE"""),"SPAN 013 PO-02")</f>
        <v>SPAN 013 PO-02</v>
      </c>
    </row>
    <row r="1911">
      <c r="A1911" s="14" t="s">
        <v>3325</v>
      </c>
      <c r="C1911" s="14" t="s">
        <v>3326</v>
      </c>
      <c r="G1911" s="15" t="str">
        <f>IFERROR(__xludf.DUMMYFUNCTION("""COMPUTED_VALUE"""),"SPAN 022 CM-01")</f>
        <v>SPAN 022 CM-01</v>
      </c>
    </row>
    <row r="1912">
      <c r="A1912" s="14" t="s">
        <v>3327</v>
      </c>
      <c r="C1912" s="14" t="s">
        <v>3326</v>
      </c>
      <c r="G1912" s="15" t="str">
        <f>IFERROR(__xludf.DUMMYFUNCTION("""COMPUTED_VALUE"""),"SPAN 022 PZ-01")</f>
        <v>SPAN 022 PZ-01</v>
      </c>
    </row>
    <row r="1913">
      <c r="A1913" s="14" t="s">
        <v>3328</v>
      </c>
      <c r="C1913" s="14" t="s">
        <v>3329</v>
      </c>
      <c r="G1913" s="15" t="str">
        <f>IFERROR(__xludf.DUMMYFUNCTION("""COMPUTED_VALUE"""),"SPAN 031 PZ-01")</f>
        <v>SPAN 031 PZ-01</v>
      </c>
    </row>
    <row r="1914">
      <c r="A1914" s="14" t="s">
        <v>3330</v>
      </c>
      <c r="C1914" s="14" t="s">
        <v>3331</v>
      </c>
      <c r="G1914" s="15" t="str">
        <f>IFERROR(__xludf.DUMMYFUNCTION("""COMPUTED_VALUE"""),"SPAN 033 CM-01")</f>
        <v>SPAN 033 CM-01</v>
      </c>
    </row>
    <row r="1915">
      <c r="A1915" s="14" t="s">
        <v>3332</v>
      </c>
      <c r="C1915" s="14" t="s">
        <v>3331</v>
      </c>
      <c r="G1915" s="15" t="str">
        <f>IFERROR(__xludf.DUMMYFUNCTION("""COMPUTED_VALUE"""),"SPAN 033 CM-02")</f>
        <v>SPAN 033 CM-02</v>
      </c>
    </row>
    <row r="1916">
      <c r="A1916" s="14" t="s">
        <v>3333</v>
      </c>
      <c r="C1916" s="14" t="s">
        <v>3331</v>
      </c>
      <c r="G1916" s="15" t="str">
        <f>IFERROR(__xludf.DUMMYFUNCTION("""COMPUTED_VALUE"""),"SPAN 033 CM-03")</f>
        <v>SPAN 033 CM-03</v>
      </c>
    </row>
    <row r="1917">
      <c r="A1917" s="14" t="s">
        <v>3334</v>
      </c>
      <c r="C1917" s="14" t="s">
        <v>3331</v>
      </c>
      <c r="G1917" s="15" t="str">
        <f>IFERROR(__xludf.DUMMYFUNCTION("""COMPUTED_VALUE"""),"SPAN 033 PO-01")</f>
        <v>SPAN 033 PO-01</v>
      </c>
    </row>
    <row r="1918">
      <c r="A1918" s="14" t="s">
        <v>3335</v>
      </c>
      <c r="C1918" s="14" t="s">
        <v>3331</v>
      </c>
      <c r="G1918" s="15" t="str">
        <f>IFERROR(__xludf.DUMMYFUNCTION("""COMPUTED_VALUE"""),"SPAN 033 PO-02")</f>
        <v>SPAN 033 PO-02</v>
      </c>
    </row>
    <row r="1919">
      <c r="A1919" s="14" t="s">
        <v>3336</v>
      </c>
      <c r="C1919" s="14" t="s">
        <v>3331</v>
      </c>
      <c r="G1919" s="15" t="str">
        <f>IFERROR(__xludf.DUMMYFUNCTION("""COMPUTED_VALUE"""),"SPAN 033 PZ-01")</f>
        <v>SPAN 033 PZ-01</v>
      </c>
    </row>
    <row r="1920">
      <c r="A1920" s="14" t="s">
        <v>3337</v>
      </c>
      <c r="C1920" s="14" t="s">
        <v>3331</v>
      </c>
      <c r="G1920" s="15" t="str">
        <f>IFERROR(__xludf.DUMMYFUNCTION("""COMPUTED_VALUE"""),"SPAN 033 PZ-02")</f>
        <v>SPAN 033 PZ-02</v>
      </c>
    </row>
    <row r="1921">
      <c r="A1921" s="14" t="s">
        <v>3338</v>
      </c>
      <c r="C1921" s="14" t="s">
        <v>3331</v>
      </c>
      <c r="G1921" s="15" t="str">
        <f>IFERROR(__xludf.DUMMYFUNCTION("""COMPUTED_VALUE"""),"SPAN 033 PZ-03")</f>
        <v>SPAN 033 PZ-03</v>
      </c>
    </row>
    <row r="1922">
      <c r="A1922" s="14" t="s">
        <v>3339</v>
      </c>
      <c r="C1922" s="14" t="s">
        <v>3331</v>
      </c>
      <c r="G1922" s="15" t="str">
        <f>IFERROR(__xludf.DUMMYFUNCTION("""COMPUTED_VALUE"""),"SPAN 033 SC-01")</f>
        <v>SPAN 033 SC-01</v>
      </c>
    </row>
    <row r="1923">
      <c r="A1923" s="14" t="s">
        <v>3340</v>
      </c>
      <c r="C1923" s="14" t="s">
        <v>3331</v>
      </c>
      <c r="G1923" s="15" t="str">
        <f>IFERROR(__xludf.DUMMYFUNCTION("""COMPUTED_VALUE"""),"SPAN 033 SC-02")</f>
        <v>SPAN 033 SC-02</v>
      </c>
    </row>
    <row r="1924">
      <c r="A1924" s="14" t="s">
        <v>3341</v>
      </c>
      <c r="C1924" s="14" t="s">
        <v>3331</v>
      </c>
      <c r="G1924" s="15" t="str">
        <f>IFERROR(__xludf.DUMMYFUNCTION("""COMPUTED_VALUE"""),"SPAN 033 SC-03")</f>
        <v>SPAN 033 SC-03</v>
      </c>
    </row>
    <row r="1925">
      <c r="A1925" s="14" t="s">
        <v>3342</v>
      </c>
      <c r="C1925" s="14" t="s">
        <v>3343</v>
      </c>
      <c r="G1925" s="15" t="str">
        <f>IFERROR(__xludf.DUMMYFUNCTION("""COMPUTED_VALUE"""),"SPAN 033L CM-01")</f>
        <v>SPAN 033L CM-01</v>
      </c>
    </row>
    <row r="1926">
      <c r="A1926" s="14" t="s">
        <v>3344</v>
      </c>
      <c r="C1926" s="14" t="s">
        <v>3343</v>
      </c>
      <c r="G1926" s="15" t="str">
        <f>IFERROR(__xludf.DUMMYFUNCTION("""COMPUTED_VALUE"""),"SPAN 033L CM-02")</f>
        <v>SPAN 033L CM-02</v>
      </c>
    </row>
    <row r="1927">
      <c r="A1927" s="14" t="s">
        <v>3345</v>
      </c>
      <c r="C1927" s="14" t="s">
        <v>3343</v>
      </c>
      <c r="G1927" s="15" t="str">
        <f>IFERROR(__xludf.DUMMYFUNCTION("""COMPUTED_VALUE"""),"SPAN 033L CM-03")</f>
        <v>SPAN 033L CM-03</v>
      </c>
    </row>
    <row r="1928">
      <c r="A1928" s="14" t="s">
        <v>3346</v>
      </c>
      <c r="C1928" s="14" t="s">
        <v>3343</v>
      </c>
      <c r="G1928" s="15" t="str">
        <f>IFERROR(__xludf.DUMMYFUNCTION("""COMPUTED_VALUE"""),"SPAN 033L CM-04")</f>
        <v>SPAN 033L CM-04</v>
      </c>
    </row>
    <row r="1929">
      <c r="A1929" s="14" t="s">
        <v>3347</v>
      </c>
      <c r="C1929" s="14" t="s">
        <v>3343</v>
      </c>
      <c r="G1929" s="15" t="str">
        <f>IFERROR(__xludf.DUMMYFUNCTION("""COMPUTED_VALUE"""),"SPAN 033L CM-05")</f>
        <v>SPAN 033L CM-05</v>
      </c>
    </row>
    <row r="1930">
      <c r="A1930" s="14" t="s">
        <v>3348</v>
      </c>
      <c r="C1930" s="14" t="s">
        <v>3343</v>
      </c>
      <c r="G1930" s="15" t="str">
        <f>IFERROR(__xludf.DUMMYFUNCTION("""COMPUTED_VALUE"""),"SPAN 033L CM-06")</f>
        <v>SPAN 033L CM-06</v>
      </c>
    </row>
    <row r="1931">
      <c r="A1931" s="14" t="s">
        <v>3349</v>
      </c>
      <c r="C1931" s="14" t="s">
        <v>3350</v>
      </c>
      <c r="G1931" s="15" t="str">
        <f>IFERROR(__xludf.DUMMYFUNCTION("""COMPUTED_VALUE"""),"SPAN 044 CM-01")</f>
        <v>SPAN 044 CM-01</v>
      </c>
    </row>
    <row r="1932">
      <c r="A1932" s="14" t="s">
        <v>3351</v>
      </c>
      <c r="C1932" s="14" t="s">
        <v>3350</v>
      </c>
      <c r="G1932" s="15" t="str">
        <f>IFERROR(__xludf.DUMMYFUNCTION("""COMPUTED_VALUE"""),"SPAN 044 CM-02")</f>
        <v>SPAN 044 CM-02</v>
      </c>
    </row>
    <row r="1933">
      <c r="A1933" s="14" t="s">
        <v>3352</v>
      </c>
      <c r="C1933" s="14" t="s">
        <v>3350</v>
      </c>
      <c r="G1933" s="15" t="str">
        <f>IFERROR(__xludf.DUMMYFUNCTION("""COMPUTED_VALUE"""),"SPAN 044 PO-01")</f>
        <v>SPAN 044 PO-01</v>
      </c>
    </row>
    <row r="1934">
      <c r="A1934" s="14" t="s">
        <v>3353</v>
      </c>
      <c r="C1934" s="14" t="s">
        <v>3350</v>
      </c>
      <c r="G1934" s="15" t="str">
        <f>IFERROR(__xludf.DUMMYFUNCTION("""COMPUTED_VALUE"""),"SPAN 044 PO-02")</f>
        <v>SPAN 044 PO-02</v>
      </c>
    </row>
    <row r="1935">
      <c r="A1935" s="14" t="s">
        <v>3354</v>
      </c>
      <c r="C1935" s="14" t="s">
        <v>3350</v>
      </c>
      <c r="G1935" s="15" t="str">
        <f>IFERROR(__xludf.DUMMYFUNCTION("""COMPUTED_VALUE"""),"SPAN 044 PO-03")</f>
        <v>SPAN 044 PO-03</v>
      </c>
    </row>
    <row r="1936">
      <c r="A1936" s="14" t="s">
        <v>3355</v>
      </c>
      <c r="C1936" s="14" t="s">
        <v>3350</v>
      </c>
      <c r="G1936" s="15" t="str">
        <f>IFERROR(__xludf.DUMMYFUNCTION("""COMPUTED_VALUE"""),"SPAN 044 PZ-01")</f>
        <v>SPAN 044 PZ-01</v>
      </c>
    </row>
    <row r="1937">
      <c r="A1937" s="14" t="s">
        <v>3356</v>
      </c>
      <c r="C1937" s="14" t="s">
        <v>3350</v>
      </c>
      <c r="G1937" s="15" t="str">
        <f>IFERROR(__xludf.DUMMYFUNCTION("""COMPUTED_VALUE"""),"SPAN 044 PZ-02")</f>
        <v>SPAN 044 PZ-02</v>
      </c>
    </row>
    <row r="1938">
      <c r="A1938" s="14" t="s">
        <v>3357</v>
      </c>
      <c r="C1938" s="14" t="s">
        <v>3350</v>
      </c>
      <c r="G1938" s="15" t="str">
        <f>IFERROR(__xludf.DUMMYFUNCTION("""COMPUTED_VALUE"""),"SPAN 044 SC-01")</f>
        <v>SPAN 044 SC-01</v>
      </c>
    </row>
    <row r="1939">
      <c r="A1939" s="14" t="s">
        <v>3358</v>
      </c>
      <c r="C1939" s="14" t="s">
        <v>3350</v>
      </c>
      <c r="G1939" s="15" t="str">
        <f>IFERROR(__xludf.DUMMYFUNCTION("""COMPUTED_VALUE"""),"SPAN 044 SC-02")</f>
        <v>SPAN 044 SC-02</v>
      </c>
    </row>
    <row r="1940">
      <c r="A1940" s="14" t="s">
        <v>3359</v>
      </c>
      <c r="C1940" s="14" t="s">
        <v>3360</v>
      </c>
      <c r="G1940" s="15" t="str">
        <f>IFERROR(__xludf.DUMMYFUNCTION("""COMPUTED_VALUE"""),"SPAN 044L CM-01")</f>
        <v>SPAN 044L CM-01</v>
      </c>
    </row>
    <row r="1941">
      <c r="A1941" s="14" t="s">
        <v>3361</v>
      </c>
      <c r="C1941" s="14" t="s">
        <v>3360</v>
      </c>
      <c r="G1941" s="15" t="str">
        <f>IFERROR(__xludf.DUMMYFUNCTION("""COMPUTED_VALUE"""),"SPAN 044L CM-02")</f>
        <v>SPAN 044L CM-02</v>
      </c>
    </row>
    <row r="1942">
      <c r="A1942" s="14" t="s">
        <v>3362</v>
      </c>
      <c r="C1942" s="14" t="s">
        <v>3360</v>
      </c>
      <c r="G1942" s="15" t="str">
        <f>IFERROR(__xludf.DUMMYFUNCTION("""COMPUTED_VALUE"""),"SPAN 044L CM-03")</f>
        <v>SPAN 044L CM-03</v>
      </c>
    </row>
    <row r="1943">
      <c r="A1943" s="14" t="s">
        <v>3363</v>
      </c>
      <c r="C1943" s="14" t="s">
        <v>3360</v>
      </c>
      <c r="G1943" s="15" t="str">
        <f>IFERROR(__xludf.DUMMYFUNCTION("""COMPUTED_VALUE"""),"SPAN 044L CM-04")</f>
        <v>SPAN 044L CM-04</v>
      </c>
    </row>
    <row r="1944">
      <c r="A1944" s="14" t="s">
        <v>3364</v>
      </c>
      <c r="C1944" s="14" t="s">
        <v>3365</v>
      </c>
      <c r="G1944" s="15" t="str">
        <f>IFERROR(__xludf.DUMMYFUNCTION("""COMPUTED_VALUE"""),"SPAN 050 PZ-01")</f>
        <v>SPAN 050 PZ-01</v>
      </c>
    </row>
    <row r="1945">
      <c r="A1945" s="14" t="s">
        <v>3366</v>
      </c>
      <c r="C1945" s="14" t="s">
        <v>3367</v>
      </c>
      <c r="G1945" s="15" t="str">
        <f>IFERROR(__xludf.DUMMYFUNCTION("""COMPUTED_VALUE"""),"SPAN 055 PZ-01")</f>
        <v>SPAN 055 PZ-01</v>
      </c>
    </row>
    <row r="1946">
      <c r="A1946" s="14" t="s">
        <v>3368</v>
      </c>
      <c r="C1946" s="14" t="s">
        <v>3367</v>
      </c>
      <c r="G1946" s="15" t="str">
        <f>IFERROR(__xludf.DUMMYFUNCTION("""COMPUTED_VALUE"""),"SPAN 055 PZ-02")</f>
        <v>SPAN 055 PZ-02</v>
      </c>
    </row>
    <row r="1947">
      <c r="A1947" s="14" t="s">
        <v>3369</v>
      </c>
      <c r="C1947" s="14" t="s">
        <v>3370</v>
      </c>
      <c r="G1947" s="15" t="str">
        <f>IFERROR(__xludf.DUMMYFUNCTION("""COMPUTED_VALUE"""),"SPAN 100 PZ-01")</f>
        <v>SPAN 100 PZ-01</v>
      </c>
    </row>
    <row r="1948">
      <c r="A1948" s="14" t="s">
        <v>3371</v>
      </c>
      <c r="C1948" s="14" t="s">
        <v>3372</v>
      </c>
      <c r="G1948" s="15" t="str">
        <f>IFERROR(__xludf.DUMMYFUNCTION("""COMPUTED_VALUE"""),"SPAN 101 PO-01")</f>
        <v>SPAN 101 PO-01</v>
      </c>
    </row>
    <row r="1949">
      <c r="A1949" s="14" t="s">
        <v>3373</v>
      </c>
      <c r="C1949" s="14" t="s">
        <v>3372</v>
      </c>
      <c r="G1949" s="15" t="str">
        <f>IFERROR(__xludf.DUMMYFUNCTION("""COMPUTED_VALUE"""),"SPAN 101 PO-02")</f>
        <v>SPAN 101 PO-02</v>
      </c>
    </row>
    <row r="1950">
      <c r="A1950" s="14" t="s">
        <v>3374</v>
      </c>
      <c r="C1950" s="14" t="s">
        <v>3372</v>
      </c>
      <c r="G1950" s="15" t="str">
        <f>IFERROR(__xludf.DUMMYFUNCTION("""COMPUTED_VALUE"""),"SPAN 101 SC-01")</f>
        <v>SPAN 101 SC-01</v>
      </c>
    </row>
    <row r="1951">
      <c r="A1951" s="14" t="s">
        <v>3375</v>
      </c>
      <c r="C1951" s="14" t="s">
        <v>3376</v>
      </c>
      <c r="G1951" s="15" t="str">
        <f>IFERROR(__xludf.DUMMYFUNCTION("""COMPUTED_VALUE"""),"SPAN 102 CM-01")</f>
        <v>SPAN 102 CM-01</v>
      </c>
    </row>
    <row r="1952">
      <c r="A1952" s="14" t="s">
        <v>3377</v>
      </c>
      <c r="C1952" s="14" t="s">
        <v>3378</v>
      </c>
      <c r="G1952" s="15" t="str">
        <f>IFERROR(__xludf.DUMMYFUNCTION("""COMPUTED_VALUE"""),"SPAN 103 PO-01")</f>
        <v>SPAN 103 PO-01</v>
      </c>
    </row>
    <row r="1953">
      <c r="A1953" s="14" t="s">
        <v>3379</v>
      </c>
      <c r="C1953" s="14" t="s">
        <v>3380</v>
      </c>
      <c r="G1953" s="15" t="str">
        <f>IFERROR(__xludf.DUMMYFUNCTION("""COMPUTED_VALUE"""),"SPAN 108 PO-01")</f>
        <v>SPAN 108 PO-01</v>
      </c>
    </row>
    <row r="1954">
      <c r="A1954" s="14" t="s">
        <v>3381</v>
      </c>
      <c r="C1954" s="14" t="s">
        <v>3382</v>
      </c>
      <c r="G1954" s="15" t="str">
        <f>IFERROR(__xludf.DUMMYFUNCTION("""COMPUTED_VALUE"""),"SPAN 120B PO-01")</f>
        <v>SPAN 120B PO-01</v>
      </c>
    </row>
    <row r="1955">
      <c r="A1955" s="14" t="s">
        <v>3383</v>
      </c>
      <c r="C1955" s="14" t="s">
        <v>3384</v>
      </c>
      <c r="G1955" s="15" t="str">
        <f>IFERROR(__xludf.DUMMYFUNCTION("""COMPUTED_VALUE"""),"SPAN 125B CM-01")</f>
        <v>SPAN 125B CM-01</v>
      </c>
    </row>
    <row r="1956">
      <c r="A1956" s="14" t="s">
        <v>3385</v>
      </c>
      <c r="C1956" s="14" t="s">
        <v>3386</v>
      </c>
      <c r="G1956" s="15" t="str">
        <f>IFERROR(__xludf.DUMMYFUNCTION("""COMPUTED_VALUE"""),"SPAN 127 CH-01")</f>
        <v>SPAN 127 CH-01</v>
      </c>
    </row>
    <row r="1957">
      <c r="A1957" s="14" t="s">
        <v>3387</v>
      </c>
      <c r="C1957" s="14" t="s">
        <v>3388</v>
      </c>
      <c r="G1957" s="15" t="str">
        <f>IFERROR(__xludf.DUMMYFUNCTION("""COMPUTED_VALUE"""),"SPAN 129 CM-01")</f>
        <v>SPAN 129 CM-01</v>
      </c>
    </row>
    <row r="1958">
      <c r="A1958" s="14" t="s">
        <v>3389</v>
      </c>
      <c r="C1958" s="14" t="s">
        <v>3390</v>
      </c>
      <c r="G1958" s="15" t="str">
        <f>IFERROR(__xludf.DUMMYFUNCTION("""COMPUTED_VALUE"""),"SPAN 131 SC-01")</f>
        <v>SPAN 131 SC-01</v>
      </c>
    </row>
    <row r="1959">
      <c r="A1959" s="14" t="s">
        <v>3391</v>
      </c>
      <c r="C1959" s="14" t="s">
        <v>3392</v>
      </c>
      <c r="G1959" s="15" t="str">
        <f>IFERROR(__xludf.DUMMYFUNCTION("""COMPUTED_VALUE"""),"SPAN 135 PO-01")</f>
        <v>SPAN 135 PO-01</v>
      </c>
    </row>
    <row r="1960">
      <c r="A1960" s="14" t="s">
        <v>3393</v>
      </c>
      <c r="C1960" s="14" t="s">
        <v>3394</v>
      </c>
      <c r="G1960" s="15" t="str">
        <f>IFERROR(__xludf.DUMMYFUNCTION("""COMPUTED_VALUE"""),"SPAN 139 SC-01")</f>
        <v>SPAN 139 SC-01</v>
      </c>
    </row>
    <row r="1961">
      <c r="A1961" s="14" t="s">
        <v>3395</v>
      </c>
      <c r="C1961" s="14" t="s">
        <v>3396</v>
      </c>
      <c r="G1961" s="15" t="str">
        <f>IFERROR(__xludf.DUMMYFUNCTION("""COMPUTED_VALUE"""),"SPAN 142 PO-01")</f>
        <v>SPAN 142 PO-01</v>
      </c>
    </row>
    <row r="1962">
      <c r="A1962" s="14" t="s">
        <v>3397</v>
      </c>
      <c r="C1962" s="14" t="s">
        <v>3398</v>
      </c>
      <c r="G1962" s="15" t="str">
        <f>IFERROR(__xludf.DUMMYFUNCTION("""COMPUTED_VALUE"""),"SPAN 153 PO-01")</f>
        <v>SPAN 153 PO-01</v>
      </c>
    </row>
    <row r="1963">
      <c r="A1963" s="14" t="s">
        <v>3399</v>
      </c>
      <c r="C1963" s="14" t="s">
        <v>3400</v>
      </c>
      <c r="G1963" s="15" t="str">
        <f>IFERROR(__xludf.DUMMYFUNCTION("""COMPUTED_VALUE"""),"SPAN 162 PZ-01")</f>
        <v>SPAN 162 PZ-01</v>
      </c>
    </row>
    <row r="1964">
      <c r="A1964" s="14" t="s">
        <v>3401</v>
      </c>
      <c r="C1964" s="14" t="s">
        <v>3402</v>
      </c>
      <c r="G1964" s="15" t="str">
        <f>IFERROR(__xludf.DUMMYFUNCTION("""COMPUTED_VALUE"""),"SPAN 163 PZ-01")</f>
        <v>SPAN 163 PZ-01</v>
      </c>
    </row>
    <row r="1965">
      <c r="A1965" s="14" t="s">
        <v>3403</v>
      </c>
      <c r="C1965" s="14" t="s">
        <v>3404</v>
      </c>
      <c r="G1965" s="15" t="str">
        <f>IFERROR(__xludf.DUMMYFUNCTION("""COMPUTED_VALUE"""),"SPAN 183 SC-01")</f>
        <v>SPAN 183 SC-01</v>
      </c>
    </row>
    <row r="1966">
      <c r="A1966" s="14" t="s">
        <v>3405</v>
      </c>
      <c r="C1966" s="14" t="s">
        <v>3406</v>
      </c>
      <c r="G1966" s="15" t="str">
        <f>IFERROR(__xludf.DUMMYFUNCTION("""COMPUTED_VALUE"""),"SPAN 191 PO-04")</f>
        <v>SPAN 191 PO-04</v>
      </c>
    </row>
    <row r="1967">
      <c r="A1967" s="14" t="s">
        <v>3407</v>
      </c>
      <c r="C1967" s="14" t="s">
        <v>3406</v>
      </c>
      <c r="G1967" s="15" t="str">
        <f>IFERROR(__xludf.DUMMYFUNCTION("""COMPUTED_VALUE"""),"SPAN 191 PO-08")</f>
        <v>SPAN 191 PO-08</v>
      </c>
    </row>
    <row r="1968">
      <c r="A1968" s="14" t="s">
        <v>3408</v>
      </c>
      <c r="C1968" s="14" t="s">
        <v>3406</v>
      </c>
      <c r="G1968" s="15" t="str">
        <f>IFERROR(__xludf.DUMMYFUNCTION("""COMPUTED_VALUE"""),"SPAN 191 SC-01")</f>
        <v>SPAN 191 SC-01</v>
      </c>
    </row>
    <row r="1969">
      <c r="A1969" s="14" t="s">
        <v>3409</v>
      </c>
      <c r="C1969" s="14" t="s">
        <v>3410</v>
      </c>
      <c r="G1969" s="15" t="str">
        <f>IFERROR(__xludf.DUMMYFUNCTION("""COMPUTED_VALUE"""),"SPAN 192 PO-04")</f>
        <v>SPAN 192 PO-04</v>
      </c>
    </row>
    <row r="1970">
      <c r="A1970" s="14" t="s">
        <v>3411</v>
      </c>
      <c r="C1970" s="14" t="s">
        <v>3410</v>
      </c>
      <c r="G1970" s="15" t="str">
        <f>IFERROR(__xludf.DUMMYFUNCTION("""COMPUTED_VALUE"""),"SPAN 192 PO-08")</f>
        <v>SPAN 192 PO-08</v>
      </c>
    </row>
    <row r="1971">
      <c r="A1971" s="14" t="s">
        <v>3412</v>
      </c>
      <c r="C1971" s="14" t="s">
        <v>3413</v>
      </c>
      <c r="G1971" s="15" t="str">
        <f>IFERROR(__xludf.DUMMYFUNCTION("""COMPUTED_VALUE"""),"SPAN 199 PZ-01")</f>
        <v>SPAN 199 PZ-01</v>
      </c>
    </row>
    <row r="1972">
      <c r="A1972" s="14" t="s">
        <v>3414</v>
      </c>
      <c r="C1972" s="14" t="s">
        <v>3415</v>
      </c>
      <c r="G1972" s="15" t="str">
        <f>IFERROR(__xludf.DUMMYFUNCTION("""COMPUTED_VALUE"""),"SPCH 061A CM-01")</f>
        <v>SPCH 061A CM-01</v>
      </c>
    </row>
    <row r="1973">
      <c r="A1973" s="14" t="s">
        <v>3416</v>
      </c>
      <c r="C1973" s="14" t="s">
        <v>3417</v>
      </c>
      <c r="G1973" s="15" t="str">
        <f>IFERROR(__xludf.DUMMYFUNCTION("""COMPUTED_VALUE"""),"SPCH 061B CM-01")</f>
        <v>SPCH 061B CM-01</v>
      </c>
    </row>
    <row r="1974">
      <c r="A1974" s="14" t="s">
        <v>3418</v>
      </c>
      <c r="C1974" s="14" t="s">
        <v>3419</v>
      </c>
      <c r="G1974" s="15" t="str">
        <f>IFERROR(__xludf.DUMMYFUNCTION("""COMPUTED_VALUE"""),"SPEC 192 PO-04")</f>
        <v>SPEC 192 PO-04</v>
      </c>
    </row>
    <row r="1975">
      <c r="A1975" s="14" t="s">
        <v>3420</v>
      </c>
      <c r="C1975" s="14" t="s">
        <v>3421</v>
      </c>
      <c r="G1975" s="15" t="str">
        <f>IFERROR(__xludf.DUMMYFUNCTION("""COMPUTED_VALUE"""),"STS 010 HM-01")</f>
        <v>STS 010 HM-01</v>
      </c>
    </row>
    <row r="1976">
      <c r="A1976" s="14" t="s">
        <v>27</v>
      </c>
      <c r="C1976" s="14" t="s">
        <v>3422</v>
      </c>
      <c r="G1976" s="15" t="str">
        <f>IFERROR(__xludf.DUMMYFUNCTION("""COMPUTED_VALUE"""),"STS 179L HM-01")</f>
        <v>STS 179L HM-01</v>
      </c>
    </row>
    <row r="1977">
      <c r="A1977" s="14" t="s">
        <v>3423</v>
      </c>
      <c r="C1977" s="14" t="s">
        <v>3424</v>
      </c>
      <c r="G1977" s="15" t="str">
        <f>IFERROR(__xludf.DUMMYFUNCTION("""COMPUTED_VALUE"""),"STS 191 SC-01")</f>
        <v>STS 191 SC-01</v>
      </c>
    </row>
    <row r="1978">
      <c r="A1978" s="14" t="s">
        <v>3425</v>
      </c>
      <c r="C1978" s="14" t="s">
        <v>3426</v>
      </c>
      <c r="G1978" s="15" t="str">
        <f>IFERROR(__xludf.DUMMYFUNCTION("""COMPUTED_VALUE"""),"THEA 001A PO-01")</f>
        <v>THEA 001A PO-01</v>
      </c>
    </row>
    <row r="1979">
      <c r="A1979" s="14" t="s">
        <v>3427</v>
      </c>
      <c r="C1979" s="14" t="s">
        <v>3426</v>
      </c>
      <c r="G1979" s="15" t="str">
        <f>IFERROR(__xludf.DUMMYFUNCTION("""COMPUTED_VALUE"""),"THEA 001A PO-02")</f>
        <v>THEA 001A PO-02</v>
      </c>
    </row>
    <row r="1980">
      <c r="A1980" s="14" t="s">
        <v>3428</v>
      </c>
      <c r="C1980" s="14" t="s">
        <v>3429</v>
      </c>
      <c r="G1980" s="15" t="str">
        <f>IFERROR(__xludf.DUMMYFUNCTION("""COMPUTED_VALUE"""),"THEA 001D PO-01")</f>
        <v>THEA 001D PO-01</v>
      </c>
    </row>
    <row r="1981">
      <c r="A1981" s="14" t="s">
        <v>3430</v>
      </c>
      <c r="C1981" s="14" t="s">
        <v>3431</v>
      </c>
      <c r="G1981" s="15" t="str">
        <f>IFERROR(__xludf.DUMMYFUNCTION("""COMPUTED_VALUE"""),"THEA 002 PO-01")</f>
        <v>THEA 002 PO-01</v>
      </c>
    </row>
    <row r="1982">
      <c r="A1982" s="14" t="s">
        <v>3432</v>
      </c>
      <c r="C1982" s="14" t="s">
        <v>3433</v>
      </c>
      <c r="G1982" s="15" t="str">
        <f>IFERROR(__xludf.DUMMYFUNCTION("""COMPUTED_VALUE"""),"THEA 012 PO-01")</f>
        <v>THEA 012 PO-01</v>
      </c>
    </row>
    <row r="1983">
      <c r="A1983" s="14" t="s">
        <v>3434</v>
      </c>
      <c r="C1983" s="14" t="s">
        <v>3435</v>
      </c>
      <c r="G1983" s="15" t="str">
        <f>IFERROR(__xludf.DUMMYFUNCTION("""COMPUTED_VALUE"""),"THEA 013 PO-01")</f>
        <v>THEA 013 PO-01</v>
      </c>
    </row>
    <row r="1984">
      <c r="A1984" s="14" t="s">
        <v>3436</v>
      </c>
      <c r="C1984" s="14" t="s">
        <v>3437</v>
      </c>
      <c r="G1984" s="15" t="str">
        <f>IFERROR(__xludf.DUMMYFUNCTION("""COMPUTED_VALUE"""),"THEA 014 PO-01")</f>
        <v>THEA 014 PO-01</v>
      </c>
    </row>
    <row r="1985">
      <c r="A1985" s="14" t="s">
        <v>3438</v>
      </c>
      <c r="C1985" s="14" t="s">
        <v>3439</v>
      </c>
      <c r="G1985" s="15" t="str">
        <f>IFERROR(__xludf.DUMMYFUNCTION("""COMPUTED_VALUE"""),"THEA 017 PO-01")</f>
        <v>THEA 017 PO-01</v>
      </c>
    </row>
    <row r="1986">
      <c r="A1986" s="14" t="s">
        <v>3440</v>
      </c>
      <c r="C1986" s="14" t="s">
        <v>3441</v>
      </c>
      <c r="G1986" s="15" t="str">
        <f>IFERROR(__xludf.DUMMYFUNCTION("""COMPUTED_VALUE"""),"THEA 022 PO-01")</f>
        <v>THEA 022 PO-01</v>
      </c>
    </row>
    <row r="1987">
      <c r="A1987" s="14" t="s">
        <v>3442</v>
      </c>
      <c r="C1987" s="14" t="s">
        <v>3443</v>
      </c>
      <c r="G1987" s="15" t="str">
        <f>IFERROR(__xludf.DUMMYFUNCTION("""COMPUTED_VALUE"""),"THEA 031 PO-01")</f>
        <v>THEA 031 PO-01</v>
      </c>
    </row>
    <row r="1988">
      <c r="A1988" s="14" t="s">
        <v>3444</v>
      </c>
      <c r="C1988" s="14" t="s">
        <v>3445</v>
      </c>
      <c r="G1988" s="15" t="str">
        <f>IFERROR(__xludf.DUMMYFUNCTION("""COMPUTED_VALUE"""),"THEA 051C PO-01")</f>
        <v>THEA 051C PO-01</v>
      </c>
    </row>
    <row r="1989">
      <c r="A1989" s="14" t="s">
        <v>3446</v>
      </c>
      <c r="C1989" s="14" t="s">
        <v>3445</v>
      </c>
      <c r="G1989" s="15" t="str">
        <f>IFERROR(__xludf.DUMMYFUNCTION("""COMPUTED_VALUE"""),"THEA 051C PO-02")</f>
        <v>THEA 051C PO-02</v>
      </c>
    </row>
    <row r="1990">
      <c r="A1990" s="14" t="s">
        <v>3447</v>
      </c>
      <c r="C1990" s="14" t="s">
        <v>3445</v>
      </c>
      <c r="G1990" s="15" t="str">
        <f>IFERROR(__xludf.DUMMYFUNCTION("""COMPUTED_VALUE"""),"THEA 051C PO-03")</f>
        <v>THEA 051C PO-03</v>
      </c>
    </row>
    <row r="1991">
      <c r="A1991" s="14" t="s">
        <v>3448</v>
      </c>
      <c r="C1991" s="14" t="s">
        <v>3449</v>
      </c>
      <c r="G1991" s="15" t="str">
        <f>IFERROR(__xludf.DUMMYFUNCTION("""COMPUTED_VALUE"""),"THEA 051H PO-01")</f>
        <v>THEA 051H PO-01</v>
      </c>
    </row>
    <row r="1992">
      <c r="A1992" s="14" t="s">
        <v>3450</v>
      </c>
      <c r="C1992" s="14" t="s">
        <v>3449</v>
      </c>
      <c r="G1992" s="15" t="str">
        <f>IFERROR(__xludf.DUMMYFUNCTION("""COMPUTED_VALUE"""),"THEA 051H PO-02")</f>
        <v>THEA 051H PO-02</v>
      </c>
    </row>
    <row r="1993">
      <c r="A1993" s="14" t="s">
        <v>3451</v>
      </c>
      <c r="C1993" s="14" t="s">
        <v>3449</v>
      </c>
      <c r="G1993" s="15" t="str">
        <f>IFERROR(__xludf.DUMMYFUNCTION("""COMPUTED_VALUE"""),"THEA 051H PO-03")</f>
        <v>THEA 051H PO-03</v>
      </c>
    </row>
    <row r="1994">
      <c r="A1994" s="14" t="s">
        <v>3452</v>
      </c>
      <c r="C1994" s="14" t="s">
        <v>3453</v>
      </c>
      <c r="G1994" s="15" t="str">
        <f>IFERROR(__xludf.DUMMYFUNCTION("""COMPUTED_VALUE"""),"THEA 052C PO-01")</f>
        <v>THEA 052C PO-01</v>
      </c>
    </row>
    <row r="1995">
      <c r="A1995" s="14" t="s">
        <v>3454</v>
      </c>
      <c r="C1995" s="14" t="s">
        <v>3453</v>
      </c>
      <c r="G1995" s="15" t="str">
        <f>IFERROR(__xludf.DUMMYFUNCTION("""COMPUTED_VALUE"""),"THEA 052C PO-02")</f>
        <v>THEA 052C PO-02</v>
      </c>
    </row>
    <row r="1996">
      <c r="A1996" s="14" t="s">
        <v>3455</v>
      </c>
      <c r="C1996" s="14" t="s">
        <v>3453</v>
      </c>
      <c r="G1996" s="15" t="str">
        <f>IFERROR(__xludf.DUMMYFUNCTION("""COMPUTED_VALUE"""),"THEA 052C PO-03")</f>
        <v>THEA 052C PO-03</v>
      </c>
    </row>
    <row r="1997">
      <c r="A1997" s="14" t="s">
        <v>3456</v>
      </c>
      <c r="C1997" s="14" t="s">
        <v>3453</v>
      </c>
      <c r="G1997" s="15" t="str">
        <f>IFERROR(__xludf.DUMMYFUNCTION("""COMPUTED_VALUE"""),"THEA 052C PO-04")</f>
        <v>THEA 052C PO-04</v>
      </c>
    </row>
    <row r="1998">
      <c r="A1998" s="14" t="s">
        <v>3457</v>
      </c>
      <c r="C1998" s="14" t="s">
        <v>3458</v>
      </c>
      <c r="G1998" s="15" t="str">
        <f>IFERROR(__xludf.DUMMYFUNCTION("""COMPUTED_VALUE"""),"THEA 052H PO-01")</f>
        <v>THEA 052H PO-01</v>
      </c>
    </row>
    <row r="1999">
      <c r="A1999" s="14" t="s">
        <v>3459</v>
      </c>
      <c r="C1999" s="14" t="s">
        <v>3458</v>
      </c>
      <c r="G1999" s="15" t="str">
        <f>IFERROR(__xludf.DUMMYFUNCTION("""COMPUTED_VALUE"""),"THEA 052H PO-02")</f>
        <v>THEA 052H PO-02</v>
      </c>
    </row>
    <row r="2000">
      <c r="A2000" s="14" t="s">
        <v>3460</v>
      </c>
      <c r="C2000" s="14" t="s">
        <v>3458</v>
      </c>
      <c r="G2000" s="15" t="str">
        <f>IFERROR(__xludf.DUMMYFUNCTION("""COMPUTED_VALUE"""),"THEA 052H PO-03")</f>
        <v>THEA 052H PO-03</v>
      </c>
    </row>
    <row r="2001">
      <c r="A2001" s="14" t="s">
        <v>3461</v>
      </c>
      <c r="C2001" s="14" t="s">
        <v>3458</v>
      </c>
      <c r="G2001" s="15" t="str">
        <f>IFERROR(__xludf.DUMMYFUNCTION("""COMPUTED_VALUE"""),"THEA 052H PO-04")</f>
        <v>THEA 052H PO-04</v>
      </c>
    </row>
    <row r="2002">
      <c r="A2002" s="14" t="s">
        <v>3462</v>
      </c>
      <c r="C2002" s="14" t="s">
        <v>3463</v>
      </c>
      <c r="G2002" s="15" t="str">
        <f>IFERROR(__xludf.DUMMYFUNCTION("""COMPUTED_VALUE"""),"THEA 053CG PO-01")</f>
        <v>THEA 053CG PO-01</v>
      </c>
    </row>
    <row r="2003">
      <c r="A2003" s="14" t="s">
        <v>3464</v>
      </c>
      <c r="C2003" s="14" t="s">
        <v>3465</v>
      </c>
      <c r="G2003" s="15" t="str">
        <f>IFERROR(__xludf.DUMMYFUNCTION("""COMPUTED_VALUE"""),"THEA 053CI PO-01")</f>
        <v>THEA 053CI PO-01</v>
      </c>
    </row>
    <row r="2004">
      <c r="A2004" s="14" t="s">
        <v>3466</v>
      </c>
      <c r="C2004" s="14" t="s">
        <v>3465</v>
      </c>
      <c r="G2004" s="15" t="str">
        <f>IFERROR(__xludf.DUMMYFUNCTION("""COMPUTED_VALUE"""),"THEA 053CI PO-02")</f>
        <v>THEA 053CI PO-02</v>
      </c>
    </row>
    <row r="2005">
      <c r="A2005" s="14" t="s">
        <v>3467</v>
      </c>
      <c r="C2005" s="14" t="s">
        <v>3468</v>
      </c>
      <c r="G2005" s="15" t="str">
        <f>IFERROR(__xludf.DUMMYFUNCTION("""COMPUTED_VALUE"""),"THEA 053HG PO-01")</f>
        <v>THEA 053HG PO-01</v>
      </c>
    </row>
    <row r="2006">
      <c r="A2006" s="14" t="s">
        <v>3469</v>
      </c>
      <c r="C2006" s="14" t="s">
        <v>3470</v>
      </c>
      <c r="G2006" s="15" t="str">
        <f>IFERROR(__xludf.DUMMYFUNCTION("""COMPUTED_VALUE"""),"THEA 053HI PO-01")</f>
        <v>THEA 053HI PO-01</v>
      </c>
    </row>
    <row r="2007">
      <c r="A2007" s="14" t="s">
        <v>3471</v>
      </c>
      <c r="C2007" s="14" t="s">
        <v>3472</v>
      </c>
      <c r="G2007" s="15" t="str">
        <f>IFERROR(__xludf.DUMMYFUNCTION("""COMPUTED_VALUE"""),"THEA 060 PO-01")</f>
        <v>THEA 060 PO-01</v>
      </c>
    </row>
    <row r="2008">
      <c r="A2008" s="14" t="s">
        <v>3473</v>
      </c>
      <c r="C2008" s="14" t="s">
        <v>3474</v>
      </c>
      <c r="G2008" s="15" t="str">
        <f>IFERROR(__xludf.DUMMYFUNCTION("""COMPUTED_VALUE"""),"THEA 062 PO-01")</f>
        <v>THEA 062 PO-01</v>
      </c>
    </row>
    <row r="2009">
      <c r="A2009" s="14" t="s">
        <v>3475</v>
      </c>
      <c r="C2009" s="14" t="s">
        <v>3476</v>
      </c>
      <c r="G2009" s="15" t="str">
        <f>IFERROR(__xludf.DUMMYFUNCTION("""COMPUTED_VALUE"""),"THEA 080 PO-01")</f>
        <v>THEA 080 PO-01</v>
      </c>
    </row>
    <row r="2010">
      <c r="A2010" s="14" t="s">
        <v>3477</v>
      </c>
      <c r="C2010" s="14" t="s">
        <v>3478</v>
      </c>
      <c r="G2010" s="15" t="str">
        <f>IFERROR(__xludf.DUMMYFUNCTION("""COMPUTED_VALUE"""),"THEA 081 PO-01")</f>
        <v>THEA 081 PO-01</v>
      </c>
    </row>
    <row r="2011">
      <c r="A2011" s="14" t="s">
        <v>3479</v>
      </c>
      <c r="C2011" s="14" t="s">
        <v>3480</v>
      </c>
      <c r="G2011" s="15" t="str">
        <f>IFERROR(__xludf.DUMMYFUNCTION("""COMPUTED_VALUE"""),"THEA 100K PO-01")</f>
        <v>THEA 100K PO-01</v>
      </c>
    </row>
    <row r="2012">
      <c r="A2012" s="14" t="s">
        <v>3481</v>
      </c>
      <c r="C2012" s="14" t="s">
        <v>3482</v>
      </c>
      <c r="G2012" s="15" t="str">
        <f>IFERROR(__xludf.DUMMYFUNCTION("""COMPUTED_VALUE"""),"THEA 130 PO-01")</f>
        <v>THEA 130 PO-01</v>
      </c>
    </row>
    <row r="2013">
      <c r="A2013" s="14" t="s">
        <v>3483</v>
      </c>
      <c r="C2013" s="14" t="s">
        <v>3484</v>
      </c>
      <c r="G2013" s="15" t="str">
        <f>IFERROR(__xludf.DUMMYFUNCTION("""COMPUTED_VALUE"""),"THEA 170 PO-01")</f>
        <v>THEA 170 PO-01</v>
      </c>
    </row>
    <row r="2014">
      <c r="A2014" s="14" t="s">
        <v>3485</v>
      </c>
      <c r="C2014" s="14" t="s">
        <v>3486</v>
      </c>
      <c r="G2014" s="15" t="str">
        <f>IFERROR(__xludf.DUMMYFUNCTION("""COMPUTED_VALUE"""),"THEA 188 PO-01")</f>
        <v>THEA 188 PO-01</v>
      </c>
    </row>
    <row r="2015">
      <c r="A2015" s="14" t="s">
        <v>3487</v>
      </c>
      <c r="C2015" s="14" t="s">
        <v>3488</v>
      </c>
      <c r="G2015" s="15" t="str">
        <f>IFERROR(__xludf.DUMMYFUNCTION("""COMPUTED_VALUE"""),"THEA 191H PO-04")</f>
        <v>THEA 191H PO-04</v>
      </c>
    </row>
    <row r="2016">
      <c r="A2016" s="14" t="s">
        <v>3489</v>
      </c>
      <c r="C2016" s="14" t="s">
        <v>3488</v>
      </c>
      <c r="G2016" s="15" t="str">
        <f>IFERROR(__xludf.DUMMYFUNCTION("""COMPUTED_VALUE"""),"THEA 191H PO-08")</f>
        <v>THEA 191H PO-08</v>
      </c>
    </row>
    <row r="2017">
      <c r="A2017" s="14" t="s">
        <v>3490</v>
      </c>
      <c r="C2017" s="14" t="s">
        <v>3488</v>
      </c>
      <c r="G2017" s="15" t="str">
        <f>IFERROR(__xludf.DUMMYFUNCTION("""COMPUTED_VALUE"""),"THEA 191H PO-12")</f>
        <v>THEA 191H PO-12</v>
      </c>
    </row>
    <row r="2018">
      <c r="A2018" s="14" t="s">
        <v>3491</v>
      </c>
      <c r="C2018" s="14" t="s">
        <v>3488</v>
      </c>
      <c r="G2018" s="15" t="str">
        <f>IFERROR(__xludf.DUMMYFUNCTION("""COMPUTED_VALUE"""),"THEA 191H PO-16")</f>
        <v>THEA 191H PO-16</v>
      </c>
    </row>
    <row r="2019">
      <c r="A2019" s="14" t="s">
        <v>3492</v>
      </c>
      <c r="C2019" s="14" t="s">
        <v>3488</v>
      </c>
      <c r="G2019" s="15" t="str">
        <f>IFERROR(__xludf.DUMMYFUNCTION("""COMPUTED_VALUE"""),"THEA 191H PO-20")</f>
        <v>THEA 191H PO-20</v>
      </c>
    </row>
    <row r="2020">
      <c r="A2020" s="14" t="s">
        <v>3493</v>
      </c>
      <c r="C2020" s="14" t="s">
        <v>3494</v>
      </c>
      <c r="G2020" s="15" t="str">
        <f>IFERROR(__xludf.DUMMYFUNCTION("""COMPUTED_VALUE"""),"THEA 192H PO-04")</f>
        <v>THEA 192H PO-04</v>
      </c>
    </row>
    <row r="2021">
      <c r="A2021" s="14" t="s">
        <v>3495</v>
      </c>
      <c r="C2021" s="14" t="s">
        <v>3494</v>
      </c>
      <c r="G2021" s="15" t="str">
        <f>IFERROR(__xludf.DUMMYFUNCTION("""COMPUTED_VALUE"""),"THEA 192H PO-08")</f>
        <v>THEA 192H PO-08</v>
      </c>
    </row>
    <row r="2022">
      <c r="A2022" s="14" t="s">
        <v>3496</v>
      </c>
      <c r="C2022" s="14" t="s">
        <v>3494</v>
      </c>
      <c r="G2022" s="15" t="str">
        <f>IFERROR(__xludf.DUMMYFUNCTION("""COMPUTED_VALUE"""),"THEA 192H PO-12")</f>
        <v>THEA 192H PO-12</v>
      </c>
    </row>
    <row r="2023">
      <c r="A2023" s="14" t="s">
        <v>3497</v>
      </c>
      <c r="C2023" s="14" t="s">
        <v>3494</v>
      </c>
      <c r="G2023" s="15" t="str">
        <f>IFERROR(__xludf.DUMMYFUNCTION("""COMPUTED_VALUE"""),"THEA 192H PO-16")</f>
        <v>THEA 192H PO-16</v>
      </c>
    </row>
    <row r="2024">
      <c r="A2024" s="14" t="s">
        <v>3498</v>
      </c>
      <c r="C2024" s="14" t="s">
        <v>3494</v>
      </c>
      <c r="G2024" s="15" t="str">
        <f>IFERROR(__xludf.DUMMYFUNCTION("""COMPUTED_VALUE"""),"THEA 192H PO-20")</f>
        <v>THEA 192H PO-20</v>
      </c>
    </row>
    <row r="2025">
      <c r="A2025" s="14" t="s">
        <v>3499</v>
      </c>
      <c r="C2025" s="14" t="s">
        <v>3500</v>
      </c>
      <c r="G2025" s="15" t="str">
        <f>IFERROR(__xludf.DUMMYFUNCTION("""COMPUTED_VALUE"""),"WRIT 031 PZ-01")</f>
        <v>WRIT 031 PZ-01</v>
      </c>
    </row>
    <row r="2026">
      <c r="A2026" s="14" t="s">
        <v>3501</v>
      </c>
      <c r="C2026" s="14" t="s">
        <v>3502</v>
      </c>
      <c r="G2026" s="15" t="str">
        <f>IFERROR(__xludf.DUMMYFUNCTION("""COMPUTED_VALUE"""),"WRIT 109 SC-01")</f>
        <v>WRIT 109 SC-01</v>
      </c>
    </row>
    <row r="2027">
      <c r="A2027" s="14" t="s">
        <v>3503</v>
      </c>
      <c r="C2027" s="14" t="s">
        <v>3504</v>
      </c>
      <c r="G2027" s="15" t="str">
        <f>IFERROR(__xludf.DUMMYFUNCTION("""COMPUTED_VALUE"""),"WRIT 110 PZ-01")</f>
        <v>WRIT 110 PZ-01</v>
      </c>
    </row>
    <row r="2028">
      <c r="A2028" s="14" t="s">
        <v>3505</v>
      </c>
      <c r="C2028" s="14" t="s">
        <v>3506</v>
      </c>
      <c r="G2028" s="15" t="str">
        <f>IFERROR(__xludf.DUMMYFUNCTION("""COMPUTED_VALUE"""),"WRIT 120 SC-01")</f>
        <v>WRIT 120 SC-01</v>
      </c>
    </row>
    <row r="2029">
      <c r="A2029" s="14" t="s">
        <v>3507</v>
      </c>
      <c r="C2029" s="14" t="s">
        <v>3508</v>
      </c>
      <c r="G2029" s="15" t="str">
        <f>IFERROR(__xludf.DUMMYFUNCTION("""COMPUTED_VALUE"""),"WRIT 165IO SC-01")</f>
        <v>WRIT 165IO SC-01</v>
      </c>
    </row>
    <row r="2030">
      <c r="A2030" s="14" t="s">
        <v>3509</v>
      </c>
      <c r="C2030" s="14" t="s">
        <v>3510</v>
      </c>
      <c r="G2030" s="15" t="str">
        <f>IFERROR(__xludf.DUMMYFUNCTION("""COMPUTED_VALUE"""),"WRIT 191 SC-01")</f>
        <v>WRIT 191 SC-01</v>
      </c>
    </row>
    <row r="2031">
      <c r="A2031" s="14" t="s">
        <v>3511</v>
      </c>
      <c r="C2031" s="14" t="s">
        <v>3512</v>
      </c>
      <c r="G2031" s="15" t="str">
        <f>IFERROR(__xludf.DUMMYFUNCTION("""COMPUTED_VALUE"""),"WRIT 197 SC-01")</f>
        <v>WRIT 197 SC-01</v>
      </c>
    </row>
    <row r="2032">
      <c r="G2032" s="15"/>
    </row>
    <row r="2033">
      <c r="G2033" s="15" t="str">
        <f>IFERROR(__xludf.DUMMYFUNCTION("""COMPUTED_VALUE"""),"AFRI 010AC")</f>
        <v>AFRI 010AC</v>
      </c>
    </row>
    <row r="2034">
      <c r="G2034" s="15" t="str">
        <f>IFERROR(__xludf.DUMMYFUNCTION("""COMPUTED_VALUE"""),"AFRI 010B")</f>
        <v>AFRI 010B</v>
      </c>
    </row>
    <row r="2035">
      <c r="G2035" s="15" t="str">
        <f>IFERROR(__xludf.DUMMYFUNCTION("""COMPUTED_VALUE"""),"AFRI 121")</f>
        <v>AFRI 121</v>
      </c>
    </row>
    <row r="2036">
      <c r="G2036" s="15" t="str">
        <f>IFERROR(__xludf.DUMMYFUNCTION("""COMPUTED_VALUE"""),"AFRI 191")</f>
        <v>AFRI 191</v>
      </c>
    </row>
    <row r="2037">
      <c r="G2037" s="15" t="str">
        <f>IFERROR(__xludf.DUMMYFUNCTION("""COMPUTED_VALUE"""),"AMST 103")</f>
        <v>AMST 103</v>
      </c>
    </row>
    <row r="2038">
      <c r="G2038" s="15" t="str">
        <f>IFERROR(__xludf.DUMMYFUNCTION("""COMPUTED_VALUE"""),"AMST 180")</f>
        <v>AMST 180</v>
      </c>
    </row>
    <row r="2039">
      <c r="G2039" s="15" t="str">
        <f>IFERROR(__xludf.DUMMYFUNCTION("""COMPUTED_VALUE"""),"AMST 191")</f>
        <v>AMST 191</v>
      </c>
    </row>
    <row r="2040">
      <c r="G2040" s="15" t="str">
        <f>IFERROR(__xludf.DUMMYFUNCTION("""COMPUTED_VALUE"""),"ANTH 001")</f>
        <v>ANTH 001</v>
      </c>
    </row>
    <row r="2041">
      <c r="G2041" s="15" t="str">
        <f>IFERROR(__xludf.DUMMYFUNCTION("""COMPUTED_VALUE"""),"ANTH 002")</f>
        <v>ANTH 002</v>
      </c>
    </row>
    <row r="2042">
      <c r="G2042" s="15" t="str">
        <f>IFERROR(__xludf.DUMMYFUNCTION("""COMPUTED_VALUE"""),"ANTH 009")</f>
        <v>ANTH 009</v>
      </c>
    </row>
    <row r="2043">
      <c r="G2043" s="15" t="str">
        <f>IFERROR(__xludf.DUMMYFUNCTION("""COMPUTED_VALUE"""),"ANTH 012")</f>
        <v>ANTH 012</v>
      </c>
    </row>
    <row r="2044">
      <c r="G2044" s="15" t="str">
        <f>IFERROR(__xludf.DUMMYFUNCTION("""COMPUTED_VALUE"""),"ANTH 025")</f>
        <v>ANTH 025</v>
      </c>
    </row>
    <row r="2045">
      <c r="G2045" s="15" t="str">
        <f>IFERROR(__xludf.DUMMYFUNCTION("""COMPUTED_VALUE"""),"ANTH 050")</f>
        <v>ANTH 050</v>
      </c>
    </row>
    <row r="2046">
      <c r="G2046" s="15" t="str">
        <f>IFERROR(__xludf.DUMMYFUNCTION("""COMPUTED_VALUE"""),"ANTH 051")</f>
        <v>ANTH 051</v>
      </c>
    </row>
    <row r="2047">
      <c r="G2047" s="15" t="str">
        <f>IFERROR(__xludf.DUMMYFUNCTION("""COMPUTED_VALUE"""),"ANTH 098")</f>
        <v>ANTH 098</v>
      </c>
    </row>
    <row r="2048">
      <c r="G2048" s="15" t="str">
        <f>IFERROR(__xludf.DUMMYFUNCTION("""COMPUTED_VALUE"""),"ANTH 101")</f>
        <v>ANTH 101</v>
      </c>
    </row>
    <row r="2049">
      <c r="G2049" s="15" t="str">
        <f>IFERROR(__xludf.DUMMYFUNCTION("""COMPUTED_VALUE"""),"ANTH 105")</f>
        <v>ANTH 105</v>
      </c>
    </row>
    <row r="2050">
      <c r="G2050" s="15" t="str">
        <f>IFERROR(__xludf.DUMMYFUNCTION("""COMPUTED_VALUE"""),"ANTH 108")</f>
        <v>ANTH 108</v>
      </c>
    </row>
    <row r="2051">
      <c r="G2051" s="15" t="str">
        <f>IFERROR(__xludf.DUMMYFUNCTION("""COMPUTED_VALUE"""),"ANTH 112")</f>
        <v>ANTH 112</v>
      </c>
    </row>
    <row r="2052">
      <c r="G2052" s="15" t="str">
        <f>IFERROR(__xludf.DUMMYFUNCTION("""COMPUTED_VALUE"""),"ANTH 118")</f>
        <v>ANTH 118</v>
      </c>
    </row>
    <row r="2053">
      <c r="G2053" s="15" t="str">
        <f>IFERROR(__xludf.DUMMYFUNCTION("""COMPUTED_VALUE"""),"ANTH 121")</f>
        <v>ANTH 121</v>
      </c>
    </row>
    <row r="2054">
      <c r="G2054" s="15" t="str">
        <f>IFERROR(__xludf.DUMMYFUNCTION("""COMPUTED_VALUE"""),"ANTH 150")</f>
        <v>ANTH 150</v>
      </c>
    </row>
    <row r="2055">
      <c r="G2055" s="15" t="str">
        <f>IFERROR(__xludf.DUMMYFUNCTION("""COMPUTED_VALUE"""),"ANTH 158")</f>
        <v>ANTH 158</v>
      </c>
    </row>
    <row r="2056">
      <c r="G2056" s="15" t="str">
        <f>IFERROR(__xludf.DUMMYFUNCTION("""COMPUTED_VALUE"""),"ANTH 185")</f>
        <v>ANTH 185</v>
      </c>
    </row>
    <row r="2057">
      <c r="G2057" s="15" t="str">
        <f>IFERROR(__xludf.DUMMYFUNCTION("""COMPUTED_VALUE"""),"ANTH 189L")</f>
        <v>ANTH 189L</v>
      </c>
    </row>
    <row r="2058">
      <c r="G2058" s="15" t="str">
        <f>IFERROR(__xludf.DUMMYFUNCTION("""COMPUTED_VALUE"""),"ANTH 191")</f>
        <v>ANTH 191</v>
      </c>
    </row>
    <row r="2059">
      <c r="G2059" s="15" t="str">
        <f>IFERROR(__xludf.DUMMYFUNCTION("""COMPUTED_VALUE"""),"ANTH 192")</f>
        <v>ANTH 192</v>
      </c>
    </row>
    <row r="2060">
      <c r="G2060" s="15" t="str">
        <f>IFERROR(__xludf.DUMMYFUNCTION("""COMPUTED_VALUE"""),"ARBC 002")</f>
        <v>ARBC 002</v>
      </c>
    </row>
    <row r="2061">
      <c r="G2061" s="15" t="str">
        <f>IFERROR(__xludf.DUMMYFUNCTION("""COMPUTED_VALUE"""),"ARBC 012")</f>
        <v>ARBC 012</v>
      </c>
    </row>
    <row r="2062">
      <c r="G2062" s="15" t="str">
        <f>IFERROR(__xludf.DUMMYFUNCTION("""COMPUTED_VALUE"""),"ARBC 014")</f>
        <v>ARBC 014</v>
      </c>
    </row>
    <row r="2063">
      <c r="G2063" s="15" t="str">
        <f>IFERROR(__xludf.DUMMYFUNCTION("""COMPUTED_VALUE"""),"ARBC 016")</f>
        <v>ARBC 016</v>
      </c>
    </row>
    <row r="2064">
      <c r="G2064" s="15" t="str">
        <f>IFERROR(__xludf.DUMMYFUNCTION("""COMPUTED_VALUE"""),"ARBC 044")</f>
        <v>ARBC 044</v>
      </c>
    </row>
    <row r="2065">
      <c r="G2065" s="15" t="str">
        <f>IFERROR(__xludf.DUMMYFUNCTION("""COMPUTED_VALUE"""),"ARBC 148")</f>
        <v>ARBC 148</v>
      </c>
    </row>
    <row r="2066">
      <c r="G2066" s="15" t="str">
        <f>IFERROR(__xludf.DUMMYFUNCTION("""COMPUTED_VALUE"""),"ARBT 148")</f>
        <v>ARBT 148</v>
      </c>
    </row>
    <row r="2067">
      <c r="G2067" s="15" t="str">
        <f>IFERROR(__xludf.DUMMYFUNCTION("""COMPUTED_VALUE"""),"ARCN 125")</f>
        <v>ARCN 125</v>
      </c>
    </row>
    <row r="2068">
      <c r="G2068" s="15" t="str">
        <f>IFERROR(__xludf.DUMMYFUNCTION("""COMPUTED_VALUE"""),"ARCN 191")</f>
        <v>ARCN 191</v>
      </c>
    </row>
    <row r="2069">
      <c r="G2069" s="15" t="str">
        <f>IFERROR(__xludf.DUMMYFUNCTION("""COMPUTED_VALUE"""),"ARHI 001B")</f>
        <v>ARHI 001B</v>
      </c>
    </row>
    <row r="2070">
      <c r="G2070" s="15" t="str">
        <f>IFERROR(__xludf.DUMMYFUNCTION("""COMPUTED_VALUE"""),"ARHI 120")</f>
        <v>ARHI 120</v>
      </c>
    </row>
    <row r="2071">
      <c r="G2071" s="15" t="str">
        <f>IFERROR(__xludf.DUMMYFUNCTION("""COMPUTED_VALUE"""),"ARHI 131")</f>
        <v>ARHI 131</v>
      </c>
    </row>
    <row r="2072">
      <c r="G2072" s="15" t="str">
        <f>IFERROR(__xludf.DUMMYFUNCTION("""COMPUTED_VALUE"""),"ARHI 140")</f>
        <v>ARHI 140</v>
      </c>
    </row>
    <row r="2073">
      <c r="G2073" s="15" t="str">
        <f>IFERROR(__xludf.DUMMYFUNCTION("""COMPUTED_VALUE"""),"ARHI 153")</f>
        <v>ARHI 153</v>
      </c>
    </row>
    <row r="2074">
      <c r="G2074" s="15" t="str">
        <f>IFERROR(__xludf.DUMMYFUNCTION("""COMPUTED_VALUE"""),"ARHI 162")</f>
        <v>ARHI 162</v>
      </c>
    </row>
    <row r="2075">
      <c r="G2075" s="15" t="str">
        <f>IFERROR(__xludf.DUMMYFUNCTION("""COMPUTED_VALUE"""),"ARHI 177")</f>
        <v>ARHI 177</v>
      </c>
    </row>
    <row r="2076">
      <c r="G2076" s="15" t="str">
        <f>IFERROR(__xludf.DUMMYFUNCTION("""COMPUTED_VALUE"""),"ARHI 180R")</f>
        <v>ARHI 180R</v>
      </c>
    </row>
    <row r="2077">
      <c r="G2077" s="15" t="str">
        <f>IFERROR(__xludf.DUMMYFUNCTION("""COMPUTED_VALUE"""),"ARHI 184")</f>
        <v>ARHI 184</v>
      </c>
    </row>
    <row r="2078">
      <c r="G2078" s="15" t="str">
        <f>IFERROR(__xludf.DUMMYFUNCTION("""COMPUTED_VALUE"""),"ARHI 185")</f>
        <v>ARHI 185</v>
      </c>
    </row>
    <row r="2079">
      <c r="G2079" s="15" t="str">
        <f>IFERROR(__xludf.DUMMYFUNCTION("""COMPUTED_VALUE"""),"ARHI 186A")</f>
        <v>ARHI 186A</v>
      </c>
    </row>
    <row r="2080">
      <c r="G2080" s="15" t="str">
        <f>IFERROR(__xludf.DUMMYFUNCTION("""COMPUTED_VALUE"""),"ARHI 186B")</f>
        <v>ARHI 186B</v>
      </c>
    </row>
    <row r="2081">
      <c r="G2081" s="15" t="str">
        <f>IFERROR(__xludf.DUMMYFUNCTION("""COMPUTED_VALUE"""),"ARHI 186G")</f>
        <v>ARHI 186G</v>
      </c>
    </row>
    <row r="2082">
      <c r="G2082" s="15" t="str">
        <f>IFERROR(__xludf.DUMMYFUNCTION("""COMPUTED_VALUE"""),"ARHI 186L")</f>
        <v>ARHI 186L</v>
      </c>
    </row>
    <row r="2083">
      <c r="G2083" s="15" t="str">
        <f>IFERROR(__xludf.DUMMYFUNCTION("""COMPUTED_VALUE"""),"ARHI 186M")</f>
        <v>ARHI 186M</v>
      </c>
    </row>
    <row r="2084">
      <c r="G2084" s="15" t="str">
        <f>IFERROR(__xludf.DUMMYFUNCTION("""COMPUTED_VALUE"""),"ARHI 191")</f>
        <v>ARHI 191</v>
      </c>
    </row>
    <row r="2085">
      <c r="G2085" s="15" t="str">
        <f>IFERROR(__xludf.DUMMYFUNCTION("""COMPUTED_VALUE"""),"ART 005")</f>
        <v>ART 005</v>
      </c>
    </row>
    <row r="2086">
      <c r="G2086" s="15" t="str">
        <f>IFERROR(__xludf.DUMMYFUNCTION("""COMPUTED_VALUE"""),"ART 010")</f>
        <v>ART 010</v>
      </c>
    </row>
    <row r="2087">
      <c r="G2087" s="15" t="str">
        <f>IFERROR(__xludf.DUMMYFUNCTION("""COMPUTED_VALUE"""),"ART 021")</f>
        <v>ART 021</v>
      </c>
    </row>
    <row r="2088">
      <c r="G2088" s="15" t="str">
        <f>IFERROR(__xludf.DUMMYFUNCTION("""COMPUTED_VALUE"""),"ART 025A")</f>
        <v>ART 025A</v>
      </c>
    </row>
    <row r="2089">
      <c r="G2089" s="15" t="str">
        <f>IFERROR(__xludf.DUMMYFUNCTION("""COMPUTED_VALUE"""),"ART 028")</f>
        <v>ART 028</v>
      </c>
    </row>
    <row r="2090">
      <c r="G2090" s="15" t="str">
        <f>IFERROR(__xludf.DUMMYFUNCTION("""COMPUTED_VALUE"""),"ART 030")</f>
        <v>ART 030</v>
      </c>
    </row>
    <row r="2091">
      <c r="G2091" s="15" t="str">
        <f>IFERROR(__xludf.DUMMYFUNCTION("""COMPUTED_VALUE"""),"ART 105")</f>
        <v>ART 105</v>
      </c>
    </row>
    <row r="2092">
      <c r="G2092" s="15" t="str">
        <f>IFERROR(__xludf.DUMMYFUNCTION("""COMPUTED_VALUE"""),"ART 111")</f>
        <v>ART 111</v>
      </c>
    </row>
    <row r="2093">
      <c r="G2093" s="15" t="str">
        <f>IFERROR(__xludf.DUMMYFUNCTION("""COMPUTED_VALUE"""),"ART 116")</f>
        <v>ART 116</v>
      </c>
    </row>
    <row r="2094">
      <c r="G2094" s="15" t="str">
        <f>IFERROR(__xludf.DUMMYFUNCTION("""COMPUTED_VALUE"""),"ART 121")</f>
        <v>ART 121</v>
      </c>
    </row>
    <row r="2095">
      <c r="G2095" s="15" t="str">
        <f>IFERROR(__xludf.DUMMYFUNCTION("""COMPUTED_VALUE"""),"ART 139")</f>
        <v>ART 139</v>
      </c>
    </row>
    <row r="2096">
      <c r="G2096" s="15" t="str">
        <f>IFERROR(__xludf.DUMMYFUNCTION("""COMPUTED_VALUE"""),"ART 141")</f>
        <v>ART 141</v>
      </c>
    </row>
    <row r="2097">
      <c r="G2097" s="15" t="str">
        <f>IFERROR(__xludf.DUMMYFUNCTION("""COMPUTED_VALUE"""),"ART 142")</f>
        <v>ART 142</v>
      </c>
    </row>
    <row r="2098">
      <c r="G2098" s="15" t="str">
        <f>IFERROR(__xludf.DUMMYFUNCTION("""COMPUTED_VALUE"""),"ART 143")</f>
        <v>ART 143</v>
      </c>
    </row>
    <row r="2099">
      <c r="G2099" s="15" t="str">
        <f>IFERROR(__xludf.DUMMYFUNCTION("""COMPUTED_VALUE"""),"ART 147")</f>
        <v>ART 147</v>
      </c>
    </row>
    <row r="2100">
      <c r="G2100" s="15" t="str">
        <f>IFERROR(__xludf.DUMMYFUNCTION("""COMPUTED_VALUE"""),"ART 151")</f>
        <v>ART 151</v>
      </c>
    </row>
    <row r="2101">
      <c r="G2101" s="15" t="str">
        <f>IFERROR(__xludf.DUMMYFUNCTION("""COMPUTED_VALUE"""),"ART 179G")</f>
        <v>ART 179G</v>
      </c>
    </row>
    <row r="2102">
      <c r="G2102" s="15" t="str">
        <f>IFERROR(__xludf.DUMMYFUNCTION("""COMPUTED_VALUE"""),"ART 181")</f>
        <v>ART 181</v>
      </c>
    </row>
    <row r="2103">
      <c r="G2103" s="15" t="str">
        <f>IFERROR(__xludf.DUMMYFUNCTION("""COMPUTED_VALUE"""),"ART 181M")</f>
        <v>ART 181M</v>
      </c>
    </row>
    <row r="2104">
      <c r="G2104" s="15" t="str">
        <f>IFERROR(__xludf.DUMMYFUNCTION("""COMPUTED_VALUE"""),"ART 189A")</f>
        <v>ART 189A</v>
      </c>
    </row>
    <row r="2105">
      <c r="G2105" s="15" t="str">
        <f>IFERROR(__xludf.DUMMYFUNCTION("""COMPUTED_VALUE"""),"ART 190")</f>
        <v>ART 190</v>
      </c>
    </row>
    <row r="2106">
      <c r="G2106" s="15" t="str">
        <f>IFERROR(__xludf.DUMMYFUNCTION("""COMPUTED_VALUE"""),"ART 193")</f>
        <v>ART 193</v>
      </c>
    </row>
    <row r="2107">
      <c r="G2107" s="15" t="str">
        <f>IFERROR(__xludf.DUMMYFUNCTION("""COMPUTED_VALUE"""),"ART 196")</f>
        <v>ART 196</v>
      </c>
    </row>
    <row r="2108">
      <c r="G2108" s="15" t="str">
        <f>IFERROR(__xludf.DUMMYFUNCTION("""COMPUTED_VALUE"""),"ART 199")</f>
        <v>ART 199</v>
      </c>
    </row>
    <row r="2109">
      <c r="G2109" s="15" t="str">
        <f>IFERROR(__xludf.DUMMYFUNCTION("""COMPUTED_VALUE"""),"ASAM 077B")</f>
        <v>ASAM 077B</v>
      </c>
    </row>
    <row r="2110">
      <c r="G2110" s="15" t="str">
        <f>IFERROR(__xludf.DUMMYFUNCTION("""COMPUTED_VALUE"""),"ASAM 090")</f>
        <v>ASAM 090</v>
      </c>
    </row>
    <row r="2111">
      <c r="G2111" s="15" t="str">
        <f>IFERROR(__xludf.DUMMYFUNCTION("""COMPUTED_VALUE"""),"ASAM 105B")</f>
        <v>ASAM 105B</v>
      </c>
    </row>
    <row r="2112">
      <c r="G2112" s="15" t="str">
        <f>IFERROR(__xludf.DUMMYFUNCTION("""COMPUTED_VALUE"""),"ASAM 115")</f>
        <v>ASAM 115</v>
      </c>
    </row>
    <row r="2113">
      <c r="G2113" s="15" t="str">
        <f>IFERROR(__xludf.DUMMYFUNCTION("""COMPUTED_VALUE"""),"ASAM 125")</f>
        <v>ASAM 125</v>
      </c>
    </row>
    <row r="2114">
      <c r="G2114" s="15" t="str">
        <f>IFERROR(__xludf.DUMMYFUNCTION("""COMPUTED_VALUE"""),"ASAM 160")</f>
        <v>ASAM 160</v>
      </c>
    </row>
    <row r="2115">
      <c r="G2115" s="15" t="str">
        <f>IFERROR(__xludf.DUMMYFUNCTION("""COMPUTED_VALUE"""),"ASAM 179G")</f>
        <v>ASAM 179G</v>
      </c>
    </row>
    <row r="2116">
      <c r="G2116" s="15" t="str">
        <f>IFERROR(__xludf.DUMMYFUNCTION("""COMPUTED_VALUE"""),"ASAM 189C")</f>
        <v>ASAM 189C</v>
      </c>
    </row>
    <row r="2117">
      <c r="G2117" s="15" t="str">
        <f>IFERROR(__xludf.DUMMYFUNCTION("""COMPUTED_VALUE"""),"ASAM 191")</f>
        <v>ASAM 191</v>
      </c>
    </row>
    <row r="2118">
      <c r="G2118" s="15" t="str">
        <f>IFERROR(__xludf.DUMMYFUNCTION("""COMPUTED_VALUE"""),"ASIA 191")</f>
        <v>ASIA 191</v>
      </c>
    </row>
    <row r="2119">
      <c r="G2119" s="15" t="str">
        <f>IFERROR(__xludf.DUMMYFUNCTION("""COMPUTED_VALUE"""),"ASIA 192")</f>
        <v>ASIA 192</v>
      </c>
    </row>
    <row r="2120">
      <c r="G2120" s="15" t="str">
        <f>IFERROR(__xludf.DUMMYFUNCTION("""COMPUTED_VALUE"""),"ASTR 001")</f>
        <v>ASTR 001</v>
      </c>
    </row>
    <row r="2121">
      <c r="G2121" s="15" t="str">
        <f>IFERROR(__xludf.DUMMYFUNCTION("""COMPUTED_VALUE"""),"ASTR 001L")</f>
        <v>ASTR 001L</v>
      </c>
    </row>
    <row r="2122">
      <c r="G2122" s="15" t="str">
        <f>IFERROR(__xludf.DUMMYFUNCTION("""COMPUTED_VALUE"""),"ASTR 051")</f>
        <v>ASTR 051</v>
      </c>
    </row>
    <row r="2123">
      <c r="G2123" s="15" t="str">
        <f>IFERROR(__xludf.DUMMYFUNCTION("""COMPUTED_VALUE"""),"ASTR 051L")</f>
        <v>ASTR 051L</v>
      </c>
    </row>
    <row r="2124">
      <c r="G2124" s="15" t="str">
        <f>IFERROR(__xludf.DUMMYFUNCTION("""COMPUTED_VALUE"""),"ASTR 062")</f>
        <v>ASTR 062</v>
      </c>
    </row>
    <row r="2125">
      <c r="G2125" s="15" t="str">
        <f>IFERROR(__xludf.DUMMYFUNCTION("""COMPUTED_VALUE"""),"ASTR 123")</f>
        <v>ASTR 123</v>
      </c>
    </row>
    <row r="2126">
      <c r="G2126" s="15" t="str">
        <f>IFERROR(__xludf.DUMMYFUNCTION("""COMPUTED_VALUE"""),"ASTR 124")</f>
        <v>ASTR 124</v>
      </c>
    </row>
    <row r="2127">
      <c r="G2127" s="15" t="str">
        <f>IFERROR(__xludf.DUMMYFUNCTION("""COMPUTED_VALUE"""),"BIOL 001A")</f>
        <v>BIOL 001A</v>
      </c>
    </row>
    <row r="2128">
      <c r="G2128" s="15" t="str">
        <f>IFERROR(__xludf.DUMMYFUNCTION("""COMPUTED_VALUE"""),"BIOL 001D")</f>
        <v>BIOL 001D</v>
      </c>
    </row>
    <row r="2129">
      <c r="G2129" s="15" t="str">
        <f>IFERROR(__xludf.DUMMYFUNCTION("""COMPUTED_VALUE"""),"BIOL 023")</f>
        <v>BIOL 023</v>
      </c>
    </row>
    <row r="2130">
      <c r="G2130" s="15" t="str">
        <f>IFERROR(__xludf.DUMMYFUNCTION("""COMPUTED_VALUE"""),"BIOL 039L")</f>
        <v>BIOL 039L</v>
      </c>
    </row>
    <row r="2131">
      <c r="G2131" s="15" t="str">
        <f>IFERROR(__xludf.DUMMYFUNCTION("""COMPUTED_VALUE"""),"BIOL 041C")</f>
        <v>BIOL 041C</v>
      </c>
    </row>
    <row r="2132">
      <c r="G2132" s="15" t="str">
        <f>IFERROR(__xludf.DUMMYFUNCTION("""COMPUTED_VALUE"""),"BIOL 041E")</f>
        <v>BIOL 041E</v>
      </c>
    </row>
    <row r="2133">
      <c r="G2133" s="15" t="str">
        <f>IFERROR(__xludf.DUMMYFUNCTION("""COMPUTED_VALUE"""),"BIOL 042L")</f>
        <v>BIOL 042L</v>
      </c>
    </row>
    <row r="2134">
      <c r="G2134" s="15" t="str">
        <f>IFERROR(__xludf.DUMMYFUNCTION("""COMPUTED_VALUE"""),"BIOL 044L")</f>
        <v>BIOL 044L</v>
      </c>
    </row>
    <row r="2135">
      <c r="G2135" s="15" t="str">
        <f>IFERROR(__xludf.DUMMYFUNCTION("""COMPUTED_VALUE"""),"BIOL 044LX")</f>
        <v>BIOL 044LX</v>
      </c>
    </row>
    <row r="2136">
      <c r="G2136" s="15" t="str">
        <f>IFERROR(__xludf.DUMMYFUNCTION("""COMPUTED_VALUE"""),"BIOL 052")</f>
        <v>BIOL 052</v>
      </c>
    </row>
    <row r="2137">
      <c r="G2137" s="15" t="str">
        <f>IFERROR(__xludf.DUMMYFUNCTION("""COMPUTED_VALUE"""),"BIOL 052R")</f>
        <v>BIOL 052R</v>
      </c>
    </row>
    <row r="2138">
      <c r="G2138" s="15" t="str">
        <f>IFERROR(__xludf.DUMMYFUNCTION("""COMPUTED_VALUE"""),"BIOL 054")</f>
        <v>BIOL 054</v>
      </c>
    </row>
    <row r="2139">
      <c r="G2139" s="15" t="str">
        <f>IFERROR(__xludf.DUMMYFUNCTION("""COMPUTED_VALUE"""),"BIOL 063L")</f>
        <v>BIOL 063L</v>
      </c>
    </row>
    <row r="2140">
      <c r="G2140" s="15" t="str">
        <f>IFERROR(__xludf.DUMMYFUNCTION("""COMPUTED_VALUE"""),"BIOL 099")</f>
        <v>BIOL 099</v>
      </c>
    </row>
    <row r="2141">
      <c r="G2141" s="15" t="str">
        <f>IFERROR(__xludf.DUMMYFUNCTION("""COMPUTED_VALUE"""),"BIOL 101")</f>
        <v>BIOL 101</v>
      </c>
    </row>
    <row r="2142">
      <c r="G2142" s="15" t="str">
        <f>IFERROR(__xludf.DUMMYFUNCTION("""COMPUTED_VALUE"""),"BIOL 104")</f>
        <v>BIOL 104</v>
      </c>
    </row>
    <row r="2143">
      <c r="G2143" s="15" t="str">
        <f>IFERROR(__xludf.DUMMYFUNCTION("""COMPUTED_VALUE"""),"BIOL 108")</f>
        <v>BIOL 108</v>
      </c>
    </row>
    <row r="2144">
      <c r="G2144" s="15" t="str">
        <f>IFERROR(__xludf.DUMMYFUNCTION("""COMPUTED_VALUE"""),"BIOL 129")</f>
        <v>BIOL 129</v>
      </c>
    </row>
    <row r="2145">
      <c r="G2145" s="15" t="str">
        <f>IFERROR(__xludf.DUMMYFUNCTION("""COMPUTED_VALUE"""),"BIOL 131L")</f>
        <v>BIOL 131L</v>
      </c>
    </row>
    <row r="2146">
      <c r="G2146" s="15" t="str">
        <f>IFERROR(__xludf.DUMMYFUNCTION("""COMPUTED_VALUE"""),"BIOL 138")</f>
        <v>BIOL 138</v>
      </c>
    </row>
    <row r="2147">
      <c r="G2147" s="15" t="str">
        <f>IFERROR(__xludf.DUMMYFUNCTION("""COMPUTED_VALUE"""),"BIOL 138L")</f>
        <v>BIOL 138L</v>
      </c>
    </row>
    <row r="2148">
      <c r="G2148" s="15" t="str">
        <f>IFERROR(__xludf.DUMMYFUNCTION("""COMPUTED_VALUE"""),"BIOL 140")</f>
        <v>BIOL 140</v>
      </c>
    </row>
    <row r="2149">
      <c r="G2149" s="15" t="str">
        <f>IFERROR(__xludf.DUMMYFUNCTION("""COMPUTED_VALUE"""),"BIOL 143")</f>
        <v>BIOL 143</v>
      </c>
    </row>
    <row r="2150">
      <c r="G2150" s="15" t="str">
        <f>IFERROR(__xludf.DUMMYFUNCTION("""COMPUTED_VALUE"""),"BIOL 148L")</f>
        <v>BIOL 148L</v>
      </c>
    </row>
    <row r="2151">
      <c r="G2151" s="15" t="str">
        <f>IFERROR(__xludf.DUMMYFUNCTION("""COMPUTED_VALUE"""),"BIOL 149")</f>
        <v>BIOL 149</v>
      </c>
    </row>
    <row r="2152">
      <c r="G2152" s="15" t="str">
        <f>IFERROR(__xludf.DUMMYFUNCTION("""COMPUTED_VALUE"""),"BIOL 154")</f>
        <v>BIOL 154</v>
      </c>
    </row>
    <row r="2153">
      <c r="G2153" s="15" t="str">
        <f>IFERROR(__xludf.DUMMYFUNCTION("""COMPUTED_VALUE"""),"BIOL 156L")</f>
        <v>BIOL 156L</v>
      </c>
    </row>
    <row r="2154">
      <c r="G2154" s="15" t="str">
        <f>IFERROR(__xludf.DUMMYFUNCTION("""COMPUTED_VALUE"""),"BIOL 157L")</f>
        <v>BIOL 157L</v>
      </c>
    </row>
    <row r="2155">
      <c r="G2155" s="15" t="str">
        <f>IFERROR(__xludf.DUMMYFUNCTION("""COMPUTED_VALUE"""),"BIOL 160")</f>
        <v>BIOL 160</v>
      </c>
    </row>
    <row r="2156">
      <c r="G2156" s="15" t="str">
        <f>IFERROR(__xludf.DUMMYFUNCTION("""COMPUTED_VALUE"""),"BIOL 161")</f>
        <v>BIOL 161</v>
      </c>
    </row>
    <row r="2157">
      <c r="G2157" s="15" t="str">
        <f>IFERROR(__xludf.DUMMYFUNCTION("""COMPUTED_VALUE"""),"BIOL 164")</f>
        <v>BIOL 164</v>
      </c>
    </row>
    <row r="2158">
      <c r="G2158" s="15" t="str">
        <f>IFERROR(__xludf.DUMMYFUNCTION("""COMPUTED_VALUE"""),"BIOL 165A")</f>
        <v>BIOL 165A</v>
      </c>
    </row>
    <row r="2159">
      <c r="G2159" s="15" t="str">
        <f>IFERROR(__xludf.DUMMYFUNCTION("""COMPUTED_VALUE"""),"BIOL 167")</f>
        <v>BIOL 167</v>
      </c>
    </row>
    <row r="2160">
      <c r="G2160" s="15" t="str">
        <f>IFERROR(__xludf.DUMMYFUNCTION("""COMPUTED_VALUE"""),"BIOL 168L")</f>
        <v>BIOL 168L</v>
      </c>
    </row>
    <row r="2161">
      <c r="G2161" s="15" t="str">
        <f>IFERROR(__xludf.DUMMYFUNCTION("""COMPUTED_VALUE"""),"BIOL 169")</f>
        <v>BIOL 169</v>
      </c>
    </row>
    <row r="2162">
      <c r="G2162" s="15" t="str">
        <f>IFERROR(__xludf.DUMMYFUNCTION("""COMPUTED_VALUE"""),"BIOL 169L")</f>
        <v>BIOL 169L</v>
      </c>
    </row>
    <row r="2163">
      <c r="G2163" s="15" t="str">
        <f>IFERROR(__xludf.DUMMYFUNCTION("""COMPUTED_VALUE"""),"BIOL 170L")</f>
        <v>BIOL 170L</v>
      </c>
    </row>
    <row r="2164">
      <c r="G2164" s="15" t="str">
        <f>IFERROR(__xludf.DUMMYFUNCTION("""COMPUTED_VALUE"""),"BIOL 171")</f>
        <v>BIOL 171</v>
      </c>
    </row>
    <row r="2165">
      <c r="G2165" s="15" t="str">
        <f>IFERROR(__xludf.DUMMYFUNCTION("""COMPUTED_VALUE"""),"BIOL 173B")</f>
        <v>BIOL 173B</v>
      </c>
    </row>
    <row r="2166">
      <c r="G2166" s="15" t="str">
        <f>IFERROR(__xludf.DUMMYFUNCTION("""COMPUTED_VALUE"""),"BIOL 173L")</f>
        <v>BIOL 173L</v>
      </c>
    </row>
    <row r="2167">
      <c r="G2167" s="15" t="str">
        <f>IFERROR(__xludf.DUMMYFUNCTION("""COMPUTED_VALUE"""),"BIOL 175")</f>
        <v>BIOL 175</v>
      </c>
    </row>
    <row r="2168">
      <c r="G2168" s="15" t="str">
        <f>IFERROR(__xludf.DUMMYFUNCTION("""COMPUTED_VALUE"""),"BIOL 176")</f>
        <v>BIOL 176</v>
      </c>
    </row>
    <row r="2169">
      <c r="G2169" s="15" t="str">
        <f>IFERROR(__xludf.DUMMYFUNCTION("""COMPUTED_VALUE"""),"BIOL 177")</f>
        <v>BIOL 177</v>
      </c>
    </row>
    <row r="2170">
      <c r="G2170" s="15" t="str">
        <f>IFERROR(__xludf.DUMMYFUNCTION("""COMPUTED_VALUE"""),"BIOL 180")</f>
        <v>BIOL 180</v>
      </c>
    </row>
    <row r="2171">
      <c r="G2171" s="15" t="str">
        <f>IFERROR(__xludf.DUMMYFUNCTION("""COMPUTED_VALUE"""),"BIOL 181")</f>
        <v>BIOL 181</v>
      </c>
    </row>
    <row r="2172">
      <c r="G2172" s="15" t="str">
        <f>IFERROR(__xludf.DUMMYFUNCTION("""COMPUTED_VALUE"""),"BIOL 182")</f>
        <v>BIOL 182</v>
      </c>
    </row>
    <row r="2173">
      <c r="G2173" s="15" t="str">
        <f>IFERROR(__xludf.DUMMYFUNCTION("""COMPUTED_VALUE"""),"BIOL 183")</f>
        <v>BIOL 183</v>
      </c>
    </row>
    <row r="2174">
      <c r="G2174" s="15" t="str">
        <f>IFERROR(__xludf.DUMMYFUNCTION("""COMPUTED_VALUE"""),"BIOL 184")</f>
        <v>BIOL 184</v>
      </c>
    </row>
    <row r="2175">
      <c r="G2175" s="15" t="str">
        <f>IFERROR(__xludf.DUMMYFUNCTION("""COMPUTED_VALUE"""),"BIOL 185L")</f>
        <v>BIOL 185L</v>
      </c>
    </row>
    <row r="2176">
      <c r="G2176" s="15" t="str">
        <f>IFERROR(__xludf.DUMMYFUNCTION("""COMPUTED_VALUE"""),"BIOL 187M")</f>
        <v>BIOL 187M</v>
      </c>
    </row>
    <row r="2177">
      <c r="G2177" s="15" t="str">
        <f>IFERROR(__xludf.DUMMYFUNCTION("""COMPUTED_VALUE"""),"BIOL 188L")</f>
        <v>BIOL 188L</v>
      </c>
    </row>
    <row r="2178">
      <c r="G2178" s="15" t="str">
        <f>IFERROR(__xludf.DUMMYFUNCTION("""COMPUTED_VALUE"""),"BIOL 189L")</f>
        <v>BIOL 189L</v>
      </c>
    </row>
    <row r="2179">
      <c r="G2179" s="15" t="str">
        <f>IFERROR(__xludf.DUMMYFUNCTION("""COMPUTED_VALUE"""),"BIOL 190")</f>
        <v>BIOL 190</v>
      </c>
    </row>
    <row r="2180">
      <c r="G2180" s="15" t="str">
        <f>IFERROR(__xludf.DUMMYFUNCTION("""COMPUTED_VALUE"""),"BIOL 190L")</f>
        <v>BIOL 190L</v>
      </c>
    </row>
    <row r="2181">
      <c r="G2181" s="15" t="str">
        <f>IFERROR(__xludf.DUMMYFUNCTION("""COMPUTED_VALUE"""),"BIOL 191")</f>
        <v>BIOL 191</v>
      </c>
    </row>
    <row r="2182">
      <c r="G2182" s="15" t="str">
        <f>IFERROR(__xludf.DUMMYFUNCTION("""COMPUTED_VALUE"""),"BIOL 191F")</f>
        <v>BIOL 191F</v>
      </c>
    </row>
    <row r="2183">
      <c r="G2183" s="15" t="str">
        <f>IFERROR(__xludf.DUMMYFUNCTION("""COMPUTED_VALUE"""),"BIOL 191H")</f>
        <v>BIOL 191H</v>
      </c>
    </row>
    <row r="2184">
      <c r="G2184" s="15" t="str">
        <f>IFERROR(__xludf.DUMMYFUNCTION("""COMPUTED_VALUE"""),"BIOL 193")</f>
        <v>BIOL 193</v>
      </c>
    </row>
    <row r="2185">
      <c r="G2185" s="15" t="str">
        <f>IFERROR(__xludf.DUMMYFUNCTION("""COMPUTED_VALUE"""),"BIOL 194A")</f>
        <v>BIOL 194A</v>
      </c>
    </row>
    <row r="2186">
      <c r="G2186" s="15" t="str">
        <f>IFERROR(__xludf.DUMMYFUNCTION("""COMPUTED_VALUE"""),"BIOL 195")</f>
        <v>BIOL 195</v>
      </c>
    </row>
    <row r="2187">
      <c r="G2187" s="15" t="str">
        <f>IFERROR(__xludf.DUMMYFUNCTION("""COMPUTED_VALUE"""),"BIOL 197")</f>
        <v>BIOL 197</v>
      </c>
    </row>
    <row r="2188">
      <c r="G2188" s="15" t="str">
        <f>IFERROR(__xludf.DUMMYFUNCTION("""COMPUTED_VALUE"""),"CASA 101")</f>
        <v>CASA 101</v>
      </c>
    </row>
    <row r="2189">
      <c r="G2189" s="15" t="str">
        <f>IFERROR(__xludf.DUMMYFUNCTION("""COMPUTED_VALUE"""),"CASA 105")</f>
        <v>CASA 105</v>
      </c>
    </row>
    <row r="2190">
      <c r="G2190" s="15" t="str">
        <f>IFERROR(__xludf.DUMMYFUNCTION("""COMPUTED_VALUE"""),"CGS 025C")</f>
        <v>CGS 025C</v>
      </c>
    </row>
    <row r="2191">
      <c r="G2191" s="15" t="str">
        <f>IFERROR(__xludf.DUMMYFUNCTION("""COMPUTED_VALUE"""),"CGS 050")</f>
        <v>CGS 050</v>
      </c>
    </row>
    <row r="2192">
      <c r="G2192" s="15" t="str">
        <f>IFERROR(__xludf.DUMMYFUNCTION("""COMPUTED_VALUE"""),"CGS 090")</f>
        <v>CGS 090</v>
      </c>
    </row>
    <row r="2193">
      <c r="G2193" s="15" t="str">
        <f>IFERROR(__xludf.DUMMYFUNCTION("""COMPUTED_VALUE"""),"CGS 092")</f>
        <v>CGS 092</v>
      </c>
    </row>
    <row r="2194">
      <c r="G2194" s="15" t="str">
        <f>IFERROR(__xludf.DUMMYFUNCTION("""COMPUTED_VALUE"""),"CGS 095")</f>
        <v>CGS 095</v>
      </c>
    </row>
    <row r="2195">
      <c r="G2195" s="15" t="str">
        <f>IFERROR(__xludf.DUMMYFUNCTION("""COMPUTED_VALUE"""),"CGS 097")</f>
        <v>CGS 097</v>
      </c>
    </row>
    <row r="2196">
      <c r="G2196" s="15" t="str">
        <f>IFERROR(__xludf.DUMMYFUNCTION("""COMPUTED_VALUE"""),"CGS 110")</f>
        <v>CGS 110</v>
      </c>
    </row>
    <row r="2197">
      <c r="G2197" s="15" t="str">
        <f>IFERROR(__xludf.DUMMYFUNCTION("""COMPUTED_VALUE"""),"CGS 112")</f>
        <v>CGS 112</v>
      </c>
    </row>
    <row r="2198">
      <c r="G2198" s="15" t="str">
        <f>IFERROR(__xludf.DUMMYFUNCTION("""COMPUTED_VALUE"""),"CGS 120")</f>
        <v>CGS 120</v>
      </c>
    </row>
    <row r="2199">
      <c r="G2199" s="15" t="str">
        <f>IFERROR(__xludf.DUMMYFUNCTION("""COMPUTED_VALUE"""),"CGS 125")</f>
        <v>CGS 125</v>
      </c>
    </row>
    <row r="2200">
      <c r="G2200" s="15" t="str">
        <f>IFERROR(__xludf.DUMMYFUNCTION("""COMPUTED_VALUE"""),"CGS 131")</f>
        <v>CGS 131</v>
      </c>
    </row>
    <row r="2201">
      <c r="G2201" s="15" t="str">
        <f>IFERROR(__xludf.DUMMYFUNCTION("""COMPUTED_VALUE"""),"CGS 132")</f>
        <v>CGS 132</v>
      </c>
    </row>
    <row r="2202">
      <c r="G2202" s="15" t="str">
        <f>IFERROR(__xludf.DUMMYFUNCTION("""COMPUTED_VALUE"""),"CGS 133")</f>
        <v>CGS 133</v>
      </c>
    </row>
    <row r="2203">
      <c r="G2203" s="15" t="str">
        <f>IFERROR(__xludf.DUMMYFUNCTION("""COMPUTED_VALUE"""),"CGS 134")</f>
        <v>CGS 134</v>
      </c>
    </row>
    <row r="2204">
      <c r="G2204" s="15" t="str">
        <f>IFERROR(__xludf.DUMMYFUNCTION("""COMPUTED_VALUE"""),"CGS 135")</f>
        <v>CGS 135</v>
      </c>
    </row>
    <row r="2205">
      <c r="G2205" s="15" t="str">
        <f>IFERROR(__xludf.DUMMYFUNCTION("""COMPUTED_VALUE"""),"CHEM 001B")</f>
        <v>CHEM 001B</v>
      </c>
    </row>
    <row r="2206">
      <c r="G2206" s="15" t="str">
        <f>IFERROR(__xludf.DUMMYFUNCTION("""COMPUTED_VALUE"""),"CHEM 001BL")</f>
        <v>CHEM 001BL</v>
      </c>
    </row>
    <row r="2207">
      <c r="G2207" s="15" t="str">
        <f>IFERROR(__xludf.DUMMYFUNCTION("""COMPUTED_VALUE"""),"CHEM 015L")</f>
        <v>CHEM 015L</v>
      </c>
    </row>
    <row r="2208">
      <c r="G2208" s="15" t="str">
        <f>IFERROR(__xludf.DUMMYFUNCTION("""COMPUTED_VALUE"""),"CHEM 023B")</f>
        <v>CHEM 023B</v>
      </c>
    </row>
    <row r="2209">
      <c r="G2209" s="15" t="str">
        <f>IFERROR(__xludf.DUMMYFUNCTION("""COMPUTED_VALUE"""),"CHEM 024")</f>
        <v>CHEM 024</v>
      </c>
    </row>
    <row r="2210">
      <c r="G2210" s="15" t="str">
        <f>IFERROR(__xludf.DUMMYFUNCTION("""COMPUTED_VALUE"""),"CHEM 056")</f>
        <v>CHEM 056</v>
      </c>
    </row>
    <row r="2211">
      <c r="G2211" s="15" t="str">
        <f>IFERROR(__xludf.DUMMYFUNCTION("""COMPUTED_VALUE"""),"CHEM 058")</f>
        <v>CHEM 058</v>
      </c>
    </row>
    <row r="2212">
      <c r="G2212" s="15" t="str">
        <f>IFERROR(__xludf.DUMMYFUNCTION("""COMPUTED_VALUE"""),"CHEM 070L")</f>
        <v>CHEM 070L</v>
      </c>
    </row>
    <row r="2213">
      <c r="G2213" s="15" t="str">
        <f>IFERROR(__xludf.DUMMYFUNCTION("""COMPUTED_VALUE"""),"CHEM 104")</f>
        <v>CHEM 104</v>
      </c>
    </row>
    <row r="2214">
      <c r="G2214" s="15" t="str">
        <f>IFERROR(__xludf.DUMMYFUNCTION("""COMPUTED_VALUE"""),"CHEM 106")</f>
        <v>CHEM 106</v>
      </c>
    </row>
    <row r="2215">
      <c r="G2215" s="15" t="str">
        <f>IFERROR(__xludf.DUMMYFUNCTION("""COMPUTED_VALUE"""),"CHEM 110")</f>
        <v>CHEM 110</v>
      </c>
    </row>
    <row r="2216">
      <c r="G2216" s="15" t="str">
        <f>IFERROR(__xludf.DUMMYFUNCTION("""COMPUTED_VALUE"""),"CHEM 110B")</f>
        <v>CHEM 110B</v>
      </c>
    </row>
    <row r="2217">
      <c r="G2217" s="15" t="str">
        <f>IFERROR(__xludf.DUMMYFUNCTION("""COMPUTED_VALUE"""),"CHEM 112")</f>
        <v>CHEM 112</v>
      </c>
    </row>
    <row r="2218">
      <c r="G2218" s="15" t="str">
        <f>IFERROR(__xludf.DUMMYFUNCTION("""COMPUTED_VALUE"""),"CHEM 114")</f>
        <v>CHEM 114</v>
      </c>
    </row>
    <row r="2219">
      <c r="G2219" s="15" t="str">
        <f>IFERROR(__xludf.DUMMYFUNCTION("""COMPUTED_VALUE"""),"CHEM 115")</f>
        <v>CHEM 115</v>
      </c>
    </row>
    <row r="2220">
      <c r="G2220" s="15" t="str">
        <f>IFERROR(__xludf.DUMMYFUNCTION("""COMPUTED_VALUE"""),"CHEM 115L")</f>
        <v>CHEM 115L</v>
      </c>
    </row>
    <row r="2221">
      <c r="G2221" s="15" t="str">
        <f>IFERROR(__xludf.DUMMYFUNCTION("""COMPUTED_VALUE"""),"CHEM 117L")</f>
        <v>CHEM 117L</v>
      </c>
    </row>
    <row r="2222">
      <c r="G2222" s="15" t="str">
        <f>IFERROR(__xludf.DUMMYFUNCTION("""COMPUTED_VALUE"""),"CHEM 117LX")</f>
        <v>CHEM 117LX</v>
      </c>
    </row>
    <row r="2223">
      <c r="G2223" s="15" t="str">
        <f>IFERROR(__xludf.DUMMYFUNCTION("""COMPUTED_VALUE"""),"CHEM 121")</f>
        <v>CHEM 121</v>
      </c>
    </row>
    <row r="2224">
      <c r="G2224" s="15" t="str">
        <f>IFERROR(__xludf.DUMMYFUNCTION("""COMPUTED_VALUE"""),"CHEM 125L")</f>
        <v>CHEM 125L</v>
      </c>
    </row>
    <row r="2225">
      <c r="G2225" s="15" t="str">
        <f>IFERROR(__xludf.DUMMYFUNCTION("""COMPUTED_VALUE"""),"CHEM 127L")</f>
        <v>CHEM 127L</v>
      </c>
    </row>
    <row r="2226">
      <c r="G2226" s="15" t="str">
        <f>IFERROR(__xludf.DUMMYFUNCTION("""COMPUTED_VALUE"""),"CHEM 147")</f>
        <v>CHEM 147</v>
      </c>
    </row>
    <row r="2227">
      <c r="G2227" s="15" t="str">
        <f>IFERROR(__xludf.DUMMYFUNCTION("""COMPUTED_VALUE"""),"CHEM 150")</f>
        <v>CHEM 150</v>
      </c>
    </row>
    <row r="2228">
      <c r="G2228" s="15" t="str">
        <f>IFERROR(__xludf.DUMMYFUNCTION("""COMPUTED_VALUE"""),"CHEM 152")</f>
        <v>CHEM 152</v>
      </c>
    </row>
    <row r="2229">
      <c r="G2229" s="15" t="str">
        <f>IFERROR(__xludf.DUMMYFUNCTION("""COMPUTED_VALUE"""),"CHEM 156")</f>
        <v>CHEM 156</v>
      </c>
    </row>
    <row r="2230">
      <c r="G2230" s="15" t="str">
        <f>IFERROR(__xludf.DUMMYFUNCTION("""COMPUTED_VALUE"""),"CHEM 158B")</f>
        <v>CHEM 158B</v>
      </c>
    </row>
    <row r="2231">
      <c r="G2231" s="15" t="str">
        <f>IFERROR(__xludf.DUMMYFUNCTION("""COMPUTED_VALUE"""),"CHEM 158BL")</f>
        <v>CHEM 158BL</v>
      </c>
    </row>
    <row r="2232">
      <c r="G2232" s="15" t="str">
        <f>IFERROR(__xludf.DUMMYFUNCTION("""COMPUTED_VALUE"""),"CHEM 162")</f>
        <v>CHEM 162</v>
      </c>
    </row>
    <row r="2233">
      <c r="G2233" s="15" t="str">
        <f>IFERROR(__xludf.DUMMYFUNCTION("""COMPUTED_VALUE"""),"CHEM 164")</f>
        <v>CHEM 164</v>
      </c>
    </row>
    <row r="2234">
      <c r="G2234" s="15" t="str">
        <f>IFERROR(__xludf.DUMMYFUNCTION("""COMPUTED_VALUE"""),"CHEM 177")</f>
        <v>CHEM 177</v>
      </c>
    </row>
    <row r="2235">
      <c r="G2235" s="15" t="str">
        <f>IFERROR(__xludf.DUMMYFUNCTION("""COMPUTED_VALUE"""),"CHEM 181")</f>
        <v>CHEM 181</v>
      </c>
    </row>
    <row r="2236">
      <c r="G2236" s="15" t="str">
        <f>IFERROR(__xludf.DUMMYFUNCTION("""COMPUTED_VALUE"""),"CHEM 182")</f>
        <v>CHEM 182</v>
      </c>
    </row>
    <row r="2237">
      <c r="G2237" s="15" t="str">
        <f>IFERROR(__xludf.DUMMYFUNCTION("""COMPUTED_VALUE"""),"CHEM 184")</f>
        <v>CHEM 184</v>
      </c>
    </row>
    <row r="2238">
      <c r="G2238" s="15" t="str">
        <f>IFERROR(__xludf.DUMMYFUNCTION("""COMPUTED_VALUE"""),"CHEM 188L")</f>
        <v>CHEM 188L</v>
      </c>
    </row>
    <row r="2239">
      <c r="G2239" s="15" t="str">
        <f>IFERROR(__xludf.DUMMYFUNCTION("""COMPUTED_VALUE"""),"CHEM 189L")</f>
        <v>CHEM 189L</v>
      </c>
    </row>
    <row r="2240">
      <c r="G2240" s="15" t="str">
        <f>IFERROR(__xludf.DUMMYFUNCTION("""COMPUTED_VALUE"""),"CHEM 190")</f>
        <v>CHEM 190</v>
      </c>
    </row>
    <row r="2241">
      <c r="G2241" s="15" t="str">
        <f>IFERROR(__xludf.DUMMYFUNCTION("""COMPUTED_VALUE"""),"CHEM 190L")</f>
        <v>CHEM 190L</v>
      </c>
    </row>
    <row r="2242">
      <c r="G2242" s="15" t="str">
        <f>IFERROR(__xludf.DUMMYFUNCTION("""COMPUTED_VALUE"""),"CHEM 191")</f>
        <v>CHEM 191</v>
      </c>
    </row>
    <row r="2243">
      <c r="G2243" s="15" t="str">
        <f>IFERROR(__xludf.DUMMYFUNCTION("""COMPUTED_VALUE"""),"CHEM 194")</f>
        <v>CHEM 194</v>
      </c>
    </row>
    <row r="2244">
      <c r="G2244" s="15" t="str">
        <f>IFERROR(__xludf.DUMMYFUNCTION("""COMPUTED_VALUE"""),"CHEM 198")</f>
        <v>CHEM 198</v>
      </c>
    </row>
    <row r="2245">
      <c r="G2245" s="15" t="str">
        <f>IFERROR(__xludf.DUMMYFUNCTION("""COMPUTED_VALUE"""),"CHEM 199")</f>
        <v>CHEM 199</v>
      </c>
    </row>
    <row r="2246">
      <c r="G2246" s="15" t="str">
        <f>IFERROR(__xludf.DUMMYFUNCTION("""COMPUTED_VALUE"""),"CHIN 001B")</f>
        <v>CHIN 001B</v>
      </c>
    </row>
    <row r="2247">
      <c r="G2247" s="15" t="str">
        <f>IFERROR(__xludf.DUMMYFUNCTION("""COMPUTED_VALUE"""),"CHIN 011")</f>
        <v>CHIN 011</v>
      </c>
    </row>
    <row r="2248">
      <c r="G2248" s="15" t="str">
        <f>IFERROR(__xludf.DUMMYFUNCTION("""COMPUTED_VALUE"""),"CHIN 013")</f>
        <v>CHIN 013</v>
      </c>
    </row>
    <row r="2249">
      <c r="G2249" s="15" t="str">
        <f>IFERROR(__xludf.DUMMYFUNCTION("""COMPUTED_VALUE"""),"CHIN 051B")</f>
        <v>CHIN 051B</v>
      </c>
    </row>
    <row r="2250">
      <c r="G2250" s="15" t="str">
        <f>IFERROR(__xludf.DUMMYFUNCTION("""COMPUTED_VALUE"""),"CHIN 051H")</f>
        <v>CHIN 051H</v>
      </c>
    </row>
    <row r="2251">
      <c r="G2251" s="15" t="str">
        <f>IFERROR(__xludf.DUMMYFUNCTION("""COMPUTED_VALUE"""),"CHIN 111B")</f>
        <v>CHIN 111B</v>
      </c>
    </row>
    <row r="2252">
      <c r="G2252" s="15" t="str">
        <f>IFERROR(__xludf.DUMMYFUNCTION("""COMPUTED_VALUE"""),"CHIN 122")</f>
        <v>CHIN 122</v>
      </c>
    </row>
    <row r="2253">
      <c r="G2253" s="15" t="str">
        <f>IFERROR(__xludf.DUMMYFUNCTION("""COMPUTED_VALUE"""),"CHIN 131")</f>
        <v>CHIN 131</v>
      </c>
    </row>
    <row r="2254">
      <c r="G2254" s="15" t="str">
        <f>IFERROR(__xludf.DUMMYFUNCTION("""COMPUTED_VALUE"""),"CHLT 060")</f>
        <v>CHLT 060</v>
      </c>
    </row>
    <row r="2255">
      <c r="G2255" s="15" t="str">
        <f>IFERROR(__xludf.DUMMYFUNCTION("""COMPUTED_VALUE"""),"CHLT 085")</f>
        <v>CHLT 085</v>
      </c>
    </row>
    <row r="2256">
      <c r="G2256" s="15" t="str">
        <f>IFERROR(__xludf.DUMMYFUNCTION("""COMPUTED_VALUE"""),"CHLT 115")</f>
        <v>CHLT 115</v>
      </c>
    </row>
    <row r="2257">
      <c r="G2257" s="15" t="str">
        <f>IFERROR(__xludf.DUMMYFUNCTION("""COMPUTED_VALUE"""),"CHLT 153")</f>
        <v>CHLT 153</v>
      </c>
    </row>
    <row r="2258">
      <c r="G2258" s="15" t="str">
        <f>IFERROR(__xludf.DUMMYFUNCTION("""COMPUTED_VALUE"""),"CHLT 160")</f>
        <v>CHLT 160</v>
      </c>
    </row>
    <row r="2259">
      <c r="G2259" s="15" t="str">
        <f>IFERROR(__xludf.DUMMYFUNCTION("""COMPUTED_VALUE"""),"CHLT 170")</f>
        <v>CHLT 170</v>
      </c>
    </row>
    <row r="2260">
      <c r="G2260" s="15" t="str">
        <f>IFERROR(__xludf.DUMMYFUNCTION("""COMPUTED_VALUE"""),"CHNT 164")</f>
        <v>CHNT 164</v>
      </c>
    </row>
    <row r="2261">
      <c r="G2261" s="15" t="str">
        <f>IFERROR(__xludf.DUMMYFUNCTION("""COMPUTED_VALUE"""),"CHST 015")</f>
        <v>CHST 015</v>
      </c>
    </row>
    <row r="2262">
      <c r="G2262" s="15" t="str">
        <f>IFERROR(__xludf.DUMMYFUNCTION("""COMPUTED_VALUE"""),"CHST 028")</f>
        <v>CHST 028</v>
      </c>
    </row>
    <row r="2263">
      <c r="G2263" s="15" t="str">
        <f>IFERROR(__xludf.DUMMYFUNCTION("""COMPUTED_VALUE"""),"CHST 066")</f>
        <v>CHST 066</v>
      </c>
    </row>
    <row r="2264">
      <c r="G2264" s="15" t="str">
        <f>IFERROR(__xludf.DUMMYFUNCTION("""COMPUTED_VALUE"""),"CHST 067")</f>
        <v>CHST 067</v>
      </c>
    </row>
    <row r="2265">
      <c r="G2265" s="15" t="str">
        <f>IFERROR(__xludf.DUMMYFUNCTION("""COMPUTED_VALUE"""),"CHST 120")</f>
        <v>CHST 120</v>
      </c>
    </row>
    <row r="2266">
      <c r="G2266" s="15" t="str">
        <f>IFERROR(__xludf.DUMMYFUNCTION("""COMPUTED_VALUE"""),"CHST 130")</f>
        <v>CHST 130</v>
      </c>
    </row>
    <row r="2267">
      <c r="G2267" s="15" t="str">
        <f>IFERROR(__xludf.DUMMYFUNCTION("""COMPUTED_VALUE"""),"CHST 132")</f>
        <v>CHST 132</v>
      </c>
    </row>
    <row r="2268">
      <c r="G2268" s="15" t="str">
        <f>IFERROR(__xludf.DUMMYFUNCTION("""COMPUTED_VALUE"""),"CHST 191")</f>
        <v>CHST 191</v>
      </c>
    </row>
    <row r="2269">
      <c r="G2269" s="15" t="str">
        <f>IFERROR(__xludf.DUMMYFUNCTION("""COMPUTED_VALUE"""),"CHST 192")</f>
        <v>CHST 192</v>
      </c>
    </row>
    <row r="2270">
      <c r="G2270" s="15" t="str">
        <f>IFERROR(__xludf.DUMMYFUNCTION("""COMPUTED_VALUE"""),"CLAS 001")</f>
        <v>CLAS 001</v>
      </c>
    </row>
    <row r="2271">
      <c r="G2271" s="15" t="str">
        <f>IFERROR(__xludf.DUMMYFUNCTION("""COMPUTED_VALUE"""),"CLAS 019")</f>
        <v>CLAS 019</v>
      </c>
    </row>
    <row r="2272">
      <c r="G2272" s="15" t="str">
        <f>IFERROR(__xludf.DUMMYFUNCTION("""COMPUTED_VALUE"""),"CLAS 064")</f>
        <v>CLAS 064</v>
      </c>
    </row>
    <row r="2273">
      <c r="G2273" s="15" t="str">
        <f>IFERROR(__xludf.DUMMYFUNCTION("""COMPUTED_VALUE"""),"CLAS 106")</f>
        <v>CLAS 106</v>
      </c>
    </row>
    <row r="2274">
      <c r="G2274" s="15" t="str">
        <f>IFERROR(__xludf.DUMMYFUNCTION("""COMPUTED_VALUE"""),"CLAS 114")</f>
        <v>CLAS 114</v>
      </c>
    </row>
    <row r="2275">
      <c r="G2275" s="15" t="str">
        <f>IFERROR(__xludf.DUMMYFUNCTION("""COMPUTED_VALUE"""),"CLAS 116A")</f>
        <v>CLAS 116A</v>
      </c>
    </row>
    <row r="2276">
      <c r="G2276" s="15" t="str">
        <f>IFERROR(__xludf.DUMMYFUNCTION("""COMPUTED_VALUE"""),"CLAS 162")</f>
        <v>CLAS 162</v>
      </c>
    </row>
    <row r="2277">
      <c r="G2277" s="15" t="str">
        <f>IFERROR(__xludf.DUMMYFUNCTION("""COMPUTED_VALUE"""),"CLAS 191")</f>
        <v>CLAS 191</v>
      </c>
    </row>
    <row r="2278">
      <c r="G2278" s="15" t="str">
        <f>IFERROR(__xludf.DUMMYFUNCTION("""COMPUTED_VALUE"""),"CORE 002")</f>
        <v>CORE 002</v>
      </c>
    </row>
    <row r="2279">
      <c r="G2279" s="15" t="str">
        <f>IFERROR(__xludf.DUMMYFUNCTION("""COMPUTED_VALUE"""),"CREA 018")</f>
        <v>CREA 018</v>
      </c>
    </row>
    <row r="2280">
      <c r="G2280" s="15" t="str">
        <f>IFERROR(__xludf.DUMMYFUNCTION("""COMPUTED_VALUE"""),"CREA 193A")</f>
        <v>CREA 193A</v>
      </c>
    </row>
    <row r="2281">
      <c r="G2281" s="15" t="str">
        <f>IFERROR(__xludf.DUMMYFUNCTION("""COMPUTED_VALUE"""),"CSCI 005")</f>
        <v>CSCI 005</v>
      </c>
    </row>
    <row r="2282">
      <c r="G2282" s="15" t="str">
        <f>IFERROR(__xludf.DUMMYFUNCTION("""COMPUTED_VALUE"""),"CSCI 005L")</f>
        <v>CSCI 005L</v>
      </c>
    </row>
    <row r="2283">
      <c r="G2283" s="15" t="str">
        <f>IFERROR(__xludf.DUMMYFUNCTION("""COMPUTED_VALUE"""),"CSCI 036")</f>
        <v>CSCI 036</v>
      </c>
    </row>
    <row r="2284">
      <c r="G2284" s="15" t="str">
        <f>IFERROR(__xludf.DUMMYFUNCTION("""COMPUTED_VALUE"""),"CSCI 046")</f>
        <v>CSCI 046</v>
      </c>
    </row>
    <row r="2285">
      <c r="G2285" s="15" t="str">
        <f>IFERROR(__xludf.DUMMYFUNCTION("""COMPUTED_VALUE"""),"CSCI 051P")</f>
        <v>CSCI 051P</v>
      </c>
    </row>
    <row r="2286">
      <c r="G2286" s="15" t="str">
        <f>IFERROR(__xludf.DUMMYFUNCTION("""COMPUTED_VALUE"""),"CSCI 051PL")</f>
        <v>CSCI 051PL</v>
      </c>
    </row>
    <row r="2287">
      <c r="G2287" s="15" t="str">
        <f>IFERROR(__xludf.DUMMYFUNCTION("""COMPUTED_VALUE"""),"CSCI 054")</f>
        <v>CSCI 054</v>
      </c>
    </row>
    <row r="2288">
      <c r="G2288" s="15" t="str">
        <f>IFERROR(__xludf.DUMMYFUNCTION("""COMPUTED_VALUE"""),"CSCI 060")</f>
        <v>CSCI 060</v>
      </c>
    </row>
    <row r="2289">
      <c r="G2289" s="15" t="str">
        <f>IFERROR(__xludf.DUMMYFUNCTION("""COMPUTED_VALUE"""),"CSCI 062")</f>
        <v>CSCI 062</v>
      </c>
    </row>
    <row r="2290">
      <c r="G2290" s="15" t="str">
        <f>IFERROR(__xludf.DUMMYFUNCTION("""COMPUTED_VALUE"""),"CSCI 062L")</f>
        <v>CSCI 062L</v>
      </c>
    </row>
    <row r="2291">
      <c r="G2291" s="15" t="str">
        <f>IFERROR(__xludf.DUMMYFUNCTION("""COMPUTED_VALUE"""),"CSCI 070")</f>
        <v>CSCI 070</v>
      </c>
    </row>
    <row r="2292">
      <c r="G2292" s="15" t="str">
        <f>IFERROR(__xludf.DUMMYFUNCTION("""COMPUTED_VALUE"""),"CSCI 081")</f>
        <v>CSCI 081</v>
      </c>
    </row>
    <row r="2293">
      <c r="G2293" s="15" t="str">
        <f>IFERROR(__xludf.DUMMYFUNCTION("""COMPUTED_VALUE"""),"CSCI 101")</f>
        <v>CSCI 101</v>
      </c>
    </row>
    <row r="2294">
      <c r="G2294" s="15" t="str">
        <f>IFERROR(__xludf.DUMMYFUNCTION("""COMPUTED_VALUE"""),"CSCI 105")</f>
        <v>CSCI 105</v>
      </c>
    </row>
    <row r="2295">
      <c r="G2295" s="15" t="str">
        <f>IFERROR(__xludf.DUMMYFUNCTION("""COMPUTED_VALUE"""),"CSCI 105L")</f>
        <v>CSCI 105L</v>
      </c>
    </row>
    <row r="2296">
      <c r="G2296" s="15" t="str">
        <f>IFERROR(__xludf.DUMMYFUNCTION("""COMPUTED_VALUE"""),"CSCI 121")</f>
        <v>CSCI 121</v>
      </c>
    </row>
    <row r="2297">
      <c r="G2297" s="15" t="str">
        <f>IFERROR(__xludf.DUMMYFUNCTION("""COMPUTED_VALUE"""),"CSCI 131")</f>
        <v>CSCI 131</v>
      </c>
    </row>
    <row r="2298">
      <c r="G2298" s="15" t="str">
        <f>IFERROR(__xludf.DUMMYFUNCTION("""COMPUTED_VALUE"""),"CSCI 140")</f>
        <v>CSCI 140</v>
      </c>
    </row>
    <row r="2299">
      <c r="G2299" s="15" t="str">
        <f>IFERROR(__xludf.DUMMYFUNCTION("""COMPUTED_VALUE"""),"CSCI 143")</f>
        <v>CSCI 143</v>
      </c>
    </row>
    <row r="2300">
      <c r="G2300" s="15" t="str">
        <f>IFERROR(__xludf.DUMMYFUNCTION("""COMPUTED_VALUE"""),"CSCI 144")</f>
        <v>CSCI 144</v>
      </c>
    </row>
    <row r="2301">
      <c r="G2301" s="15" t="str">
        <f>IFERROR(__xludf.DUMMYFUNCTION("""COMPUTED_VALUE"""),"CSCI 151")</f>
        <v>CSCI 151</v>
      </c>
    </row>
    <row r="2302">
      <c r="G2302" s="15" t="str">
        <f>IFERROR(__xludf.DUMMYFUNCTION("""COMPUTED_VALUE"""),"CSCI 152")</f>
        <v>CSCI 152</v>
      </c>
    </row>
    <row r="2303">
      <c r="G2303" s="15" t="str">
        <f>IFERROR(__xludf.DUMMYFUNCTION("""COMPUTED_VALUE"""),"CSCI 159")</f>
        <v>CSCI 159</v>
      </c>
    </row>
    <row r="2304">
      <c r="G2304" s="15" t="str">
        <f>IFERROR(__xludf.DUMMYFUNCTION("""COMPUTED_VALUE"""),"CSCI 181G")</f>
        <v>CSCI 181G</v>
      </c>
    </row>
    <row r="2305">
      <c r="G2305" s="15" t="str">
        <f>IFERROR(__xludf.DUMMYFUNCTION("""COMPUTED_VALUE"""),"CSCI 181V")</f>
        <v>CSCI 181V</v>
      </c>
    </row>
    <row r="2306">
      <c r="G2306" s="15" t="str">
        <f>IFERROR(__xludf.DUMMYFUNCTION("""COMPUTED_VALUE"""),"CSCI 181Y")</f>
        <v>CSCI 181Y</v>
      </c>
    </row>
    <row r="2307">
      <c r="G2307" s="15" t="str">
        <f>IFERROR(__xludf.DUMMYFUNCTION("""COMPUTED_VALUE"""),"CSCI 181Z")</f>
        <v>CSCI 181Z</v>
      </c>
    </row>
    <row r="2308">
      <c r="G2308" s="15" t="str">
        <f>IFERROR(__xludf.DUMMYFUNCTION("""COMPUTED_VALUE"""),"CSCI 184")</f>
        <v>CSCI 184</v>
      </c>
    </row>
    <row r="2309">
      <c r="G2309" s="15" t="str">
        <f>IFERROR(__xludf.DUMMYFUNCTION("""COMPUTED_VALUE"""),"CSCI 186")</f>
        <v>CSCI 186</v>
      </c>
    </row>
    <row r="2310">
      <c r="G2310" s="15" t="str">
        <f>IFERROR(__xludf.DUMMYFUNCTION("""COMPUTED_VALUE"""),"CSCI 188")</f>
        <v>CSCI 188</v>
      </c>
    </row>
    <row r="2311">
      <c r="G2311" s="15" t="str">
        <f>IFERROR(__xludf.DUMMYFUNCTION("""COMPUTED_VALUE"""),"CSCI 189")</f>
        <v>CSCI 189</v>
      </c>
    </row>
    <row r="2312">
      <c r="G2312" s="15" t="str">
        <f>IFERROR(__xludf.DUMMYFUNCTION("""COMPUTED_VALUE"""),"CSCI 190")</f>
        <v>CSCI 190</v>
      </c>
    </row>
    <row r="2313">
      <c r="G2313" s="15" t="str">
        <f>IFERROR(__xludf.DUMMYFUNCTION("""COMPUTED_VALUE"""),"CSCI 191")</f>
        <v>CSCI 191</v>
      </c>
    </row>
    <row r="2314">
      <c r="G2314" s="15" t="str">
        <f>IFERROR(__xludf.DUMMYFUNCTION("""COMPUTED_VALUE"""),"CSCI 192")</f>
        <v>CSCI 192</v>
      </c>
    </row>
    <row r="2315">
      <c r="G2315" s="15" t="str">
        <f>IFERROR(__xludf.DUMMYFUNCTION("""COMPUTED_VALUE"""),"CSCI 195")</f>
        <v>CSCI 195</v>
      </c>
    </row>
    <row r="2316">
      <c r="G2316" s="15" t="str">
        <f>IFERROR(__xludf.DUMMYFUNCTION("""COMPUTED_VALUE"""),"CSMT 184")</f>
        <v>CSMT 184</v>
      </c>
    </row>
    <row r="2317">
      <c r="G2317" s="15" t="str">
        <f>IFERROR(__xludf.DUMMYFUNCTION("""COMPUTED_VALUE"""),"DANC 010")</f>
        <v>DANC 010</v>
      </c>
    </row>
    <row r="2318">
      <c r="G2318" s="15" t="str">
        <f>IFERROR(__xludf.DUMMYFUNCTION("""COMPUTED_VALUE"""),"DANC 012")</f>
        <v>DANC 012</v>
      </c>
    </row>
    <row r="2319">
      <c r="G2319" s="15" t="str">
        <f>IFERROR(__xludf.DUMMYFUNCTION("""COMPUTED_VALUE"""),"DANC 012P")</f>
        <v>DANC 012P</v>
      </c>
    </row>
    <row r="2320">
      <c r="G2320" s="15" t="str">
        <f>IFERROR(__xludf.DUMMYFUNCTION("""COMPUTED_VALUE"""),"DANC 050")</f>
        <v>DANC 050</v>
      </c>
    </row>
    <row r="2321">
      <c r="G2321" s="15" t="str">
        <f>IFERROR(__xludf.DUMMYFUNCTION("""COMPUTED_VALUE"""),"DANC 050P")</f>
        <v>DANC 050P</v>
      </c>
    </row>
    <row r="2322">
      <c r="G2322" s="15" t="str">
        <f>IFERROR(__xludf.DUMMYFUNCTION("""COMPUTED_VALUE"""),"DANC 051")</f>
        <v>DANC 051</v>
      </c>
    </row>
    <row r="2323">
      <c r="G2323" s="15" t="str">
        <f>IFERROR(__xludf.DUMMYFUNCTION("""COMPUTED_VALUE"""),"DANC 051P")</f>
        <v>DANC 051P</v>
      </c>
    </row>
    <row r="2324">
      <c r="G2324" s="15" t="str">
        <f>IFERROR(__xludf.DUMMYFUNCTION("""COMPUTED_VALUE"""),"DANC 076A")</f>
        <v>DANC 076A</v>
      </c>
    </row>
    <row r="2325">
      <c r="G2325" s="15" t="str">
        <f>IFERROR(__xludf.DUMMYFUNCTION("""COMPUTED_VALUE"""),"DANC 076B")</f>
        <v>DANC 076B</v>
      </c>
    </row>
    <row r="2326">
      <c r="G2326" s="15" t="str">
        <f>IFERROR(__xludf.DUMMYFUNCTION("""COMPUTED_VALUE"""),"DANC 078B")</f>
        <v>DANC 078B</v>
      </c>
    </row>
    <row r="2327">
      <c r="G2327" s="15" t="str">
        <f>IFERROR(__xludf.DUMMYFUNCTION("""COMPUTED_VALUE"""),"DANC 083B")</f>
        <v>DANC 083B</v>
      </c>
    </row>
    <row r="2328">
      <c r="G2328" s="15" t="str">
        <f>IFERROR(__xludf.DUMMYFUNCTION("""COMPUTED_VALUE"""),"DANC 101")</f>
        <v>DANC 101</v>
      </c>
    </row>
    <row r="2329">
      <c r="G2329" s="15" t="str">
        <f>IFERROR(__xludf.DUMMYFUNCTION("""COMPUTED_VALUE"""),"DANC 110B")</f>
        <v>DANC 110B</v>
      </c>
    </row>
    <row r="2330">
      <c r="G2330" s="15" t="str">
        <f>IFERROR(__xludf.DUMMYFUNCTION("""COMPUTED_VALUE"""),"DANC 114A")</f>
        <v>DANC 114A</v>
      </c>
    </row>
    <row r="2331">
      <c r="G2331" s="15" t="str">
        <f>IFERROR(__xludf.DUMMYFUNCTION("""COMPUTED_VALUE"""),"DANC 114B")</f>
        <v>DANC 114B</v>
      </c>
    </row>
    <row r="2332">
      <c r="G2332" s="15" t="str">
        <f>IFERROR(__xludf.DUMMYFUNCTION("""COMPUTED_VALUE"""),"DANC 120")</f>
        <v>DANC 120</v>
      </c>
    </row>
    <row r="2333">
      <c r="G2333" s="15" t="str">
        <f>IFERROR(__xludf.DUMMYFUNCTION("""COMPUTED_VALUE"""),"DANC 120P")</f>
        <v>DANC 120P</v>
      </c>
    </row>
    <row r="2334">
      <c r="G2334" s="15" t="str">
        <f>IFERROR(__xludf.DUMMYFUNCTION("""COMPUTED_VALUE"""),"DANC 121")</f>
        <v>DANC 121</v>
      </c>
    </row>
    <row r="2335">
      <c r="G2335" s="15" t="str">
        <f>IFERROR(__xludf.DUMMYFUNCTION("""COMPUTED_VALUE"""),"DANC 122")</f>
        <v>DANC 122</v>
      </c>
    </row>
    <row r="2336">
      <c r="G2336" s="15" t="str">
        <f>IFERROR(__xludf.DUMMYFUNCTION("""COMPUTED_VALUE"""),"DANC 122P")</f>
        <v>DANC 122P</v>
      </c>
    </row>
    <row r="2337">
      <c r="G2337" s="15" t="str">
        <f>IFERROR(__xludf.DUMMYFUNCTION("""COMPUTED_VALUE"""),"DANC 123")</f>
        <v>DANC 123</v>
      </c>
    </row>
    <row r="2338">
      <c r="G2338" s="15" t="str">
        <f>IFERROR(__xludf.DUMMYFUNCTION("""COMPUTED_VALUE"""),"DANC 124")</f>
        <v>DANC 124</v>
      </c>
    </row>
    <row r="2339">
      <c r="G2339" s="15" t="str">
        <f>IFERROR(__xludf.DUMMYFUNCTION("""COMPUTED_VALUE"""),"DANC 124P")</f>
        <v>DANC 124P</v>
      </c>
    </row>
    <row r="2340">
      <c r="G2340" s="15" t="str">
        <f>IFERROR(__xludf.DUMMYFUNCTION("""COMPUTED_VALUE"""),"DANC 130")</f>
        <v>DANC 130</v>
      </c>
    </row>
    <row r="2341">
      <c r="G2341" s="15" t="str">
        <f>IFERROR(__xludf.DUMMYFUNCTION("""COMPUTED_VALUE"""),"DANC 131")</f>
        <v>DANC 131</v>
      </c>
    </row>
    <row r="2342">
      <c r="G2342" s="15" t="str">
        <f>IFERROR(__xludf.DUMMYFUNCTION("""COMPUTED_VALUE"""),"DANC 150C")</f>
        <v>DANC 150C</v>
      </c>
    </row>
    <row r="2343">
      <c r="G2343" s="15" t="str">
        <f>IFERROR(__xludf.DUMMYFUNCTION("""COMPUTED_VALUE"""),"DANC 151")</f>
        <v>DANC 151</v>
      </c>
    </row>
    <row r="2344">
      <c r="G2344" s="15" t="str">
        <f>IFERROR(__xludf.DUMMYFUNCTION("""COMPUTED_VALUE"""),"DANC 151P")</f>
        <v>DANC 151P</v>
      </c>
    </row>
    <row r="2345">
      <c r="G2345" s="15" t="str">
        <f>IFERROR(__xludf.DUMMYFUNCTION("""COMPUTED_VALUE"""),"DANC 152")</f>
        <v>DANC 152</v>
      </c>
    </row>
    <row r="2346">
      <c r="G2346" s="15" t="str">
        <f>IFERROR(__xludf.DUMMYFUNCTION("""COMPUTED_VALUE"""),"DANC 152P")</f>
        <v>DANC 152P</v>
      </c>
    </row>
    <row r="2347">
      <c r="G2347" s="15" t="str">
        <f>IFERROR(__xludf.DUMMYFUNCTION("""COMPUTED_VALUE"""),"DANC 162A")</f>
        <v>DANC 162A</v>
      </c>
    </row>
    <row r="2348">
      <c r="G2348" s="15" t="str">
        <f>IFERROR(__xludf.DUMMYFUNCTION("""COMPUTED_VALUE"""),"DANC 162B")</f>
        <v>DANC 162B</v>
      </c>
    </row>
    <row r="2349">
      <c r="G2349" s="15" t="str">
        <f>IFERROR(__xludf.DUMMYFUNCTION("""COMPUTED_VALUE"""),"DANC 166")</f>
        <v>DANC 166</v>
      </c>
    </row>
    <row r="2350">
      <c r="G2350" s="15" t="str">
        <f>IFERROR(__xludf.DUMMYFUNCTION("""COMPUTED_VALUE"""),"DANC 166P")</f>
        <v>DANC 166P</v>
      </c>
    </row>
    <row r="2351">
      <c r="G2351" s="15" t="str">
        <f>IFERROR(__xludf.DUMMYFUNCTION("""COMPUTED_VALUE"""),"DANC 175")</f>
        <v>DANC 175</v>
      </c>
    </row>
    <row r="2352">
      <c r="G2352" s="15" t="str">
        <f>IFERROR(__xludf.DUMMYFUNCTION("""COMPUTED_VALUE"""),"DANC 176")</f>
        <v>DANC 176</v>
      </c>
    </row>
    <row r="2353">
      <c r="G2353" s="15" t="str">
        <f>IFERROR(__xludf.DUMMYFUNCTION("""COMPUTED_VALUE"""),"DANC 180")</f>
        <v>DANC 180</v>
      </c>
    </row>
    <row r="2354">
      <c r="G2354" s="15" t="str">
        <f>IFERROR(__xludf.DUMMYFUNCTION("""COMPUTED_VALUE"""),"DANC 180P")</f>
        <v>DANC 180P</v>
      </c>
    </row>
    <row r="2355">
      <c r="G2355" s="15" t="str">
        <f>IFERROR(__xludf.DUMMYFUNCTION("""COMPUTED_VALUE"""),"DANC 181")</f>
        <v>DANC 181</v>
      </c>
    </row>
    <row r="2356">
      <c r="G2356" s="15" t="str">
        <f>IFERROR(__xludf.DUMMYFUNCTION("""COMPUTED_VALUE"""),"DANC 181P")</f>
        <v>DANC 181P</v>
      </c>
    </row>
    <row r="2357">
      <c r="G2357" s="15" t="str">
        <f>IFERROR(__xludf.DUMMYFUNCTION("""COMPUTED_VALUE"""),"DANC 191")</f>
        <v>DANC 191</v>
      </c>
    </row>
    <row r="2358">
      <c r="G2358" s="15" t="str">
        <f>IFERROR(__xludf.DUMMYFUNCTION("""COMPUTED_VALUE"""),"DANC 192")</f>
        <v>DANC 192</v>
      </c>
    </row>
    <row r="2359">
      <c r="G2359" s="15" t="str">
        <f>IFERROR(__xludf.DUMMYFUNCTION("""COMPUTED_VALUE"""),"DANC 193")</f>
        <v>DANC 193</v>
      </c>
    </row>
    <row r="2360">
      <c r="G2360" s="15" t="str">
        <f>IFERROR(__xludf.DUMMYFUNCTION("""COMPUTED_VALUE"""),"DS 002")</f>
        <v>DS 002</v>
      </c>
    </row>
    <row r="2361">
      <c r="G2361" s="15" t="str">
        <f>IFERROR(__xludf.DUMMYFUNCTION("""COMPUTED_VALUE"""),"DS 180")</f>
        <v>DS 180</v>
      </c>
    </row>
    <row r="2362">
      <c r="G2362" s="15" t="str">
        <f>IFERROR(__xludf.DUMMYFUNCTION("""COMPUTED_VALUE"""),"EA 010")</f>
        <v>EA 010</v>
      </c>
    </row>
    <row r="2363">
      <c r="G2363" s="15" t="str">
        <f>IFERROR(__xludf.DUMMYFUNCTION("""COMPUTED_VALUE"""),"EA 020")</f>
        <v>EA 020</v>
      </c>
    </row>
    <row r="2364">
      <c r="G2364" s="15" t="str">
        <f>IFERROR(__xludf.DUMMYFUNCTION("""COMPUTED_VALUE"""),"EA 030E")</f>
        <v>EA 030E</v>
      </c>
    </row>
    <row r="2365">
      <c r="G2365" s="15" t="str">
        <f>IFERROR(__xludf.DUMMYFUNCTION("""COMPUTED_VALUE"""),"EA 030L")</f>
        <v>EA 030L</v>
      </c>
    </row>
    <row r="2366">
      <c r="G2366" s="15" t="str">
        <f>IFERROR(__xludf.DUMMYFUNCTION("""COMPUTED_VALUE"""),"EA 032")</f>
        <v>EA 032</v>
      </c>
    </row>
    <row r="2367">
      <c r="G2367" s="15" t="str">
        <f>IFERROR(__xludf.DUMMYFUNCTION("""COMPUTED_VALUE"""),"EA 055L")</f>
        <v>EA 055L</v>
      </c>
    </row>
    <row r="2368">
      <c r="G2368" s="15" t="str">
        <f>IFERROR(__xludf.DUMMYFUNCTION("""COMPUTED_VALUE"""),"EA 060")</f>
        <v>EA 060</v>
      </c>
    </row>
    <row r="2369">
      <c r="G2369" s="15" t="str">
        <f>IFERROR(__xludf.DUMMYFUNCTION("""COMPUTED_VALUE"""),"EA 086")</f>
        <v>EA 086</v>
      </c>
    </row>
    <row r="2370">
      <c r="G2370" s="15" t="str">
        <f>IFERROR(__xludf.DUMMYFUNCTION("""COMPUTED_VALUE"""),"EA 093")</f>
        <v>EA 093</v>
      </c>
    </row>
    <row r="2371">
      <c r="G2371" s="15" t="str">
        <f>IFERROR(__xludf.DUMMYFUNCTION("""COMPUTED_VALUE"""),"EA 098")</f>
        <v>EA 098</v>
      </c>
    </row>
    <row r="2372">
      <c r="G2372" s="15" t="str">
        <f>IFERROR(__xludf.DUMMYFUNCTION("""COMPUTED_VALUE"""),"EA 101")</f>
        <v>EA 101</v>
      </c>
    </row>
    <row r="2373">
      <c r="G2373" s="15" t="str">
        <f>IFERROR(__xludf.DUMMYFUNCTION("""COMPUTED_VALUE"""),"EA 103")</f>
        <v>EA 103</v>
      </c>
    </row>
    <row r="2374">
      <c r="G2374" s="15" t="str">
        <f>IFERROR(__xludf.DUMMYFUNCTION("""COMPUTED_VALUE"""),"EA 130")</f>
        <v>EA 130</v>
      </c>
    </row>
    <row r="2375">
      <c r="G2375" s="15" t="str">
        <f>IFERROR(__xludf.DUMMYFUNCTION("""COMPUTED_VALUE"""),"EA 134")</f>
        <v>EA 134</v>
      </c>
    </row>
    <row r="2376">
      <c r="G2376" s="15" t="str">
        <f>IFERROR(__xludf.DUMMYFUNCTION("""COMPUTED_VALUE"""),"EA 138")</f>
        <v>EA 138</v>
      </c>
    </row>
    <row r="2377">
      <c r="G2377" s="15" t="str">
        <f>IFERROR(__xludf.DUMMYFUNCTION("""COMPUTED_VALUE"""),"EA 141")</f>
        <v>EA 141</v>
      </c>
    </row>
    <row r="2378">
      <c r="G2378" s="15" t="str">
        <f>IFERROR(__xludf.DUMMYFUNCTION("""COMPUTED_VALUE"""),"EA 144")</f>
        <v>EA 144</v>
      </c>
    </row>
    <row r="2379">
      <c r="G2379" s="15" t="str">
        <f>IFERROR(__xludf.DUMMYFUNCTION("""COMPUTED_VALUE"""),"EA 170")</f>
        <v>EA 170</v>
      </c>
    </row>
    <row r="2380">
      <c r="G2380" s="15" t="str">
        <f>IFERROR(__xludf.DUMMYFUNCTION("""COMPUTED_VALUE"""),"EA 185")</f>
        <v>EA 185</v>
      </c>
    </row>
    <row r="2381">
      <c r="G2381" s="15" t="str">
        <f>IFERROR(__xludf.DUMMYFUNCTION("""COMPUTED_VALUE"""),"EA 188L")</f>
        <v>EA 188L</v>
      </c>
    </row>
    <row r="2382">
      <c r="G2382" s="15" t="str">
        <f>IFERROR(__xludf.DUMMYFUNCTION("""COMPUTED_VALUE"""),"EA 189L")</f>
        <v>EA 189L</v>
      </c>
    </row>
    <row r="2383">
      <c r="G2383" s="15" t="str">
        <f>IFERROR(__xludf.DUMMYFUNCTION("""COMPUTED_VALUE"""),"EA 190L")</f>
        <v>EA 190L</v>
      </c>
    </row>
    <row r="2384">
      <c r="G2384" s="15" t="str">
        <f>IFERROR(__xludf.DUMMYFUNCTION("""COMPUTED_VALUE"""),"EA 191")</f>
        <v>EA 191</v>
      </c>
    </row>
    <row r="2385">
      <c r="G2385" s="15" t="str">
        <f>IFERROR(__xludf.DUMMYFUNCTION("""COMPUTED_VALUE"""),"EA 191H")</f>
        <v>EA 191H</v>
      </c>
    </row>
    <row r="2386">
      <c r="G2386" s="15" t="str">
        <f>IFERROR(__xludf.DUMMYFUNCTION("""COMPUTED_VALUE"""),"EA 197")</f>
        <v>EA 197</v>
      </c>
    </row>
    <row r="2387">
      <c r="G2387" s="15" t="str">
        <f>IFERROR(__xludf.DUMMYFUNCTION("""COMPUTED_VALUE"""),"ECON 050")</f>
        <v>ECON 050</v>
      </c>
    </row>
    <row r="2388">
      <c r="G2388" s="15" t="str">
        <f>IFERROR(__xludf.DUMMYFUNCTION("""COMPUTED_VALUE"""),"ECON 051")</f>
        <v>ECON 051</v>
      </c>
    </row>
    <row r="2389">
      <c r="G2389" s="15" t="str">
        <f>IFERROR(__xludf.DUMMYFUNCTION("""COMPUTED_VALUE"""),"ECON 052")</f>
        <v>ECON 052</v>
      </c>
    </row>
    <row r="2390">
      <c r="G2390" s="15" t="str">
        <f>IFERROR(__xludf.DUMMYFUNCTION("""COMPUTED_VALUE"""),"ECON 057")</f>
        <v>ECON 057</v>
      </c>
    </row>
    <row r="2391">
      <c r="G2391" s="15" t="str">
        <f>IFERROR(__xludf.DUMMYFUNCTION("""COMPUTED_VALUE"""),"ECON 057B")</f>
        <v>ECON 057B</v>
      </c>
    </row>
    <row r="2392">
      <c r="G2392" s="15" t="str">
        <f>IFERROR(__xludf.DUMMYFUNCTION("""COMPUTED_VALUE"""),"ECON 086")</f>
        <v>ECON 086</v>
      </c>
    </row>
    <row r="2393">
      <c r="G2393" s="15" t="str">
        <f>IFERROR(__xludf.DUMMYFUNCTION("""COMPUTED_VALUE"""),"ECON 091")</f>
        <v>ECON 091</v>
      </c>
    </row>
    <row r="2394">
      <c r="G2394" s="15" t="str">
        <f>IFERROR(__xludf.DUMMYFUNCTION("""COMPUTED_VALUE"""),"ECON 097")</f>
        <v>ECON 097</v>
      </c>
    </row>
    <row r="2395">
      <c r="G2395" s="15" t="str">
        <f>IFERROR(__xludf.DUMMYFUNCTION("""COMPUTED_VALUE"""),"ECON 100")</f>
        <v>ECON 100</v>
      </c>
    </row>
    <row r="2396">
      <c r="G2396" s="15" t="str">
        <f>IFERROR(__xludf.DUMMYFUNCTION("""COMPUTED_VALUE"""),"ECON 101")</f>
        <v>ECON 101</v>
      </c>
    </row>
    <row r="2397">
      <c r="G2397" s="15" t="str">
        <f>IFERROR(__xludf.DUMMYFUNCTION("""COMPUTED_VALUE"""),"ECON 102")</f>
        <v>ECON 102</v>
      </c>
    </row>
    <row r="2398">
      <c r="G2398" s="15" t="str">
        <f>IFERROR(__xludf.DUMMYFUNCTION("""COMPUTED_VALUE"""),"ECON 104")</f>
        <v>ECON 104</v>
      </c>
    </row>
    <row r="2399">
      <c r="G2399" s="15" t="str">
        <f>IFERROR(__xludf.DUMMYFUNCTION("""COMPUTED_VALUE"""),"ECON 105")</f>
        <v>ECON 105</v>
      </c>
    </row>
    <row r="2400">
      <c r="G2400" s="15" t="str">
        <f>IFERROR(__xludf.DUMMYFUNCTION("""COMPUTED_VALUE"""),"ECON 107")</f>
        <v>ECON 107</v>
      </c>
    </row>
    <row r="2401">
      <c r="G2401" s="15" t="str">
        <f>IFERROR(__xludf.DUMMYFUNCTION("""COMPUTED_VALUE"""),"ECON 116")</f>
        <v>ECON 116</v>
      </c>
    </row>
    <row r="2402">
      <c r="G2402" s="15" t="str">
        <f>IFERROR(__xludf.DUMMYFUNCTION("""COMPUTED_VALUE"""),"ECON 117")</f>
        <v>ECON 117</v>
      </c>
    </row>
    <row r="2403">
      <c r="G2403" s="15" t="str">
        <f>IFERROR(__xludf.DUMMYFUNCTION("""COMPUTED_VALUE"""),"ECON 120")</f>
        <v>ECON 120</v>
      </c>
    </row>
    <row r="2404">
      <c r="G2404" s="15" t="str">
        <f>IFERROR(__xludf.DUMMYFUNCTION("""COMPUTED_VALUE"""),"ECON 122")</f>
        <v>ECON 122</v>
      </c>
    </row>
    <row r="2405">
      <c r="G2405" s="15" t="str">
        <f>IFERROR(__xludf.DUMMYFUNCTION("""COMPUTED_VALUE"""),"ECON 123")</f>
        <v>ECON 123</v>
      </c>
    </row>
    <row r="2406">
      <c r="G2406" s="15" t="str">
        <f>IFERROR(__xludf.DUMMYFUNCTION("""COMPUTED_VALUE"""),"ECON 125")</f>
        <v>ECON 125</v>
      </c>
    </row>
    <row r="2407">
      <c r="G2407" s="15" t="str">
        <f>IFERROR(__xludf.DUMMYFUNCTION("""COMPUTED_VALUE"""),"ECON 126")</f>
        <v>ECON 126</v>
      </c>
    </row>
    <row r="2408">
      <c r="G2408" s="15" t="str">
        <f>IFERROR(__xludf.DUMMYFUNCTION("""COMPUTED_VALUE"""),"ECON 128")</f>
        <v>ECON 128</v>
      </c>
    </row>
    <row r="2409">
      <c r="G2409" s="15" t="str">
        <f>IFERROR(__xludf.DUMMYFUNCTION("""COMPUTED_VALUE"""),"ECON 131")</f>
        <v>ECON 131</v>
      </c>
    </row>
    <row r="2410">
      <c r="G2410" s="15" t="str">
        <f>IFERROR(__xludf.DUMMYFUNCTION("""COMPUTED_VALUE"""),"ECON 133")</f>
        <v>ECON 133</v>
      </c>
    </row>
    <row r="2411">
      <c r="G2411" s="15" t="str">
        <f>IFERROR(__xludf.DUMMYFUNCTION("""COMPUTED_VALUE"""),"ECON 134")</f>
        <v>ECON 134</v>
      </c>
    </row>
    <row r="2412">
      <c r="G2412" s="15" t="str">
        <f>IFERROR(__xludf.DUMMYFUNCTION("""COMPUTED_VALUE"""),"ECON 134B")</f>
        <v>ECON 134B</v>
      </c>
    </row>
    <row r="2413">
      <c r="G2413" s="15" t="str">
        <f>IFERROR(__xludf.DUMMYFUNCTION("""COMPUTED_VALUE"""),"ECON 135")</f>
        <v>ECON 135</v>
      </c>
    </row>
    <row r="2414">
      <c r="G2414" s="15" t="str">
        <f>IFERROR(__xludf.DUMMYFUNCTION("""COMPUTED_VALUE"""),"ECON 137")</f>
        <v>ECON 137</v>
      </c>
    </row>
    <row r="2415">
      <c r="G2415" s="15" t="str">
        <f>IFERROR(__xludf.DUMMYFUNCTION("""COMPUTED_VALUE"""),"ECON 138")</f>
        <v>ECON 138</v>
      </c>
    </row>
    <row r="2416">
      <c r="G2416" s="15" t="str">
        <f>IFERROR(__xludf.DUMMYFUNCTION("""COMPUTED_VALUE"""),"ECON 145")</f>
        <v>ECON 145</v>
      </c>
    </row>
    <row r="2417">
      <c r="G2417" s="15" t="str">
        <f>IFERROR(__xludf.DUMMYFUNCTION("""COMPUTED_VALUE"""),"ECON 150")</f>
        <v>ECON 150</v>
      </c>
    </row>
    <row r="2418">
      <c r="G2418" s="15" t="str">
        <f>IFERROR(__xludf.DUMMYFUNCTION("""COMPUTED_VALUE"""),"ECON 154")</f>
        <v>ECON 154</v>
      </c>
    </row>
    <row r="2419">
      <c r="G2419" s="15" t="str">
        <f>IFERROR(__xludf.DUMMYFUNCTION("""COMPUTED_VALUE"""),"ECON 155")</f>
        <v>ECON 155</v>
      </c>
    </row>
    <row r="2420">
      <c r="G2420" s="15" t="str">
        <f>IFERROR(__xludf.DUMMYFUNCTION("""COMPUTED_VALUE"""),"ECON 160")</f>
        <v>ECON 160</v>
      </c>
    </row>
    <row r="2421">
      <c r="G2421" s="15" t="str">
        <f>IFERROR(__xludf.DUMMYFUNCTION("""COMPUTED_VALUE"""),"ECON 162")</f>
        <v>ECON 162</v>
      </c>
    </row>
    <row r="2422">
      <c r="G2422" s="15" t="str">
        <f>IFERROR(__xludf.DUMMYFUNCTION("""COMPUTED_VALUE"""),"ECON 165")</f>
        <v>ECON 165</v>
      </c>
    </row>
    <row r="2423">
      <c r="G2423" s="15" t="str">
        <f>IFERROR(__xludf.DUMMYFUNCTION("""COMPUTED_VALUE"""),"ECON 166")</f>
        <v>ECON 166</v>
      </c>
    </row>
    <row r="2424">
      <c r="G2424" s="15" t="str">
        <f>IFERROR(__xludf.DUMMYFUNCTION("""COMPUTED_VALUE"""),"ECON 171")</f>
        <v>ECON 171</v>
      </c>
    </row>
    <row r="2425">
      <c r="G2425" s="15" t="str">
        <f>IFERROR(__xludf.DUMMYFUNCTION("""COMPUTED_VALUE"""),"ECON 172")</f>
        <v>ECON 172</v>
      </c>
    </row>
    <row r="2426">
      <c r="G2426" s="15" t="str">
        <f>IFERROR(__xludf.DUMMYFUNCTION("""COMPUTED_VALUE"""),"ECON 175")</f>
        <v>ECON 175</v>
      </c>
    </row>
    <row r="2427">
      <c r="G2427" s="15" t="str">
        <f>IFERROR(__xludf.DUMMYFUNCTION("""COMPUTED_VALUE"""),"ECON 180")</f>
        <v>ECON 180</v>
      </c>
    </row>
    <row r="2428">
      <c r="G2428" s="15" t="str">
        <f>IFERROR(__xludf.DUMMYFUNCTION("""COMPUTED_VALUE"""),"ECON 184")</f>
        <v>ECON 184</v>
      </c>
    </row>
    <row r="2429">
      <c r="G2429" s="15" t="str">
        <f>IFERROR(__xludf.DUMMYFUNCTION("""COMPUTED_VALUE"""),"ECON 190")</f>
        <v>ECON 190</v>
      </c>
    </row>
    <row r="2430">
      <c r="G2430" s="15" t="str">
        <f>IFERROR(__xludf.DUMMYFUNCTION("""COMPUTED_VALUE"""),"ECON 191")</f>
        <v>ECON 191</v>
      </c>
    </row>
    <row r="2431">
      <c r="G2431" s="15" t="str">
        <f>IFERROR(__xludf.DUMMYFUNCTION("""COMPUTED_VALUE"""),"ECON 194B")</f>
        <v>ECON 194B</v>
      </c>
    </row>
    <row r="2432">
      <c r="G2432" s="15" t="str">
        <f>IFERROR(__xludf.DUMMYFUNCTION("""COMPUTED_VALUE"""),"ECON 195")</f>
        <v>ECON 195</v>
      </c>
    </row>
    <row r="2433">
      <c r="G2433" s="15" t="str">
        <f>IFERROR(__xludf.DUMMYFUNCTION("""COMPUTED_VALUE"""),"ECON 197W")</f>
        <v>ECON 197W</v>
      </c>
    </row>
    <row r="2434">
      <c r="G2434" s="15" t="str">
        <f>IFERROR(__xludf.DUMMYFUNCTION("""COMPUTED_VALUE"""),"EDUC 301G")</f>
        <v>EDUC 301G</v>
      </c>
    </row>
    <row r="2435">
      <c r="G2435" s="15" t="str">
        <f>IFERROR(__xludf.DUMMYFUNCTION("""COMPUTED_VALUE"""),"EDUC 301GS")</f>
        <v>EDUC 301GS</v>
      </c>
    </row>
    <row r="2436">
      <c r="G2436" s="15" t="str">
        <f>IFERROR(__xludf.DUMMYFUNCTION("""COMPUTED_VALUE"""),"EDUC 302G")</f>
        <v>EDUC 302G</v>
      </c>
    </row>
    <row r="2437">
      <c r="G2437" s="15" t="str">
        <f>IFERROR(__xludf.DUMMYFUNCTION("""COMPUTED_VALUE"""),"ENGL 001")</f>
        <v>ENGL 001</v>
      </c>
    </row>
    <row r="2438">
      <c r="G2438" s="15" t="str">
        <f>IFERROR(__xludf.DUMMYFUNCTION("""COMPUTED_VALUE"""),"ENGL 010B")</f>
        <v>ENGL 010B</v>
      </c>
    </row>
    <row r="2439">
      <c r="G2439" s="15" t="str">
        <f>IFERROR(__xludf.DUMMYFUNCTION("""COMPUTED_VALUE"""),"ENGL 012B")</f>
        <v>ENGL 012B</v>
      </c>
    </row>
    <row r="2440">
      <c r="G2440" s="15" t="str">
        <f>IFERROR(__xludf.DUMMYFUNCTION("""COMPUTED_VALUE"""),"ENGL 031")</f>
        <v>ENGL 031</v>
      </c>
    </row>
    <row r="2441">
      <c r="G2441" s="15" t="str">
        <f>IFERROR(__xludf.DUMMYFUNCTION("""COMPUTED_VALUE"""),"ENGL 032")</f>
        <v>ENGL 032</v>
      </c>
    </row>
    <row r="2442">
      <c r="G2442" s="15" t="str">
        <f>IFERROR(__xludf.DUMMYFUNCTION("""COMPUTED_VALUE"""),"ENGL 061")</f>
        <v>ENGL 061</v>
      </c>
    </row>
    <row r="2443">
      <c r="G2443" s="15" t="str">
        <f>IFERROR(__xludf.DUMMYFUNCTION("""COMPUTED_VALUE"""),"ENGL 064B")</f>
        <v>ENGL 064B</v>
      </c>
    </row>
    <row r="2444">
      <c r="G2444" s="15" t="str">
        <f>IFERROR(__xludf.DUMMYFUNCTION("""COMPUTED_VALUE"""),"ENGL 067")</f>
        <v>ENGL 067</v>
      </c>
    </row>
    <row r="2445">
      <c r="G2445" s="15" t="str">
        <f>IFERROR(__xludf.DUMMYFUNCTION("""COMPUTED_VALUE"""),"ENGL 073")</f>
        <v>ENGL 073</v>
      </c>
    </row>
    <row r="2446">
      <c r="G2446" s="15" t="str">
        <f>IFERROR(__xludf.DUMMYFUNCTION("""COMPUTED_VALUE"""),"ENGL 075")</f>
        <v>ENGL 075</v>
      </c>
    </row>
    <row r="2447">
      <c r="G2447" s="15" t="str">
        <f>IFERROR(__xludf.DUMMYFUNCTION("""COMPUTED_VALUE"""),"ENGL 089A")</f>
        <v>ENGL 089A</v>
      </c>
    </row>
    <row r="2448">
      <c r="G2448" s="15" t="str">
        <f>IFERROR(__xludf.DUMMYFUNCTION("""COMPUTED_VALUE"""),"ENGL 093")</f>
        <v>ENGL 093</v>
      </c>
    </row>
    <row r="2449">
      <c r="G2449" s="15" t="str">
        <f>IFERROR(__xludf.DUMMYFUNCTION("""COMPUTED_VALUE"""),"ENGL 099")</f>
        <v>ENGL 099</v>
      </c>
    </row>
    <row r="2450">
      <c r="G2450" s="15" t="str">
        <f>IFERROR(__xludf.DUMMYFUNCTION("""COMPUTED_VALUE"""),"ENGL 102")</f>
        <v>ENGL 102</v>
      </c>
    </row>
    <row r="2451">
      <c r="G2451" s="15" t="str">
        <f>IFERROR(__xludf.DUMMYFUNCTION("""COMPUTED_VALUE"""),"ENGL 111")</f>
        <v>ENGL 111</v>
      </c>
    </row>
    <row r="2452">
      <c r="G2452" s="15" t="str">
        <f>IFERROR(__xludf.DUMMYFUNCTION("""COMPUTED_VALUE"""),"ENGL 118S")</f>
        <v>ENGL 118S</v>
      </c>
    </row>
    <row r="2453">
      <c r="G2453" s="15" t="str">
        <f>IFERROR(__xludf.DUMMYFUNCTION("""COMPUTED_VALUE"""),"ENGL 121")</f>
        <v>ENGL 121</v>
      </c>
    </row>
    <row r="2454">
      <c r="G2454" s="15" t="str">
        <f>IFERROR(__xludf.DUMMYFUNCTION("""COMPUTED_VALUE"""),"ENGL 122")</f>
        <v>ENGL 122</v>
      </c>
    </row>
    <row r="2455">
      <c r="G2455" s="15" t="str">
        <f>IFERROR(__xludf.DUMMYFUNCTION("""COMPUTED_VALUE"""),"ENGL 124")</f>
        <v>ENGL 124</v>
      </c>
    </row>
    <row r="2456">
      <c r="G2456" s="15" t="str">
        <f>IFERROR(__xludf.DUMMYFUNCTION("""COMPUTED_VALUE"""),"ENGL 130")</f>
        <v>ENGL 130</v>
      </c>
    </row>
    <row r="2457">
      <c r="G2457" s="15" t="str">
        <f>IFERROR(__xludf.DUMMYFUNCTION("""COMPUTED_VALUE"""),"ENGL 131")</f>
        <v>ENGL 131</v>
      </c>
    </row>
    <row r="2458">
      <c r="G2458" s="15" t="str">
        <f>IFERROR(__xludf.DUMMYFUNCTION("""COMPUTED_VALUE"""),"ENGL 135")</f>
        <v>ENGL 135</v>
      </c>
    </row>
    <row r="2459">
      <c r="G2459" s="15" t="str">
        <f>IFERROR(__xludf.DUMMYFUNCTION("""COMPUTED_VALUE"""),"ENGL 138")</f>
        <v>ENGL 138</v>
      </c>
    </row>
    <row r="2460">
      <c r="G2460" s="15" t="str">
        <f>IFERROR(__xludf.DUMMYFUNCTION("""COMPUTED_VALUE"""),"ENGL 143S")</f>
        <v>ENGL 143S</v>
      </c>
    </row>
    <row r="2461">
      <c r="G2461" s="15" t="str">
        <f>IFERROR(__xludf.DUMMYFUNCTION("""COMPUTED_VALUE"""),"ENGL 156")</f>
        <v>ENGL 156</v>
      </c>
    </row>
    <row r="2462">
      <c r="G2462" s="15" t="str">
        <f>IFERROR(__xludf.DUMMYFUNCTION("""COMPUTED_VALUE"""),"ENGL 157")</f>
        <v>ENGL 157</v>
      </c>
    </row>
    <row r="2463">
      <c r="G2463" s="15" t="str">
        <f>IFERROR(__xludf.DUMMYFUNCTION("""COMPUTED_VALUE"""),"ENGL 161")</f>
        <v>ENGL 161</v>
      </c>
    </row>
    <row r="2464">
      <c r="G2464" s="15" t="str">
        <f>IFERROR(__xludf.DUMMYFUNCTION("""COMPUTED_VALUE"""),"ENGL 170G")</f>
        <v>ENGL 170G</v>
      </c>
    </row>
    <row r="2465">
      <c r="G2465" s="15" t="str">
        <f>IFERROR(__xludf.DUMMYFUNCTION("""COMPUTED_VALUE"""),"ENGL 171S")</f>
        <v>ENGL 171S</v>
      </c>
    </row>
    <row r="2466">
      <c r="G2466" s="15" t="str">
        <f>IFERROR(__xludf.DUMMYFUNCTION("""COMPUTED_VALUE"""),"ENGL 191")</f>
        <v>ENGL 191</v>
      </c>
    </row>
    <row r="2467">
      <c r="G2467" s="15" t="str">
        <f>IFERROR(__xludf.DUMMYFUNCTION("""COMPUTED_VALUE"""),"ENGL 193")</f>
        <v>ENGL 193</v>
      </c>
    </row>
    <row r="2468">
      <c r="G2468" s="15" t="str">
        <f>IFERROR(__xludf.DUMMYFUNCTION("""COMPUTED_VALUE"""),"ENGL 194S")</f>
        <v>ENGL 194S</v>
      </c>
    </row>
    <row r="2469">
      <c r="G2469" s="15" t="str">
        <f>IFERROR(__xludf.DUMMYFUNCTION("""COMPUTED_VALUE"""),"ENGL 195")</f>
        <v>ENGL 195</v>
      </c>
    </row>
    <row r="2470">
      <c r="G2470" s="15" t="str">
        <f>IFERROR(__xludf.DUMMYFUNCTION("""COMPUTED_VALUE"""),"ENGL 199T")</f>
        <v>ENGL 199T</v>
      </c>
    </row>
    <row r="2471">
      <c r="G2471" s="15" t="str">
        <f>IFERROR(__xludf.DUMMYFUNCTION("""COMPUTED_VALUE"""),"ENGR 004")</f>
        <v>ENGR 004</v>
      </c>
    </row>
    <row r="2472">
      <c r="G2472" s="15" t="str">
        <f>IFERROR(__xludf.DUMMYFUNCTION("""COMPUTED_VALUE"""),"ENGR 004L")</f>
        <v>ENGR 004L</v>
      </c>
    </row>
    <row r="2473">
      <c r="G2473" s="15" t="str">
        <f>IFERROR(__xludf.DUMMYFUNCTION("""COMPUTED_VALUE"""),"ENGR 072")</f>
        <v>ENGR 072</v>
      </c>
    </row>
    <row r="2474">
      <c r="G2474" s="15" t="str">
        <f>IFERROR(__xludf.DUMMYFUNCTION("""COMPUTED_VALUE"""),"ENGR 082")</f>
        <v>ENGR 082</v>
      </c>
    </row>
    <row r="2475">
      <c r="G2475" s="15" t="str">
        <f>IFERROR(__xludf.DUMMYFUNCTION("""COMPUTED_VALUE"""),"ENGR 083")</f>
        <v>ENGR 083</v>
      </c>
    </row>
    <row r="2476">
      <c r="G2476" s="15" t="str">
        <f>IFERROR(__xludf.DUMMYFUNCTION("""COMPUTED_VALUE"""),"ENGR 084")</f>
        <v>ENGR 084</v>
      </c>
    </row>
    <row r="2477">
      <c r="G2477" s="15" t="str">
        <f>IFERROR(__xludf.DUMMYFUNCTION("""COMPUTED_VALUE"""),"ENGR 085")</f>
        <v>ENGR 085</v>
      </c>
    </row>
    <row r="2478">
      <c r="G2478" s="15" t="str">
        <f>IFERROR(__xludf.DUMMYFUNCTION("""COMPUTED_VALUE"""),"ENGR 085A")</f>
        <v>ENGR 085A</v>
      </c>
    </row>
    <row r="2479">
      <c r="G2479" s="15" t="str">
        <f>IFERROR(__xludf.DUMMYFUNCTION("""COMPUTED_VALUE"""),"ENGR 086")</f>
        <v>ENGR 086</v>
      </c>
    </row>
    <row r="2480">
      <c r="G2480" s="15" t="str">
        <f>IFERROR(__xludf.DUMMYFUNCTION("""COMPUTED_VALUE"""),"ENGR 102")</f>
        <v>ENGR 102</v>
      </c>
    </row>
    <row r="2481">
      <c r="G2481" s="15" t="str">
        <f>IFERROR(__xludf.DUMMYFUNCTION("""COMPUTED_VALUE"""),"ENGR 111")</f>
        <v>ENGR 111</v>
      </c>
    </row>
    <row r="2482">
      <c r="G2482" s="15" t="str">
        <f>IFERROR(__xludf.DUMMYFUNCTION("""COMPUTED_VALUE"""),"ENGR 113")</f>
        <v>ENGR 113</v>
      </c>
    </row>
    <row r="2483">
      <c r="G2483" s="15" t="str">
        <f>IFERROR(__xludf.DUMMYFUNCTION("""COMPUTED_VALUE"""),"ENGR 114")</f>
        <v>ENGR 114</v>
      </c>
    </row>
    <row r="2484">
      <c r="G2484" s="15" t="str">
        <f>IFERROR(__xludf.DUMMYFUNCTION("""COMPUTED_VALUE"""),"ENGR 122")</f>
        <v>ENGR 122</v>
      </c>
    </row>
    <row r="2485">
      <c r="G2485" s="15" t="str">
        <f>IFERROR(__xludf.DUMMYFUNCTION("""COMPUTED_VALUE"""),"ENGR 124")</f>
        <v>ENGR 124</v>
      </c>
    </row>
    <row r="2486">
      <c r="G2486" s="15" t="str">
        <f>IFERROR(__xludf.DUMMYFUNCTION("""COMPUTED_VALUE"""),"ENGR 134")</f>
        <v>ENGR 134</v>
      </c>
    </row>
    <row r="2487">
      <c r="G2487" s="15" t="str">
        <f>IFERROR(__xludf.DUMMYFUNCTION("""COMPUTED_VALUE"""),"ENGR 151")</f>
        <v>ENGR 151</v>
      </c>
    </row>
    <row r="2488">
      <c r="G2488" s="15" t="str">
        <f>IFERROR(__xludf.DUMMYFUNCTION("""COMPUTED_VALUE"""),"ENGR 161")</f>
        <v>ENGR 161</v>
      </c>
    </row>
    <row r="2489">
      <c r="G2489" s="15" t="str">
        <f>IFERROR(__xludf.DUMMYFUNCTION("""COMPUTED_VALUE"""),"ENGR 164")</f>
        <v>ENGR 164</v>
      </c>
    </row>
    <row r="2490">
      <c r="G2490" s="15" t="str">
        <f>IFERROR(__xludf.DUMMYFUNCTION("""COMPUTED_VALUE"""),"ENGR 178")</f>
        <v>ENGR 178</v>
      </c>
    </row>
    <row r="2491">
      <c r="G2491" s="15" t="str">
        <f>IFERROR(__xludf.DUMMYFUNCTION("""COMPUTED_VALUE"""),"ENGR 180")</f>
        <v>ENGR 180</v>
      </c>
    </row>
    <row r="2492">
      <c r="G2492" s="15" t="str">
        <f>IFERROR(__xludf.DUMMYFUNCTION("""COMPUTED_VALUE"""),"ENGR 182")</f>
        <v>ENGR 182</v>
      </c>
    </row>
    <row r="2493">
      <c r="G2493" s="15" t="str">
        <f>IFERROR(__xludf.DUMMYFUNCTION("""COMPUTED_VALUE"""),"ENGR 185A")</f>
        <v>ENGR 185A</v>
      </c>
    </row>
    <row r="2494">
      <c r="G2494" s="15" t="str">
        <f>IFERROR(__xludf.DUMMYFUNCTION("""COMPUTED_VALUE"""),"ENGR 185B")</f>
        <v>ENGR 185B</v>
      </c>
    </row>
    <row r="2495">
      <c r="G2495" s="15" t="str">
        <f>IFERROR(__xludf.DUMMYFUNCTION("""COMPUTED_VALUE"""),"ENGR 190AS")</f>
        <v>ENGR 190AS</v>
      </c>
    </row>
    <row r="2496">
      <c r="G2496" s="15" t="str">
        <f>IFERROR(__xludf.DUMMYFUNCTION("""COMPUTED_VALUE"""),"ENGR 190AV")</f>
        <v>ENGR 190AV</v>
      </c>
    </row>
    <row r="2497">
      <c r="G2497" s="15" t="str">
        <f>IFERROR(__xludf.DUMMYFUNCTION("""COMPUTED_VALUE"""),"ENGR 190AX")</f>
        <v>ENGR 190AX</v>
      </c>
    </row>
    <row r="2498">
      <c r="G2498" s="15" t="str">
        <f>IFERROR(__xludf.DUMMYFUNCTION("""COMPUTED_VALUE"""),"ENGR 190AY")</f>
        <v>ENGR 190AY</v>
      </c>
    </row>
    <row r="2499">
      <c r="G2499" s="15" t="str">
        <f>IFERROR(__xludf.DUMMYFUNCTION("""COMPUTED_VALUE"""),"ENGR 190AZ")</f>
        <v>ENGR 190AZ</v>
      </c>
    </row>
    <row r="2500">
      <c r="G2500" s="15" t="str">
        <f>IFERROR(__xludf.DUMMYFUNCTION("""COMPUTED_VALUE"""),"ENGR 190Z")</f>
        <v>ENGR 190Z</v>
      </c>
    </row>
    <row r="2501">
      <c r="G2501" s="15" t="str">
        <f>IFERROR(__xludf.DUMMYFUNCTION("""COMPUTED_VALUE"""),"ENGR 191")</f>
        <v>ENGR 191</v>
      </c>
    </row>
    <row r="2502">
      <c r="G2502" s="15" t="str">
        <f>IFERROR(__xludf.DUMMYFUNCTION("""COMPUTED_VALUE"""),"ENGR 206")</f>
        <v>ENGR 206</v>
      </c>
    </row>
    <row r="2503">
      <c r="G2503" s="15" t="str">
        <f>IFERROR(__xludf.DUMMYFUNCTION("""COMPUTED_VALUE"""),"ENGR 240")</f>
        <v>ENGR 240</v>
      </c>
    </row>
    <row r="2504">
      <c r="G2504" s="15" t="str">
        <f>IFERROR(__xludf.DUMMYFUNCTION("""COMPUTED_VALUE"""),"FGSS 184")</f>
        <v>FGSS 184</v>
      </c>
    </row>
    <row r="2505">
      <c r="G2505" s="15" t="str">
        <f>IFERROR(__xludf.DUMMYFUNCTION("""COMPUTED_VALUE"""),"FGSS 186")</f>
        <v>FGSS 186</v>
      </c>
    </row>
    <row r="2506">
      <c r="G2506" s="15" t="str">
        <f>IFERROR(__xludf.DUMMYFUNCTION("""COMPUTED_VALUE"""),"FGSS 191")</f>
        <v>FGSS 191</v>
      </c>
    </row>
    <row r="2507">
      <c r="G2507" s="15" t="str">
        <f>IFERROR(__xludf.DUMMYFUNCTION("""COMPUTED_VALUE"""),"FHS 010")</f>
        <v>FHS 010</v>
      </c>
    </row>
    <row r="2508">
      <c r="G2508" s="15" t="str">
        <f>IFERROR(__xludf.DUMMYFUNCTION("""COMPUTED_VALUE"""),"FIN 301B")</f>
        <v>FIN 301B</v>
      </c>
    </row>
    <row r="2509">
      <c r="G2509" s="15" t="str">
        <f>IFERROR(__xludf.DUMMYFUNCTION("""COMPUTED_VALUE"""),"FIN 330")</f>
        <v>FIN 330</v>
      </c>
    </row>
    <row r="2510">
      <c r="G2510" s="15" t="str">
        <f>IFERROR(__xludf.DUMMYFUNCTION("""COMPUTED_VALUE"""),"FIN 410")</f>
        <v>FIN 410</v>
      </c>
    </row>
    <row r="2511">
      <c r="G2511" s="15" t="str">
        <f>IFERROR(__xludf.DUMMYFUNCTION("""COMPUTED_VALUE"""),"FIN 425")</f>
        <v>FIN 425</v>
      </c>
    </row>
    <row r="2512">
      <c r="G2512" s="15" t="str">
        <f>IFERROR(__xludf.DUMMYFUNCTION("""COMPUTED_VALUE"""),"FLAN 191")</f>
        <v>FLAN 191</v>
      </c>
    </row>
    <row r="2513">
      <c r="G2513" s="15" t="str">
        <f>IFERROR(__xludf.DUMMYFUNCTION("""COMPUTED_VALUE"""),"FREN 001")</f>
        <v>FREN 001</v>
      </c>
    </row>
    <row r="2514">
      <c r="G2514" s="15" t="str">
        <f>IFERROR(__xludf.DUMMYFUNCTION("""COMPUTED_VALUE"""),"FREN 002")</f>
        <v>FREN 002</v>
      </c>
    </row>
    <row r="2515">
      <c r="G2515" s="15" t="str">
        <f>IFERROR(__xludf.DUMMYFUNCTION("""COMPUTED_VALUE"""),"FREN 011")</f>
        <v>FREN 011</v>
      </c>
    </row>
    <row r="2516">
      <c r="G2516" s="15" t="str">
        <f>IFERROR(__xludf.DUMMYFUNCTION("""COMPUTED_VALUE"""),"FREN 013")</f>
        <v>FREN 013</v>
      </c>
    </row>
    <row r="2517">
      <c r="G2517" s="15" t="str">
        <f>IFERROR(__xludf.DUMMYFUNCTION("""COMPUTED_VALUE"""),"FREN 033")</f>
        <v>FREN 033</v>
      </c>
    </row>
    <row r="2518">
      <c r="G2518" s="15" t="str">
        <f>IFERROR(__xludf.DUMMYFUNCTION("""COMPUTED_VALUE"""),"FREN 044")</f>
        <v>FREN 044</v>
      </c>
    </row>
    <row r="2519">
      <c r="G2519" s="15" t="str">
        <f>IFERROR(__xludf.DUMMYFUNCTION("""COMPUTED_VALUE"""),"FREN 100")</f>
        <v>FREN 100</v>
      </c>
    </row>
    <row r="2520">
      <c r="G2520" s="15" t="str">
        <f>IFERROR(__xludf.DUMMYFUNCTION("""COMPUTED_VALUE"""),"FREN 101")</f>
        <v>FREN 101</v>
      </c>
    </row>
    <row r="2521">
      <c r="G2521" s="15" t="str">
        <f>IFERROR(__xludf.DUMMYFUNCTION("""COMPUTED_VALUE"""),"FREN 103")</f>
        <v>FREN 103</v>
      </c>
    </row>
    <row r="2522">
      <c r="G2522" s="15" t="str">
        <f>IFERROR(__xludf.DUMMYFUNCTION("""COMPUTED_VALUE"""),"FREN 106")</f>
        <v>FREN 106</v>
      </c>
    </row>
    <row r="2523">
      <c r="G2523" s="15" t="str">
        <f>IFERROR(__xludf.DUMMYFUNCTION("""COMPUTED_VALUE"""),"FREN 115")</f>
        <v>FREN 115</v>
      </c>
    </row>
    <row r="2524">
      <c r="G2524" s="15" t="str">
        <f>IFERROR(__xludf.DUMMYFUNCTION("""COMPUTED_VALUE"""),"FREN 122")</f>
        <v>FREN 122</v>
      </c>
    </row>
    <row r="2525">
      <c r="G2525" s="15" t="str">
        <f>IFERROR(__xludf.DUMMYFUNCTION("""COMPUTED_VALUE"""),"FREN 150C")</f>
        <v>FREN 150C</v>
      </c>
    </row>
    <row r="2526">
      <c r="G2526" s="15" t="str">
        <f>IFERROR(__xludf.DUMMYFUNCTION("""COMPUTED_VALUE"""),"FREN 175")</f>
        <v>FREN 175</v>
      </c>
    </row>
    <row r="2527">
      <c r="G2527" s="15" t="str">
        <f>IFERROR(__xludf.DUMMYFUNCTION("""COMPUTED_VALUE"""),"FREN 182")</f>
        <v>FREN 182</v>
      </c>
    </row>
    <row r="2528">
      <c r="G2528" s="15" t="str">
        <f>IFERROR(__xludf.DUMMYFUNCTION("""COMPUTED_VALUE"""),"FREN 191")</f>
        <v>FREN 191</v>
      </c>
    </row>
    <row r="2529">
      <c r="G2529" s="15" t="str">
        <f>IFERROR(__xludf.DUMMYFUNCTION("""COMPUTED_VALUE"""),"FREN 192")</f>
        <v>FREN 192</v>
      </c>
    </row>
    <row r="2530">
      <c r="G2530" s="15" t="str">
        <f>IFERROR(__xludf.DUMMYFUNCTION("""COMPUTED_VALUE"""),"FREN 193")</f>
        <v>FREN 193</v>
      </c>
    </row>
    <row r="2531">
      <c r="G2531" s="15" t="str">
        <f>IFERROR(__xludf.DUMMYFUNCTION("""COMPUTED_VALUE"""),"FS 001")</f>
        <v>FS 001</v>
      </c>
    </row>
    <row r="2532">
      <c r="G2532" s="15" t="str">
        <f>IFERROR(__xludf.DUMMYFUNCTION("""COMPUTED_VALUE"""),"FS 013")</f>
        <v>FS 013</v>
      </c>
    </row>
    <row r="2533">
      <c r="G2533" s="15" t="str">
        <f>IFERROR(__xludf.DUMMYFUNCTION("""COMPUTED_VALUE"""),"FS 022")</f>
        <v>FS 022</v>
      </c>
    </row>
    <row r="2534">
      <c r="G2534" s="15" t="str">
        <f>IFERROR(__xludf.DUMMYFUNCTION("""COMPUTED_VALUE"""),"FWS 010")</f>
        <v>FWS 010</v>
      </c>
    </row>
    <row r="2535">
      <c r="G2535" s="15" t="str">
        <f>IFERROR(__xludf.DUMMYFUNCTION("""COMPUTED_VALUE"""),"GEOG 179F")</f>
        <v>GEOG 179F</v>
      </c>
    </row>
    <row r="2536">
      <c r="G2536" s="15" t="str">
        <f>IFERROR(__xludf.DUMMYFUNCTION("""COMPUTED_VALUE"""),"GEOL 020A")</f>
        <v>GEOL 020A</v>
      </c>
    </row>
    <row r="2537">
      <c r="G2537" s="15" t="str">
        <f>IFERROR(__xludf.DUMMYFUNCTION("""COMPUTED_VALUE"""),"GEOL 020C")</f>
        <v>GEOL 020C</v>
      </c>
    </row>
    <row r="2538">
      <c r="G2538" s="15" t="str">
        <f>IFERROR(__xludf.DUMMYFUNCTION("""COMPUTED_VALUE"""),"GEOL 121")</f>
        <v>GEOL 121</v>
      </c>
    </row>
    <row r="2539">
      <c r="G2539" s="15" t="str">
        <f>IFERROR(__xludf.DUMMYFUNCTION("""COMPUTED_VALUE"""),"GEOL 125")</f>
        <v>GEOL 125</v>
      </c>
    </row>
    <row r="2540">
      <c r="G2540" s="15" t="str">
        <f>IFERROR(__xludf.DUMMYFUNCTION("""COMPUTED_VALUE"""),"GEOL 127")</f>
        <v>GEOL 127</v>
      </c>
    </row>
    <row r="2541">
      <c r="G2541" s="15" t="str">
        <f>IFERROR(__xludf.DUMMYFUNCTION("""COMPUTED_VALUE"""),"GEOL 131")</f>
        <v>GEOL 131</v>
      </c>
    </row>
    <row r="2542">
      <c r="G2542" s="15" t="str">
        <f>IFERROR(__xludf.DUMMYFUNCTION("""COMPUTED_VALUE"""),"GEOL 189C")</f>
        <v>GEOL 189C</v>
      </c>
    </row>
    <row r="2543">
      <c r="G2543" s="15" t="str">
        <f>IFERROR(__xludf.DUMMYFUNCTION("""COMPUTED_VALUE"""),"GEOL 189D")</f>
        <v>GEOL 189D</v>
      </c>
    </row>
    <row r="2544">
      <c r="G2544" s="15" t="str">
        <f>IFERROR(__xludf.DUMMYFUNCTION("""COMPUTED_VALUE"""),"GEOL 192")</f>
        <v>GEOL 192</v>
      </c>
    </row>
    <row r="2545">
      <c r="G2545" s="15" t="str">
        <f>IFERROR(__xludf.DUMMYFUNCTION("""COMPUTED_VALUE"""),"GERM 002")</f>
        <v>GERM 002</v>
      </c>
    </row>
    <row r="2546">
      <c r="G2546" s="15" t="str">
        <f>IFERROR(__xludf.DUMMYFUNCTION("""COMPUTED_VALUE"""),"GERM 010")</f>
        <v>GERM 010</v>
      </c>
    </row>
    <row r="2547">
      <c r="G2547" s="15" t="str">
        <f>IFERROR(__xludf.DUMMYFUNCTION("""COMPUTED_VALUE"""),"GERM 011")</f>
        <v>GERM 011</v>
      </c>
    </row>
    <row r="2548">
      <c r="G2548" s="15" t="str">
        <f>IFERROR(__xludf.DUMMYFUNCTION("""COMPUTED_VALUE"""),"GERM 013")</f>
        <v>GERM 013</v>
      </c>
    </row>
    <row r="2549">
      <c r="G2549" s="15" t="str">
        <f>IFERROR(__xludf.DUMMYFUNCTION("""COMPUTED_VALUE"""),"GERM 044")</f>
        <v>GERM 044</v>
      </c>
    </row>
    <row r="2550">
      <c r="G2550" s="15" t="str">
        <f>IFERROR(__xludf.DUMMYFUNCTION("""COMPUTED_VALUE"""),"GERM 103")</f>
        <v>GERM 103</v>
      </c>
    </row>
    <row r="2551">
      <c r="G2551" s="15" t="str">
        <f>IFERROR(__xludf.DUMMYFUNCTION("""COMPUTED_VALUE"""),"GERM 109")</f>
        <v>GERM 109</v>
      </c>
    </row>
    <row r="2552">
      <c r="G2552" s="15" t="str">
        <f>IFERROR(__xludf.DUMMYFUNCTION("""COMPUTED_VALUE"""),"GERM 191")</f>
        <v>GERM 191</v>
      </c>
    </row>
    <row r="2553">
      <c r="G2553" s="15" t="str">
        <f>IFERROR(__xludf.DUMMYFUNCTION("""COMPUTED_VALUE"""),"GERM 193")</f>
        <v>GERM 193</v>
      </c>
    </row>
    <row r="2554">
      <c r="G2554" s="15" t="str">
        <f>IFERROR(__xludf.DUMMYFUNCTION("""COMPUTED_VALUE"""),"GLAS 180IO")</f>
        <v>GLAS 180IO</v>
      </c>
    </row>
    <row r="2555">
      <c r="G2555" s="15" t="str">
        <f>IFERROR(__xludf.DUMMYFUNCTION("""COMPUTED_VALUE"""),"GOVT 020")</f>
        <v>GOVT 020</v>
      </c>
    </row>
    <row r="2556">
      <c r="G2556" s="15" t="str">
        <f>IFERROR(__xludf.DUMMYFUNCTION("""COMPUTED_VALUE"""),"GOVT 041")</f>
        <v>GOVT 041</v>
      </c>
    </row>
    <row r="2557">
      <c r="G2557" s="15" t="str">
        <f>IFERROR(__xludf.DUMMYFUNCTION("""COMPUTED_VALUE"""),"GOVT 041B")</f>
        <v>GOVT 041B</v>
      </c>
    </row>
    <row r="2558">
      <c r="G2558" s="15" t="str">
        <f>IFERROR(__xludf.DUMMYFUNCTION("""COMPUTED_VALUE"""),"GOVT 050")</f>
        <v>GOVT 050</v>
      </c>
    </row>
    <row r="2559">
      <c r="G2559" s="15" t="str">
        <f>IFERROR(__xludf.DUMMYFUNCTION("""COMPUTED_VALUE"""),"GOVT 055")</f>
        <v>GOVT 055</v>
      </c>
    </row>
    <row r="2560">
      <c r="G2560" s="15" t="str">
        <f>IFERROR(__xludf.DUMMYFUNCTION("""COMPUTED_VALUE"""),"GOVT 060")</f>
        <v>GOVT 060</v>
      </c>
    </row>
    <row r="2561">
      <c r="G2561" s="15" t="str">
        <f>IFERROR(__xludf.DUMMYFUNCTION("""COMPUTED_VALUE"""),"GOVT 065")</f>
        <v>GOVT 065</v>
      </c>
    </row>
    <row r="2562">
      <c r="G2562" s="15" t="str">
        <f>IFERROR(__xludf.DUMMYFUNCTION("""COMPUTED_VALUE"""),"GOVT 070")</f>
        <v>GOVT 070</v>
      </c>
    </row>
    <row r="2563">
      <c r="G2563" s="15" t="str">
        <f>IFERROR(__xludf.DUMMYFUNCTION("""COMPUTED_VALUE"""),"GOVT 070H")</f>
        <v>GOVT 070H</v>
      </c>
    </row>
    <row r="2564">
      <c r="G2564" s="15" t="str">
        <f>IFERROR(__xludf.DUMMYFUNCTION("""COMPUTED_VALUE"""),"GOVT 071")</f>
        <v>GOVT 071</v>
      </c>
    </row>
    <row r="2565">
      <c r="G2565" s="15" t="str">
        <f>IFERROR(__xludf.DUMMYFUNCTION("""COMPUTED_VALUE"""),"GOVT 080")</f>
        <v>GOVT 080</v>
      </c>
    </row>
    <row r="2566">
      <c r="G2566" s="15" t="str">
        <f>IFERROR(__xludf.DUMMYFUNCTION("""COMPUTED_VALUE"""),"GOVT 097")</f>
        <v>GOVT 097</v>
      </c>
    </row>
    <row r="2567">
      <c r="G2567" s="15" t="str">
        <f>IFERROR(__xludf.DUMMYFUNCTION("""COMPUTED_VALUE"""),"GOVT 100")</f>
        <v>GOVT 100</v>
      </c>
    </row>
    <row r="2568">
      <c r="G2568" s="15" t="str">
        <f>IFERROR(__xludf.DUMMYFUNCTION("""COMPUTED_VALUE"""),"GOVT 101")</f>
        <v>GOVT 101</v>
      </c>
    </row>
    <row r="2569">
      <c r="G2569" s="15" t="str">
        <f>IFERROR(__xludf.DUMMYFUNCTION("""COMPUTED_VALUE"""),"GOVT 110")</f>
        <v>GOVT 110</v>
      </c>
    </row>
    <row r="2570">
      <c r="G2570" s="15" t="str">
        <f>IFERROR(__xludf.DUMMYFUNCTION("""COMPUTED_VALUE"""),"GOVT 112A")</f>
        <v>GOVT 112A</v>
      </c>
    </row>
    <row r="2571">
      <c r="G2571" s="15" t="str">
        <f>IFERROR(__xludf.DUMMYFUNCTION("""COMPUTED_VALUE"""),"GOVT 117")</f>
        <v>GOVT 117</v>
      </c>
    </row>
    <row r="2572">
      <c r="G2572" s="15" t="str">
        <f>IFERROR(__xludf.DUMMYFUNCTION("""COMPUTED_VALUE"""),"GOVT 119")</f>
        <v>GOVT 119</v>
      </c>
    </row>
    <row r="2573">
      <c r="G2573" s="15" t="str">
        <f>IFERROR(__xludf.DUMMYFUNCTION("""COMPUTED_VALUE"""),"GOVT 124A")</f>
        <v>GOVT 124A</v>
      </c>
    </row>
    <row r="2574">
      <c r="G2574" s="15" t="str">
        <f>IFERROR(__xludf.DUMMYFUNCTION("""COMPUTED_VALUE"""),"GOVT 128")</f>
        <v>GOVT 128</v>
      </c>
    </row>
    <row r="2575">
      <c r="G2575" s="15" t="str">
        <f>IFERROR(__xludf.DUMMYFUNCTION("""COMPUTED_VALUE"""),"GOVT 131")</f>
        <v>GOVT 131</v>
      </c>
    </row>
    <row r="2576">
      <c r="G2576" s="15" t="str">
        <f>IFERROR(__xludf.DUMMYFUNCTION("""COMPUTED_VALUE"""),"GOVT 137B")</f>
        <v>GOVT 137B</v>
      </c>
    </row>
    <row r="2577">
      <c r="G2577" s="15" t="str">
        <f>IFERROR(__xludf.DUMMYFUNCTION("""COMPUTED_VALUE"""),"GOVT 140")</f>
        <v>GOVT 140</v>
      </c>
    </row>
    <row r="2578">
      <c r="G2578" s="15" t="str">
        <f>IFERROR(__xludf.DUMMYFUNCTION("""COMPUTED_VALUE"""),"GOVT 142")</f>
        <v>GOVT 142</v>
      </c>
    </row>
    <row r="2579">
      <c r="G2579" s="15" t="str">
        <f>IFERROR(__xludf.DUMMYFUNCTION("""COMPUTED_VALUE"""),"GOVT 142C")</f>
        <v>GOVT 142C</v>
      </c>
    </row>
    <row r="2580">
      <c r="G2580" s="15" t="str">
        <f>IFERROR(__xludf.DUMMYFUNCTION("""COMPUTED_VALUE"""),"GOVT 143C")</f>
        <v>GOVT 143C</v>
      </c>
    </row>
    <row r="2581">
      <c r="G2581" s="15" t="str">
        <f>IFERROR(__xludf.DUMMYFUNCTION("""COMPUTED_VALUE"""),"GOVT 147")</f>
        <v>GOVT 147</v>
      </c>
    </row>
    <row r="2582">
      <c r="G2582" s="15" t="str">
        <f>IFERROR(__xludf.DUMMYFUNCTION("""COMPUTED_VALUE"""),"GOVT 148")</f>
        <v>GOVT 148</v>
      </c>
    </row>
    <row r="2583">
      <c r="G2583" s="15" t="str">
        <f>IFERROR(__xludf.DUMMYFUNCTION("""COMPUTED_VALUE"""),"GOVT 149")</f>
        <v>GOVT 149</v>
      </c>
    </row>
    <row r="2584">
      <c r="G2584" s="15" t="str">
        <f>IFERROR(__xludf.DUMMYFUNCTION("""COMPUTED_VALUE"""),"GOVT 155")</f>
        <v>GOVT 155</v>
      </c>
    </row>
    <row r="2585">
      <c r="G2585" s="15" t="str">
        <f>IFERROR(__xludf.DUMMYFUNCTION("""COMPUTED_VALUE"""),"GOVT 156E")</f>
        <v>GOVT 156E</v>
      </c>
    </row>
    <row r="2586">
      <c r="G2586" s="15" t="str">
        <f>IFERROR(__xludf.DUMMYFUNCTION("""COMPUTED_VALUE"""),"GOVT 157S")</f>
        <v>GOVT 157S</v>
      </c>
    </row>
    <row r="2587">
      <c r="G2587" s="15" t="str">
        <f>IFERROR(__xludf.DUMMYFUNCTION("""COMPUTED_VALUE"""),"GOVT 157SB")</f>
        <v>GOVT 157SB</v>
      </c>
    </row>
    <row r="2588">
      <c r="G2588" s="15" t="str">
        <f>IFERROR(__xludf.DUMMYFUNCTION("""COMPUTED_VALUE"""),"GOVT 166")</f>
        <v>GOVT 166</v>
      </c>
    </row>
    <row r="2589">
      <c r="G2589" s="15" t="str">
        <f>IFERROR(__xludf.DUMMYFUNCTION("""COMPUTED_VALUE"""),"GOVT 172")</f>
        <v>GOVT 172</v>
      </c>
    </row>
    <row r="2590">
      <c r="G2590" s="15" t="str">
        <f>IFERROR(__xludf.DUMMYFUNCTION("""COMPUTED_VALUE"""),"GOVT 191")</f>
        <v>GOVT 191</v>
      </c>
    </row>
    <row r="2591">
      <c r="G2591" s="15" t="str">
        <f>IFERROR(__xludf.DUMMYFUNCTION("""COMPUTED_VALUE"""),"GOVT 192")</f>
        <v>GOVT 192</v>
      </c>
    </row>
    <row r="2592">
      <c r="G2592" s="15" t="str">
        <f>IFERROR(__xludf.DUMMYFUNCTION("""COMPUTED_VALUE"""),"GOVT 999")</f>
        <v>GOVT 999</v>
      </c>
    </row>
    <row r="2593">
      <c r="G2593" s="15" t="str">
        <f>IFERROR(__xludf.DUMMYFUNCTION("""COMPUTED_VALUE"""),"GREK 022")</f>
        <v>GREK 022</v>
      </c>
    </row>
    <row r="2594">
      <c r="G2594" s="15" t="str">
        <f>IFERROR(__xludf.DUMMYFUNCTION("""COMPUTED_VALUE"""),"GREK 033")</f>
        <v>GREK 033</v>
      </c>
    </row>
    <row r="2595">
      <c r="G2595" s="15" t="str">
        <f>IFERROR(__xludf.DUMMYFUNCTION("""COMPUTED_VALUE"""),"GREK 044")</f>
        <v>GREK 044</v>
      </c>
    </row>
    <row r="2596">
      <c r="G2596" s="15" t="str">
        <f>IFERROR(__xludf.DUMMYFUNCTION("""COMPUTED_VALUE"""),"GREK 104")</f>
        <v>GREK 104</v>
      </c>
    </row>
    <row r="2597">
      <c r="G2597" s="15" t="str">
        <f>IFERROR(__xludf.DUMMYFUNCTION("""COMPUTED_VALUE"""),"GRMT 014")</f>
        <v>GRMT 014</v>
      </c>
    </row>
    <row r="2598">
      <c r="G2598" s="15" t="str">
        <f>IFERROR(__xludf.DUMMYFUNCTION("""COMPUTED_VALUE"""),"GRMT 102")</f>
        <v>GRMT 102</v>
      </c>
    </row>
    <row r="2599">
      <c r="G2599" s="15" t="str">
        <f>IFERROR(__xludf.DUMMYFUNCTION("""COMPUTED_VALUE"""),"GRMT 114")</f>
        <v>GRMT 114</v>
      </c>
    </row>
    <row r="2600">
      <c r="G2600" s="15" t="str">
        <f>IFERROR(__xludf.DUMMYFUNCTION("""COMPUTED_VALUE"""),"GWS 026")</f>
        <v>GWS 026</v>
      </c>
    </row>
    <row r="2601">
      <c r="G2601" s="15" t="str">
        <f>IFERROR(__xludf.DUMMYFUNCTION("""COMPUTED_VALUE"""),"GWS 172")</f>
        <v>GWS 172</v>
      </c>
    </row>
    <row r="2602">
      <c r="G2602" s="15" t="str">
        <f>IFERROR(__xludf.DUMMYFUNCTION("""COMPUTED_VALUE"""),"GWS 182")</f>
        <v>GWS 182</v>
      </c>
    </row>
    <row r="2603">
      <c r="G2603" s="15" t="str">
        <f>IFERROR(__xludf.DUMMYFUNCTION("""COMPUTED_VALUE"""),"GWS 186")</f>
        <v>GWS 186</v>
      </c>
    </row>
    <row r="2604">
      <c r="G2604" s="15" t="str">
        <f>IFERROR(__xludf.DUMMYFUNCTION("""COMPUTED_VALUE"""),"GWS 191")</f>
        <v>GWS 191</v>
      </c>
    </row>
    <row r="2605">
      <c r="G2605" s="15" t="str">
        <f>IFERROR(__xludf.DUMMYFUNCTION("""COMPUTED_VALUE"""),"HIST 011")</f>
        <v>HIST 011</v>
      </c>
    </row>
    <row r="2606">
      <c r="G2606" s="15" t="str">
        <f>IFERROR(__xludf.DUMMYFUNCTION("""COMPUTED_VALUE"""),"HIST 021")</f>
        <v>HIST 021</v>
      </c>
    </row>
    <row r="2607">
      <c r="G2607" s="15" t="str">
        <f>IFERROR(__xludf.DUMMYFUNCTION("""COMPUTED_VALUE"""),"HIST 024")</f>
        <v>HIST 024</v>
      </c>
    </row>
    <row r="2608">
      <c r="G2608" s="15" t="str">
        <f>IFERROR(__xludf.DUMMYFUNCTION("""COMPUTED_VALUE"""),"HIST 032")</f>
        <v>HIST 032</v>
      </c>
    </row>
    <row r="2609">
      <c r="G2609" s="15" t="str">
        <f>IFERROR(__xludf.DUMMYFUNCTION("""COMPUTED_VALUE"""),"HIST 041")</f>
        <v>HIST 041</v>
      </c>
    </row>
    <row r="2610">
      <c r="G2610" s="15" t="str">
        <f>IFERROR(__xludf.DUMMYFUNCTION("""COMPUTED_VALUE"""),"HIST 043")</f>
        <v>HIST 043</v>
      </c>
    </row>
    <row r="2611">
      <c r="G2611" s="15" t="str">
        <f>IFERROR(__xludf.DUMMYFUNCTION("""COMPUTED_VALUE"""),"HIST 048")</f>
        <v>HIST 048</v>
      </c>
    </row>
    <row r="2612">
      <c r="G2612" s="15" t="str">
        <f>IFERROR(__xludf.DUMMYFUNCTION("""COMPUTED_VALUE"""),"HIST 050B")</f>
        <v>HIST 050B</v>
      </c>
    </row>
    <row r="2613">
      <c r="G2613" s="15" t="str">
        <f>IFERROR(__xludf.DUMMYFUNCTION("""COMPUTED_VALUE"""),"HIST 060")</f>
        <v>HIST 060</v>
      </c>
    </row>
    <row r="2614">
      <c r="G2614" s="15" t="str">
        <f>IFERROR(__xludf.DUMMYFUNCTION("""COMPUTED_VALUE"""),"HIST 062")</f>
        <v>HIST 062</v>
      </c>
    </row>
    <row r="2615">
      <c r="G2615" s="15" t="str">
        <f>IFERROR(__xludf.DUMMYFUNCTION("""COMPUTED_VALUE"""),"HIST 066")</f>
        <v>HIST 066</v>
      </c>
    </row>
    <row r="2616">
      <c r="G2616" s="15" t="str">
        <f>IFERROR(__xludf.DUMMYFUNCTION("""COMPUTED_VALUE"""),"HIST 067")</f>
        <v>HIST 067</v>
      </c>
    </row>
    <row r="2617">
      <c r="G2617" s="15" t="str">
        <f>IFERROR(__xludf.DUMMYFUNCTION("""COMPUTED_VALUE"""),"HIST 071")</f>
        <v>HIST 071</v>
      </c>
    </row>
    <row r="2618">
      <c r="G2618" s="15" t="str">
        <f>IFERROR(__xludf.DUMMYFUNCTION("""COMPUTED_VALUE"""),"HIST 089A")</f>
        <v>HIST 089A</v>
      </c>
    </row>
    <row r="2619">
      <c r="G2619" s="15" t="str">
        <f>IFERROR(__xludf.DUMMYFUNCTION("""COMPUTED_VALUE"""),"HIST 096")</f>
        <v>HIST 096</v>
      </c>
    </row>
    <row r="2620">
      <c r="G2620" s="15" t="str">
        <f>IFERROR(__xludf.DUMMYFUNCTION("""COMPUTED_VALUE"""),"HIST 098")</f>
        <v>HIST 098</v>
      </c>
    </row>
    <row r="2621">
      <c r="G2621" s="15" t="str">
        <f>IFERROR(__xludf.DUMMYFUNCTION("""COMPUTED_VALUE"""),"HIST 101")</f>
        <v>HIST 101</v>
      </c>
    </row>
    <row r="2622">
      <c r="G2622" s="15" t="str">
        <f>IFERROR(__xludf.DUMMYFUNCTION("""COMPUTED_VALUE"""),"HIST 101A")</f>
        <v>HIST 101A</v>
      </c>
    </row>
    <row r="2623">
      <c r="G2623" s="15" t="str">
        <f>IFERROR(__xludf.DUMMYFUNCTION("""COMPUTED_VALUE"""),"HIST 101Q")</f>
        <v>HIST 101Q</v>
      </c>
    </row>
    <row r="2624">
      <c r="G2624" s="15" t="str">
        <f>IFERROR(__xludf.DUMMYFUNCTION("""COMPUTED_VALUE"""),"HIST 101S")</f>
        <v>HIST 101S</v>
      </c>
    </row>
    <row r="2625">
      <c r="G2625" s="15" t="str">
        <f>IFERROR(__xludf.DUMMYFUNCTION("""COMPUTED_VALUE"""),"HIST 101W")</f>
        <v>HIST 101W</v>
      </c>
    </row>
    <row r="2626">
      <c r="G2626" s="15" t="str">
        <f>IFERROR(__xludf.DUMMYFUNCTION("""COMPUTED_VALUE"""),"HIST 112")</f>
        <v>HIST 112</v>
      </c>
    </row>
    <row r="2627">
      <c r="G2627" s="15" t="str">
        <f>IFERROR(__xludf.DUMMYFUNCTION("""COMPUTED_VALUE"""),"HIST 113")</f>
        <v>HIST 113</v>
      </c>
    </row>
    <row r="2628">
      <c r="G2628" s="15" t="str">
        <f>IFERROR(__xludf.DUMMYFUNCTION("""COMPUTED_VALUE"""),"HIST 120")</f>
        <v>HIST 120</v>
      </c>
    </row>
    <row r="2629">
      <c r="G2629" s="15" t="str">
        <f>IFERROR(__xludf.DUMMYFUNCTION("""COMPUTED_VALUE"""),"HIST 122")</f>
        <v>HIST 122</v>
      </c>
    </row>
    <row r="2630">
      <c r="G2630" s="15" t="str">
        <f>IFERROR(__xludf.DUMMYFUNCTION("""COMPUTED_VALUE"""),"HIST 127")</f>
        <v>HIST 127</v>
      </c>
    </row>
    <row r="2631">
      <c r="G2631" s="15" t="str">
        <f>IFERROR(__xludf.DUMMYFUNCTION("""COMPUTED_VALUE"""),"HIST 130")</f>
        <v>HIST 130</v>
      </c>
    </row>
    <row r="2632">
      <c r="G2632" s="15" t="str">
        <f>IFERROR(__xludf.DUMMYFUNCTION("""COMPUTED_VALUE"""),"HIST 140")</f>
        <v>HIST 140</v>
      </c>
    </row>
    <row r="2633">
      <c r="G2633" s="15" t="str">
        <f>IFERROR(__xludf.DUMMYFUNCTION("""COMPUTED_VALUE"""),"HIST 141")</f>
        <v>HIST 141</v>
      </c>
    </row>
    <row r="2634">
      <c r="G2634" s="15" t="str">
        <f>IFERROR(__xludf.DUMMYFUNCTION("""COMPUTED_VALUE"""),"HIST 148A")</f>
        <v>HIST 148A</v>
      </c>
    </row>
    <row r="2635">
      <c r="G2635" s="15" t="str">
        <f>IFERROR(__xludf.DUMMYFUNCTION("""COMPUTED_VALUE"""),"HIST 152")</f>
        <v>HIST 152</v>
      </c>
    </row>
    <row r="2636">
      <c r="G2636" s="15" t="str">
        <f>IFERROR(__xludf.DUMMYFUNCTION("""COMPUTED_VALUE"""),"HIST 153")</f>
        <v>HIST 153</v>
      </c>
    </row>
    <row r="2637">
      <c r="G2637" s="15" t="str">
        <f>IFERROR(__xludf.DUMMYFUNCTION("""COMPUTED_VALUE"""),"HIST 155")</f>
        <v>HIST 155</v>
      </c>
    </row>
    <row r="2638">
      <c r="G2638" s="15" t="str">
        <f>IFERROR(__xludf.DUMMYFUNCTION("""COMPUTED_VALUE"""),"HIST 161")</f>
        <v>HIST 161</v>
      </c>
    </row>
    <row r="2639">
      <c r="G2639" s="15" t="str">
        <f>IFERROR(__xludf.DUMMYFUNCTION("""COMPUTED_VALUE"""),"HIST 162")</f>
        <v>HIST 162</v>
      </c>
    </row>
    <row r="2640">
      <c r="G2640" s="15" t="str">
        <f>IFERROR(__xludf.DUMMYFUNCTION("""COMPUTED_VALUE"""),"HIST 169")</f>
        <v>HIST 169</v>
      </c>
    </row>
    <row r="2641">
      <c r="G2641" s="15" t="str">
        <f>IFERROR(__xludf.DUMMYFUNCTION("""COMPUTED_VALUE"""),"HIST 169B")</f>
        <v>HIST 169B</v>
      </c>
    </row>
    <row r="2642">
      <c r="G2642" s="15" t="str">
        <f>IFERROR(__xludf.DUMMYFUNCTION("""COMPUTED_VALUE"""),"HIST 172")</f>
        <v>HIST 172</v>
      </c>
    </row>
    <row r="2643">
      <c r="G2643" s="15" t="str">
        <f>IFERROR(__xludf.DUMMYFUNCTION("""COMPUTED_VALUE"""),"HIST 179")</f>
        <v>HIST 179</v>
      </c>
    </row>
    <row r="2644">
      <c r="G2644" s="15" t="str">
        <f>IFERROR(__xludf.DUMMYFUNCTION("""COMPUTED_VALUE"""),"HIST 180")</f>
        <v>HIST 180</v>
      </c>
    </row>
    <row r="2645">
      <c r="G2645" s="15" t="str">
        <f>IFERROR(__xludf.DUMMYFUNCTION("""COMPUTED_VALUE"""),"HIST 185")</f>
        <v>HIST 185</v>
      </c>
    </row>
    <row r="2646">
      <c r="G2646" s="15" t="str">
        <f>IFERROR(__xludf.DUMMYFUNCTION("""COMPUTED_VALUE"""),"HIST 186B")</f>
        <v>HIST 186B</v>
      </c>
    </row>
    <row r="2647">
      <c r="G2647" s="15" t="str">
        <f>IFERROR(__xludf.DUMMYFUNCTION("""COMPUTED_VALUE"""),"HIST 191")</f>
        <v>HIST 191</v>
      </c>
    </row>
    <row r="2648">
      <c r="G2648" s="15" t="str">
        <f>IFERROR(__xludf.DUMMYFUNCTION("""COMPUTED_VALUE"""),"HIST 192")</f>
        <v>HIST 192</v>
      </c>
    </row>
    <row r="2649">
      <c r="G2649" s="15" t="str">
        <f>IFERROR(__xludf.DUMMYFUNCTION("""COMPUTED_VALUE"""),"HIST 193")</f>
        <v>HIST 193</v>
      </c>
    </row>
    <row r="2650">
      <c r="G2650" s="15" t="str">
        <f>IFERROR(__xludf.DUMMYFUNCTION("""COMPUTED_VALUE"""),"HMSC 192")</f>
        <v>HMSC 192</v>
      </c>
    </row>
    <row r="2651">
      <c r="G2651" s="15" t="str">
        <f>IFERROR(__xludf.DUMMYFUNCTION("""COMPUTED_VALUE"""),"HSA 010")</f>
        <v>HSA 010</v>
      </c>
    </row>
    <row r="2652">
      <c r="G2652" s="15" t="str">
        <f>IFERROR(__xludf.DUMMYFUNCTION("""COMPUTED_VALUE"""),"HUM 195J")</f>
        <v>HUM 195J</v>
      </c>
    </row>
    <row r="2653">
      <c r="G2653" s="15" t="str">
        <f>IFERROR(__xludf.DUMMYFUNCTION("""COMPUTED_VALUE"""),"HUM 196")</f>
        <v>HUM 196</v>
      </c>
    </row>
    <row r="2654">
      <c r="G2654" s="15" t="str">
        <f>IFERROR(__xludf.DUMMYFUNCTION("""COMPUTED_VALUE"""),"ID 011")</f>
        <v>ID 011</v>
      </c>
    </row>
    <row r="2655">
      <c r="G2655" s="15" t="str">
        <f>IFERROR(__xludf.DUMMYFUNCTION("""COMPUTED_VALUE"""),"ID 022")</f>
        <v>ID 022</v>
      </c>
    </row>
    <row r="2656">
      <c r="G2656" s="15" t="str">
        <f>IFERROR(__xludf.DUMMYFUNCTION("""COMPUTED_VALUE"""),"ID 048")</f>
        <v>ID 048</v>
      </c>
    </row>
    <row r="2657">
      <c r="G2657" s="15" t="str">
        <f>IFERROR(__xludf.DUMMYFUNCTION("""COMPUTED_VALUE"""),"ID 080")</f>
        <v>ID 080</v>
      </c>
    </row>
    <row r="2658">
      <c r="G2658" s="15" t="str">
        <f>IFERROR(__xludf.DUMMYFUNCTION("""COMPUTED_VALUE"""),"ID 150B")</f>
        <v>ID 150B</v>
      </c>
    </row>
    <row r="2659">
      <c r="G2659" s="15" t="str">
        <f>IFERROR(__xludf.DUMMYFUNCTION("""COMPUTED_VALUE"""),"ID 176")</f>
        <v>ID 176</v>
      </c>
    </row>
    <row r="2660">
      <c r="G2660" s="15" t="str">
        <f>IFERROR(__xludf.DUMMYFUNCTION("""COMPUTED_VALUE"""),"ID 177")</f>
        <v>ID 177</v>
      </c>
    </row>
    <row r="2661">
      <c r="G2661" s="15" t="str">
        <f>IFERROR(__xludf.DUMMYFUNCTION("""COMPUTED_VALUE"""),"ID 178")</f>
        <v>ID 178</v>
      </c>
    </row>
    <row r="2662">
      <c r="G2662" s="15" t="str">
        <f>IFERROR(__xludf.DUMMYFUNCTION("""COMPUTED_VALUE"""),"ID 179")</f>
        <v>ID 179</v>
      </c>
    </row>
    <row r="2663">
      <c r="G2663" s="15" t="str">
        <f>IFERROR(__xludf.DUMMYFUNCTION("""COMPUTED_VALUE"""),"ID 180")</f>
        <v>ID 180</v>
      </c>
    </row>
    <row r="2664">
      <c r="G2664" s="15" t="str">
        <f>IFERROR(__xludf.DUMMYFUNCTION("""COMPUTED_VALUE"""),"ID 181")</f>
        <v>ID 181</v>
      </c>
    </row>
    <row r="2665">
      <c r="G2665" s="15" t="str">
        <f>IFERROR(__xludf.DUMMYFUNCTION("""COMPUTED_VALUE"""),"ID 182")</f>
        <v>ID 182</v>
      </c>
    </row>
    <row r="2666">
      <c r="G2666" s="15" t="str">
        <f>IFERROR(__xludf.DUMMYFUNCTION("""COMPUTED_VALUE"""),"ID 183")</f>
        <v>ID 183</v>
      </c>
    </row>
    <row r="2667">
      <c r="G2667" s="15" t="str">
        <f>IFERROR(__xludf.DUMMYFUNCTION("""COMPUTED_VALUE"""),"ID 184")</f>
        <v>ID 184</v>
      </c>
    </row>
    <row r="2668">
      <c r="G2668" s="15" t="str">
        <f>IFERROR(__xludf.DUMMYFUNCTION("""COMPUTED_VALUE"""),"ID 185")</f>
        <v>ID 185</v>
      </c>
    </row>
    <row r="2669">
      <c r="G2669" s="15" t="str">
        <f>IFERROR(__xludf.DUMMYFUNCTION("""COMPUTED_VALUE"""),"ID 186")</f>
        <v>ID 186</v>
      </c>
    </row>
    <row r="2670">
      <c r="G2670" s="15" t="str">
        <f>IFERROR(__xludf.DUMMYFUNCTION("""COMPUTED_VALUE"""),"ID 187")</f>
        <v>ID 187</v>
      </c>
    </row>
    <row r="2671">
      <c r="G2671" s="15" t="str">
        <f>IFERROR(__xludf.DUMMYFUNCTION("""COMPUTED_VALUE"""),"ID 188")</f>
        <v>ID 188</v>
      </c>
    </row>
    <row r="2672">
      <c r="G2672" s="15" t="str">
        <f>IFERROR(__xludf.DUMMYFUNCTION("""COMPUTED_VALUE"""),"ID 189")</f>
        <v>ID 189</v>
      </c>
    </row>
    <row r="2673">
      <c r="G2673" s="15" t="str">
        <f>IFERROR(__xludf.DUMMYFUNCTION("""COMPUTED_VALUE"""),"ID 199P2")</f>
        <v>ID 199P2</v>
      </c>
    </row>
    <row r="2674">
      <c r="G2674" s="15" t="str">
        <f>IFERROR(__xludf.DUMMYFUNCTION("""COMPUTED_VALUE"""),"ID 199P4")</f>
        <v>ID 199P4</v>
      </c>
    </row>
    <row r="2675">
      <c r="G2675" s="15" t="str">
        <f>IFERROR(__xludf.DUMMYFUNCTION("""COMPUTED_VALUE"""),"ID 199S1")</f>
        <v>ID 199S1</v>
      </c>
    </row>
    <row r="2676">
      <c r="G2676" s="15" t="str">
        <f>IFERROR(__xludf.DUMMYFUNCTION("""COMPUTED_VALUE"""),"ID 199S4")</f>
        <v>ID 199S4</v>
      </c>
    </row>
    <row r="2677">
      <c r="G2677" s="15" t="str">
        <f>IFERROR(__xludf.DUMMYFUNCTION("""COMPUTED_VALUE"""),"IR 118")</f>
        <v>IR 118</v>
      </c>
    </row>
    <row r="2678">
      <c r="G2678" s="15" t="str">
        <f>IFERROR(__xludf.DUMMYFUNCTION("""COMPUTED_VALUE"""),"IR 190")</f>
        <v>IR 190</v>
      </c>
    </row>
    <row r="2679">
      <c r="G2679" s="15" t="str">
        <f>IFERROR(__xludf.DUMMYFUNCTION("""COMPUTED_VALUE"""),"IR 191")</f>
        <v>IR 191</v>
      </c>
    </row>
    <row r="2680">
      <c r="G2680" s="15" t="str">
        <f>IFERROR(__xludf.DUMMYFUNCTION("""COMPUTED_VALUE"""),"ITAL 001")</f>
        <v>ITAL 001</v>
      </c>
    </row>
    <row r="2681">
      <c r="G2681" s="15" t="str">
        <f>IFERROR(__xludf.DUMMYFUNCTION("""COMPUTED_VALUE"""),"ITAL 002")</f>
        <v>ITAL 002</v>
      </c>
    </row>
    <row r="2682">
      <c r="G2682" s="15" t="str">
        <f>IFERROR(__xludf.DUMMYFUNCTION("""COMPUTED_VALUE"""),"ITAL 033")</f>
        <v>ITAL 033</v>
      </c>
    </row>
    <row r="2683">
      <c r="G2683" s="15" t="str">
        <f>IFERROR(__xludf.DUMMYFUNCTION("""COMPUTED_VALUE"""),"ITAL 044")</f>
        <v>ITAL 044</v>
      </c>
    </row>
    <row r="2684">
      <c r="G2684" s="15" t="str">
        <f>IFERROR(__xludf.DUMMYFUNCTION("""COMPUTED_VALUE"""),"ITAL 121")</f>
        <v>ITAL 121</v>
      </c>
    </row>
    <row r="2685">
      <c r="G2685" s="15" t="str">
        <f>IFERROR(__xludf.DUMMYFUNCTION("""COMPUTED_VALUE"""),"ITAL 191")</f>
        <v>ITAL 191</v>
      </c>
    </row>
    <row r="2686">
      <c r="G2686" s="15" t="str">
        <f>IFERROR(__xludf.DUMMYFUNCTION("""COMPUTED_VALUE"""),"JAPN 001B")</f>
        <v>JAPN 001B</v>
      </c>
    </row>
    <row r="2687">
      <c r="G2687" s="15" t="str">
        <f>IFERROR(__xludf.DUMMYFUNCTION("""COMPUTED_VALUE"""),"JAPN 011")</f>
        <v>JAPN 011</v>
      </c>
    </row>
    <row r="2688">
      <c r="G2688" s="15" t="str">
        <f>IFERROR(__xludf.DUMMYFUNCTION("""COMPUTED_VALUE"""),"JAPN 012B")</f>
        <v>JAPN 012B</v>
      </c>
    </row>
    <row r="2689">
      <c r="G2689" s="15" t="str">
        <f>IFERROR(__xludf.DUMMYFUNCTION("""COMPUTED_VALUE"""),"JAPN 013")</f>
        <v>JAPN 013</v>
      </c>
    </row>
    <row r="2690">
      <c r="G2690" s="15" t="str">
        <f>IFERROR(__xludf.DUMMYFUNCTION("""COMPUTED_VALUE"""),"JAPN 014B")</f>
        <v>JAPN 014B</v>
      </c>
    </row>
    <row r="2691">
      <c r="G2691" s="15" t="str">
        <f>IFERROR(__xludf.DUMMYFUNCTION("""COMPUTED_VALUE"""),"JAPN 051B")</f>
        <v>JAPN 051B</v>
      </c>
    </row>
    <row r="2692">
      <c r="G2692" s="15" t="str">
        <f>IFERROR(__xludf.DUMMYFUNCTION("""COMPUTED_VALUE"""),"JAPN 111B")</f>
        <v>JAPN 111B</v>
      </c>
    </row>
    <row r="2693">
      <c r="G2693" s="15" t="str">
        <f>IFERROR(__xludf.DUMMYFUNCTION("""COMPUTED_VALUE"""),"JAPN 131")</f>
        <v>JAPN 131</v>
      </c>
    </row>
    <row r="2694">
      <c r="G2694" s="15" t="str">
        <f>IFERROR(__xludf.DUMMYFUNCTION("""COMPUTED_VALUE"""),"JAPN 191H")</f>
        <v>JAPN 191H</v>
      </c>
    </row>
    <row r="2695">
      <c r="G2695" s="15" t="str">
        <f>IFERROR(__xludf.DUMMYFUNCTION("""COMPUTED_VALUE"""),"JAPN 192")</f>
        <v>JAPN 192</v>
      </c>
    </row>
    <row r="2696">
      <c r="G2696" s="15" t="str">
        <f>IFERROR(__xludf.DUMMYFUNCTION("""COMPUTED_VALUE"""),"JPNT 175")</f>
        <v>JPNT 175</v>
      </c>
    </row>
    <row r="2697">
      <c r="G2697" s="15" t="str">
        <f>IFERROR(__xludf.DUMMYFUNCTION("""COMPUTED_VALUE"""),"JPNT 179")</f>
        <v>JPNT 179</v>
      </c>
    </row>
    <row r="2698">
      <c r="G2698" s="15" t="str">
        <f>IFERROR(__xludf.DUMMYFUNCTION("""COMPUTED_VALUE"""),"KORE 002")</f>
        <v>KORE 002</v>
      </c>
    </row>
    <row r="2699">
      <c r="G2699" s="15" t="str">
        <f>IFERROR(__xludf.DUMMYFUNCTION("""COMPUTED_VALUE"""),"KORE 044")</f>
        <v>KORE 044</v>
      </c>
    </row>
    <row r="2700">
      <c r="G2700" s="15" t="str">
        <f>IFERROR(__xludf.DUMMYFUNCTION("""COMPUTED_VALUE"""),"KRNT 130")</f>
        <v>KRNT 130</v>
      </c>
    </row>
    <row r="2701">
      <c r="G2701" s="15" t="str">
        <f>IFERROR(__xludf.DUMMYFUNCTION("""COMPUTED_VALUE"""),"LAST 191")</f>
        <v>LAST 191</v>
      </c>
    </row>
    <row r="2702">
      <c r="G2702" s="15" t="str">
        <f>IFERROR(__xludf.DUMMYFUNCTION("""COMPUTED_VALUE"""),"LATN 022")</f>
        <v>LATN 022</v>
      </c>
    </row>
    <row r="2703">
      <c r="G2703" s="15" t="str">
        <f>IFERROR(__xludf.DUMMYFUNCTION("""COMPUTED_VALUE"""),"LATN 033")</f>
        <v>LATN 033</v>
      </c>
    </row>
    <row r="2704">
      <c r="G2704" s="15" t="str">
        <f>IFERROR(__xludf.DUMMYFUNCTION("""COMPUTED_VALUE"""),"LATN 044")</f>
        <v>LATN 044</v>
      </c>
    </row>
    <row r="2705">
      <c r="G2705" s="15" t="str">
        <f>IFERROR(__xludf.DUMMYFUNCTION("""COMPUTED_VALUE"""),"LATN 103")</f>
        <v>LATN 103</v>
      </c>
    </row>
    <row r="2706">
      <c r="G2706" s="15" t="str">
        <f>IFERROR(__xludf.DUMMYFUNCTION("""COMPUTED_VALUE"""),"LEAD 010")</f>
        <v>LEAD 010</v>
      </c>
    </row>
    <row r="2707">
      <c r="G2707" s="15" t="str">
        <f>IFERROR(__xludf.DUMMYFUNCTION("""COMPUTED_VALUE"""),"LEAD 041")</f>
        <v>LEAD 041</v>
      </c>
    </row>
    <row r="2708">
      <c r="G2708" s="15" t="str">
        <f>IFERROR(__xludf.DUMMYFUNCTION("""COMPUTED_VALUE"""),"LEAD 142")</f>
        <v>LEAD 142</v>
      </c>
    </row>
    <row r="2709">
      <c r="G2709" s="15" t="str">
        <f>IFERROR(__xludf.DUMMYFUNCTION("""COMPUTED_VALUE"""),"LEAD 151")</f>
        <v>LEAD 151</v>
      </c>
    </row>
    <row r="2710">
      <c r="G2710" s="15" t="str">
        <f>IFERROR(__xludf.DUMMYFUNCTION("""COMPUTED_VALUE"""),"LEAD 179D")</f>
        <v>LEAD 179D</v>
      </c>
    </row>
    <row r="2711">
      <c r="G2711" s="15" t="str">
        <f>IFERROR(__xludf.DUMMYFUNCTION("""COMPUTED_VALUE"""),"LGCS 010")</f>
        <v>LGCS 010</v>
      </c>
    </row>
    <row r="2712">
      <c r="G2712" s="15" t="str">
        <f>IFERROR(__xludf.DUMMYFUNCTION("""COMPUTED_VALUE"""),"LGCS 011")</f>
        <v>LGCS 011</v>
      </c>
    </row>
    <row r="2713">
      <c r="G2713" s="15" t="str">
        <f>IFERROR(__xludf.DUMMYFUNCTION("""COMPUTED_VALUE"""),"LGCS 108")</f>
        <v>LGCS 108</v>
      </c>
    </row>
    <row r="2714">
      <c r="G2714" s="15" t="str">
        <f>IFERROR(__xludf.DUMMYFUNCTION("""COMPUTED_VALUE"""),"LGCS 110")</f>
        <v>LGCS 110</v>
      </c>
    </row>
    <row r="2715">
      <c r="G2715" s="15" t="str">
        <f>IFERROR(__xludf.DUMMYFUNCTION("""COMPUTED_VALUE"""),"LGCS 112")</f>
        <v>LGCS 112</v>
      </c>
    </row>
    <row r="2716">
      <c r="G2716" s="15" t="str">
        <f>IFERROR(__xludf.DUMMYFUNCTION("""COMPUTED_VALUE"""),"LGCS 118")</f>
        <v>LGCS 118</v>
      </c>
    </row>
    <row r="2717">
      <c r="G2717" s="15" t="str">
        <f>IFERROR(__xludf.DUMMYFUNCTION("""COMPUTED_VALUE"""),"LGCS 119")</f>
        <v>LGCS 119</v>
      </c>
    </row>
    <row r="2718">
      <c r="G2718" s="15" t="str">
        <f>IFERROR(__xludf.DUMMYFUNCTION("""COMPUTED_VALUE"""),"LGCS 120")</f>
        <v>LGCS 120</v>
      </c>
    </row>
    <row r="2719">
      <c r="G2719" s="15" t="str">
        <f>IFERROR(__xludf.DUMMYFUNCTION("""COMPUTED_VALUE"""),"LGCS 130")</f>
        <v>LGCS 130</v>
      </c>
    </row>
    <row r="2720">
      <c r="G2720" s="15" t="str">
        <f>IFERROR(__xludf.DUMMYFUNCTION("""COMPUTED_VALUE"""),"LGCS 166")</f>
        <v>LGCS 166</v>
      </c>
    </row>
    <row r="2721">
      <c r="G2721" s="15" t="str">
        <f>IFERROR(__xludf.DUMMYFUNCTION("""COMPUTED_VALUE"""),"LGCS 184")</f>
        <v>LGCS 184</v>
      </c>
    </row>
    <row r="2722">
      <c r="G2722" s="15" t="str">
        <f>IFERROR(__xludf.DUMMYFUNCTION("""COMPUTED_VALUE"""),"LGCS 185")</f>
        <v>LGCS 185</v>
      </c>
    </row>
    <row r="2723">
      <c r="G2723" s="15" t="str">
        <f>IFERROR(__xludf.DUMMYFUNCTION("""COMPUTED_VALUE"""),"LGCS 191")</f>
        <v>LGCS 191</v>
      </c>
    </row>
    <row r="2724">
      <c r="G2724" s="15" t="str">
        <f>IFERROR(__xludf.DUMMYFUNCTION("""COMPUTED_VALUE"""),"LGST 191")</f>
        <v>LGST 191</v>
      </c>
    </row>
    <row r="2725">
      <c r="G2725" s="15" t="str">
        <f>IFERROR(__xludf.DUMMYFUNCTION("""COMPUTED_VALUE"""),"LIT 034")</f>
        <v>LIT 034</v>
      </c>
    </row>
    <row r="2726">
      <c r="G2726" s="15" t="str">
        <f>IFERROR(__xludf.DUMMYFUNCTION("""COMPUTED_VALUE"""),"LIT 035")</f>
        <v>LIT 035</v>
      </c>
    </row>
    <row r="2727">
      <c r="G2727" s="15" t="str">
        <f>IFERROR(__xludf.DUMMYFUNCTION("""COMPUTED_VALUE"""),"LIT 058")</f>
        <v>LIT 058</v>
      </c>
    </row>
    <row r="2728">
      <c r="G2728" s="15" t="str">
        <f>IFERROR(__xludf.DUMMYFUNCTION("""COMPUTED_VALUE"""),"LIT 061")</f>
        <v>LIT 061</v>
      </c>
    </row>
    <row r="2729">
      <c r="G2729" s="15" t="str">
        <f>IFERROR(__xludf.DUMMYFUNCTION("""COMPUTED_VALUE"""),"LIT 063")</f>
        <v>LIT 063</v>
      </c>
    </row>
    <row r="2730">
      <c r="G2730" s="15" t="str">
        <f>IFERROR(__xludf.DUMMYFUNCTION("""COMPUTED_VALUE"""),"LIT 068")</f>
        <v>LIT 068</v>
      </c>
    </row>
    <row r="2731">
      <c r="G2731" s="15" t="str">
        <f>IFERROR(__xludf.DUMMYFUNCTION("""COMPUTED_VALUE"""),"LIT 084")</f>
        <v>LIT 084</v>
      </c>
    </row>
    <row r="2732">
      <c r="G2732" s="15" t="str">
        <f>IFERROR(__xludf.DUMMYFUNCTION("""COMPUTED_VALUE"""),"LIT 099")</f>
        <v>LIT 099</v>
      </c>
    </row>
    <row r="2733">
      <c r="G2733" s="15" t="str">
        <f>IFERROR(__xludf.DUMMYFUNCTION("""COMPUTED_VALUE"""),"LIT 099A")</f>
        <v>LIT 099A</v>
      </c>
    </row>
    <row r="2734">
      <c r="G2734" s="15" t="str">
        <f>IFERROR(__xludf.DUMMYFUNCTION("""COMPUTED_VALUE"""),"LIT 099IO")</f>
        <v>LIT 099IO</v>
      </c>
    </row>
    <row r="2735">
      <c r="G2735" s="15" t="str">
        <f>IFERROR(__xludf.DUMMYFUNCTION("""COMPUTED_VALUE"""),"LIT 103")</f>
        <v>LIT 103</v>
      </c>
    </row>
    <row r="2736">
      <c r="G2736" s="15" t="str">
        <f>IFERROR(__xludf.DUMMYFUNCTION("""COMPUTED_VALUE"""),"LIT 112")</f>
        <v>LIT 112</v>
      </c>
    </row>
    <row r="2737">
      <c r="G2737" s="15" t="str">
        <f>IFERROR(__xludf.DUMMYFUNCTION("""COMPUTED_VALUE"""),"LIT 119")</f>
        <v>LIT 119</v>
      </c>
    </row>
    <row r="2738">
      <c r="G2738" s="15" t="str">
        <f>IFERROR(__xludf.DUMMYFUNCTION("""COMPUTED_VALUE"""),"LIT 130")</f>
        <v>LIT 130</v>
      </c>
    </row>
    <row r="2739">
      <c r="G2739" s="15" t="str">
        <f>IFERROR(__xludf.DUMMYFUNCTION("""COMPUTED_VALUE"""),"LIT 134")</f>
        <v>LIT 134</v>
      </c>
    </row>
    <row r="2740">
      <c r="G2740" s="15" t="str">
        <f>IFERROR(__xludf.DUMMYFUNCTION("""COMPUTED_VALUE"""),"LIT 141")</f>
        <v>LIT 141</v>
      </c>
    </row>
    <row r="2741">
      <c r="G2741" s="15" t="str">
        <f>IFERROR(__xludf.DUMMYFUNCTION("""COMPUTED_VALUE"""),"LIT 152")</f>
        <v>LIT 152</v>
      </c>
    </row>
    <row r="2742">
      <c r="G2742" s="15" t="str">
        <f>IFERROR(__xludf.DUMMYFUNCTION("""COMPUTED_VALUE"""),"LIT 165")</f>
        <v>LIT 165</v>
      </c>
    </row>
    <row r="2743">
      <c r="G2743" s="15" t="str">
        <f>IFERROR(__xludf.DUMMYFUNCTION("""COMPUTED_VALUE"""),"LIT 181")</f>
        <v>LIT 181</v>
      </c>
    </row>
    <row r="2744">
      <c r="G2744" s="15" t="str">
        <f>IFERROR(__xludf.DUMMYFUNCTION("""COMPUTED_VALUE"""),"LIT 183")</f>
        <v>LIT 183</v>
      </c>
    </row>
    <row r="2745">
      <c r="G2745" s="15" t="str">
        <f>IFERROR(__xludf.DUMMYFUNCTION("""COMPUTED_VALUE"""),"LIT 185")</f>
        <v>LIT 185</v>
      </c>
    </row>
    <row r="2746">
      <c r="G2746" s="15" t="str">
        <f>IFERROR(__xludf.DUMMYFUNCTION("""COMPUTED_VALUE"""),"MATH 008")</f>
        <v>MATH 008</v>
      </c>
    </row>
    <row r="2747">
      <c r="G2747" s="15" t="str">
        <f>IFERROR(__xludf.DUMMYFUNCTION("""COMPUTED_VALUE"""),"MATH 030")</f>
        <v>MATH 030</v>
      </c>
    </row>
    <row r="2748">
      <c r="G2748" s="15" t="str">
        <f>IFERROR(__xludf.DUMMYFUNCTION("""COMPUTED_VALUE"""),"MATH 031")</f>
        <v>MATH 031</v>
      </c>
    </row>
    <row r="2749">
      <c r="G2749" s="15" t="str">
        <f>IFERROR(__xludf.DUMMYFUNCTION("""COMPUTED_VALUE"""),"MATH 031A")</f>
        <v>MATH 031A</v>
      </c>
    </row>
    <row r="2750">
      <c r="G2750" s="15" t="str">
        <f>IFERROR(__xludf.DUMMYFUNCTION("""COMPUTED_VALUE"""),"MATH 031H")</f>
        <v>MATH 031H</v>
      </c>
    </row>
    <row r="2751">
      <c r="G2751" s="15" t="str">
        <f>IFERROR(__xludf.DUMMYFUNCTION("""COMPUTED_VALUE"""),"MATH 032")</f>
        <v>MATH 032</v>
      </c>
    </row>
    <row r="2752">
      <c r="G2752" s="15" t="str">
        <f>IFERROR(__xludf.DUMMYFUNCTION("""COMPUTED_VALUE"""),"MATH 032S")</f>
        <v>MATH 032S</v>
      </c>
    </row>
    <row r="2753">
      <c r="G2753" s="15" t="str">
        <f>IFERROR(__xludf.DUMMYFUNCTION("""COMPUTED_VALUE"""),"MATH 052")</f>
        <v>MATH 052</v>
      </c>
    </row>
    <row r="2754">
      <c r="G2754" s="15" t="str">
        <f>IFERROR(__xludf.DUMMYFUNCTION("""COMPUTED_VALUE"""),"MATH 055")</f>
        <v>MATH 055</v>
      </c>
    </row>
    <row r="2755">
      <c r="G2755" s="15" t="str">
        <f>IFERROR(__xludf.DUMMYFUNCTION("""COMPUTED_VALUE"""),"MATH 058")</f>
        <v>MATH 058</v>
      </c>
    </row>
    <row r="2756">
      <c r="G2756" s="15" t="str">
        <f>IFERROR(__xludf.DUMMYFUNCTION("""COMPUTED_VALUE"""),"MATH 058B")</f>
        <v>MATH 058B</v>
      </c>
    </row>
    <row r="2757">
      <c r="G2757" s="15" t="str">
        <f>IFERROR(__xludf.DUMMYFUNCTION("""COMPUTED_VALUE"""),"MATH 060")</f>
        <v>MATH 060</v>
      </c>
    </row>
    <row r="2758">
      <c r="G2758" s="15" t="str">
        <f>IFERROR(__xludf.DUMMYFUNCTION("""COMPUTED_VALUE"""),"MATH 062")</f>
        <v>MATH 062</v>
      </c>
    </row>
    <row r="2759">
      <c r="G2759" s="15" t="str">
        <f>IFERROR(__xludf.DUMMYFUNCTION("""COMPUTED_VALUE"""),"MATH 067")</f>
        <v>MATH 067</v>
      </c>
    </row>
    <row r="2760">
      <c r="G2760" s="15" t="str">
        <f>IFERROR(__xludf.DUMMYFUNCTION("""COMPUTED_VALUE"""),"MATH 070")</f>
        <v>MATH 070</v>
      </c>
    </row>
    <row r="2761">
      <c r="G2761" s="15" t="str">
        <f>IFERROR(__xludf.DUMMYFUNCTION("""COMPUTED_VALUE"""),"MATH 073")</f>
        <v>MATH 073</v>
      </c>
    </row>
    <row r="2762">
      <c r="G2762" s="15" t="str">
        <f>IFERROR(__xludf.DUMMYFUNCTION("""COMPUTED_VALUE"""),"MATH 080")</f>
        <v>MATH 080</v>
      </c>
    </row>
    <row r="2763">
      <c r="G2763" s="15" t="str">
        <f>IFERROR(__xludf.DUMMYFUNCTION("""COMPUTED_VALUE"""),"MATH 101")</f>
        <v>MATH 101</v>
      </c>
    </row>
    <row r="2764">
      <c r="G2764" s="15" t="str">
        <f>IFERROR(__xludf.DUMMYFUNCTION("""COMPUTED_VALUE"""),"MATH 102")</f>
        <v>MATH 102</v>
      </c>
    </row>
    <row r="2765">
      <c r="G2765" s="15" t="str">
        <f>IFERROR(__xludf.DUMMYFUNCTION("""COMPUTED_VALUE"""),"MATH 103")</f>
        <v>MATH 103</v>
      </c>
    </row>
    <row r="2766">
      <c r="G2766" s="15" t="str">
        <f>IFERROR(__xludf.DUMMYFUNCTION("""COMPUTED_VALUE"""),"MATH 104")</f>
        <v>MATH 104</v>
      </c>
    </row>
    <row r="2767">
      <c r="G2767" s="15" t="str">
        <f>IFERROR(__xludf.DUMMYFUNCTION("""COMPUTED_VALUE"""),"MATH 111")</f>
        <v>MATH 111</v>
      </c>
    </row>
    <row r="2768">
      <c r="G2768" s="15" t="str">
        <f>IFERROR(__xludf.DUMMYFUNCTION("""COMPUTED_VALUE"""),"MATH 112")</f>
        <v>MATH 112</v>
      </c>
    </row>
    <row r="2769">
      <c r="G2769" s="15" t="str">
        <f>IFERROR(__xludf.DUMMYFUNCTION("""COMPUTED_VALUE"""),"MATH 115")</f>
        <v>MATH 115</v>
      </c>
    </row>
    <row r="2770">
      <c r="G2770" s="15" t="str">
        <f>IFERROR(__xludf.DUMMYFUNCTION("""COMPUTED_VALUE"""),"MATH 131")</f>
        <v>MATH 131</v>
      </c>
    </row>
    <row r="2771">
      <c r="G2771" s="15" t="str">
        <f>IFERROR(__xludf.DUMMYFUNCTION("""COMPUTED_VALUE"""),"MATH 132")</f>
        <v>MATH 132</v>
      </c>
    </row>
    <row r="2772">
      <c r="G2772" s="15" t="str">
        <f>IFERROR(__xludf.DUMMYFUNCTION("""COMPUTED_VALUE"""),"MATH 135")</f>
        <v>MATH 135</v>
      </c>
    </row>
    <row r="2773">
      <c r="G2773" s="15" t="str">
        <f>IFERROR(__xludf.DUMMYFUNCTION("""COMPUTED_VALUE"""),"MATH 138")</f>
        <v>MATH 138</v>
      </c>
    </row>
    <row r="2774">
      <c r="G2774" s="15" t="str">
        <f>IFERROR(__xludf.DUMMYFUNCTION("""COMPUTED_VALUE"""),"MATH 145")</f>
        <v>MATH 145</v>
      </c>
    </row>
    <row r="2775">
      <c r="G2775" s="15" t="str">
        <f>IFERROR(__xludf.DUMMYFUNCTION("""COMPUTED_VALUE"""),"MATH 150")</f>
        <v>MATH 150</v>
      </c>
    </row>
    <row r="2776">
      <c r="G2776" s="15" t="str">
        <f>IFERROR(__xludf.DUMMYFUNCTION("""COMPUTED_VALUE"""),"MATH 151")</f>
        <v>MATH 151</v>
      </c>
    </row>
    <row r="2777">
      <c r="G2777" s="15" t="str">
        <f>IFERROR(__xludf.DUMMYFUNCTION("""COMPUTED_VALUE"""),"MATH 152")</f>
        <v>MATH 152</v>
      </c>
    </row>
    <row r="2778">
      <c r="G2778" s="15" t="str">
        <f>IFERROR(__xludf.DUMMYFUNCTION("""COMPUTED_VALUE"""),"MATH 155")</f>
        <v>MATH 155</v>
      </c>
    </row>
    <row r="2779">
      <c r="G2779" s="15" t="str">
        <f>IFERROR(__xludf.DUMMYFUNCTION("""COMPUTED_VALUE"""),"MATH 157")</f>
        <v>MATH 157</v>
      </c>
    </row>
    <row r="2780">
      <c r="G2780" s="15" t="str">
        <f>IFERROR(__xludf.DUMMYFUNCTION("""COMPUTED_VALUE"""),"MATH 158")</f>
        <v>MATH 158</v>
      </c>
    </row>
    <row r="2781">
      <c r="G2781" s="15" t="str">
        <f>IFERROR(__xludf.DUMMYFUNCTION("""COMPUTED_VALUE"""),"MATH 160")</f>
        <v>MATH 160</v>
      </c>
    </row>
    <row r="2782">
      <c r="G2782" s="15" t="str">
        <f>IFERROR(__xludf.DUMMYFUNCTION("""COMPUTED_VALUE"""),"MATH 164")</f>
        <v>MATH 164</v>
      </c>
    </row>
    <row r="2783">
      <c r="G2783" s="15" t="str">
        <f>IFERROR(__xludf.DUMMYFUNCTION("""COMPUTED_VALUE"""),"MATH 168")</f>
        <v>MATH 168</v>
      </c>
    </row>
    <row r="2784">
      <c r="G2784" s="15" t="str">
        <f>IFERROR(__xludf.DUMMYFUNCTION("""COMPUTED_VALUE"""),"MATH 171")</f>
        <v>MATH 171</v>
      </c>
    </row>
    <row r="2785">
      <c r="G2785" s="15" t="str">
        <f>IFERROR(__xludf.DUMMYFUNCTION("""COMPUTED_VALUE"""),"MATH 172")</f>
        <v>MATH 172</v>
      </c>
    </row>
    <row r="2786">
      <c r="G2786" s="15" t="str">
        <f>IFERROR(__xludf.DUMMYFUNCTION("""COMPUTED_VALUE"""),"MATH 175")</f>
        <v>MATH 175</v>
      </c>
    </row>
    <row r="2787">
      <c r="G2787" s="15" t="str">
        <f>IFERROR(__xludf.DUMMYFUNCTION("""COMPUTED_VALUE"""),"MATH 176")</f>
        <v>MATH 176</v>
      </c>
    </row>
    <row r="2788">
      <c r="G2788" s="15" t="str">
        <f>IFERROR(__xludf.DUMMYFUNCTION("""COMPUTED_VALUE"""),"MATH 180")</f>
        <v>MATH 180</v>
      </c>
    </row>
    <row r="2789">
      <c r="G2789" s="15" t="str">
        <f>IFERROR(__xludf.DUMMYFUNCTION("""COMPUTED_VALUE"""),"MATH 181")</f>
        <v>MATH 181</v>
      </c>
    </row>
    <row r="2790">
      <c r="G2790" s="15" t="str">
        <f>IFERROR(__xludf.DUMMYFUNCTION("""COMPUTED_VALUE"""),"MATH 189AA")</f>
        <v>MATH 189AA</v>
      </c>
    </row>
    <row r="2791">
      <c r="G2791" s="15" t="str">
        <f>IFERROR(__xludf.DUMMYFUNCTION("""COMPUTED_VALUE"""),"MATH 190")</f>
        <v>MATH 190</v>
      </c>
    </row>
    <row r="2792">
      <c r="G2792" s="15" t="str">
        <f>IFERROR(__xludf.DUMMYFUNCTION("""COMPUTED_VALUE"""),"MATH 191")</f>
        <v>MATH 191</v>
      </c>
    </row>
    <row r="2793">
      <c r="G2793" s="15" t="str">
        <f>IFERROR(__xludf.DUMMYFUNCTION("""COMPUTED_VALUE"""),"MATH 193")</f>
        <v>MATH 193</v>
      </c>
    </row>
    <row r="2794">
      <c r="G2794" s="15" t="str">
        <f>IFERROR(__xludf.DUMMYFUNCTION("""COMPUTED_VALUE"""),"MATH 195")</f>
        <v>MATH 195</v>
      </c>
    </row>
    <row r="2795">
      <c r="G2795" s="15" t="str">
        <f>IFERROR(__xludf.DUMMYFUNCTION("""COMPUTED_VALUE"""),"MATH 196")</f>
        <v>MATH 196</v>
      </c>
    </row>
    <row r="2796">
      <c r="G2796" s="15" t="str">
        <f>IFERROR(__xludf.DUMMYFUNCTION("""COMPUTED_VALUE"""),"MATH 197")</f>
        <v>MATH 197</v>
      </c>
    </row>
    <row r="2797">
      <c r="G2797" s="15" t="str">
        <f>IFERROR(__xludf.DUMMYFUNCTION("""COMPUTED_VALUE"""),"MATH 198")</f>
        <v>MATH 198</v>
      </c>
    </row>
    <row r="2798">
      <c r="G2798" s="15" t="str">
        <f>IFERROR(__xludf.DUMMYFUNCTION("""COMPUTED_VALUE"""),"MATH 199")</f>
        <v>MATH 199</v>
      </c>
    </row>
    <row r="2799">
      <c r="G2799" s="15" t="str">
        <f>IFERROR(__xludf.DUMMYFUNCTION("""COMPUTED_VALUE"""),"MCBI 118A")</f>
        <v>MCBI 118A</v>
      </c>
    </row>
    <row r="2800">
      <c r="G2800" s="15" t="str">
        <f>IFERROR(__xludf.DUMMYFUNCTION("""COMPUTED_VALUE"""),"MCBI 118B")</f>
        <v>MCBI 118B</v>
      </c>
    </row>
    <row r="2801">
      <c r="G2801" s="15" t="str">
        <f>IFERROR(__xludf.DUMMYFUNCTION("""COMPUTED_VALUE"""),"MCBI 199")</f>
        <v>MCBI 199</v>
      </c>
    </row>
    <row r="2802">
      <c r="G2802" s="15" t="str">
        <f>IFERROR(__xludf.DUMMYFUNCTION("""COMPUTED_VALUE"""),"MCSI 195")</f>
        <v>MCSI 195</v>
      </c>
    </row>
    <row r="2803">
      <c r="G2803" s="15" t="str">
        <f>IFERROR(__xludf.DUMMYFUNCTION("""COMPUTED_VALUE"""),"MENA 191")</f>
        <v>MENA 191</v>
      </c>
    </row>
    <row r="2804">
      <c r="G2804" s="15" t="str">
        <f>IFERROR(__xludf.DUMMYFUNCTION("""COMPUTED_VALUE"""),"MES 191")</f>
        <v>MES 191</v>
      </c>
    </row>
    <row r="2805">
      <c r="G2805" s="15" t="str">
        <f>IFERROR(__xludf.DUMMYFUNCTION("""COMPUTED_VALUE"""),"MLLC 144")</f>
        <v>MLLC 144</v>
      </c>
    </row>
    <row r="2806">
      <c r="G2806" s="15" t="str">
        <f>IFERROR(__xludf.DUMMYFUNCTION("""COMPUTED_VALUE"""),"MLLC 150")</f>
        <v>MLLC 150</v>
      </c>
    </row>
    <row r="2807">
      <c r="G2807" s="15" t="str">
        <f>IFERROR(__xludf.DUMMYFUNCTION("""COMPUTED_VALUE"""),"MLLC 155")</f>
        <v>MLLC 155</v>
      </c>
    </row>
    <row r="2808">
      <c r="G2808" s="15" t="str">
        <f>IFERROR(__xludf.DUMMYFUNCTION("""COMPUTED_VALUE"""),"MLLC 188")</f>
        <v>MLLC 188</v>
      </c>
    </row>
    <row r="2809">
      <c r="G2809" s="15" t="str">
        <f>IFERROR(__xludf.DUMMYFUNCTION("""COMPUTED_VALUE"""),"MOBI 188")</f>
        <v>MOBI 188</v>
      </c>
    </row>
    <row r="2810">
      <c r="G2810" s="15" t="str">
        <f>IFERROR(__xludf.DUMMYFUNCTION("""COMPUTED_VALUE"""),"MOBI 191A")</f>
        <v>MOBI 191A</v>
      </c>
    </row>
    <row r="2811">
      <c r="G2811" s="15" t="str">
        <f>IFERROR(__xludf.DUMMYFUNCTION("""COMPUTED_VALUE"""),"MOBI 194A")</f>
        <v>MOBI 194A</v>
      </c>
    </row>
    <row r="2812">
      <c r="G2812" s="15" t="str">
        <f>IFERROR(__xludf.DUMMYFUNCTION("""COMPUTED_VALUE"""),"MOBI 194B")</f>
        <v>MOBI 194B</v>
      </c>
    </row>
    <row r="2813">
      <c r="G2813" s="15" t="str">
        <f>IFERROR(__xludf.DUMMYFUNCTION("""COMPUTED_VALUE"""),"MS 038")</f>
        <v>MS 038</v>
      </c>
    </row>
    <row r="2814">
      <c r="G2814" s="15" t="str">
        <f>IFERROR(__xludf.DUMMYFUNCTION("""COMPUTED_VALUE"""),"MS 050")</f>
        <v>MS 050</v>
      </c>
    </row>
    <row r="2815">
      <c r="G2815" s="15" t="str">
        <f>IFERROR(__xludf.DUMMYFUNCTION("""COMPUTED_VALUE"""),"MS 051")</f>
        <v>MS 051</v>
      </c>
    </row>
    <row r="2816">
      <c r="G2816" s="15" t="str">
        <f>IFERROR(__xludf.DUMMYFUNCTION("""COMPUTED_VALUE"""),"MS 053")</f>
        <v>MS 053</v>
      </c>
    </row>
    <row r="2817">
      <c r="G2817" s="15" t="str">
        <f>IFERROR(__xludf.DUMMYFUNCTION("""COMPUTED_VALUE"""),"MS 054")</f>
        <v>MS 054</v>
      </c>
    </row>
    <row r="2818">
      <c r="G2818" s="15" t="str">
        <f>IFERROR(__xludf.DUMMYFUNCTION("""COMPUTED_VALUE"""),"MS 059")</f>
        <v>MS 059</v>
      </c>
    </row>
    <row r="2819">
      <c r="G2819" s="15" t="str">
        <f>IFERROR(__xludf.DUMMYFUNCTION("""COMPUTED_VALUE"""),"MS 082")</f>
        <v>MS 082</v>
      </c>
    </row>
    <row r="2820">
      <c r="G2820" s="15" t="str">
        <f>IFERROR(__xludf.DUMMYFUNCTION("""COMPUTED_VALUE"""),"MS 087")</f>
        <v>MS 087</v>
      </c>
    </row>
    <row r="2821">
      <c r="G2821" s="15" t="str">
        <f>IFERROR(__xludf.DUMMYFUNCTION("""COMPUTED_VALUE"""),"MS 092")</f>
        <v>MS 092</v>
      </c>
    </row>
    <row r="2822">
      <c r="G2822" s="15" t="str">
        <f>IFERROR(__xludf.DUMMYFUNCTION("""COMPUTED_VALUE"""),"MS 097")</f>
        <v>MS 097</v>
      </c>
    </row>
    <row r="2823">
      <c r="G2823" s="15" t="str">
        <f>IFERROR(__xludf.DUMMYFUNCTION("""COMPUTED_VALUE"""),"MS 098")</f>
        <v>MS 098</v>
      </c>
    </row>
    <row r="2824">
      <c r="G2824" s="15" t="str">
        <f>IFERROR(__xludf.DUMMYFUNCTION("""COMPUTED_VALUE"""),"MS 111")</f>
        <v>MS 111</v>
      </c>
    </row>
    <row r="2825">
      <c r="G2825" s="15" t="str">
        <f>IFERROR(__xludf.DUMMYFUNCTION("""COMPUTED_VALUE"""),"MS 115")</f>
        <v>MS 115</v>
      </c>
    </row>
    <row r="2826">
      <c r="G2826" s="15" t="str">
        <f>IFERROR(__xludf.DUMMYFUNCTION("""COMPUTED_VALUE"""),"MS 117")</f>
        <v>MS 117</v>
      </c>
    </row>
    <row r="2827">
      <c r="G2827" s="15" t="str">
        <f>IFERROR(__xludf.DUMMYFUNCTION("""COMPUTED_VALUE"""),"MS 120")</f>
        <v>MS 120</v>
      </c>
    </row>
    <row r="2828">
      <c r="G2828" s="15" t="str">
        <f>IFERROR(__xludf.DUMMYFUNCTION("""COMPUTED_VALUE"""),"MS 121")</f>
        <v>MS 121</v>
      </c>
    </row>
    <row r="2829">
      <c r="G2829" s="15" t="str">
        <f>IFERROR(__xludf.DUMMYFUNCTION("""COMPUTED_VALUE"""),"MS 132")</f>
        <v>MS 132</v>
      </c>
    </row>
    <row r="2830">
      <c r="G2830" s="15" t="str">
        <f>IFERROR(__xludf.DUMMYFUNCTION("""COMPUTED_VALUE"""),"MS 148F")</f>
        <v>MS 148F</v>
      </c>
    </row>
    <row r="2831">
      <c r="G2831" s="15" t="str">
        <f>IFERROR(__xludf.DUMMYFUNCTION("""COMPUTED_VALUE"""),"MS 148G")</f>
        <v>MS 148G</v>
      </c>
    </row>
    <row r="2832">
      <c r="G2832" s="15" t="str">
        <f>IFERROR(__xludf.DUMMYFUNCTION("""COMPUTED_VALUE"""),"MS 149T")</f>
        <v>MS 149T</v>
      </c>
    </row>
    <row r="2833">
      <c r="G2833" s="15" t="str">
        <f>IFERROR(__xludf.DUMMYFUNCTION("""COMPUTED_VALUE"""),"MS 160")</f>
        <v>MS 160</v>
      </c>
    </row>
    <row r="2834">
      <c r="G2834" s="15" t="str">
        <f>IFERROR(__xludf.DUMMYFUNCTION("""COMPUTED_VALUE"""),"MS 173")</f>
        <v>MS 173</v>
      </c>
    </row>
    <row r="2835">
      <c r="G2835" s="15" t="str">
        <f>IFERROR(__xludf.DUMMYFUNCTION("""COMPUTED_VALUE"""),"MS 175")</f>
        <v>MS 175</v>
      </c>
    </row>
    <row r="2836">
      <c r="G2836" s="15" t="str">
        <f>IFERROR(__xludf.DUMMYFUNCTION("""COMPUTED_VALUE"""),"MS 192")</f>
        <v>MS 192</v>
      </c>
    </row>
    <row r="2837">
      <c r="G2837" s="15" t="str">
        <f>IFERROR(__xludf.DUMMYFUNCTION("""COMPUTED_VALUE"""),"MS 194")</f>
        <v>MS 194</v>
      </c>
    </row>
    <row r="2838">
      <c r="G2838" s="15" t="str">
        <f>IFERROR(__xludf.DUMMYFUNCTION("""COMPUTED_VALUE"""),"MS 196")</f>
        <v>MS 196</v>
      </c>
    </row>
    <row r="2839">
      <c r="G2839" s="15" t="str">
        <f>IFERROR(__xludf.DUMMYFUNCTION("""COMPUTED_VALUE"""),"MSL 001A")</f>
        <v>MSL 001A</v>
      </c>
    </row>
    <row r="2840">
      <c r="G2840" s="15" t="str">
        <f>IFERROR(__xludf.DUMMYFUNCTION("""COMPUTED_VALUE"""),"MSL 089")</f>
        <v>MSL 089</v>
      </c>
    </row>
    <row r="2841">
      <c r="G2841" s="15" t="str">
        <f>IFERROR(__xludf.DUMMYFUNCTION("""COMPUTED_VALUE"""),"MSL 099")</f>
        <v>MSL 099</v>
      </c>
    </row>
    <row r="2842">
      <c r="G2842" s="15" t="str">
        <f>IFERROR(__xludf.DUMMYFUNCTION("""COMPUTED_VALUE"""),"MSL 101B")</f>
        <v>MSL 101B</v>
      </c>
    </row>
    <row r="2843">
      <c r="G2843" s="15" t="str">
        <f>IFERROR(__xludf.DUMMYFUNCTION("""COMPUTED_VALUE"""),"MSL 102B")</f>
        <v>MSL 102B</v>
      </c>
    </row>
    <row r="2844">
      <c r="G2844" s="15" t="str">
        <f>IFERROR(__xludf.DUMMYFUNCTION("""COMPUTED_VALUE"""),"MSL 103B")</f>
        <v>MSL 103B</v>
      </c>
    </row>
    <row r="2845">
      <c r="G2845" s="15" t="str">
        <f>IFERROR(__xludf.DUMMYFUNCTION("""COMPUTED_VALUE"""),"MSL 104B")</f>
        <v>MSL 104B</v>
      </c>
    </row>
    <row r="2846">
      <c r="G2846" s="15" t="str">
        <f>IFERROR(__xludf.DUMMYFUNCTION("""COMPUTED_VALUE"""),"MUS 003")</f>
        <v>MUS 003</v>
      </c>
    </row>
    <row r="2847">
      <c r="G2847" s="15" t="str">
        <f>IFERROR(__xludf.DUMMYFUNCTION("""COMPUTED_VALUE"""),"MUS 004")</f>
        <v>MUS 004</v>
      </c>
    </row>
    <row r="2848">
      <c r="G2848" s="15" t="str">
        <f>IFERROR(__xludf.DUMMYFUNCTION("""COMPUTED_VALUE"""),"MUS 007")</f>
        <v>MUS 007</v>
      </c>
    </row>
    <row r="2849">
      <c r="G2849" s="15" t="str">
        <f>IFERROR(__xludf.DUMMYFUNCTION("""COMPUTED_VALUE"""),"MUS 010")</f>
        <v>MUS 010</v>
      </c>
    </row>
    <row r="2850">
      <c r="G2850" s="15" t="str">
        <f>IFERROR(__xludf.DUMMYFUNCTION("""COMPUTED_VALUE"""),"MUS 015")</f>
        <v>MUS 015</v>
      </c>
    </row>
    <row r="2851">
      <c r="G2851" s="15" t="str">
        <f>IFERROR(__xludf.DUMMYFUNCTION("""COMPUTED_VALUE"""),"MUS 016")</f>
        <v>MUS 016</v>
      </c>
    </row>
    <row r="2852">
      <c r="G2852" s="15" t="str">
        <f>IFERROR(__xludf.DUMMYFUNCTION("""COMPUTED_VALUE"""),"MUS 020")</f>
        <v>MUS 020</v>
      </c>
    </row>
    <row r="2853">
      <c r="G2853" s="15" t="str">
        <f>IFERROR(__xludf.DUMMYFUNCTION("""COMPUTED_VALUE"""),"MUS 031P")</f>
        <v>MUS 031P</v>
      </c>
    </row>
    <row r="2854">
      <c r="G2854" s="15" t="str">
        <f>IFERROR(__xludf.DUMMYFUNCTION("""COMPUTED_VALUE"""),"MUS 032P")</f>
        <v>MUS 032P</v>
      </c>
    </row>
    <row r="2855">
      <c r="G2855" s="15" t="str">
        <f>IFERROR(__xludf.DUMMYFUNCTION("""COMPUTED_VALUE"""),"MUS 033P")</f>
        <v>MUS 033P</v>
      </c>
    </row>
    <row r="2856">
      <c r="G2856" s="15" t="str">
        <f>IFERROR(__xludf.DUMMYFUNCTION("""COMPUTED_VALUE"""),"MUS 035P")</f>
        <v>MUS 035P</v>
      </c>
    </row>
    <row r="2857">
      <c r="G2857" s="15" t="str">
        <f>IFERROR(__xludf.DUMMYFUNCTION("""COMPUTED_VALUE"""),"MUS 037P")</f>
        <v>MUS 037P</v>
      </c>
    </row>
    <row r="2858">
      <c r="G2858" s="15" t="str">
        <f>IFERROR(__xludf.DUMMYFUNCTION("""COMPUTED_VALUE"""),"MUS 041P")</f>
        <v>MUS 041P</v>
      </c>
    </row>
    <row r="2859">
      <c r="G2859" s="15" t="str">
        <f>IFERROR(__xludf.DUMMYFUNCTION("""COMPUTED_VALUE"""),"MUS 042B")</f>
        <v>MUS 042B</v>
      </c>
    </row>
    <row r="2860">
      <c r="G2860" s="15" t="str">
        <f>IFERROR(__xludf.DUMMYFUNCTION("""COMPUTED_VALUE"""),"MUS 051")</f>
        <v>MUS 051</v>
      </c>
    </row>
    <row r="2861">
      <c r="G2861" s="15" t="str">
        <f>IFERROR(__xludf.DUMMYFUNCTION("""COMPUTED_VALUE"""),"MUS 060")</f>
        <v>MUS 060</v>
      </c>
    </row>
    <row r="2862">
      <c r="G2862" s="15" t="str">
        <f>IFERROR(__xludf.DUMMYFUNCTION("""COMPUTED_VALUE"""),"MUS 065")</f>
        <v>MUS 065</v>
      </c>
    </row>
    <row r="2863">
      <c r="G2863" s="15" t="str">
        <f>IFERROR(__xludf.DUMMYFUNCTION("""COMPUTED_VALUE"""),"MUS 067")</f>
        <v>MUS 067</v>
      </c>
    </row>
    <row r="2864">
      <c r="G2864" s="15" t="str">
        <f>IFERROR(__xludf.DUMMYFUNCTION("""COMPUTED_VALUE"""),"MUS 072")</f>
        <v>MUS 072</v>
      </c>
    </row>
    <row r="2865">
      <c r="G2865" s="15" t="str">
        <f>IFERROR(__xludf.DUMMYFUNCTION("""COMPUTED_VALUE"""),"MUS 080")</f>
        <v>MUS 080</v>
      </c>
    </row>
    <row r="2866">
      <c r="G2866" s="15" t="str">
        <f>IFERROR(__xludf.DUMMYFUNCTION("""COMPUTED_VALUE"""),"MUS 080L")</f>
        <v>MUS 080L</v>
      </c>
    </row>
    <row r="2867">
      <c r="G2867" s="15" t="str">
        <f>IFERROR(__xludf.DUMMYFUNCTION("""COMPUTED_VALUE"""),"MUS 082")</f>
        <v>MUS 082</v>
      </c>
    </row>
    <row r="2868">
      <c r="G2868" s="15" t="str">
        <f>IFERROR(__xludf.DUMMYFUNCTION("""COMPUTED_VALUE"""),"MUS 082L")</f>
        <v>MUS 082L</v>
      </c>
    </row>
    <row r="2869">
      <c r="G2869" s="15" t="str">
        <f>IFERROR(__xludf.DUMMYFUNCTION("""COMPUTED_VALUE"""),"MUS 085")</f>
        <v>MUS 085</v>
      </c>
    </row>
    <row r="2870">
      <c r="G2870" s="15" t="str">
        <f>IFERROR(__xludf.DUMMYFUNCTION("""COMPUTED_VALUE"""),"MUS 088")</f>
        <v>MUS 088</v>
      </c>
    </row>
    <row r="2871">
      <c r="G2871" s="15" t="str">
        <f>IFERROR(__xludf.DUMMYFUNCTION("""COMPUTED_VALUE"""),"MUS 089")</f>
        <v>MUS 089</v>
      </c>
    </row>
    <row r="2872">
      <c r="G2872" s="15" t="str">
        <f>IFERROR(__xludf.DUMMYFUNCTION("""COMPUTED_VALUE"""),"MUS 092F")</f>
        <v>MUS 092F</v>
      </c>
    </row>
    <row r="2873">
      <c r="G2873" s="15" t="str">
        <f>IFERROR(__xludf.DUMMYFUNCTION("""COMPUTED_VALUE"""),"MUS 092H")</f>
        <v>MUS 092H</v>
      </c>
    </row>
    <row r="2874">
      <c r="G2874" s="15" t="str">
        <f>IFERROR(__xludf.DUMMYFUNCTION("""COMPUTED_VALUE"""),"MUS 095")</f>
        <v>MUS 095</v>
      </c>
    </row>
    <row r="2875">
      <c r="G2875" s="15" t="str">
        <f>IFERROR(__xludf.DUMMYFUNCTION("""COMPUTED_VALUE"""),"MUS 096B")</f>
        <v>MUS 096B</v>
      </c>
    </row>
    <row r="2876">
      <c r="G2876" s="15" t="str">
        <f>IFERROR(__xludf.DUMMYFUNCTION("""COMPUTED_VALUE"""),"MUS 100")</f>
        <v>MUS 100</v>
      </c>
    </row>
    <row r="2877">
      <c r="G2877" s="15" t="str">
        <f>IFERROR(__xludf.DUMMYFUNCTION("""COMPUTED_VALUE"""),"MUS 102")</f>
        <v>MUS 102</v>
      </c>
    </row>
    <row r="2878">
      <c r="G2878" s="15" t="str">
        <f>IFERROR(__xludf.DUMMYFUNCTION("""COMPUTED_VALUE"""),"MUS 110B")</f>
        <v>MUS 110B</v>
      </c>
    </row>
    <row r="2879">
      <c r="G2879" s="15" t="str">
        <f>IFERROR(__xludf.DUMMYFUNCTION("""COMPUTED_VALUE"""),"MUS 112")</f>
        <v>MUS 112</v>
      </c>
    </row>
    <row r="2880">
      <c r="G2880" s="15" t="str">
        <f>IFERROR(__xludf.DUMMYFUNCTION("""COMPUTED_VALUE"""),"MUS 119")</f>
        <v>MUS 119</v>
      </c>
    </row>
    <row r="2881">
      <c r="G2881" s="15" t="str">
        <f>IFERROR(__xludf.DUMMYFUNCTION("""COMPUTED_VALUE"""),"MUS 120")</f>
        <v>MUS 120</v>
      </c>
    </row>
    <row r="2882">
      <c r="G2882" s="15" t="str">
        <f>IFERROR(__xludf.DUMMYFUNCTION("""COMPUTED_VALUE"""),"MUS 121")</f>
        <v>MUS 121</v>
      </c>
    </row>
    <row r="2883">
      <c r="G2883" s="15" t="str">
        <f>IFERROR(__xludf.DUMMYFUNCTION("""COMPUTED_VALUE"""),"MUS 130")</f>
        <v>MUS 130</v>
      </c>
    </row>
    <row r="2884">
      <c r="G2884" s="15" t="str">
        <f>IFERROR(__xludf.DUMMYFUNCTION("""COMPUTED_VALUE"""),"MUS 147")</f>
        <v>MUS 147</v>
      </c>
    </row>
    <row r="2885">
      <c r="G2885" s="15" t="str">
        <f>IFERROR(__xludf.DUMMYFUNCTION("""COMPUTED_VALUE"""),"MUS 170F")</f>
        <v>MUS 170F</v>
      </c>
    </row>
    <row r="2886">
      <c r="G2886" s="15" t="str">
        <f>IFERROR(__xludf.DUMMYFUNCTION("""COMPUTED_VALUE"""),"MUS 170H")</f>
        <v>MUS 170H</v>
      </c>
    </row>
    <row r="2887">
      <c r="G2887" s="15" t="str">
        <f>IFERROR(__xludf.DUMMYFUNCTION("""COMPUTED_VALUE"""),"MUS 171F")</f>
        <v>MUS 171F</v>
      </c>
    </row>
    <row r="2888">
      <c r="G2888" s="15" t="str">
        <f>IFERROR(__xludf.DUMMYFUNCTION("""COMPUTED_VALUE"""),"MUS 171H")</f>
        <v>MUS 171H</v>
      </c>
    </row>
    <row r="2889">
      <c r="G2889" s="15" t="str">
        <f>IFERROR(__xludf.DUMMYFUNCTION("""COMPUTED_VALUE"""),"MUS 172")</f>
        <v>MUS 172</v>
      </c>
    </row>
    <row r="2890">
      <c r="G2890" s="15" t="str">
        <f>IFERROR(__xludf.DUMMYFUNCTION("""COMPUTED_VALUE"""),"MUS 173")</f>
        <v>MUS 173</v>
      </c>
    </row>
    <row r="2891">
      <c r="G2891" s="15" t="str">
        <f>IFERROR(__xludf.DUMMYFUNCTION("""COMPUTED_VALUE"""),"MUS 175")</f>
        <v>MUS 175</v>
      </c>
    </row>
    <row r="2892">
      <c r="G2892" s="15" t="str">
        <f>IFERROR(__xludf.DUMMYFUNCTION("""COMPUTED_VALUE"""),"MUS 177F")</f>
        <v>MUS 177F</v>
      </c>
    </row>
    <row r="2893">
      <c r="G2893" s="15" t="str">
        <f>IFERROR(__xludf.DUMMYFUNCTION("""COMPUTED_VALUE"""),"MUS 177H")</f>
        <v>MUS 177H</v>
      </c>
    </row>
    <row r="2894">
      <c r="G2894" s="15" t="str">
        <f>IFERROR(__xludf.DUMMYFUNCTION("""COMPUTED_VALUE"""),"MUS 189")</f>
        <v>MUS 189</v>
      </c>
    </row>
    <row r="2895">
      <c r="G2895" s="15" t="str">
        <f>IFERROR(__xludf.DUMMYFUNCTION("""COMPUTED_VALUE"""),"MUS 191")</f>
        <v>MUS 191</v>
      </c>
    </row>
    <row r="2896">
      <c r="G2896" s="15" t="str">
        <f>IFERROR(__xludf.DUMMYFUNCTION("""COMPUTED_VALUE"""),"MUS 192")</f>
        <v>MUS 192</v>
      </c>
    </row>
    <row r="2897">
      <c r="G2897" s="15" t="str">
        <f>IFERROR(__xludf.DUMMYFUNCTION("""COMPUTED_VALUE"""),"NEUR 095L")</f>
        <v>NEUR 095L</v>
      </c>
    </row>
    <row r="2898">
      <c r="G2898" s="15" t="str">
        <f>IFERROR(__xludf.DUMMYFUNCTION("""COMPUTED_VALUE"""),"NEUR 101B")</f>
        <v>NEUR 101B</v>
      </c>
    </row>
    <row r="2899">
      <c r="G2899" s="15" t="str">
        <f>IFERROR(__xludf.DUMMYFUNCTION("""COMPUTED_VALUE"""),"NEUR 101BL")</f>
        <v>NEUR 101BL</v>
      </c>
    </row>
    <row r="2900">
      <c r="G2900" s="15" t="str">
        <f>IFERROR(__xludf.DUMMYFUNCTION("""COMPUTED_VALUE"""),"NEUR 123")</f>
        <v>NEUR 123</v>
      </c>
    </row>
    <row r="2901">
      <c r="G2901" s="15" t="str">
        <f>IFERROR(__xludf.DUMMYFUNCTION("""COMPUTED_VALUE"""),"NEUR 168")</f>
        <v>NEUR 168</v>
      </c>
    </row>
    <row r="2902">
      <c r="G2902" s="15" t="str">
        <f>IFERROR(__xludf.DUMMYFUNCTION("""COMPUTED_VALUE"""),"NEUR 168L")</f>
        <v>NEUR 168L</v>
      </c>
    </row>
    <row r="2903">
      <c r="G2903" s="15" t="str">
        <f>IFERROR(__xludf.DUMMYFUNCTION("""COMPUTED_VALUE"""),"NEUR 178")</f>
        <v>NEUR 178</v>
      </c>
    </row>
    <row r="2904">
      <c r="G2904" s="15" t="str">
        <f>IFERROR(__xludf.DUMMYFUNCTION("""COMPUTED_VALUE"""),"NEUR 188L")</f>
        <v>NEUR 188L</v>
      </c>
    </row>
    <row r="2905">
      <c r="G2905" s="15" t="str">
        <f>IFERROR(__xludf.DUMMYFUNCTION("""COMPUTED_VALUE"""),"NEUR 189L")</f>
        <v>NEUR 189L</v>
      </c>
    </row>
    <row r="2906">
      <c r="G2906" s="15" t="str">
        <f>IFERROR(__xludf.DUMMYFUNCTION("""COMPUTED_VALUE"""),"NEUR 190L")</f>
        <v>NEUR 190L</v>
      </c>
    </row>
    <row r="2907">
      <c r="G2907" s="15" t="str">
        <f>IFERROR(__xludf.DUMMYFUNCTION("""COMPUTED_VALUE"""),"NEUR 191")</f>
        <v>NEUR 191</v>
      </c>
    </row>
    <row r="2908">
      <c r="G2908" s="15" t="str">
        <f>IFERROR(__xludf.DUMMYFUNCTION("""COMPUTED_VALUE"""),"NEUR 192")</f>
        <v>NEUR 192</v>
      </c>
    </row>
    <row r="2909">
      <c r="G2909" s="15" t="str">
        <f>IFERROR(__xludf.DUMMYFUNCTION("""COMPUTED_VALUE"""),"NEUR 194A")</f>
        <v>NEUR 194A</v>
      </c>
    </row>
    <row r="2910">
      <c r="G2910" s="15" t="str">
        <f>IFERROR(__xludf.DUMMYFUNCTION("""COMPUTED_VALUE"""),"ORST 103")</f>
        <v>ORST 103</v>
      </c>
    </row>
    <row r="2911">
      <c r="G2911" s="15" t="str">
        <f>IFERROR(__xludf.DUMMYFUNCTION("""COMPUTED_VALUE"""),"ORST 135")</f>
        <v>ORST 135</v>
      </c>
    </row>
    <row r="2912">
      <c r="G2912" s="15" t="str">
        <f>IFERROR(__xludf.DUMMYFUNCTION("""COMPUTED_VALUE"""),"ORST 150")</f>
        <v>ORST 150</v>
      </c>
    </row>
    <row r="2913">
      <c r="G2913" s="15" t="str">
        <f>IFERROR(__xludf.DUMMYFUNCTION("""COMPUTED_VALUE"""),"ORST 198")</f>
        <v>ORST 198</v>
      </c>
    </row>
    <row r="2914">
      <c r="G2914" s="15" t="str">
        <f>IFERROR(__xludf.DUMMYFUNCTION("""COMPUTED_VALUE"""),"PE 001D")</f>
        <v>PE 001D</v>
      </c>
    </row>
    <row r="2915">
      <c r="G2915" s="15" t="str">
        <f>IFERROR(__xludf.DUMMYFUNCTION("""COMPUTED_VALUE"""),"PE 002")</f>
        <v>PE 002</v>
      </c>
    </row>
    <row r="2916">
      <c r="G2916" s="15" t="str">
        <f>IFERROR(__xludf.DUMMYFUNCTION("""COMPUTED_VALUE"""),"PE 003")</f>
        <v>PE 003</v>
      </c>
    </row>
    <row r="2917">
      <c r="G2917" s="15" t="str">
        <f>IFERROR(__xludf.DUMMYFUNCTION("""COMPUTED_VALUE"""),"PE 004")</f>
        <v>PE 004</v>
      </c>
    </row>
    <row r="2918">
      <c r="G2918" s="15" t="str">
        <f>IFERROR(__xludf.DUMMYFUNCTION("""COMPUTED_VALUE"""),"PE 004B")</f>
        <v>PE 004B</v>
      </c>
    </row>
    <row r="2919">
      <c r="G2919" s="15" t="str">
        <f>IFERROR(__xludf.DUMMYFUNCTION("""COMPUTED_VALUE"""),"PE 005")</f>
        <v>PE 005</v>
      </c>
    </row>
    <row r="2920">
      <c r="G2920" s="15" t="str">
        <f>IFERROR(__xludf.DUMMYFUNCTION("""COMPUTED_VALUE"""),"PE 005A")</f>
        <v>PE 005A</v>
      </c>
    </row>
    <row r="2921">
      <c r="G2921" s="15" t="str">
        <f>IFERROR(__xludf.DUMMYFUNCTION("""COMPUTED_VALUE"""),"PE 005C")</f>
        <v>PE 005C</v>
      </c>
    </row>
    <row r="2922">
      <c r="G2922" s="15" t="str">
        <f>IFERROR(__xludf.DUMMYFUNCTION("""COMPUTED_VALUE"""),"PE 005D")</f>
        <v>PE 005D</v>
      </c>
    </row>
    <row r="2923">
      <c r="G2923" s="15" t="str">
        <f>IFERROR(__xludf.DUMMYFUNCTION("""COMPUTED_VALUE"""),"PE 005E")</f>
        <v>PE 005E</v>
      </c>
    </row>
    <row r="2924">
      <c r="G2924" s="15" t="str">
        <f>IFERROR(__xludf.DUMMYFUNCTION("""COMPUTED_VALUE"""),"PE 006")</f>
        <v>PE 006</v>
      </c>
    </row>
    <row r="2925">
      <c r="G2925" s="15" t="str">
        <f>IFERROR(__xludf.DUMMYFUNCTION("""COMPUTED_VALUE"""),"PE 007")</f>
        <v>PE 007</v>
      </c>
    </row>
    <row r="2926">
      <c r="G2926" s="15" t="str">
        <f>IFERROR(__xludf.DUMMYFUNCTION("""COMPUTED_VALUE"""),"PE 007D")</f>
        <v>PE 007D</v>
      </c>
    </row>
    <row r="2927">
      <c r="G2927" s="15" t="str">
        <f>IFERROR(__xludf.DUMMYFUNCTION("""COMPUTED_VALUE"""),"PE 008")</f>
        <v>PE 008</v>
      </c>
    </row>
    <row r="2928">
      <c r="G2928" s="15" t="str">
        <f>IFERROR(__xludf.DUMMYFUNCTION("""COMPUTED_VALUE"""),"PE 008B")</f>
        <v>PE 008B</v>
      </c>
    </row>
    <row r="2929">
      <c r="G2929" s="15" t="str">
        <f>IFERROR(__xludf.DUMMYFUNCTION("""COMPUTED_VALUE"""),"PE 008D")</f>
        <v>PE 008D</v>
      </c>
    </row>
    <row r="2930">
      <c r="G2930" s="15" t="str">
        <f>IFERROR(__xludf.DUMMYFUNCTION("""COMPUTED_VALUE"""),"PE 009")</f>
        <v>PE 009</v>
      </c>
    </row>
    <row r="2931">
      <c r="G2931" s="15" t="str">
        <f>IFERROR(__xludf.DUMMYFUNCTION("""COMPUTED_VALUE"""),"PE 009A")</f>
        <v>PE 009A</v>
      </c>
    </row>
    <row r="2932">
      <c r="G2932" s="15" t="str">
        <f>IFERROR(__xludf.DUMMYFUNCTION("""COMPUTED_VALUE"""),"PE 010")</f>
        <v>PE 010</v>
      </c>
    </row>
    <row r="2933">
      <c r="G2933" s="15" t="str">
        <f>IFERROR(__xludf.DUMMYFUNCTION("""COMPUTED_VALUE"""),"PE 011")</f>
        <v>PE 011</v>
      </c>
    </row>
    <row r="2934">
      <c r="G2934" s="15" t="str">
        <f>IFERROR(__xludf.DUMMYFUNCTION("""COMPUTED_VALUE"""),"PE 011A")</f>
        <v>PE 011A</v>
      </c>
    </row>
    <row r="2935">
      <c r="G2935" s="15" t="str">
        <f>IFERROR(__xludf.DUMMYFUNCTION("""COMPUTED_VALUE"""),"PE 013")</f>
        <v>PE 013</v>
      </c>
    </row>
    <row r="2936">
      <c r="G2936" s="15" t="str">
        <f>IFERROR(__xludf.DUMMYFUNCTION("""COMPUTED_VALUE"""),"PE 013C")</f>
        <v>PE 013C</v>
      </c>
    </row>
    <row r="2937">
      <c r="G2937" s="15" t="str">
        <f>IFERROR(__xludf.DUMMYFUNCTION("""COMPUTED_VALUE"""),"PE 014")</f>
        <v>PE 014</v>
      </c>
    </row>
    <row r="2938">
      <c r="G2938" s="15" t="str">
        <f>IFERROR(__xludf.DUMMYFUNCTION("""COMPUTED_VALUE"""),"PE 014A")</f>
        <v>PE 014A</v>
      </c>
    </row>
    <row r="2939">
      <c r="G2939" s="15" t="str">
        <f>IFERROR(__xludf.DUMMYFUNCTION("""COMPUTED_VALUE"""),"PE 015")</f>
        <v>PE 015</v>
      </c>
    </row>
    <row r="2940">
      <c r="G2940" s="15" t="str">
        <f>IFERROR(__xludf.DUMMYFUNCTION("""COMPUTED_VALUE"""),"PE 018")</f>
        <v>PE 018</v>
      </c>
    </row>
    <row r="2941">
      <c r="G2941" s="15" t="str">
        <f>IFERROR(__xludf.DUMMYFUNCTION("""COMPUTED_VALUE"""),"PE 018A")</f>
        <v>PE 018A</v>
      </c>
    </row>
    <row r="2942">
      <c r="G2942" s="15" t="str">
        <f>IFERROR(__xludf.DUMMYFUNCTION("""COMPUTED_VALUE"""),"PE 019")</f>
        <v>PE 019</v>
      </c>
    </row>
    <row r="2943">
      <c r="G2943" s="15" t="str">
        <f>IFERROR(__xludf.DUMMYFUNCTION("""COMPUTED_VALUE"""),"PE 019B")</f>
        <v>PE 019B</v>
      </c>
    </row>
    <row r="2944">
      <c r="G2944" s="15" t="str">
        <f>IFERROR(__xludf.DUMMYFUNCTION("""COMPUTED_VALUE"""),"PE 020B")</f>
        <v>PE 020B</v>
      </c>
    </row>
    <row r="2945">
      <c r="G2945" s="15" t="str">
        <f>IFERROR(__xludf.DUMMYFUNCTION("""COMPUTED_VALUE"""),"PE 022A")</f>
        <v>PE 022A</v>
      </c>
    </row>
    <row r="2946">
      <c r="G2946" s="15" t="str">
        <f>IFERROR(__xludf.DUMMYFUNCTION("""COMPUTED_VALUE"""),"PE 022B")</f>
        <v>PE 022B</v>
      </c>
    </row>
    <row r="2947">
      <c r="G2947" s="15" t="str">
        <f>IFERROR(__xludf.DUMMYFUNCTION("""COMPUTED_VALUE"""),"PE 023")</f>
        <v>PE 023</v>
      </c>
    </row>
    <row r="2948">
      <c r="G2948" s="15" t="str">
        <f>IFERROR(__xludf.DUMMYFUNCTION("""COMPUTED_VALUE"""),"PE 024")</f>
        <v>PE 024</v>
      </c>
    </row>
    <row r="2949">
      <c r="G2949" s="15" t="str">
        <f>IFERROR(__xludf.DUMMYFUNCTION("""COMPUTED_VALUE"""),"PE 025")</f>
        <v>PE 025</v>
      </c>
    </row>
    <row r="2950">
      <c r="G2950" s="15" t="str">
        <f>IFERROR(__xludf.DUMMYFUNCTION("""COMPUTED_VALUE"""),"PE 026")</f>
        <v>PE 026</v>
      </c>
    </row>
    <row r="2951">
      <c r="G2951" s="15" t="str">
        <f>IFERROR(__xludf.DUMMYFUNCTION("""COMPUTED_VALUE"""),"PE 028B")</f>
        <v>PE 028B</v>
      </c>
    </row>
    <row r="2952">
      <c r="G2952" s="15" t="str">
        <f>IFERROR(__xludf.DUMMYFUNCTION("""COMPUTED_VALUE"""),"PE 029")</f>
        <v>PE 029</v>
      </c>
    </row>
    <row r="2953">
      <c r="G2953" s="15" t="str">
        <f>IFERROR(__xludf.DUMMYFUNCTION("""COMPUTED_VALUE"""),"PE 032")</f>
        <v>PE 032</v>
      </c>
    </row>
    <row r="2954">
      <c r="G2954" s="15" t="str">
        <f>IFERROR(__xludf.DUMMYFUNCTION("""COMPUTED_VALUE"""),"PE 033B")</f>
        <v>PE 033B</v>
      </c>
    </row>
    <row r="2955">
      <c r="G2955" s="15" t="str">
        <f>IFERROR(__xludf.DUMMYFUNCTION("""COMPUTED_VALUE"""),"PE 035A")</f>
        <v>PE 035A</v>
      </c>
    </row>
    <row r="2956">
      <c r="G2956" s="15" t="str">
        <f>IFERROR(__xludf.DUMMYFUNCTION("""COMPUTED_VALUE"""),"PE 035B")</f>
        <v>PE 035B</v>
      </c>
    </row>
    <row r="2957">
      <c r="G2957" s="15" t="str">
        <f>IFERROR(__xludf.DUMMYFUNCTION("""COMPUTED_VALUE"""),"PE 038A")</f>
        <v>PE 038A</v>
      </c>
    </row>
    <row r="2958">
      <c r="G2958" s="15" t="str">
        <f>IFERROR(__xludf.DUMMYFUNCTION("""COMPUTED_VALUE"""),"PE 039")</f>
        <v>PE 039</v>
      </c>
    </row>
    <row r="2959">
      <c r="G2959" s="15" t="str">
        <f>IFERROR(__xludf.DUMMYFUNCTION("""COMPUTED_VALUE"""),"PE 039A")</f>
        <v>PE 039A</v>
      </c>
    </row>
    <row r="2960">
      <c r="G2960" s="15" t="str">
        <f>IFERROR(__xludf.DUMMYFUNCTION("""COMPUTED_VALUE"""),"PE 039D")</f>
        <v>PE 039D</v>
      </c>
    </row>
    <row r="2961">
      <c r="G2961" s="15" t="str">
        <f>IFERROR(__xludf.DUMMYFUNCTION("""COMPUTED_VALUE"""),"PE 042")</f>
        <v>PE 042</v>
      </c>
    </row>
    <row r="2962">
      <c r="G2962" s="15" t="str">
        <f>IFERROR(__xludf.DUMMYFUNCTION("""COMPUTED_VALUE"""),"PE 042A")</f>
        <v>PE 042A</v>
      </c>
    </row>
    <row r="2963">
      <c r="G2963" s="15" t="str">
        <f>IFERROR(__xludf.DUMMYFUNCTION("""COMPUTED_VALUE"""),"PE 056D")</f>
        <v>PE 056D</v>
      </c>
    </row>
    <row r="2964">
      <c r="G2964" s="15" t="str">
        <f>IFERROR(__xludf.DUMMYFUNCTION("""COMPUTED_VALUE"""),"PE 057A")</f>
        <v>PE 057A</v>
      </c>
    </row>
    <row r="2965">
      <c r="G2965" s="15" t="str">
        <f>IFERROR(__xludf.DUMMYFUNCTION("""COMPUTED_VALUE"""),"PE 057B")</f>
        <v>PE 057B</v>
      </c>
    </row>
    <row r="2966">
      <c r="G2966" s="15" t="str">
        <f>IFERROR(__xludf.DUMMYFUNCTION("""COMPUTED_VALUE"""),"PE 057C")</f>
        <v>PE 057C</v>
      </c>
    </row>
    <row r="2967">
      <c r="G2967" s="15" t="str">
        <f>IFERROR(__xludf.DUMMYFUNCTION("""COMPUTED_VALUE"""),"PE 057D")</f>
        <v>PE 057D</v>
      </c>
    </row>
    <row r="2968">
      <c r="G2968" s="15" t="str">
        <f>IFERROR(__xludf.DUMMYFUNCTION("""COMPUTED_VALUE"""),"PE 067B")</f>
        <v>PE 067B</v>
      </c>
    </row>
    <row r="2969">
      <c r="G2969" s="15" t="str">
        <f>IFERROR(__xludf.DUMMYFUNCTION("""COMPUTED_VALUE"""),"PE 070B")</f>
        <v>PE 070B</v>
      </c>
    </row>
    <row r="2970">
      <c r="G2970" s="15" t="str">
        <f>IFERROR(__xludf.DUMMYFUNCTION("""COMPUTED_VALUE"""),"PE 073")</f>
        <v>PE 073</v>
      </c>
    </row>
    <row r="2971">
      <c r="G2971" s="15" t="str">
        <f>IFERROR(__xludf.DUMMYFUNCTION("""COMPUTED_VALUE"""),"PE 073D")</f>
        <v>PE 073D</v>
      </c>
    </row>
    <row r="2972">
      <c r="G2972" s="15" t="str">
        <f>IFERROR(__xludf.DUMMYFUNCTION("""COMPUTED_VALUE"""),"PE 074")</f>
        <v>PE 074</v>
      </c>
    </row>
    <row r="2973">
      <c r="G2973" s="15" t="str">
        <f>IFERROR(__xludf.DUMMYFUNCTION("""COMPUTED_VALUE"""),"PE 075")</f>
        <v>PE 075</v>
      </c>
    </row>
    <row r="2974">
      <c r="G2974" s="15" t="str">
        <f>IFERROR(__xludf.DUMMYFUNCTION("""COMPUTED_VALUE"""),"PE 075H")</f>
        <v>PE 075H</v>
      </c>
    </row>
    <row r="2975">
      <c r="G2975" s="15" t="str">
        <f>IFERROR(__xludf.DUMMYFUNCTION("""COMPUTED_VALUE"""),"PE 076")</f>
        <v>PE 076</v>
      </c>
    </row>
    <row r="2976">
      <c r="G2976" s="15" t="str">
        <f>IFERROR(__xludf.DUMMYFUNCTION("""COMPUTED_VALUE"""),"PE 076A")</f>
        <v>PE 076A</v>
      </c>
    </row>
    <row r="2977">
      <c r="G2977" s="15" t="str">
        <f>IFERROR(__xludf.DUMMYFUNCTION("""COMPUTED_VALUE"""),"PE 077A")</f>
        <v>PE 077A</v>
      </c>
    </row>
    <row r="2978">
      <c r="G2978" s="15" t="str">
        <f>IFERROR(__xludf.DUMMYFUNCTION("""COMPUTED_VALUE"""),"PE 080")</f>
        <v>PE 080</v>
      </c>
    </row>
    <row r="2979">
      <c r="G2979" s="15" t="str">
        <f>IFERROR(__xludf.DUMMYFUNCTION("""COMPUTED_VALUE"""),"PE 082")</f>
        <v>PE 082</v>
      </c>
    </row>
    <row r="2980">
      <c r="G2980" s="15" t="str">
        <f>IFERROR(__xludf.DUMMYFUNCTION("""COMPUTED_VALUE"""),"PE 084")</f>
        <v>PE 084</v>
      </c>
    </row>
    <row r="2981">
      <c r="G2981" s="15" t="str">
        <f>IFERROR(__xludf.DUMMYFUNCTION("""COMPUTED_VALUE"""),"PE 085")</f>
        <v>PE 085</v>
      </c>
    </row>
    <row r="2982">
      <c r="G2982" s="15" t="str">
        <f>IFERROR(__xludf.DUMMYFUNCTION("""COMPUTED_VALUE"""),"PE 086")</f>
        <v>PE 086</v>
      </c>
    </row>
    <row r="2983">
      <c r="G2983" s="15" t="str">
        <f>IFERROR(__xludf.DUMMYFUNCTION("""COMPUTED_VALUE"""),"PE 087")</f>
        <v>PE 087</v>
      </c>
    </row>
    <row r="2984">
      <c r="G2984" s="15" t="str">
        <f>IFERROR(__xludf.DUMMYFUNCTION("""COMPUTED_VALUE"""),"PE 087A")</f>
        <v>PE 087A</v>
      </c>
    </row>
    <row r="2985">
      <c r="G2985" s="15" t="str">
        <f>IFERROR(__xludf.DUMMYFUNCTION("""COMPUTED_VALUE"""),"PE 088")</f>
        <v>PE 088</v>
      </c>
    </row>
    <row r="2986">
      <c r="G2986" s="15" t="str">
        <f>IFERROR(__xludf.DUMMYFUNCTION("""COMPUTED_VALUE"""),"PE 088A")</f>
        <v>PE 088A</v>
      </c>
    </row>
    <row r="2987">
      <c r="G2987" s="15" t="str">
        <f>IFERROR(__xludf.DUMMYFUNCTION("""COMPUTED_VALUE"""),"PE 088D")</f>
        <v>PE 088D</v>
      </c>
    </row>
    <row r="2988">
      <c r="G2988" s="15" t="str">
        <f>IFERROR(__xludf.DUMMYFUNCTION("""COMPUTED_VALUE"""),"PE 088E")</f>
        <v>PE 088E</v>
      </c>
    </row>
    <row r="2989">
      <c r="G2989" s="15" t="str">
        <f>IFERROR(__xludf.DUMMYFUNCTION("""COMPUTED_VALUE"""),"PE 090A")</f>
        <v>PE 090A</v>
      </c>
    </row>
    <row r="2990">
      <c r="G2990" s="15" t="str">
        <f>IFERROR(__xludf.DUMMYFUNCTION("""COMPUTED_VALUE"""),"PE 100")</f>
        <v>PE 100</v>
      </c>
    </row>
    <row r="2991">
      <c r="G2991" s="15" t="str">
        <f>IFERROR(__xludf.DUMMYFUNCTION("""COMPUTED_VALUE"""),"PE 105M")</f>
        <v>PE 105M</v>
      </c>
    </row>
    <row r="2992">
      <c r="G2992" s="15" t="str">
        <f>IFERROR(__xludf.DUMMYFUNCTION("""COMPUTED_VALUE"""),"PE 105W")</f>
        <v>PE 105W</v>
      </c>
    </row>
    <row r="2993">
      <c r="G2993" s="15" t="str">
        <f>IFERROR(__xludf.DUMMYFUNCTION("""COMPUTED_VALUE"""),"PE 110")</f>
        <v>PE 110</v>
      </c>
    </row>
    <row r="2994">
      <c r="G2994" s="15" t="str">
        <f>IFERROR(__xludf.DUMMYFUNCTION("""COMPUTED_VALUE"""),"PE 115")</f>
        <v>PE 115</v>
      </c>
    </row>
    <row r="2995">
      <c r="G2995" s="15" t="str">
        <f>IFERROR(__xludf.DUMMYFUNCTION("""COMPUTED_VALUE"""),"PE 115M")</f>
        <v>PE 115M</v>
      </c>
    </row>
    <row r="2996">
      <c r="G2996" s="15" t="str">
        <f>IFERROR(__xludf.DUMMYFUNCTION("""COMPUTED_VALUE"""),"PE 115W")</f>
        <v>PE 115W</v>
      </c>
    </row>
    <row r="2997">
      <c r="G2997" s="15" t="str">
        <f>IFERROR(__xludf.DUMMYFUNCTION("""COMPUTED_VALUE"""),"PE 120")</f>
        <v>PE 120</v>
      </c>
    </row>
    <row r="2998">
      <c r="G2998" s="15" t="str">
        <f>IFERROR(__xludf.DUMMYFUNCTION("""COMPUTED_VALUE"""),"PE 125")</f>
        <v>PE 125</v>
      </c>
    </row>
    <row r="2999">
      <c r="G2999" s="15" t="str">
        <f>IFERROR(__xludf.DUMMYFUNCTION("""COMPUTED_VALUE"""),"PE 125M")</f>
        <v>PE 125M</v>
      </c>
    </row>
    <row r="3000">
      <c r="G3000" s="15" t="str">
        <f>IFERROR(__xludf.DUMMYFUNCTION("""COMPUTED_VALUE"""),"PE 125W")</f>
        <v>PE 125W</v>
      </c>
    </row>
    <row r="3001">
      <c r="G3001" s="15" t="str">
        <f>IFERROR(__xludf.DUMMYFUNCTION("""COMPUTED_VALUE"""),"PE 127")</f>
        <v>PE 127</v>
      </c>
    </row>
    <row r="3002">
      <c r="G3002" s="15" t="str">
        <f>IFERROR(__xludf.DUMMYFUNCTION("""COMPUTED_VALUE"""),"PE 130")</f>
        <v>PE 130</v>
      </c>
    </row>
    <row r="3003">
      <c r="G3003" s="15" t="str">
        <f>IFERROR(__xludf.DUMMYFUNCTION("""COMPUTED_VALUE"""),"PE 130M")</f>
        <v>PE 130M</v>
      </c>
    </row>
    <row r="3004">
      <c r="G3004" s="15" t="str">
        <f>IFERROR(__xludf.DUMMYFUNCTION("""COMPUTED_VALUE"""),"PE 130W")</f>
        <v>PE 130W</v>
      </c>
    </row>
    <row r="3005">
      <c r="G3005" s="15" t="str">
        <f>IFERROR(__xludf.DUMMYFUNCTION("""COMPUTED_VALUE"""),"PE 137")</f>
        <v>PE 137</v>
      </c>
    </row>
    <row r="3006">
      <c r="G3006" s="15" t="str">
        <f>IFERROR(__xludf.DUMMYFUNCTION("""COMPUTED_VALUE"""),"PE 140M")</f>
        <v>PE 140M</v>
      </c>
    </row>
    <row r="3007">
      <c r="G3007" s="15" t="str">
        <f>IFERROR(__xludf.DUMMYFUNCTION("""COMPUTED_VALUE"""),"PE 140W")</f>
        <v>PE 140W</v>
      </c>
    </row>
    <row r="3008">
      <c r="G3008" s="15" t="str">
        <f>IFERROR(__xludf.DUMMYFUNCTION("""COMPUTED_VALUE"""),"PE 145")</f>
        <v>PE 145</v>
      </c>
    </row>
    <row r="3009">
      <c r="G3009" s="15" t="str">
        <f>IFERROR(__xludf.DUMMYFUNCTION("""COMPUTED_VALUE"""),"PE 150")</f>
        <v>PE 150</v>
      </c>
    </row>
    <row r="3010">
      <c r="G3010" s="15" t="str">
        <f>IFERROR(__xludf.DUMMYFUNCTION("""COMPUTED_VALUE"""),"PE 152")</f>
        <v>PE 152</v>
      </c>
    </row>
    <row r="3011">
      <c r="G3011" s="15" t="str">
        <f>IFERROR(__xludf.DUMMYFUNCTION("""COMPUTED_VALUE"""),"PE 155")</f>
        <v>PE 155</v>
      </c>
    </row>
    <row r="3012">
      <c r="G3012" s="15" t="str">
        <f>IFERROR(__xludf.DUMMYFUNCTION("""COMPUTED_VALUE"""),"PE 155M")</f>
        <v>PE 155M</v>
      </c>
    </row>
    <row r="3013">
      <c r="G3013" s="15" t="str">
        <f>IFERROR(__xludf.DUMMYFUNCTION("""COMPUTED_VALUE"""),"PE 155W")</f>
        <v>PE 155W</v>
      </c>
    </row>
    <row r="3014">
      <c r="G3014" s="15" t="str">
        <f>IFERROR(__xludf.DUMMYFUNCTION("""COMPUTED_VALUE"""),"PE 160W")</f>
        <v>PE 160W</v>
      </c>
    </row>
    <row r="3015">
      <c r="G3015" s="15" t="str">
        <f>IFERROR(__xludf.DUMMYFUNCTION("""COMPUTED_VALUE"""),"PE 165")</f>
        <v>PE 165</v>
      </c>
    </row>
    <row r="3016">
      <c r="G3016" s="15" t="str">
        <f>IFERROR(__xludf.DUMMYFUNCTION("""COMPUTED_VALUE"""),"PE 166")</f>
        <v>PE 166</v>
      </c>
    </row>
    <row r="3017">
      <c r="G3017" s="15" t="str">
        <f>IFERROR(__xludf.DUMMYFUNCTION("""COMPUTED_VALUE"""),"PE 170M")</f>
        <v>PE 170M</v>
      </c>
    </row>
    <row r="3018">
      <c r="G3018" s="15" t="str">
        <f>IFERROR(__xludf.DUMMYFUNCTION("""COMPUTED_VALUE"""),"PE 170W")</f>
        <v>PE 170W</v>
      </c>
    </row>
    <row r="3019">
      <c r="G3019" s="15" t="str">
        <f>IFERROR(__xludf.DUMMYFUNCTION("""COMPUTED_VALUE"""),"PE 175M")</f>
        <v>PE 175M</v>
      </c>
    </row>
    <row r="3020">
      <c r="G3020" s="15" t="str">
        <f>IFERROR(__xludf.DUMMYFUNCTION("""COMPUTED_VALUE"""),"PE 175W")</f>
        <v>PE 175W</v>
      </c>
    </row>
    <row r="3021">
      <c r="G3021" s="15" t="str">
        <f>IFERROR(__xludf.DUMMYFUNCTION("""COMPUTED_VALUE"""),"PE 225")</f>
        <v>PE 225</v>
      </c>
    </row>
    <row r="3022">
      <c r="G3022" s="15" t="str">
        <f>IFERROR(__xludf.DUMMYFUNCTION("""COMPUTED_VALUE"""),"PE 230")</f>
        <v>PE 230</v>
      </c>
    </row>
    <row r="3023">
      <c r="G3023" s="15" t="str">
        <f>IFERROR(__xludf.DUMMYFUNCTION("""COMPUTED_VALUE"""),"PE 232")</f>
        <v>PE 232</v>
      </c>
    </row>
    <row r="3024">
      <c r="G3024" s="15" t="str">
        <f>IFERROR(__xludf.DUMMYFUNCTION("""COMPUTED_VALUE"""),"PHIL 001")</f>
        <v>PHIL 001</v>
      </c>
    </row>
    <row r="3025">
      <c r="G3025" s="15" t="str">
        <f>IFERROR(__xludf.DUMMYFUNCTION("""COMPUTED_VALUE"""),"PHIL 007")</f>
        <v>PHIL 007</v>
      </c>
    </row>
    <row r="3026">
      <c r="G3026" s="15" t="str">
        <f>IFERROR(__xludf.DUMMYFUNCTION("""COMPUTED_VALUE"""),"PHIL 030")</f>
        <v>PHIL 030</v>
      </c>
    </row>
    <row r="3027">
      <c r="G3027" s="15" t="str">
        <f>IFERROR(__xludf.DUMMYFUNCTION("""COMPUTED_VALUE"""),"PHIL 032")</f>
        <v>PHIL 032</v>
      </c>
    </row>
    <row r="3028">
      <c r="G3028" s="15" t="str">
        <f>IFERROR(__xludf.DUMMYFUNCTION("""COMPUTED_VALUE"""),"PHIL 033")</f>
        <v>PHIL 033</v>
      </c>
    </row>
    <row r="3029">
      <c r="G3029" s="15" t="str">
        <f>IFERROR(__xludf.DUMMYFUNCTION("""COMPUTED_VALUE"""),"PHIL 035")</f>
        <v>PHIL 035</v>
      </c>
    </row>
    <row r="3030">
      <c r="G3030" s="15" t="str">
        <f>IFERROR(__xludf.DUMMYFUNCTION("""COMPUTED_VALUE"""),"PHIL 039")</f>
        <v>PHIL 039</v>
      </c>
    </row>
    <row r="3031">
      <c r="G3031" s="15" t="str">
        <f>IFERROR(__xludf.DUMMYFUNCTION("""COMPUTED_VALUE"""),"PHIL 042")</f>
        <v>PHIL 042</v>
      </c>
    </row>
    <row r="3032">
      <c r="G3032" s="15" t="str">
        <f>IFERROR(__xludf.DUMMYFUNCTION("""COMPUTED_VALUE"""),"PHIL 043")</f>
        <v>PHIL 043</v>
      </c>
    </row>
    <row r="3033">
      <c r="G3033" s="15" t="str">
        <f>IFERROR(__xludf.DUMMYFUNCTION("""COMPUTED_VALUE"""),"PHIL 046")</f>
        <v>PHIL 046</v>
      </c>
    </row>
    <row r="3034">
      <c r="G3034" s="15" t="str">
        <f>IFERROR(__xludf.DUMMYFUNCTION("""COMPUTED_VALUE"""),"PHIL 047")</f>
        <v>PHIL 047</v>
      </c>
    </row>
    <row r="3035">
      <c r="G3035" s="15" t="str">
        <f>IFERROR(__xludf.DUMMYFUNCTION("""COMPUTED_VALUE"""),"PHIL 057")</f>
        <v>PHIL 057</v>
      </c>
    </row>
    <row r="3036">
      <c r="G3036" s="15" t="str">
        <f>IFERROR(__xludf.DUMMYFUNCTION("""COMPUTED_VALUE"""),"PHIL 080")</f>
        <v>PHIL 080</v>
      </c>
    </row>
    <row r="3037">
      <c r="G3037" s="15" t="str">
        <f>IFERROR(__xludf.DUMMYFUNCTION("""COMPUTED_VALUE"""),"PHIL 081")</f>
        <v>PHIL 081</v>
      </c>
    </row>
    <row r="3038">
      <c r="G3038" s="15" t="str">
        <f>IFERROR(__xludf.DUMMYFUNCTION("""COMPUTED_VALUE"""),"PHIL 084")</f>
        <v>PHIL 084</v>
      </c>
    </row>
    <row r="3039">
      <c r="G3039" s="15" t="str">
        <f>IFERROR(__xludf.DUMMYFUNCTION("""COMPUTED_VALUE"""),"PHIL 095")</f>
        <v>PHIL 095</v>
      </c>
    </row>
    <row r="3040">
      <c r="G3040" s="15" t="str">
        <f>IFERROR(__xludf.DUMMYFUNCTION("""COMPUTED_VALUE"""),"PHIL 109")</f>
        <v>PHIL 109</v>
      </c>
    </row>
    <row r="3041">
      <c r="G3041" s="15" t="str">
        <f>IFERROR(__xludf.DUMMYFUNCTION("""COMPUTED_VALUE"""),"PHIL 118")</f>
        <v>PHIL 118</v>
      </c>
    </row>
    <row r="3042">
      <c r="G3042" s="15" t="str">
        <f>IFERROR(__xludf.DUMMYFUNCTION("""COMPUTED_VALUE"""),"PHIL 121")</f>
        <v>PHIL 121</v>
      </c>
    </row>
    <row r="3043">
      <c r="G3043" s="15" t="str">
        <f>IFERROR(__xludf.DUMMYFUNCTION("""COMPUTED_VALUE"""),"PHIL 160")</f>
        <v>PHIL 160</v>
      </c>
    </row>
    <row r="3044">
      <c r="G3044" s="15" t="str">
        <f>IFERROR(__xludf.DUMMYFUNCTION("""COMPUTED_VALUE"""),"PHIL 160IO")</f>
        <v>PHIL 160IO</v>
      </c>
    </row>
    <row r="3045">
      <c r="G3045" s="15" t="str">
        <f>IFERROR(__xludf.DUMMYFUNCTION("""COMPUTED_VALUE"""),"PHIL 183")</f>
        <v>PHIL 183</v>
      </c>
    </row>
    <row r="3046">
      <c r="G3046" s="15" t="str">
        <f>IFERROR(__xludf.DUMMYFUNCTION("""COMPUTED_VALUE"""),"PHIL 185R")</f>
        <v>PHIL 185R</v>
      </c>
    </row>
    <row r="3047">
      <c r="G3047" s="15" t="str">
        <f>IFERROR(__xludf.DUMMYFUNCTION("""COMPUTED_VALUE"""),"PHIL 185S")</f>
        <v>PHIL 185S</v>
      </c>
    </row>
    <row r="3048">
      <c r="G3048" s="15" t="str">
        <f>IFERROR(__xludf.DUMMYFUNCTION("""COMPUTED_VALUE"""),"PHIL 191")</f>
        <v>PHIL 191</v>
      </c>
    </row>
    <row r="3049">
      <c r="G3049" s="15" t="str">
        <f>IFERROR(__xludf.DUMMYFUNCTION("""COMPUTED_VALUE"""),"PHIL 198")</f>
        <v>PHIL 198</v>
      </c>
    </row>
    <row r="3050">
      <c r="G3050" s="15" t="str">
        <f>IFERROR(__xludf.DUMMYFUNCTION("""COMPUTED_VALUE"""),"PHYS 009")</f>
        <v>PHYS 009</v>
      </c>
    </row>
    <row r="3051">
      <c r="G3051" s="15" t="str">
        <f>IFERROR(__xludf.DUMMYFUNCTION("""COMPUTED_VALUE"""),"PHYS 024")</f>
        <v>PHYS 024</v>
      </c>
    </row>
    <row r="3052">
      <c r="G3052" s="15" t="str">
        <f>IFERROR(__xludf.DUMMYFUNCTION("""COMPUTED_VALUE"""),"PHYS 024A")</f>
        <v>PHYS 024A</v>
      </c>
    </row>
    <row r="3053">
      <c r="G3053" s="15" t="str">
        <f>IFERROR(__xludf.DUMMYFUNCTION("""COMPUTED_VALUE"""),"PHYS 031L")</f>
        <v>PHYS 031L</v>
      </c>
    </row>
    <row r="3054">
      <c r="G3054" s="15" t="str">
        <f>IFERROR(__xludf.DUMMYFUNCTION("""COMPUTED_VALUE"""),"PHYS 031LX")</f>
        <v>PHYS 031LX</v>
      </c>
    </row>
    <row r="3055">
      <c r="G3055" s="15" t="str">
        <f>IFERROR(__xludf.DUMMYFUNCTION("""COMPUTED_VALUE"""),"PHYS 034L")</f>
        <v>PHYS 034L</v>
      </c>
    </row>
    <row r="3056">
      <c r="G3056" s="15" t="str">
        <f>IFERROR(__xludf.DUMMYFUNCTION("""COMPUTED_VALUE"""),"PHYS 042")</f>
        <v>PHYS 042</v>
      </c>
    </row>
    <row r="3057">
      <c r="G3057" s="15" t="str">
        <f>IFERROR(__xludf.DUMMYFUNCTION("""COMPUTED_VALUE"""),"PHYS 042L")</f>
        <v>PHYS 042L</v>
      </c>
    </row>
    <row r="3058">
      <c r="G3058" s="15" t="str">
        <f>IFERROR(__xludf.DUMMYFUNCTION("""COMPUTED_VALUE"""),"PHYS 050")</f>
        <v>PHYS 050</v>
      </c>
    </row>
    <row r="3059">
      <c r="G3059" s="15" t="str">
        <f>IFERROR(__xludf.DUMMYFUNCTION("""COMPUTED_VALUE"""),"PHYS 052")</f>
        <v>PHYS 052</v>
      </c>
    </row>
    <row r="3060">
      <c r="G3060" s="15" t="str">
        <f>IFERROR(__xludf.DUMMYFUNCTION("""COMPUTED_VALUE"""),"PHYS 054")</f>
        <v>PHYS 054</v>
      </c>
    </row>
    <row r="3061">
      <c r="G3061" s="15" t="str">
        <f>IFERROR(__xludf.DUMMYFUNCTION("""COMPUTED_VALUE"""),"PHYS 078")</f>
        <v>PHYS 078</v>
      </c>
    </row>
    <row r="3062">
      <c r="G3062" s="15" t="str">
        <f>IFERROR(__xludf.DUMMYFUNCTION("""COMPUTED_VALUE"""),"PHYS 089B")</f>
        <v>PHYS 089B</v>
      </c>
    </row>
    <row r="3063">
      <c r="G3063" s="15" t="str">
        <f>IFERROR(__xludf.DUMMYFUNCTION("""COMPUTED_VALUE"""),"PHYS 089C")</f>
        <v>PHYS 089C</v>
      </c>
    </row>
    <row r="3064">
      <c r="G3064" s="15" t="str">
        <f>IFERROR(__xludf.DUMMYFUNCTION("""COMPUTED_VALUE"""),"PHYS 089CL")</f>
        <v>PHYS 089CL</v>
      </c>
    </row>
    <row r="3065">
      <c r="G3065" s="15" t="str">
        <f>IFERROR(__xludf.DUMMYFUNCTION("""COMPUTED_VALUE"""),"PHYS 100")</f>
        <v>PHYS 100</v>
      </c>
    </row>
    <row r="3066">
      <c r="G3066" s="15" t="str">
        <f>IFERROR(__xludf.DUMMYFUNCTION("""COMPUTED_VALUE"""),"PHYS 102")</f>
        <v>PHYS 102</v>
      </c>
    </row>
    <row r="3067">
      <c r="G3067" s="15" t="str">
        <f>IFERROR(__xludf.DUMMYFUNCTION("""COMPUTED_VALUE"""),"PHYS 105")</f>
        <v>PHYS 105</v>
      </c>
    </row>
    <row r="3068">
      <c r="G3068" s="15" t="str">
        <f>IFERROR(__xludf.DUMMYFUNCTION("""COMPUTED_VALUE"""),"PHYS 106L")</f>
        <v>PHYS 106L</v>
      </c>
    </row>
    <row r="3069">
      <c r="G3069" s="15" t="str">
        <f>IFERROR(__xludf.DUMMYFUNCTION("""COMPUTED_VALUE"""),"PHYS 114")</f>
        <v>PHYS 114</v>
      </c>
    </row>
    <row r="3070">
      <c r="G3070" s="15" t="str">
        <f>IFERROR(__xludf.DUMMYFUNCTION("""COMPUTED_VALUE"""),"PHYS 116")</f>
        <v>PHYS 116</v>
      </c>
    </row>
    <row r="3071">
      <c r="G3071" s="15" t="str">
        <f>IFERROR(__xludf.DUMMYFUNCTION("""COMPUTED_VALUE"""),"PHYS 125")</f>
        <v>PHYS 125</v>
      </c>
    </row>
    <row r="3072">
      <c r="G3072" s="15" t="str">
        <f>IFERROR(__xludf.DUMMYFUNCTION("""COMPUTED_VALUE"""),"PHYS 128")</f>
        <v>PHYS 128</v>
      </c>
    </row>
    <row r="3073">
      <c r="G3073" s="15" t="str">
        <f>IFERROR(__xludf.DUMMYFUNCTION("""COMPUTED_VALUE"""),"PHYS 134")</f>
        <v>PHYS 134</v>
      </c>
    </row>
    <row r="3074">
      <c r="G3074" s="15" t="str">
        <f>IFERROR(__xludf.DUMMYFUNCTION("""COMPUTED_VALUE"""),"PHYS 142")</f>
        <v>PHYS 142</v>
      </c>
    </row>
    <row r="3075">
      <c r="G3075" s="15" t="str">
        <f>IFERROR(__xludf.DUMMYFUNCTION("""COMPUTED_VALUE"""),"PHYS 154")</f>
        <v>PHYS 154</v>
      </c>
    </row>
    <row r="3076">
      <c r="G3076" s="15" t="str">
        <f>IFERROR(__xludf.DUMMYFUNCTION("""COMPUTED_VALUE"""),"PHYS 162")</f>
        <v>PHYS 162</v>
      </c>
    </row>
    <row r="3077">
      <c r="G3077" s="15" t="str">
        <f>IFERROR(__xludf.DUMMYFUNCTION("""COMPUTED_VALUE"""),"PHYS 170")</f>
        <v>PHYS 170</v>
      </c>
    </row>
    <row r="3078">
      <c r="G3078" s="15" t="str">
        <f>IFERROR(__xludf.DUMMYFUNCTION("""COMPUTED_VALUE"""),"PHYS 172")</f>
        <v>PHYS 172</v>
      </c>
    </row>
    <row r="3079">
      <c r="G3079" s="15" t="str">
        <f>IFERROR(__xludf.DUMMYFUNCTION("""COMPUTED_VALUE"""),"PHYS 174")</f>
        <v>PHYS 174</v>
      </c>
    </row>
    <row r="3080">
      <c r="G3080" s="15" t="str">
        <f>IFERROR(__xludf.DUMMYFUNCTION("""COMPUTED_VALUE"""),"PHYS 175")</f>
        <v>PHYS 175</v>
      </c>
    </row>
    <row r="3081">
      <c r="G3081" s="15" t="str">
        <f>IFERROR(__xludf.DUMMYFUNCTION("""COMPUTED_VALUE"""),"PHYS 178")</f>
        <v>PHYS 178</v>
      </c>
    </row>
    <row r="3082">
      <c r="G3082" s="15" t="str">
        <f>IFERROR(__xludf.DUMMYFUNCTION("""COMPUTED_VALUE"""),"PHYS 178F")</f>
        <v>PHYS 178F</v>
      </c>
    </row>
    <row r="3083">
      <c r="G3083" s="15" t="str">
        <f>IFERROR(__xludf.DUMMYFUNCTION("""COMPUTED_VALUE"""),"PHYS 188L")</f>
        <v>PHYS 188L</v>
      </c>
    </row>
    <row r="3084">
      <c r="G3084" s="15" t="str">
        <f>IFERROR(__xludf.DUMMYFUNCTION("""COMPUTED_VALUE"""),"PHYS 189L")</f>
        <v>PHYS 189L</v>
      </c>
    </row>
    <row r="3085">
      <c r="G3085" s="15" t="str">
        <f>IFERROR(__xludf.DUMMYFUNCTION("""COMPUTED_VALUE"""),"PHYS 190L")</f>
        <v>PHYS 190L</v>
      </c>
    </row>
    <row r="3086">
      <c r="G3086" s="15" t="str">
        <f>IFERROR(__xludf.DUMMYFUNCTION("""COMPUTED_VALUE"""),"PHYS 191")</f>
        <v>PHYS 191</v>
      </c>
    </row>
    <row r="3087">
      <c r="G3087" s="15" t="str">
        <f>IFERROR(__xludf.DUMMYFUNCTION("""COMPUTED_VALUE"""),"PHYS 191E")</f>
        <v>PHYS 191E</v>
      </c>
    </row>
    <row r="3088">
      <c r="G3088" s="15" t="str">
        <f>IFERROR(__xludf.DUMMYFUNCTION("""COMPUTED_VALUE"""),"PHYS 191L")</f>
        <v>PHYS 191L</v>
      </c>
    </row>
    <row r="3089">
      <c r="G3089" s="15" t="str">
        <f>IFERROR(__xludf.DUMMYFUNCTION("""COMPUTED_VALUE"""),"PHYS 193")</f>
        <v>PHYS 193</v>
      </c>
    </row>
    <row r="3090">
      <c r="G3090" s="15" t="str">
        <f>IFERROR(__xludf.DUMMYFUNCTION("""COMPUTED_VALUE"""),"PHYS 194")</f>
        <v>PHYS 194</v>
      </c>
    </row>
    <row r="3091">
      <c r="G3091" s="15" t="str">
        <f>IFERROR(__xludf.DUMMYFUNCTION("""COMPUTED_VALUE"""),"PHYS 195")</f>
        <v>PHYS 195</v>
      </c>
    </row>
    <row r="3092">
      <c r="G3092" s="15" t="str">
        <f>IFERROR(__xludf.DUMMYFUNCTION("""COMPUTED_VALUE"""),"PHYS 197")</f>
        <v>PHYS 197</v>
      </c>
    </row>
    <row r="3093">
      <c r="G3093" s="15" t="str">
        <f>IFERROR(__xludf.DUMMYFUNCTION("""COMPUTED_VALUE"""),"PHYS 199")</f>
        <v>PHYS 199</v>
      </c>
    </row>
    <row r="3094">
      <c r="G3094" s="15" t="str">
        <f>IFERROR(__xludf.DUMMYFUNCTION("""COMPUTED_VALUE"""),"POLI 001B")</f>
        <v>POLI 001B</v>
      </c>
    </row>
    <row r="3095">
      <c r="G3095" s="15" t="str">
        <f>IFERROR(__xludf.DUMMYFUNCTION("""COMPUTED_VALUE"""),"POLI 003")</f>
        <v>POLI 003</v>
      </c>
    </row>
    <row r="3096">
      <c r="G3096" s="15" t="str">
        <f>IFERROR(__xludf.DUMMYFUNCTION("""COMPUTED_VALUE"""),"POLI 005")</f>
        <v>POLI 005</v>
      </c>
    </row>
    <row r="3097">
      <c r="G3097" s="15" t="str">
        <f>IFERROR(__xludf.DUMMYFUNCTION("""COMPUTED_VALUE"""),"POLI 008")</f>
        <v>POLI 008</v>
      </c>
    </row>
    <row r="3098">
      <c r="G3098" s="15" t="str">
        <f>IFERROR(__xludf.DUMMYFUNCTION("""COMPUTED_VALUE"""),"POLI 033B")</f>
        <v>POLI 033B</v>
      </c>
    </row>
    <row r="3099">
      <c r="G3099" s="15" t="str">
        <f>IFERROR(__xludf.DUMMYFUNCTION("""COMPUTED_VALUE"""),"POLI 060")</f>
        <v>POLI 060</v>
      </c>
    </row>
    <row r="3100">
      <c r="G3100" s="15" t="str">
        <f>IFERROR(__xludf.DUMMYFUNCTION("""COMPUTED_VALUE"""),"POLI 090")</f>
        <v>POLI 090</v>
      </c>
    </row>
    <row r="3101">
      <c r="G3101" s="15" t="str">
        <f>IFERROR(__xludf.DUMMYFUNCTION("""COMPUTED_VALUE"""),"POLI 100")</f>
        <v>POLI 100</v>
      </c>
    </row>
    <row r="3102">
      <c r="G3102" s="15" t="str">
        <f>IFERROR(__xludf.DUMMYFUNCTION("""COMPUTED_VALUE"""),"POLI 110")</f>
        <v>POLI 110</v>
      </c>
    </row>
    <row r="3103">
      <c r="G3103" s="15" t="str">
        <f>IFERROR(__xludf.DUMMYFUNCTION("""COMPUTED_VALUE"""),"POLI 111")</f>
        <v>POLI 111</v>
      </c>
    </row>
    <row r="3104">
      <c r="G3104" s="15" t="str">
        <f>IFERROR(__xludf.DUMMYFUNCTION("""COMPUTED_VALUE"""),"POLI 115")</f>
        <v>POLI 115</v>
      </c>
    </row>
    <row r="3105">
      <c r="G3105" s="15" t="str">
        <f>IFERROR(__xludf.DUMMYFUNCTION("""COMPUTED_VALUE"""),"POLI 120")</f>
        <v>POLI 120</v>
      </c>
    </row>
    <row r="3106">
      <c r="G3106" s="15" t="str">
        <f>IFERROR(__xludf.DUMMYFUNCTION("""COMPUTED_VALUE"""),"POLI 123IO")</f>
        <v>POLI 123IO</v>
      </c>
    </row>
    <row r="3107">
      <c r="G3107" s="15" t="str">
        <f>IFERROR(__xludf.DUMMYFUNCTION("""COMPUTED_VALUE"""),"POLI 130")</f>
        <v>POLI 130</v>
      </c>
    </row>
    <row r="3108">
      <c r="G3108" s="15" t="str">
        <f>IFERROR(__xludf.DUMMYFUNCTION("""COMPUTED_VALUE"""),"POLI 134")</f>
        <v>POLI 134</v>
      </c>
    </row>
    <row r="3109">
      <c r="G3109" s="15" t="str">
        <f>IFERROR(__xludf.DUMMYFUNCTION("""COMPUTED_VALUE"""),"POLI 136")</f>
        <v>POLI 136</v>
      </c>
    </row>
    <row r="3110">
      <c r="G3110" s="15" t="str">
        <f>IFERROR(__xludf.DUMMYFUNCTION("""COMPUTED_VALUE"""),"POLI 145")</f>
        <v>POLI 145</v>
      </c>
    </row>
    <row r="3111">
      <c r="G3111" s="15" t="str">
        <f>IFERROR(__xludf.DUMMYFUNCTION("""COMPUTED_VALUE"""),"POLI 147")</f>
        <v>POLI 147</v>
      </c>
    </row>
    <row r="3112">
      <c r="G3112" s="15" t="str">
        <f>IFERROR(__xludf.DUMMYFUNCTION("""COMPUTED_VALUE"""),"POLI 150")</f>
        <v>POLI 150</v>
      </c>
    </row>
    <row r="3113">
      <c r="G3113" s="15" t="str">
        <f>IFERROR(__xludf.DUMMYFUNCTION("""COMPUTED_VALUE"""),"POLI 172")</f>
        <v>POLI 172</v>
      </c>
    </row>
    <row r="3114">
      <c r="G3114" s="15" t="str">
        <f>IFERROR(__xludf.DUMMYFUNCTION("""COMPUTED_VALUE"""),"POLI 177")</f>
        <v>POLI 177</v>
      </c>
    </row>
    <row r="3115">
      <c r="G3115" s="15" t="str">
        <f>IFERROR(__xludf.DUMMYFUNCTION("""COMPUTED_VALUE"""),"POLI 180")</f>
        <v>POLI 180</v>
      </c>
    </row>
    <row r="3116">
      <c r="G3116" s="15" t="str">
        <f>IFERROR(__xludf.DUMMYFUNCTION("""COMPUTED_VALUE"""),"POLI 189Y")</f>
        <v>POLI 189Y</v>
      </c>
    </row>
    <row r="3117">
      <c r="G3117" s="15" t="str">
        <f>IFERROR(__xludf.DUMMYFUNCTION("""COMPUTED_VALUE"""),"POLI 189Z")</f>
        <v>POLI 189Z</v>
      </c>
    </row>
    <row r="3118">
      <c r="G3118" s="15" t="str">
        <f>IFERROR(__xludf.DUMMYFUNCTION("""COMPUTED_VALUE"""),"POLI 190B")</f>
        <v>POLI 190B</v>
      </c>
    </row>
    <row r="3119">
      <c r="G3119" s="15" t="str">
        <f>IFERROR(__xludf.DUMMYFUNCTION("""COMPUTED_VALUE"""),"POLI 190D")</f>
        <v>POLI 190D</v>
      </c>
    </row>
    <row r="3120">
      <c r="G3120" s="15" t="str">
        <f>IFERROR(__xludf.DUMMYFUNCTION("""COMPUTED_VALUE"""),"POLI 191")</f>
        <v>POLI 191</v>
      </c>
    </row>
    <row r="3121">
      <c r="G3121" s="15" t="str">
        <f>IFERROR(__xludf.DUMMYFUNCTION("""COMPUTED_VALUE"""),"POLI 193")</f>
        <v>POLI 193</v>
      </c>
    </row>
    <row r="3122">
      <c r="G3122" s="15" t="str">
        <f>IFERROR(__xludf.DUMMYFUNCTION("""COMPUTED_VALUE"""),"POLI 195")</f>
        <v>POLI 195</v>
      </c>
    </row>
    <row r="3123">
      <c r="G3123" s="15" t="str">
        <f>IFERROR(__xludf.DUMMYFUNCTION("""COMPUTED_VALUE"""),"PORT 022")</f>
        <v>PORT 022</v>
      </c>
    </row>
    <row r="3124">
      <c r="G3124" s="15" t="str">
        <f>IFERROR(__xludf.DUMMYFUNCTION("""COMPUTED_VALUE"""),"PORT 035")</f>
        <v>PORT 035</v>
      </c>
    </row>
    <row r="3125">
      <c r="G3125" s="15" t="str">
        <f>IFERROR(__xludf.DUMMYFUNCTION("""COMPUTED_VALUE"""),"PORT 044")</f>
        <v>PORT 044</v>
      </c>
    </row>
    <row r="3126">
      <c r="G3126" s="15" t="str">
        <f>IFERROR(__xludf.DUMMYFUNCTION("""COMPUTED_VALUE"""),"POST 050")</f>
        <v>POST 050</v>
      </c>
    </row>
    <row r="3127">
      <c r="G3127" s="15" t="str">
        <f>IFERROR(__xludf.DUMMYFUNCTION("""COMPUTED_VALUE"""),"POST 070")</f>
        <v>POST 070</v>
      </c>
    </row>
    <row r="3128">
      <c r="G3128" s="15" t="str">
        <f>IFERROR(__xludf.DUMMYFUNCTION("""COMPUTED_VALUE"""),"POST 096")</f>
        <v>POST 096</v>
      </c>
    </row>
    <row r="3129">
      <c r="G3129" s="15" t="str">
        <f>IFERROR(__xludf.DUMMYFUNCTION("""COMPUTED_VALUE"""),"POST 106")</f>
        <v>POST 106</v>
      </c>
    </row>
    <row r="3130">
      <c r="G3130" s="15" t="str">
        <f>IFERROR(__xludf.DUMMYFUNCTION("""COMPUTED_VALUE"""),"POST 123")</f>
        <v>POST 123</v>
      </c>
    </row>
    <row r="3131">
      <c r="G3131" s="15" t="str">
        <f>IFERROR(__xludf.DUMMYFUNCTION("""COMPUTED_VALUE"""),"POST 134")</f>
        <v>POST 134</v>
      </c>
    </row>
    <row r="3132">
      <c r="G3132" s="15" t="str">
        <f>IFERROR(__xludf.DUMMYFUNCTION("""COMPUTED_VALUE"""),"POST 140")</f>
        <v>POST 140</v>
      </c>
    </row>
    <row r="3133">
      <c r="G3133" s="15" t="str">
        <f>IFERROR(__xludf.DUMMYFUNCTION("""COMPUTED_VALUE"""),"POST 141")</f>
        <v>POST 141</v>
      </c>
    </row>
    <row r="3134">
      <c r="G3134" s="15" t="str">
        <f>IFERROR(__xludf.DUMMYFUNCTION("""COMPUTED_VALUE"""),"POST 170")</f>
        <v>POST 170</v>
      </c>
    </row>
    <row r="3135">
      <c r="G3135" s="15" t="str">
        <f>IFERROR(__xludf.DUMMYFUNCTION("""COMPUTED_VALUE"""),"POST 185")</f>
        <v>POST 185</v>
      </c>
    </row>
    <row r="3136">
      <c r="G3136" s="15" t="str">
        <f>IFERROR(__xludf.DUMMYFUNCTION("""COMPUTED_VALUE"""),"POST 190")</f>
        <v>POST 190</v>
      </c>
    </row>
    <row r="3137">
      <c r="G3137" s="15" t="str">
        <f>IFERROR(__xludf.DUMMYFUNCTION("""COMPUTED_VALUE"""),"POST 199")</f>
        <v>POST 199</v>
      </c>
    </row>
    <row r="3138">
      <c r="G3138" s="15" t="str">
        <f>IFERROR(__xludf.DUMMYFUNCTION("""COMPUTED_VALUE"""),"PPA 001")</f>
        <v>PPA 001</v>
      </c>
    </row>
    <row r="3139">
      <c r="G3139" s="15" t="str">
        <f>IFERROR(__xludf.DUMMYFUNCTION("""COMPUTED_VALUE"""),"PPA 191")</f>
        <v>PPA 191</v>
      </c>
    </row>
    <row r="3140">
      <c r="G3140" s="15" t="str">
        <f>IFERROR(__xludf.DUMMYFUNCTION("""COMPUTED_VALUE"""),"PPA 195")</f>
        <v>PPA 195</v>
      </c>
    </row>
    <row r="3141">
      <c r="G3141" s="15" t="str">
        <f>IFERROR(__xludf.DUMMYFUNCTION("""COMPUTED_VALUE"""),"PPE 001A")</f>
        <v>PPE 001A</v>
      </c>
    </row>
    <row r="3142">
      <c r="G3142" s="15" t="str">
        <f>IFERROR(__xludf.DUMMYFUNCTION("""COMPUTED_VALUE"""),"PPE 001B")</f>
        <v>PPE 001B</v>
      </c>
    </row>
    <row r="3143">
      <c r="G3143" s="15" t="str">
        <f>IFERROR(__xludf.DUMMYFUNCTION("""COMPUTED_VALUE"""),"PPE 011A")</f>
        <v>PPE 011A</v>
      </c>
    </row>
    <row r="3144">
      <c r="G3144" s="15" t="str">
        <f>IFERROR(__xludf.DUMMYFUNCTION("""COMPUTED_VALUE"""),"PPE 011B")</f>
        <v>PPE 011B</v>
      </c>
    </row>
    <row r="3145">
      <c r="G3145" s="15" t="str">
        <f>IFERROR(__xludf.DUMMYFUNCTION("""COMPUTED_VALUE"""),"PPE 100")</f>
        <v>PPE 100</v>
      </c>
    </row>
    <row r="3146">
      <c r="G3146" s="15" t="str">
        <f>IFERROR(__xludf.DUMMYFUNCTION("""COMPUTED_VALUE"""),"PPE 110A")</f>
        <v>PPE 110A</v>
      </c>
    </row>
    <row r="3147">
      <c r="G3147" s="15" t="str">
        <f>IFERROR(__xludf.DUMMYFUNCTION("""COMPUTED_VALUE"""),"PPE 110B")</f>
        <v>PPE 110B</v>
      </c>
    </row>
    <row r="3148">
      <c r="G3148" s="15" t="str">
        <f>IFERROR(__xludf.DUMMYFUNCTION("""COMPUTED_VALUE"""),"PPE 195")</f>
        <v>PPE 195</v>
      </c>
    </row>
    <row r="3149">
      <c r="G3149" s="15" t="str">
        <f>IFERROR(__xludf.DUMMYFUNCTION("""COMPUTED_VALUE"""),"PSYC 010")</f>
        <v>PSYC 010</v>
      </c>
    </row>
    <row r="3150">
      <c r="G3150" s="15" t="str">
        <f>IFERROR(__xludf.DUMMYFUNCTION("""COMPUTED_VALUE"""),"PSYC 030")</f>
        <v>PSYC 030</v>
      </c>
    </row>
    <row r="3151">
      <c r="G3151" s="15" t="str">
        <f>IFERROR(__xludf.DUMMYFUNCTION("""COMPUTED_VALUE"""),"PSYC 037")</f>
        <v>PSYC 037</v>
      </c>
    </row>
    <row r="3152">
      <c r="G3152" s="15" t="str">
        <f>IFERROR(__xludf.DUMMYFUNCTION("""COMPUTED_VALUE"""),"PSYC 040")</f>
        <v>PSYC 040</v>
      </c>
    </row>
    <row r="3153">
      <c r="G3153" s="15" t="str">
        <f>IFERROR(__xludf.DUMMYFUNCTION("""COMPUTED_VALUE"""),"PSYC 051")</f>
        <v>PSYC 051</v>
      </c>
    </row>
    <row r="3154">
      <c r="G3154" s="15" t="str">
        <f>IFERROR(__xludf.DUMMYFUNCTION("""COMPUTED_VALUE"""),"PSYC 052")</f>
        <v>PSYC 052</v>
      </c>
    </row>
    <row r="3155">
      <c r="G3155" s="15" t="str">
        <f>IFERROR(__xludf.DUMMYFUNCTION("""COMPUTED_VALUE"""),"PSYC 065")</f>
        <v>PSYC 065</v>
      </c>
    </row>
    <row r="3156">
      <c r="G3156" s="15" t="str">
        <f>IFERROR(__xludf.DUMMYFUNCTION("""COMPUTED_VALUE"""),"PSYC 070")</f>
        <v>PSYC 070</v>
      </c>
    </row>
    <row r="3157">
      <c r="G3157" s="15" t="str">
        <f>IFERROR(__xludf.DUMMYFUNCTION("""COMPUTED_VALUE"""),"PSYC 084")</f>
        <v>PSYC 084</v>
      </c>
    </row>
    <row r="3158">
      <c r="G3158" s="15" t="str">
        <f>IFERROR(__xludf.DUMMYFUNCTION("""COMPUTED_VALUE"""),"PSYC 091")</f>
        <v>PSYC 091</v>
      </c>
    </row>
    <row r="3159">
      <c r="G3159" s="15" t="str">
        <f>IFERROR(__xludf.DUMMYFUNCTION("""COMPUTED_VALUE"""),"PSYC 091P")</f>
        <v>PSYC 091P</v>
      </c>
    </row>
    <row r="3160">
      <c r="G3160" s="15" t="str">
        <f>IFERROR(__xludf.DUMMYFUNCTION("""COMPUTED_VALUE"""),"PSYC 092")</f>
        <v>PSYC 092</v>
      </c>
    </row>
    <row r="3161">
      <c r="G3161" s="15" t="str">
        <f>IFERROR(__xludf.DUMMYFUNCTION("""COMPUTED_VALUE"""),"PSYC 092P")</f>
        <v>PSYC 092P</v>
      </c>
    </row>
    <row r="3162">
      <c r="G3162" s="15" t="str">
        <f>IFERROR(__xludf.DUMMYFUNCTION("""COMPUTED_VALUE"""),"PSYC 096")</f>
        <v>PSYC 096</v>
      </c>
    </row>
    <row r="3163">
      <c r="G3163" s="15" t="str">
        <f>IFERROR(__xludf.DUMMYFUNCTION("""COMPUTED_VALUE"""),"PSYC 097")</f>
        <v>PSYC 097</v>
      </c>
    </row>
    <row r="3164">
      <c r="G3164" s="15" t="str">
        <f>IFERROR(__xludf.DUMMYFUNCTION("""COMPUTED_VALUE"""),"PSYC 103")</f>
        <v>PSYC 103</v>
      </c>
    </row>
    <row r="3165">
      <c r="G3165" s="15" t="str">
        <f>IFERROR(__xludf.DUMMYFUNCTION("""COMPUTED_VALUE"""),"PSYC 105")</f>
        <v>PSYC 105</v>
      </c>
    </row>
    <row r="3166">
      <c r="G3166" s="15" t="str">
        <f>IFERROR(__xludf.DUMMYFUNCTION("""COMPUTED_VALUE"""),"PSYC 108")</f>
        <v>PSYC 108</v>
      </c>
    </row>
    <row r="3167">
      <c r="G3167" s="15" t="str">
        <f>IFERROR(__xludf.DUMMYFUNCTION("""COMPUTED_VALUE"""),"PSYC 109")</f>
        <v>PSYC 109</v>
      </c>
    </row>
    <row r="3168">
      <c r="G3168" s="15" t="str">
        <f>IFERROR(__xludf.DUMMYFUNCTION("""COMPUTED_VALUE"""),"PSYC 110")</f>
        <v>PSYC 110</v>
      </c>
    </row>
    <row r="3169">
      <c r="G3169" s="15" t="str">
        <f>IFERROR(__xludf.DUMMYFUNCTION("""COMPUTED_VALUE"""),"PSYC 111L")</f>
        <v>PSYC 111L</v>
      </c>
    </row>
    <row r="3170">
      <c r="G3170" s="15" t="str">
        <f>IFERROR(__xludf.DUMMYFUNCTION("""COMPUTED_VALUE"""),"PSYC 113")</f>
        <v>PSYC 113</v>
      </c>
    </row>
    <row r="3171">
      <c r="G3171" s="15" t="str">
        <f>IFERROR(__xludf.DUMMYFUNCTION("""COMPUTED_VALUE"""),"PSYC 117")</f>
        <v>PSYC 117</v>
      </c>
    </row>
    <row r="3172">
      <c r="G3172" s="15" t="str">
        <f>IFERROR(__xludf.DUMMYFUNCTION("""COMPUTED_VALUE"""),"PSYC 120")</f>
        <v>PSYC 120</v>
      </c>
    </row>
    <row r="3173">
      <c r="G3173" s="15" t="str">
        <f>IFERROR(__xludf.DUMMYFUNCTION("""COMPUTED_VALUE"""),"PSYC 124")</f>
        <v>PSYC 124</v>
      </c>
    </row>
    <row r="3174">
      <c r="G3174" s="15" t="str">
        <f>IFERROR(__xludf.DUMMYFUNCTION("""COMPUTED_VALUE"""),"PSYC 130")</f>
        <v>PSYC 130</v>
      </c>
    </row>
    <row r="3175">
      <c r="G3175" s="15" t="str">
        <f>IFERROR(__xludf.DUMMYFUNCTION("""COMPUTED_VALUE"""),"PSYC 130P")</f>
        <v>PSYC 130P</v>
      </c>
    </row>
    <row r="3176">
      <c r="G3176" s="15" t="str">
        <f>IFERROR(__xludf.DUMMYFUNCTION("""COMPUTED_VALUE"""),"PSYC 131")</f>
        <v>PSYC 131</v>
      </c>
    </row>
    <row r="3177">
      <c r="G3177" s="15" t="str">
        <f>IFERROR(__xludf.DUMMYFUNCTION("""COMPUTED_VALUE"""),"PSYC 132")</f>
        <v>PSYC 132</v>
      </c>
    </row>
    <row r="3178">
      <c r="G3178" s="15" t="str">
        <f>IFERROR(__xludf.DUMMYFUNCTION("""COMPUTED_VALUE"""),"PSYC 133")</f>
        <v>PSYC 133</v>
      </c>
    </row>
    <row r="3179">
      <c r="G3179" s="15" t="str">
        <f>IFERROR(__xludf.DUMMYFUNCTION("""COMPUTED_VALUE"""),"PSYC 140")</f>
        <v>PSYC 140</v>
      </c>
    </row>
    <row r="3180">
      <c r="G3180" s="15" t="str">
        <f>IFERROR(__xludf.DUMMYFUNCTION("""COMPUTED_VALUE"""),"PSYC 141")</f>
        <v>PSYC 141</v>
      </c>
    </row>
    <row r="3181">
      <c r="G3181" s="15" t="str">
        <f>IFERROR(__xludf.DUMMYFUNCTION("""COMPUTED_VALUE"""),"PSYC 142")</f>
        <v>PSYC 142</v>
      </c>
    </row>
    <row r="3182">
      <c r="G3182" s="15" t="str">
        <f>IFERROR(__xludf.DUMMYFUNCTION("""COMPUTED_VALUE"""),"PSYC 145")</f>
        <v>PSYC 145</v>
      </c>
    </row>
    <row r="3183">
      <c r="G3183" s="15" t="str">
        <f>IFERROR(__xludf.DUMMYFUNCTION("""COMPUTED_VALUE"""),"PSYC 148")</f>
        <v>PSYC 148</v>
      </c>
    </row>
    <row r="3184">
      <c r="G3184" s="15" t="str">
        <f>IFERROR(__xludf.DUMMYFUNCTION("""COMPUTED_VALUE"""),"PSYC 150")</f>
        <v>PSYC 150</v>
      </c>
    </row>
    <row r="3185">
      <c r="G3185" s="15" t="str">
        <f>IFERROR(__xludf.DUMMYFUNCTION("""COMPUTED_VALUE"""),"PSYC 152")</f>
        <v>PSYC 152</v>
      </c>
    </row>
    <row r="3186">
      <c r="G3186" s="15" t="str">
        <f>IFERROR(__xludf.DUMMYFUNCTION("""COMPUTED_VALUE"""),"PSYC 153")</f>
        <v>PSYC 153</v>
      </c>
    </row>
    <row r="3187">
      <c r="G3187" s="15" t="str">
        <f>IFERROR(__xludf.DUMMYFUNCTION("""COMPUTED_VALUE"""),"PSYC 155")</f>
        <v>PSYC 155</v>
      </c>
    </row>
    <row r="3188">
      <c r="G3188" s="15" t="str">
        <f>IFERROR(__xludf.DUMMYFUNCTION("""COMPUTED_VALUE"""),"PSYC 157")</f>
        <v>PSYC 157</v>
      </c>
    </row>
    <row r="3189">
      <c r="G3189" s="15" t="str">
        <f>IFERROR(__xludf.DUMMYFUNCTION("""COMPUTED_VALUE"""),"PSYC 159")</f>
        <v>PSYC 159</v>
      </c>
    </row>
    <row r="3190">
      <c r="G3190" s="15" t="str">
        <f>IFERROR(__xludf.DUMMYFUNCTION("""COMPUTED_VALUE"""),"PSYC 162")</f>
        <v>PSYC 162</v>
      </c>
    </row>
    <row r="3191">
      <c r="G3191" s="15" t="str">
        <f>IFERROR(__xludf.DUMMYFUNCTION("""COMPUTED_VALUE"""),"PSYC 168")</f>
        <v>PSYC 168</v>
      </c>
    </row>
    <row r="3192">
      <c r="G3192" s="15" t="str">
        <f>IFERROR(__xludf.DUMMYFUNCTION("""COMPUTED_VALUE"""),"PSYC 168L")</f>
        <v>PSYC 168L</v>
      </c>
    </row>
    <row r="3193">
      <c r="G3193" s="15" t="str">
        <f>IFERROR(__xludf.DUMMYFUNCTION("""COMPUTED_VALUE"""),"PSYC 175")</f>
        <v>PSYC 175</v>
      </c>
    </row>
    <row r="3194">
      <c r="G3194" s="15" t="str">
        <f>IFERROR(__xludf.DUMMYFUNCTION("""COMPUTED_VALUE"""),"PSYC 179T")</f>
        <v>PSYC 179T</v>
      </c>
    </row>
    <row r="3195">
      <c r="G3195" s="15" t="str">
        <f>IFERROR(__xludf.DUMMYFUNCTION("""COMPUTED_VALUE"""),"PSYC 180")</f>
        <v>PSYC 180</v>
      </c>
    </row>
    <row r="3196">
      <c r="G3196" s="15" t="str">
        <f>IFERROR(__xludf.DUMMYFUNCTION("""COMPUTED_VALUE"""),"PSYC 180A")</f>
        <v>PSYC 180A</v>
      </c>
    </row>
    <row r="3197">
      <c r="G3197" s="15" t="str">
        <f>IFERROR(__xludf.DUMMYFUNCTION("""COMPUTED_VALUE"""),"PSYC 180C")</f>
        <v>PSYC 180C</v>
      </c>
    </row>
    <row r="3198">
      <c r="G3198" s="15" t="str">
        <f>IFERROR(__xludf.DUMMYFUNCTION("""COMPUTED_VALUE"""),"PSYC 180H")</f>
        <v>PSYC 180H</v>
      </c>
    </row>
    <row r="3199">
      <c r="G3199" s="15" t="str">
        <f>IFERROR(__xludf.DUMMYFUNCTION("""COMPUTED_VALUE"""),"PSYC 180M")</f>
        <v>PSYC 180M</v>
      </c>
    </row>
    <row r="3200">
      <c r="G3200" s="15" t="str">
        <f>IFERROR(__xludf.DUMMYFUNCTION("""COMPUTED_VALUE"""),"PSYC 180P")</f>
        <v>PSYC 180P</v>
      </c>
    </row>
    <row r="3201">
      <c r="G3201" s="15" t="str">
        <f>IFERROR(__xludf.DUMMYFUNCTION("""COMPUTED_VALUE"""),"PSYC 189")</f>
        <v>PSYC 189</v>
      </c>
    </row>
    <row r="3202">
      <c r="G3202" s="15" t="str">
        <f>IFERROR(__xludf.DUMMYFUNCTION("""COMPUTED_VALUE"""),"PSYC 189A")</f>
        <v>PSYC 189A</v>
      </c>
    </row>
    <row r="3203">
      <c r="G3203" s="15" t="str">
        <f>IFERROR(__xludf.DUMMYFUNCTION("""COMPUTED_VALUE"""),"PSYC 189L")</f>
        <v>PSYC 189L</v>
      </c>
    </row>
    <row r="3204">
      <c r="G3204" s="15" t="str">
        <f>IFERROR(__xludf.DUMMYFUNCTION("""COMPUTED_VALUE"""),"PSYC 189M")</f>
        <v>PSYC 189M</v>
      </c>
    </row>
    <row r="3205">
      <c r="G3205" s="15" t="str">
        <f>IFERROR(__xludf.DUMMYFUNCTION("""COMPUTED_VALUE"""),"PSYC 190R")</f>
        <v>PSYC 190R</v>
      </c>
    </row>
    <row r="3206">
      <c r="G3206" s="15" t="str">
        <f>IFERROR(__xludf.DUMMYFUNCTION("""COMPUTED_VALUE"""),"PSYC 191")</f>
        <v>PSYC 191</v>
      </c>
    </row>
    <row r="3207">
      <c r="G3207" s="15" t="str">
        <f>IFERROR(__xludf.DUMMYFUNCTION("""COMPUTED_VALUE"""),"PSYC 193")</f>
        <v>PSYC 193</v>
      </c>
    </row>
    <row r="3208">
      <c r="G3208" s="15" t="str">
        <f>IFERROR(__xludf.DUMMYFUNCTION("""COMPUTED_VALUE"""),"PSYC 197A")</f>
        <v>PSYC 197A</v>
      </c>
    </row>
    <row r="3209">
      <c r="G3209" s="15" t="str">
        <f>IFERROR(__xludf.DUMMYFUNCTION("""COMPUTED_VALUE"""),"PSYC 197B")</f>
        <v>PSYC 197B</v>
      </c>
    </row>
    <row r="3210">
      <c r="G3210" s="15" t="str">
        <f>IFERROR(__xludf.DUMMYFUNCTION("""COMPUTED_VALUE"""),"RLIT 191")</f>
        <v>RLIT 191</v>
      </c>
    </row>
    <row r="3211">
      <c r="G3211" s="15" t="str">
        <f>IFERROR(__xludf.DUMMYFUNCTION("""COMPUTED_VALUE"""),"RLST 002")</f>
        <v>RLST 002</v>
      </c>
    </row>
    <row r="3212">
      <c r="G3212" s="15" t="str">
        <f>IFERROR(__xludf.DUMMYFUNCTION("""COMPUTED_VALUE"""),"RLST 020")</f>
        <v>RLST 020</v>
      </c>
    </row>
    <row r="3213">
      <c r="G3213" s="15" t="str">
        <f>IFERROR(__xludf.DUMMYFUNCTION("""COMPUTED_VALUE"""),"RLST 025")</f>
        <v>RLST 025</v>
      </c>
    </row>
    <row r="3214">
      <c r="G3214" s="15" t="str">
        <f>IFERROR(__xludf.DUMMYFUNCTION("""COMPUTED_VALUE"""),"RLST 045")</f>
        <v>RLST 045</v>
      </c>
    </row>
    <row r="3215">
      <c r="G3215" s="15" t="str">
        <f>IFERROR(__xludf.DUMMYFUNCTION("""COMPUTED_VALUE"""),"RLST 055")</f>
        <v>RLST 055</v>
      </c>
    </row>
    <row r="3216">
      <c r="G3216" s="15" t="str">
        <f>IFERROR(__xludf.DUMMYFUNCTION("""COMPUTED_VALUE"""),"RLST 058")</f>
        <v>RLST 058</v>
      </c>
    </row>
    <row r="3217">
      <c r="G3217" s="15" t="str">
        <f>IFERROR(__xludf.DUMMYFUNCTION("""COMPUTED_VALUE"""),"RLST 084")</f>
        <v>RLST 084</v>
      </c>
    </row>
    <row r="3218">
      <c r="G3218" s="15" t="str">
        <f>IFERROR(__xludf.DUMMYFUNCTION("""COMPUTED_VALUE"""),"RLST 086")</f>
        <v>RLST 086</v>
      </c>
    </row>
    <row r="3219">
      <c r="G3219" s="15" t="str">
        <f>IFERROR(__xludf.DUMMYFUNCTION("""COMPUTED_VALUE"""),"RLST 095")</f>
        <v>RLST 095</v>
      </c>
    </row>
    <row r="3220">
      <c r="G3220" s="15" t="str">
        <f>IFERROR(__xludf.DUMMYFUNCTION("""COMPUTED_VALUE"""),"RLST 100")</f>
        <v>RLST 100</v>
      </c>
    </row>
    <row r="3221">
      <c r="G3221" s="15" t="str">
        <f>IFERROR(__xludf.DUMMYFUNCTION("""COMPUTED_VALUE"""),"RLST 102")</f>
        <v>RLST 102</v>
      </c>
    </row>
    <row r="3222">
      <c r="G3222" s="15" t="str">
        <f>IFERROR(__xludf.DUMMYFUNCTION("""COMPUTED_VALUE"""),"RLST 110")</f>
        <v>RLST 110</v>
      </c>
    </row>
    <row r="3223">
      <c r="G3223" s="15" t="str">
        <f>IFERROR(__xludf.DUMMYFUNCTION("""COMPUTED_VALUE"""),"RLST 113")</f>
        <v>RLST 113</v>
      </c>
    </row>
    <row r="3224">
      <c r="G3224" s="15" t="str">
        <f>IFERROR(__xludf.DUMMYFUNCTION("""COMPUTED_VALUE"""),"RLST 137")</f>
        <v>RLST 137</v>
      </c>
    </row>
    <row r="3225">
      <c r="G3225" s="15" t="str">
        <f>IFERROR(__xludf.DUMMYFUNCTION("""COMPUTED_VALUE"""),"RLST 139")</f>
        <v>RLST 139</v>
      </c>
    </row>
    <row r="3226">
      <c r="G3226" s="15" t="str">
        <f>IFERROR(__xludf.DUMMYFUNCTION("""COMPUTED_VALUE"""),"RLST 142")</f>
        <v>RLST 142</v>
      </c>
    </row>
    <row r="3227">
      <c r="G3227" s="15" t="str">
        <f>IFERROR(__xludf.DUMMYFUNCTION("""COMPUTED_VALUE"""),"RLST 150")</f>
        <v>RLST 150</v>
      </c>
    </row>
    <row r="3228">
      <c r="G3228" s="15" t="str">
        <f>IFERROR(__xludf.DUMMYFUNCTION("""COMPUTED_VALUE"""),"RLST 151")</f>
        <v>RLST 151</v>
      </c>
    </row>
    <row r="3229">
      <c r="G3229" s="15" t="str">
        <f>IFERROR(__xludf.DUMMYFUNCTION("""COMPUTED_VALUE"""),"RLST 164")</f>
        <v>RLST 164</v>
      </c>
    </row>
    <row r="3230">
      <c r="G3230" s="15" t="str">
        <f>IFERROR(__xludf.DUMMYFUNCTION("""COMPUTED_VALUE"""),"RLST 169")</f>
        <v>RLST 169</v>
      </c>
    </row>
    <row r="3231">
      <c r="G3231" s="15" t="str">
        <f>IFERROR(__xludf.DUMMYFUNCTION("""COMPUTED_VALUE"""),"RLST 176")</f>
        <v>RLST 176</v>
      </c>
    </row>
    <row r="3232">
      <c r="G3232" s="15" t="str">
        <f>IFERROR(__xludf.DUMMYFUNCTION("""COMPUTED_VALUE"""),"RLST 180")</f>
        <v>RLST 180</v>
      </c>
    </row>
    <row r="3233">
      <c r="G3233" s="15" t="str">
        <f>IFERROR(__xludf.DUMMYFUNCTION("""COMPUTED_VALUE"""),"RLST 191")</f>
        <v>RLST 191</v>
      </c>
    </row>
    <row r="3234">
      <c r="G3234" s="15" t="str">
        <f>IFERROR(__xludf.DUMMYFUNCTION("""COMPUTED_VALUE"""),"RUSS 002")</f>
        <v>RUSS 002</v>
      </c>
    </row>
    <row r="3235">
      <c r="G3235" s="15" t="str">
        <f>IFERROR(__xludf.DUMMYFUNCTION("""COMPUTED_VALUE"""),"RUSS 011")</f>
        <v>RUSS 011</v>
      </c>
    </row>
    <row r="3236">
      <c r="G3236" s="15" t="str">
        <f>IFERROR(__xludf.DUMMYFUNCTION("""COMPUTED_VALUE"""),"RUSS 013")</f>
        <v>RUSS 013</v>
      </c>
    </row>
    <row r="3237">
      <c r="G3237" s="15" t="str">
        <f>IFERROR(__xludf.DUMMYFUNCTION("""COMPUTED_VALUE"""),"RUSS 180")</f>
        <v>RUSS 180</v>
      </c>
    </row>
    <row r="3238">
      <c r="G3238" s="15" t="str">
        <f>IFERROR(__xludf.DUMMYFUNCTION("""COMPUTED_VALUE"""),"RUSS 191")</f>
        <v>RUSS 191</v>
      </c>
    </row>
    <row r="3239">
      <c r="G3239" s="15" t="str">
        <f>IFERROR(__xludf.DUMMYFUNCTION("""COMPUTED_VALUE"""),"RUST 103")</f>
        <v>RUST 103</v>
      </c>
    </row>
    <row r="3240">
      <c r="G3240" s="15" t="str">
        <f>IFERROR(__xludf.DUMMYFUNCTION("""COMPUTED_VALUE"""),"RUST 114")</f>
        <v>RUST 114</v>
      </c>
    </row>
    <row r="3241">
      <c r="G3241" s="15" t="str">
        <f>IFERROR(__xludf.DUMMYFUNCTION("""COMPUTED_VALUE"""),"SOC 001")</f>
        <v>SOC 001</v>
      </c>
    </row>
    <row r="3242">
      <c r="G3242" s="15" t="str">
        <f>IFERROR(__xludf.DUMMYFUNCTION("""COMPUTED_VALUE"""),"SOC 035")</f>
        <v>SOC 035</v>
      </c>
    </row>
    <row r="3243">
      <c r="G3243" s="15" t="str">
        <f>IFERROR(__xludf.DUMMYFUNCTION("""COMPUTED_VALUE"""),"SOC 051")</f>
        <v>SOC 051</v>
      </c>
    </row>
    <row r="3244">
      <c r="G3244" s="15" t="str">
        <f>IFERROR(__xludf.DUMMYFUNCTION("""COMPUTED_VALUE"""),"SOC 055")</f>
        <v>SOC 055</v>
      </c>
    </row>
    <row r="3245">
      <c r="G3245" s="15" t="str">
        <f>IFERROR(__xludf.DUMMYFUNCTION("""COMPUTED_VALUE"""),"SOC 074")</f>
        <v>SOC 074</v>
      </c>
    </row>
    <row r="3246">
      <c r="G3246" s="15" t="str">
        <f>IFERROR(__xludf.DUMMYFUNCTION("""COMPUTED_VALUE"""),"SOC 083")</f>
        <v>SOC 083</v>
      </c>
    </row>
    <row r="3247">
      <c r="G3247" s="15" t="str">
        <f>IFERROR(__xludf.DUMMYFUNCTION("""COMPUTED_VALUE"""),"SOC 101")</f>
        <v>SOC 101</v>
      </c>
    </row>
    <row r="3248">
      <c r="G3248" s="15" t="str">
        <f>IFERROR(__xludf.DUMMYFUNCTION("""COMPUTED_VALUE"""),"SOC 102")</f>
        <v>SOC 102</v>
      </c>
    </row>
    <row r="3249">
      <c r="G3249" s="15" t="str">
        <f>IFERROR(__xludf.DUMMYFUNCTION("""COMPUTED_VALUE"""),"SOC 110")</f>
        <v>SOC 110</v>
      </c>
    </row>
    <row r="3250">
      <c r="G3250" s="15" t="str">
        <f>IFERROR(__xludf.DUMMYFUNCTION("""COMPUTED_VALUE"""),"SOC 126")</f>
        <v>SOC 126</v>
      </c>
    </row>
    <row r="3251">
      <c r="G3251" s="15" t="str">
        <f>IFERROR(__xludf.DUMMYFUNCTION("""COMPUTED_VALUE"""),"SOC 128")</f>
        <v>SOC 128</v>
      </c>
    </row>
    <row r="3252">
      <c r="G3252" s="15" t="str">
        <f>IFERROR(__xludf.DUMMYFUNCTION("""COMPUTED_VALUE"""),"SOC 147")</f>
        <v>SOC 147</v>
      </c>
    </row>
    <row r="3253">
      <c r="G3253" s="15" t="str">
        <f>IFERROR(__xludf.DUMMYFUNCTION("""COMPUTED_VALUE"""),"SOC 148")</f>
        <v>SOC 148</v>
      </c>
    </row>
    <row r="3254">
      <c r="G3254" s="15" t="str">
        <f>IFERROR(__xludf.DUMMYFUNCTION("""COMPUTED_VALUE"""),"SOC 150")</f>
        <v>SOC 150</v>
      </c>
    </row>
    <row r="3255">
      <c r="G3255" s="15" t="str">
        <f>IFERROR(__xludf.DUMMYFUNCTION("""COMPUTED_VALUE"""),"SOC 155")</f>
        <v>SOC 155</v>
      </c>
    </row>
    <row r="3256">
      <c r="G3256" s="15" t="str">
        <f>IFERROR(__xludf.DUMMYFUNCTION("""COMPUTED_VALUE"""),"SOC 157")</f>
        <v>SOC 157</v>
      </c>
    </row>
    <row r="3257">
      <c r="G3257" s="15" t="str">
        <f>IFERROR(__xludf.DUMMYFUNCTION("""COMPUTED_VALUE"""),"SOC 189E")</f>
        <v>SOC 189E</v>
      </c>
    </row>
    <row r="3258">
      <c r="G3258" s="15" t="str">
        <f>IFERROR(__xludf.DUMMYFUNCTION("""COMPUTED_VALUE"""),"SOC 189G")</f>
        <v>SOC 189G</v>
      </c>
    </row>
    <row r="3259">
      <c r="G3259" s="15" t="str">
        <f>IFERROR(__xludf.DUMMYFUNCTION("""COMPUTED_VALUE"""),"SOC 189K")</f>
        <v>SOC 189K</v>
      </c>
    </row>
    <row r="3260">
      <c r="G3260" s="15" t="str">
        <f>IFERROR(__xludf.DUMMYFUNCTION("""COMPUTED_VALUE"""),"SOC 191")</f>
        <v>SOC 191</v>
      </c>
    </row>
    <row r="3261">
      <c r="G3261" s="15" t="str">
        <f>IFERROR(__xludf.DUMMYFUNCTION("""COMPUTED_VALUE"""),"SOC 199A")</f>
        <v>SOC 199A</v>
      </c>
    </row>
    <row r="3262">
      <c r="G3262" s="15" t="str">
        <f>IFERROR(__xludf.DUMMYFUNCTION("""COMPUTED_VALUE"""),"SOC 199B")</f>
        <v>SOC 199B</v>
      </c>
    </row>
    <row r="3263">
      <c r="G3263" s="15" t="str">
        <f>IFERROR(__xludf.DUMMYFUNCTION("""COMPUTED_VALUE"""),"SPAN 002")</f>
        <v>SPAN 002</v>
      </c>
    </row>
    <row r="3264">
      <c r="G3264" s="15" t="str">
        <f>IFERROR(__xludf.DUMMYFUNCTION("""COMPUTED_VALUE"""),"SPAN 011")</f>
        <v>SPAN 011</v>
      </c>
    </row>
    <row r="3265">
      <c r="G3265" s="15" t="str">
        <f>IFERROR(__xludf.DUMMYFUNCTION("""COMPUTED_VALUE"""),"SPAN 013")</f>
        <v>SPAN 013</v>
      </c>
    </row>
    <row r="3266">
      <c r="G3266" s="15" t="str">
        <f>IFERROR(__xludf.DUMMYFUNCTION("""COMPUTED_VALUE"""),"SPAN 022")</f>
        <v>SPAN 022</v>
      </c>
    </row>
    <row r="3267">
      <c r="G3267" s="15" t="str">
        <f>IFERROR(__xludf.DUMMYFUNCTION("""COMPUTED_VALUE"""),"SPAN 031")</f>
        <v>SPAN 031</v>
      </c>
    </row>
    <row r="3268">
      <c r="G3268" s="15" t="str">
        <f>IFERROR(__xludf.DUMMYFUNCTION("""COMPUTED_VALUE"""),"SPAN 033")</f>
        <v>SPAN 033</v>
      </c>
    </row>
    <row r="3269">
      <c r="G3269" s="15" t="str">
        <f>IFERROR(__xludf.DUMMYFUNCTION("""COMPUTED_VALUE"""),"SPAN 033L")</f>
        <v>SPAN 033L</v>
      </c>
    </row>
    <row r="3270">
      <c r="G3270" s="15" t="str">
        <f>IFERROR(__xludf.DUMMYFUNCTION("""COMPUTED_VALUE"""),"SPAN 044")</f>
        <v>SPAN 044</v>
      </c>
    </row>
    <row r="3271">
      <c r="G3271" s="15" t="str">
        <f>IFERROR(__xludf.DUMMYFUNCTION("""COMPUTED_VALUE"""),"SPAN 044L")</f>
        <v>SPAN 044L</v>
      </c>
    </row>
    <row r="3272">
      <c r="G3272" s="15" t="str">
        <f>IFERROR(__xludf.DUMMYFUNCTION("""COMPUTED_VALUE"""),"SPAN 050")</f>
        <v>SPAN 050</v>
      </c>
    </row>
    <row r="3273">
      <c r="G3273" s="15" t="str">
        <f>IFERROR(__xludf.DUMMYFUNCTION("""COMPUTED_VALUE"""),"SPAN 055")</f>
        <v>SPAN 055</v>
      </c>
    </row>
    <row r="3274">
      <c r="G3274" s="15" t="str">
        <f>IFERROR(__xludf.DUMMYFUNCTION("""COMPUTED_VALUE"""),"SPAN 100")</f>
        <v>SPAN 100</v>
      </c>
    </row>
    <row r="3275">
      <c r="G3275" s="15" t="str">
        <f>IFERROR(__xludf.DUMMYFUNCTION("""COMPUTED_VALUE"""),"SPAN 101")</f>
        <v>SPAN 101</v>
      </c>
    </row>
    <row r="3276">
      <c r="G3276" s="15" t="str">
        <f>IFERROR(__xludf.DUMMYFUNCTION("""COMPUTED_VALUE"""),"SPAN 102")</f>
        <v>SPAN 102</v>
      </c>
    </row>
    <row r="3277">
      <c r="G3277" s="15" t="str">
        <f>IFERROR(__xludf.DUMMYFUNCTION("""COMPUTED_VALUE"""),"SPAN 103")</f>
        <v>SPAN 103</v>
      </c>
    </row>
    <row r="3278">
      <c r="G3278" s="15" t="str">
        <f>IFERROR(__xludf.DUMMYFUNCTION("""COMPUTED_VALUE"""),"SPAN 108")</f>
        <v>SPAN 108</v>
      </c>
    </row>
    <row r="3279">
      <c r="G3279" s="15" t="str">
        <f>IFERROR(__xludf.DUMMYFUNCTION("""COMPUTED_VALUE"""),"SPAN 120B")</f>
        <v>SPAN 120B</v>
      </c>
    </row>
    <row r="3280">
      <c r="G3280" s="15" t="str">
        <f>IFERROR(__xludf.DUMMYFUNCTION("""COMPUTED_VALUE"""),"SPAN 125B")</f>
        <v>SPAN 125B</v>
      </c>
    </row>
    <row r="3281">
      <c r="G3281" s="15" t="str">
        <f>IFERROR(__xludf.DUMMYFUNCTION("""COMPUTED_VALUE"""),"SPAN 127")</f>
        <v>SPAN 127</v>
      </c>
    </row>
    <row r="3282">
      <c r="G3282" s="15" t="str">
        <f>IFERROR(__xludf.DUMMYFUNCTION("""COMPUTED_VALUE"""),"SPAN 129")</f>
        <v>SPAN 129</v>
      </c>
    </row>
    <row r="3283">
      <c r="G3283" s="15" t="str">
        <f>IFERROR(__xludf.DUMMYFUNCTION("""COMPUTED_VALUE"""),"SPAN 131")</f>
        <v>SPAN 131</v>
      </c>
    </row>
    <row r="3284">
      <c r="G3284" s="15" t="str">
        <f>IFERROR(__xludf.DUMMYFUNCTION("""COMPUTED_VALUE"""),"SPAN 135")</f>
        <v>SPAN 135</v>
      </c>
    </row>
    <row r="3285">
      <c r="G3285" s="15" t="str">
        <f>IFERROR(__xludf.DUMMYFUNCTION("""COMPUTED_VALUE"""),"SPAN 139")</f>
        <v>SPAN 139</v>
      </c>
    </row>
    <row r="3286">
      <c r="G3286" s="15" t="str">
        <f>IFERROR(__xludf.DUMMYFUNCTION("""COMPUTED_VALUE"""),"SPAN 142")</f>
        <v>SPAN 142</v>
      </c>
    </row>
    <row r="3287">
      <c r="G3287" s="15" t="str">
        <f>IFERROR(__xludf.DUMMYFUNCTION("""COMPUTED_VALUE"""),"SPAN 153")</f>
        <v>SPAN 153</v>
      </c>
    </row>
    <row r="3288">
      <c r="G3288" s="15" t="str">
        <f>IFERROR(__xludf.DUMMYFUNCTION("""COMPUTED_VALUE"""),"SPAN 162")</f>
        <v>SPAN 162</v>
      </c>
    </row>
    <row r="3289">
      <c r="G3289" s="15" t="str">
        <f>IFERROR(__xludf.DUMMYFUNCTION("""COMPUTED_VALUE"""),"SPAN 163")</f>
        <v>SPAN 163</v>
      </c>
    </row>
    <row r="3290">
      <c r="G3290" s="15" t="str">
        <f>IFERROR(__xludf.DUMMYFUNCTION("""COMPUTED_VALUE"""),"SPAN 183")</f>
        <v>SPAN 183</v>
      </c>
    </row>
    <row r="3291">
      <c r="G3291" s="15" t="str">
        <f>IFERROR(__xludf.DUMMYFUNCTION("""COMPUTED_VALUE"""),"SPAN 191")</f>
        <v>SPAN 191</v>
      </c>
    </row>
    <row r="3292">
      <c r="G3292" s="15" t="str">
        <f>IFERROR(__xludf.DUMMYFUNCTION("""COMPUTED_VALUE"""),"SPAN 192")</f>
        <v>SPAN 192</v>
      </c>
    </row>
    <row r="3293">
      <c r="G3293" s="15" t="str">
        <f>IFERROR(__xludf.DUMMYFUNCTION("""COMPUTED_VALUE"""),"SPAN 199")</f>
        <v>SPAN 199</v>
      </c>
    </row>
    <row r="3294">
      <c r="G3294" s="15" t="str">
        <f>IFERROR(__xludf.DUMMYFUNCTION("""COMPUTED_VALUE"""),"SPCH 061A")</f>
        <v>SPCH 061A</v>
      </c>
    </row>
    <row r="3295">
      <c r="G3295" s="15" t="str">
        <f>IFERROR(__xludf.DUMMYFUNCTION("""COMPUTED_VALUE"""),"SPCH 061B")</f>
        <v>SPCH 061B</v>
      </c>
    </row>
    <row r="3296">
      <c r="G3296" s="15" t="str">
        <f>IFERROR(__xludf.DUMMYFUNCTION("""COMPUTED_VALUE"""),"SPEC 192")</f>
        <v>SPEC 192</v>
      </c>
    </row>
    <row r="3297">
      <c r="G3297" s="15" t="str">
        <f>IFERROR(__xludf.DUMMYFUNCTION("""COMPUTED_VALUE"""),"STS 010")</f>
        <v>STS 010</v>
      </c>
    </row>
    <row r="3298">
      <c r="G3298" s="15" t="str">
        <f>IFERROR(__xludf.DUMMYFUNCTION("""COMPUTED_VALUE"""),"STS 179L")</f>
        <v>STS 179L</v>
      </c>
    </row>
    <row r="3299">
      <c r="G3299" s="15" t="str">
        <f>IFERROR(__xludf.DUMMYFUNCTION("""COMPUTED_VALUE"""),"STS 191")</f>
        <v>STS 191</v>
      </c>
    </row>
    <row r="3300">
      <c r="G3300" s="15" t="str">
        <f>IFERROR(__xludf.DUMMYFUNCTION("""COMPUTED_VALUE"""),"THEA 001A")</f>
        <v>THEA 001A</v>
      </c>
    </row>
    <row r="3301">
      <c r="G3301" s="15" t="str">
        <f>IFERROR(__xludf.DUMMYFUNCTION("""COMPUTED_VALUE"""),"THEA 001D")</f>
        <v>THEA 001D</v>
      </c>
    </row>
    <row r="3302">
      <c r="G3302" s="15" t="str">
        <f>IFERROR(__xludf.DUMMYFUNCTION("""COMPUTED_VALUE"""),"THEA 002")</f>
        <v>THEA 002</v>
      </c>
    </row>
    <row r="3303">
      <c r="G3303" s="15" t="str">
        <f>IFERROR(__xludf.DUMMYFUNCTION("""COMPUTED_VALUE"""),"THEA 012")</f>
        <v>THEA 012</v>
      </c>
    </row>
    <row r="3304">
      <c r="G3304" s="15" t="str">
        <f>IFERROR(__xludf.DUMMYFUNCTION("""COMPUTED_VALUE"""),"THEA 013")</f>
        <v>THEA 013</v>
      </c>
    </row>
    <row r="3305">
      <c r="G3305" s="15" t="str">
        <f>IFERROR(__xludf.DUMMYFUNCTION("""COMPUTED_VALUE"""),"THEA 014")</f>
        <v>THEA 014</v>
      </c>
    </row>
    <row r="3306">
      <c r="G3306" s="15" t="str">
        <f>IFERROR(__xludf.DUMMYFUNCTION("""COMPUTED_VALUE"""),"THEA 017")</f>
        <v>THEA 017</v>
      </c>
    </row>
    <row r="3307">
      <c r="G3307" s="15" t="str">
        <f>IFERROR(__xludf.DUMMYFUNCTION("""COMPUTED_VALUE"""),"THEA 022")</f>
        <v>THEA 022</v>
      </c>
    </row>
    <row r="3308">
      <c r="G3308" s="15" t="str">
        <f>IFERROR(__xludf.DUMMYFUNCTION("""COMPUTED_VALUE"""),"THEA 031")</f>
        <v>THEA 031</v>
      </c>
    </row>
    <row r="3309">
      <c r="G3309" s="15" t="str">
        <f>IFERROR(__xludf.DUMMYFUNCTION("""COMPUTED_VALUE"""),"THEA 051C")</f>
        <v>THEA 051C</v>
      </c>
    </row>
    <row r="3310">
      <c r="G3310" s="15" t="str">
        <f>IFERROR(__xludf.DUMMYFUNCTION("""COMPUTED_VALUE"""),"THEA 051H")</f>
        <v>THEA 051H</v>
      </c>
    </row>
    <row r="3311">
      <c r="G3311" s="15" t="str">
        <f>IFERROR(__xludf.DUMMYFUNCTION("""COMPUTED_VALUE"""),"THEA 052C")</f>
        <v>THEA 052C</v>
      </c>
    </row>
    <row r="3312">
      <c r="G3312" s="15" t="str">
        <f>IFERROR(__xludf.DUMMYFUNCTION("""COMPUTED_VALUE"""),"THEA 052H")</f>
        <v>THEA 052H</v>
      </c>
    </row>
    <row r="3313">
      <c r="G3313" s="15" t="str">
        <f>IFERROR(__xludf.DUMMYFUNCTION("""COMPUTED_VALUE"""),"THEA 053CG")</f>
        <v>THEA 053CG</v>
      </c>
    </row>
    <row r="3314">
      <c r="G3314" s="15" t="str">
        <f>IFERROR(__xludf.DUMMYFUNCTION("""COMPUTED_VALUE"""),"THEA 053CI")</f>
        <v>THEA 053CI</v>
      </c>
    </row>
    <row r="3315">
      <c r="G3315" s="15" t="str">
        <f>IFERROR(__xludf.DUMMYFUNCTION("""COMPUTED_VALUE"""),"THEA 053HG")</f>
        <v>THEA 053HG</v>
      </c>
    </row>
    <row r="3316">
      <c r="G3316" s="15" t="str">
        <f>IFERROR(__xludf.DUMMYFUNCTION("""COMPUTED_VALUE"""),"THEA 053HI")</f>
        <v>THEA 053HI</v>
      </c>
    </row>
    <row r="3317">
      <c r="G3317" s="15" t="str">
        <f>IFERROR(__xludf.DUMMYFUNCTION("""COMPUTED_VALUE"""),"THEA 060")</f>
        <v>THEA 060</v>
      </c>
    </row>
    <row r="3318">
      <c r="G3318" s="15" t="str">
        <f>IFERROR(__xludf.DUMMYFUNCTION("""COMPUTED_VALUE"""),"THEA 062")</f>
        <v>THEA 062</v>
      </c>
    </row>
    <row r="3319">
      <c r="G3319" s="15" t="str">
        <f>IFERROR(__xludf.DUMMYFUNCTION("""COMPUTED_VALUE"""),"THEA 080")</f>
        <v>THEA 080</v>
      </c>
    </row>
    <row r="3320">
      <c r="G3320" s="15" t="str">
        <f>IFERROR(__xludf.DUMMYFUNCTION("""COMPUTED_VALUE"""),"THEA 081")</f>
        <v>THEA 081</v>
      </c>
    </row>
    <row r="3321">
      <c r="G3321" s="15" t="str">
        <f>IFERROR(__xludf.DUMMYFUNCTION("""COMPUTED_VALUE"""),"THEA 100K")</f>
        <v>THEA 100K</v>
      </c>
    </row>
    <row r="3322">
      <c r="G3322" s="15" t="str">
        <f>IFERROR(__xludf.DUMMYFUNCTION("""COMPUTED_VALUE"""),"THEA 130")</f>
        <v>THEA 130</v>
      </c>
    </row>
    <row r="3323">
      <c r="G3323" s="15" t="str">
        <f>IFERROR(__xludf.DUMMYFUNCTION("""COMPUTED_VALUE"""),"THEA 170")</f>
        <v>THEA 170</v>
      </c>
    </row>
    <row r="3324">
      <c r="G3324" s="15" t="str">
        <f>IFERROR(__xludf.DUMMYFUNCTION("""COMPUTED_VALUE"""),"THEA 188")</f>
        <v>THEA 188</v>
      </c>
    </row>
    <row r="3325">
      <c r="G3325" s="15" t="str">
        <f>IFERROR(__xludf.DUMMYFUNCTION("""COMPUTED_VALUE"""),"THEA 191H")</f>
        <v>THEA 191H</v>
      </c>
    </row>
    <row r="3326">
      <c r="G3326" s="15" t="str">
        <f>IFERROR(__xludf.DUMMYFUNCTION("""COMPUTED_VALUE"""),"THEA 192H")</f>
        <v>THEA 192H</v>
      </c>
    </row>
    <row r="3327">
      <c r="G3327" s="15" t="str">
        <f>IFERROR(__xludf.DUMMYFUNCTION("""COMPUTED_VALUE"""),"WRIT 031")</f>
        <v>WRIT 031</v>
      </c>
    </row>
    <row r="3328">
      <c r="G3328" s="15" t="str">
        <f>IFERROR(__xludf.DUMMYFUNCTION("""COMPUTED_VALUE"""),"WRIT 109")</f>
        <v>WRIT 109</v>
      </c>
    </row>
    <row r="3329">
      <c r="G3329" s="15" t="str">
        <f>IFERROR(__xludf.DUMMYFUNCTION("""COMPUTED_VALUE"""),"WRIT 110")</f>
        <v>WRIT 110</v>
      </c>
    </row>
    <row r="3330">
      <c r="G3330" s="15" t="str">
        <f>IFERROR(__xludf.DUMMYFUNCTION("""COMPUTED_VALUE"""),"WRIT 120")</f>
        <v>WRIT 120</v>
      </c>
    </row>
    <row r="3331">
      <c r="G3331" s="15" t="str">
        <f>IFERROR(__xludf.DUMMYFUNCTION("""COMPUTED_VALUE"""),"WRIT 165IO")</f>
        <v>WRIT 165IO</v>
      </c>
    </row>
    <row r="3332">
      <c r="G3332" s="15" t="str">
        <f>IFERROR(__xludf.DUMMYFUNCTION("""COMPUTED_VALUE"""),"WRIT 191")</f>
        <v>WRIT 191</v>
      </c>
    </row>
    <row r="3333">
      <c r="G3333" s="15" t="str">
        <f>IFERROR(__xludf.DUMMYFUNCTION("""COMPUTED_VALUE"""),"WRIT 197")</f>
        <v>WRIT 197</v>
      </c>
    </row>
    <row r="3334">
      <c r="G3334" s="15" t="str">
        <f>IFERROR(__xludf.DUMMYFUNCTION("""COMPUTED_VALUE"""),"KRNT")</f>
        <v>KRNT</v>
      </c>
    </row>
    <row r="3335">
      <c r="G3335" s="15" t="str">
        <f>IFERROR(__xludf.DUMMYFUNCTION("""COMPUTED_VALUE"""),"CHLT")</f>
        <v>CHLT</v>
      </c>
    </row>
    <row r="3336">
      <c r="G3336" s="15" t="str">
        <f>IFERROR(__xludf.DUMMYFUNCTION("""COMPUTED_VALUE"""),"ARBT")</f>
        <v>ARBT</v>
      </c>
    </row>
    <row r="3337">
      <c r="G3337" s="15" t="str">
        <f>IFERROR(__xludf.DUMMYFUNCTION("""COMPUTED_VALUE"""),"ASIA")</f>
        <v>ASIA</v>
      </c>
    </row>
    <row r="3338">
      <c r="G3338" s="15" t="str">
        <f>IFERROR(__xludf.DUMMYFUNCTION("""COMPUTED_VALUE"""),"GERM")</f>
        <v>GERM</v>
      </c>
    </row>
    <row r="3339">
      <c r="G3339" s="15" t="str">
        <f>IFERROR(__xludf.DUMMYFUNCTION("""COMPUTED_VALUE"""),"MENA")</f>
        <v>MENA</v>
      </c>
    </row>
    <row r="3340">
      <c r="G3340" s="15" t="str">
        <f>IFERROR(__xludf.DUMMYFUNCTION("""COMPUTED_VALUE"""),"LAST")</f>
        <v>LAST</v>
      </c>
    </row>
    <row r="3341">
      <c r="G3341" s="15" t="str">
        <f>IFERROR(__xludf.DUMMYFUNCTION("""COMPUTED_VALUE"""),"PHIL")</f>
        <v>PHIL</v>
      </c>
    </row>
    <row r="3342">
      <c r="G3342" s="15" t="str">
        <f>IFERROR(__xludf.DUMMYFUNCTION("""COMPUTED_VALUE"""),"ARHI")</f>
        <v>ARHI</v>
      </c>
    </row>
    <row r="3343">
      <c r="G3343" s="15" t="str">
        <f>IFERROR(__xludf.DUMMYFUNCTION("""COMPUTED_VALUE"""),"CREA")</f>
        <v>CREA</v>
      </c>
    </row>
    <row r="3344">
      <c r="G3344" s="15" t="str">
        <f>IFERROR(__xludf.DUMMYFUNCTION("""COMPUTED_VALUE"""),"FGSS")</f>
        <v>FGSS</v>
      </c>
    </row>
    <row r="3345">
      <c r="G3345" s="15" t="str">
        <f>IFERROR(__xludf.DUMMYFUNCTION("""COMPUTED_VALUE"""),"ORST")</f>
        <v>ORST</v>
      </c>
    </row>
    <row r="3346">
      <c r="G3346" s="15" t="str">
        <f>IFERROR(__xludf.DUMMYFUNCTION("""COMPUTED_VALUE"""),"EDUC")</f>
        <v>EDUC</v>
      </c>
    </row>
    <row r="3347">
      <c r="G3347" s="15" t="str">
        <f>IFERROR(__xludf.DUMMYFUNCTION("""COMPUTED_VALUE"""),"ART")</f>
        <v>ART</v>
      </c>
    </row>
    <row r="3348">
      <c r="G3348" s="15" t="str">
        <f>IFERROR(__xludf.DUMMYFUNCTION("""COMPUTED_VALUE"""),"LEAD")</f>
        <v>LEAD</v>
      </c>
    </row>
    <row r="3349">
      <c r="G3349" s="15" t="str">
        <f>IFERROR(__xludf.DUMMYFUNCTION("""COMPUTED_VALUE"""),"FREN")</f>
        <v>FREN</v>
      </c>
    </row>
    <row r="3350">
      <c r="G3350" s="15" t="str">
        <f>IFERROR(__xludf.DUMMYFUNCTION("""COMPUTED_VALUE"""),"PPA")</f>
        <v>PPA</v>
      </c>
    </row>
    <row r="3351">
      <c r="G3351" s="15" t="str">
        <f>IFERROR(__xludf.DUMMYFUNCTION("""COMPUTED_VALUE"""),"ARBC")</f>
        <v>ARBC</v>
      </c>
    </row>
    <row r="3352">
      <c r="G3352" s="15" t="str">
        <f>IFERROR(__xludf.DUMMYFUNCTION("""COMPUTED_VALUE"""),"MCSI")</f>
        <v>MCSI</v>
      </c>
    </row>
    <row r="3353">
      <c r="G3353" s="15" t="str">
        <f>IFERROR(__xludf.DUMMYFUNCTION("""COMPUTED_VALUE"""),"SPAN")</f>
        <v>SPAN</v>
      </c>
    </row>
    <row r="3354">
      <c r="G3354" s="15" t="str">
        <f>IFERROR(__xludf.DUMMYFUNCTION("""COMPUTED_VALUE"""),"ENGL")</f>
        <v>ENGL</v>
      </c>
    </row>
    <row r="3355">
      <c r="G3355" s="15" t="str">
        <f>IFERROR(__xludf.DUMMYFUNCTION("""COMPUTED_VALUE"""),"LATN")</f>
        <v>LATN</v>
      </c>
    </row>
    <row r="3356">
      <c r="G3356" s="15" t="str">
        <f>IFERROR(__xludf.DUMMYFUNCTION("""COMPUTED_VALUE"""),"MS")</f>
        <v>MS</v>
      </c>
    </row>
    <row r="3357">
      <c r="G3357" s="15" t="str">
        <f>IFERROR(__xludf.DUMMYFUNCTION("""COMPUTED_VALUE"""),"MSL")</f>
        <v>MSL</v>
      </c>
    </row>
    <row r="3358">
      <c r="G3358" s="15" t="str">
        <f>IFERROR(__xludf.DUMMYFUNCTION("""COMPUTED_VALUE"""),"ANTH")</f>
        <v>ANTH</v>
      </c>
    </row>
    <row r="3359">
      <c r="G3359" s="15" t="str">
        <f>IFERROR(__xludf.DUMMYFUNCTION("""COMPUTED_VALUE"""),"CORE")</f>
        <v>CORE</v>
      </c>
    </row>
    <row r="3360">
      <c r="G3360" s="15" t="str">
        <f>IFERROR(__xludf.DUMMYFUNCTION("""COMPUTED_VALUE"""),"ECON")</f>
        <v>ECON</v>
      </c>
    </row>
    <row r="3361">
      <c r="G3361" s="15" t="str">
        <f>IFERROR(__xludf.DUMMYFUNCTION("""COMPUTED_VALUE"""),"GEOL")</f>
        <v>GEOL</v>
      </c>
    </row>
    <row r="3362">
      <c r="G3362" s="15" t="str">
        <f>IFERROR(__xludf.DUMMYFUNCTION("""COMPUTED_VALUE"""),"FLAN")</f>
        <v>FLAN</v>
      </c>
    </row>
    <row r="3363">
      <c r="G3363" s="15" t="str">
        <f>IFERROR(__xludf.DUMMYFUNCTION("""COMPUTED_VALUE"""),"LIT")</f>
        <v>LIT</v>
      </c>
    </row>
    <row r="3364">
      <c r="G3364" s="15" t="str">
        <f>IFERROR(__xludf.DUMMYFUNCTION("""COMPUTED_VALUE"""),"EA")</f>
        <v>EA</v>
      </c>
    </row>
    <row r="3365">
      <c r="G3365" s="15" t="str">
        <f>IFERROR(__xludf.DUMMYFUNCTION("""COMPUTED_VALUE"""),"POLI")</f>
        <v>POLI</v>
      </c>
    </row>
    <row r="3366">
      <c r="G3366" s="15" t="str">
        <f>IFERROR(__xludf.DUMMYFUNCTION("""COMPUTED_VALUE"""),"CHST")</f>
        <v>CHST</v>
      </c>
    </row>
    <row r="3367">
      <c r="G3367" s="15" t="str">
        <f>IFERROR(__xludf.DUMMYFUNCTION("""COMPUTED_VALUE"""),"JPNT")</f>
        <v>JPNT</v>
      </c>
    </row>
    <row r="3368">
      <c r="G3368" s="15" t="str">
        <f>IFERROR(__xludf.DUMMYFUNCTION("""COMPUTED_VALUE"""),"HSA")</f>
        <v>HSA</v>
      </c>
    </row>
    <row r="3369">
      <c r="G3369" s="15" t="str">
        <f>IFERROR(__xludf.DUMMYFUNCTION("""COMPUTED_VALUE"""),"SOC")</f>
        <v>SOC</v>
      </c>
    </row>
    <row r="3370">
      <c r="G3370" s="15" t="str">
        <f>IFERROR(__xludf.DUMMYFUNCTION("""COMPUTED_VALUE"""),"CLAS")</f>
        <v>CLAS</v>
      </c>
    </row>
    <row r="3371">
      <c r="G3371" s="15" t="str">
        <f>IFERROR(__xludf.DUMMYFUNCTION("""COMPUTED_VALUE"""),"CHNT")</f>
        <v>CHNT</v>
      </c>
    </row>
    <row r="3372">
      <c r="G3372" s="15" t="str">
        <f>IFERROR(__xludf.DUMMYFUNCTION("""COMPUTED_VALUE"""),"GWS")</f>
        <v>GWS</v>
      </c>
    </row>
    <row r="3373">
      <c r="G3373" s="15" t="str">
        <f>IFERROR(__xludf.DUMMYFUNCTION("""COMPUTED_VALUE"""),"HIST")</f>
        <v>HIST</v>
      </c>
    </row>
    <row r="3374">
      <c r="G3374" s="15" t="str">
        <f>IFERROR(__xludf.DUMMYFUNCTION("""COMPUTED_VALUE"""),"PORT")</f>
        <v>PORT</v>
      </c>
    </row>
    <row r="3375">
      <c r="G3375" s="15" t="str">
        <f>IFERROR(__xludf.DUMMYFUNCTION("""COMPUTED_VALUE"""),"MES")</f>
        <v>MES</v>
      </c>
    </row>
    <row r="3376">
      <c r="G3376" s="15" t="str">
        <f>IFERROR(__xludf.DUMMYFUNCTION("""COMPUTED_VALUE"""),"BIOL")</f>
        <v>BIOL</v>
      </c>
    </row>
    <row r="3377">
      <c r="G3377" s="15" t="str">
        <f>IFERROR(__xludf.DUMMYFUNCTION("""COMPUTED_VALUE"""),"RLIT")</f>
        <v>RLIT</v>
      </c>
    </row>
    <row r="3378">
      <c r="G3378" s="15" t="str">
        <f>IFERROR(__xludf.DUMMYFUNCTION("""COMPUTED_VALUE"""),"PHYS")</f>
        <v>PHYS</v>
      </c>
    </row>
    <row r="3379">
      <c r="G3379" s="15" t="str">
        <f>IFERROR(__xludf.DUMMYFUNCTION("""COMPUTED_VALUE"""),"RUST")</f>
        <v>RUST</v>
      </c>
    </row>
    <row r="3380">
      <c r="G3380" s="15" t="str">
        <f>IFERROR(__xludf.DUMMYFUNCTION("""COMPUTED_VALUE"""),"POST")</f>
        <v>POST</v>
      </c>
    </row>
    <row r="3381">
      <c r="G3381" s="15" t="str">
        <f>IFERROR(__xludf.DUMMYFUNCTION("""COMPUTED_VALUE"""),"PE")</f>
        <v>PE</v>
      </c>
    </row>
    <row r="3382">
      <c r="G3382" s="15" t="str">
        <f>IFERROR(__xludf.DUMMYFUNCTION("""COMPUTED_VALUE"""),"CHIN")</f>
        <v>CHIN</v>
      </c>
    </row>
    <row r="3383">
      <c r="G3383" s="15" t="str">
        <f>IFERROR(__xludf.DUMMYFUNCTION("""COMPUTED_VALUE"""),"JAPN")</f>
        <v>JAPN</v>
      </c>
    </row>
    <row r="3384">
      <c r="G3384" s="15" t="str">
        <f>IFERROR(__xludf.DUMMYFUNCTION("""COMPUTED_VALUE"""),"FS")</f>
        <v>FS</v>
      </c>
    </row>
    <row r="3385">
      <c r="G3385" s="15" t="str">
        <f>IFERROR(__xludf.DUMMYFUNCTION("""COMPUTED_VALUE"""),"HUM")</f>
        <v>HUM</v>
      </c>
    </row>
    <row r="3386">
      <c r="G3386" s="15" t="str">
        <f>IFERROR(__xludf.DUMMYFUNCTION("""COMPUTED_VALUE"""),"GRMT")</f>
        <v>GRMT</v>
      </c>
    </row>
    <row r="3387">
      <c r="G3387" s="15" t="str">
        <f>IFERROR(__xludf.DUMMYFUNCTION("""COMPUTED_VALUE"""),"GREK")</f>
        <v>GREK</v>
      </c>
    </row>
    <row r="3388">
      <c r="G3388" s="15" t="str">
        <f>IFERROR(__xludf.DUMMYFUNCTION("""COMPUTED_VALUE"""),"ASAM")</f>
        <v>ASAM</v>
      </c>
    </row>
    <row r="3389">
      <c r="G3389" s="15" t="str">
        <f>IFERROR(__xludf.DUMMYFUNCTION("""COMPUTED_VALUE"""),"NEUR")</f>
        <v>NEUR</v>
      </c>
    </row>
    <row r="3390">
      <c r="G3390" s="15" t="str">
        <f>IFERROR(__xludf.DUMMYFUNCTION("""COMPUTED_VALUE"""),"PPE")</f>
        <v>PPE</v>
      </c>
    </row>
    <row r="3391">
      <c r="G3391" s="15" t="str">
        <f>IFERROR(__xludf.DUMMYFUNCTION("""COMPUTED_VALUE"""),"GLAS")</f>
        <v>GLAS</v>
      </c>
    </row>
    <row r="3392">
      <c r="G3392" s="15" t="str">
        <f>IFERROR(__xludf.DUMMYFUNCTION("""COMPUTED_VALUE"""),"THEA")</f>
        <v>THEA</v>
      </c>
    </row>
    <row r="3393">
      <c r="G3393" s="15" t="str">
        <f>IFERROR(__xludf.DUMMYFUNCTION("""COMPUTED_VALUE"""),"RUSS")</f>
        <v>RUSS</v>
      </c>
    </row>
    <row r="3394">
      <c r="G3394" s="15" t="str">
        <f>IFERROR(__xludf.DUMMYFUNCTION("""COMPUTED_VALUE"""),"ID")</f>
        <v>ID</v>
      </c>
    </row>
    <row r="3395">
      <c r="G3395" s="15" t="str">
        <f>IFERROR(__xludf.DUMMYFUNCTION("""COMPUTED_VALUE"""),"DS")</f>
        <v>DS</v>
      </c>
    </row>
    <row r="3396">
      <c r="G3396" s="15" t="str">
        <f>IFERROR(__xludf.DUMMYFUNCTION("""COMPUTED_VALUE"""),"SPCH")</f>
        <v>SPCH</v>
      </c>
    </row>
    <row r="3397">
      <c r="G3397" s="15" t="str">
        <f>IFERROR(__xludf.DUMMYFUNCTION("""COMPUTED_VALUE"""),"CASA")</f>
        <v>CASA</v>
      </c>
    </row>
    <row r="3398">
      <c r="G3398" s="15" t="str">
        <f>IFERROR(__xludf.DUMMYFUNCTION("""COMPUTED_VALUE"""),"PSYC")</f>
        <v>PSYC</v>
      </c>
    </row>
    <row r="3399">
      <c r="G3399" s="15" t="str">
        <f>IFERROR(__xludf.DUMMYFUNCTION("""COMPUTED_VALUE"""),"DANC")</f>
        <v>DANC</v>
      </c>
    </row>
    <row r="3400">
      <c r="G3400" s="15" t="str">
        <f>IFERROR(__xludf.DUMMYFUNCTION("""COMPUTED_VALUE"""),"FHS")</f>
        <v>FHS</v>
      </c>
    </row>
    <row r="3401">
      <c r="G3401" s="15" t="str">
        <f>IFERROR(__xludf.DUMMYFUNCTION("""COMPUTED_VALUE"""),"CHEM")</f>
        <v>CHEM</v>
      </c>
    </row>
    <row r="3402">
      <c r="G3402" s="15" t="str">
        <f>IFERROR(__xludf.DUMMYFUNCTION("""COMPUTED_VALUE"""),"GEOG")</f>
        <v>GEOG</v>
      </c>
    </row>
    <row r="3403">
      <c r="G3403" s="15" t="str">
        <f>IFERROR(__xludf.DUMMYFUNCTION("""COMPUTED_VALUE"""),"CGS")</f>
        <v>CGS</v>
      </c>
    </row>
    <row r="3404">
      <c r="G3404" s="15" t="str">
        <f>IFERROR(__xludf.DUMMYFUNCTION("""COMPUTED_VALUE"""),"MLLC")</f>
        <v>MLLC</v>
      </c>
    </row>
    <row r="3405">
      <c r="G3405" s="15" t="str">
        <f>IFERROR(__xludf.DUMMYFUNCTION("""COMPUTED_VALUE"""),"ARCN")</f>
        <v>ARCN</v>
      </c>
    </row>
    <row r="3406">
      <c r="G3406" s="15" t="str">
        <f>IFERROR(__xludf.DUMMYFUNCTION("""COMPUTED_VALUE"""),"WRIT")</f>
        <v>WRIT</v>
      </c>
    </row>
    <row r="3407">
      <c r="G3407" s="15" t="str">
        <f>IFERROR(__xludf.DUMMYFUNCTION("""COMPUTED_VALUE"""),"KORE")</f>
        <v>KORE</v>
      </c>
    </row>
    <row r="3408">
      <c r="G3408" s="15" t="str">
        <f>IFERROR(__xludf.DUMMYFUNCTION("""COMPUTED_VALUE"""),"MUS")</f>
        <v>MUS</v>
      </c>
    </row>
    <row r="3409">
      <c r="G3409" s="15" t="str">
        <f>IFERROR(__xludf.DUMMYFUNCTION("""COMPUTED_VALUE"""),"HMSC")</f>
        <v>HMSC</v>
      </c>
    </row>
    <row r="3410">
      <c r="G3410" s="15" t="str">
        <f>IFERROR(__xludf.DUMMYFUNCTION("""COMPUTED_VALUE"""),"ITAL")</f>
        <v>ITAL</v>
      </c>
    </row>
    <row r="3411">
      <c r="G3411" s="15" t="str">
        <f>IFERROR(__xludf.DUMMYFUNCTION("""COMPUTED_VALUE"""),"MOBI")</f>
        <v>MOBI</v>
      </c>
    </row>
    <row r="3412">
      <c r="G3412" s="15" t="str">
        <f>IFERROR(__xludf.DUMMYFUNCTION("""COMPUTED_VALUE"""),"RLST")</f>
        <v>RLST</v>
      </c>
    </row>
    <row r="3413">
      <c r="G3413" s="15" t="str">
        <f>IFERROR(__xludf.DUMMYFUNCTION("""COMPUTED_VALUE"""),"CSMT")</f>
        <v>CSMT</v>
      </c>
    </row>
    <row r="3414">
      <c r="G3414" s="15" t="str">
        <f>IFERROR(__xludf.DUMMYFUNCTION("""COMPUTED_VALUE"""),"SPEC")</f>
        <v>SPEC</v>
      </c>
    </row>
    <row r="3415">
      <c r="G3415" s="15" t="str">
        <f>IFERROR(__xludf.DUMMYFUNCTION("""COMPUTED_VALUE"""),"CSCI")</f>
        <v>CSCI</v>
      </c>
    </row>
    <row r="3416">
      <c r="G3416" s="15" t="str">
        <f>IFERROR(__xludf.DUMMYFUNCTION("""COMPUTED_VALUE"""),"MATH")</f>
        <v>MATH</v>
      </c>
    </row>
    <row r="3417">
      <c r="G3417" s="15" t="str">
        <f>IFERROR(__xludf.DUMMYFUNCTION("""COMPUTED_VALUE"""),"GOVT")</f>
        <v>GOVT</v>
      </c>
    </row>
    <row r="3418">
      <c r="G3418" s="15" t="str">
        <f>IFERROR(__xludf.DUMMYFUNCTION("""COMPUTED_VALUE"""),"FIN")</f>
        <v>FIN</v>
      </c>
    </row>
    <row r="3419">
      <c r="G3419" s="15" t="str">
        <f>IFERROR(__xludf.DUMMYFUNCTION("""COMPUTED_VALUE"""),"AFRI")</f>
        <v>AFRI</v>
      </c>
    </row>
    <row r="3420">
      <c r="G3420" s="15" t="str">
        <f>IFERROR(__xludf.DUMMYFUNCTION("""COMPUTED_VALUE"""),"ENGR")</f>
        <v>ENGR</v>
      </c>
    </row>
    <row r="3421">
      <c r="G3421" s="15" t="str">
        <f>IFERROR(__xludf.DUMMYFUNCTION("""COMPUTED_VALUE"""),"IR")</f>
        <v>IR</v>
      </c>
    </row>
    <row r="3422">
      <c r="G3422" s="15" t="str">
        <f>IFERROR(__xludf.DUMMYFUNCTION("""COMPUTED_VALUE"""),"MCBI")</f>
        <v>MCBI</v>
      </c>
    </row>
    <row r="3423">
      <c r="G3423" s="15" t="str">
        <f>IFERROR(__xludf.DUMMYFUNCTION("""COMPUTED_VALUE"""),"LGST")</f>
        <v>LGST</v>
      </c>
    </row>
    <row r="3424">
      <c r="G3424" s="15" t="str">
        <f>IFERROR(__xludf.DUMMYFUNCTION("""COMPUTED_VALUE"""),"ASTR")</f>
        <v>ASTR</v>
      </c>
    </row>
    <row r="3425">
      <c r="G3425" s="15" t="str">
        <f>IFERROR(__xludf.DUMMYFUNCTION("""COMPUTED_VALUE"""),"AMST")</f>
        <v>AMST</v>
      </c>
    </row>
    <row r="3426">
      <c r="G3426" s="15" t="str">
        <f>IFERROR(__xludf.DUMMYFUNCTION("""COMPUTED_VALUE"""),"LGCS")</f>
        <v>LGCS</v>
      </c>
    </row>
    <row r="3427">
      <c r="G3427" s="15" t="str">
        <f>IFERROR(__xludf.DUMMYFUNCTION("""COMPUTED_VALUE"""),"FWS")</f>
        <v>FWS</v>
      </c>
    </row>
    <row r="3428">
      <c r="G3428" s="15" t="str">
        <f>IFERROR(__xludf.DUMMYFUNCTION("""COMPUTED_VALUE"""),"STS")</f>
        <v>STS</v>
      </c>
    </row>
  </sheetData>
  <drawing r:id="rId1"/>
</worksheet>
</file>