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300 T1 of 2019\"/>
    </mc:Choice>
  </mc:AlternateContent>
  <bookViews>
    <workbookView xWindow="0" yWindow="0" windowWidth="28800" windowHeight="12300"/>
  </bookViews>
  <sheets>
    <sheet name="Workings for a and b" sheetId="1" r:id="rId1"/>
    <sheet name="Workings for d" sheetId="4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9" i="1" l="1"/>
  <c r="J13" i="1"/>
  <c r="J16" i="1"/>
  <c r="M16" i="1"/>
  <c r="E6" i="4"/>
  <c r="F6" i="4"/>
  <c r="G6" i="4"/>
  <c r="J6" i="4"/>
  <c r="H6" i="4"/>
  <c r="E7" i="4"/>
  <c r="F7" i="4"/>
  <c r="G7" i="4"/>
  <c r="J8" i="4" s="1"/>
  <c r="H7" i="4"/>
  <c r="E8" i="4"/>
  <c r="F8" i="4"/>
  <c r="I8" i="4" s="1"/>
  <c r="G8" i="4"/>
  <c r="H8" i="4"/>
  <c r="E9" i="4"/>
  <c r="I10" i="4" s="1"/>
  <c r="F9" i="4"/>
  <c r="G9" i="4"/>
  <c r="H9" i="4"/>
  <c r="J9" i="4" s="1"/>
  <c r="E10" i="4"/>
  <c r="F10" i="4"/>
  <c r="G10" i="4"/>
  <c r="H10" i="4"/>
  <c r="E11" i="4"/>
  <c r="F11" i="4"/>
  <c r="G11" i="4"/>
  <c r="J11" i="4" s="1"/>
  <c r="H11" i="4"/>
  <c r="E12" i="4"/>
  <c r="I12" i="4" s="1"/>
  <c r="F12" i="4"/>
  <c r="G12" i="4"/>
  <c r="H12" i="4"/>
  <c r="E13" i="4"/>
  <c r="I13" i="4" s="1"/>
  <c r="F13" i="4"/>
  <c r="G13" i="4"/>
  <c r="H13" i="4"/>
  <c r="J13" i="4" s="1"/>
  <c r="E14" i="4"/>
  <c r="I14" i="4" s="1"/>
  <c r="F14" i="4"/>
  <c r="G14" i="4"/>
  <c r="J14" i="4" s="1"/>
  <c r="H14" i="4"/>
  <c r="E15" i="4"/>
  <c r="I15" i="4" s="1"/>
  <c r="F15" i="4"/>
  <c r="G15" i="4"/>
  <c r="H15" i="4"/>
  <c r="E16" i="4"/>
  <c r="I16" i="4" s="1"/>
  <c r="F16" i="4"/>
  <c r="G16" i="4"/>
  <c r="H16" i="4"/>
  <c r="E17" i="4"/>
  <c r="I17" i="4" s="1"/>
  <c r="F17" i="4"/>
  <c r="G17" i="4"/>
  <c r="J17" i="4"/>
  <c r="H17" i="4"/>
  <c r="H5" i="4"/>
  <c r="G5" i="4"/>
  <c r="F5" i="4"/>
  <c r="E5" i="4"/>
  <c r="Q12" i="1"/>
  <c r="P12" i="1"/>
  <c r="P13" i="1" s="1"/>
  <c r="Q11" i="1"/>
  <c r="J16" i="4"/>
  <c r="J10" i="4"/>
  <c r="I7" i="4"/>
  <c r="I6" i="4"/>
  <c r="F7" i="1"/>
  <c r="J7" i="1" s="1"/>
  <c r="G7" i="1"/>
  <c r="M7" i="1" s="1"/>
  <c r="F8" i="1"/>
  <c r="L26" i="1" s="1"/>
  <c r="G8" i="1"/>
  <c r="F9" i="1"/>
  <c r="M9" i="1" s="1"/>
  <c r="G9" i="1"/>
  <c r="F10" i="1"/>
  <c r="J10" i="1" s="1"/>
  <c r="G10" i="1"/>
  <c r="F11" i="1"/>
  <c r="J11" i="1" s="1"/>
  <c r="G11" i="1"/>
  <c r="F12" i="1"/>
  <c r="J12" i="1" s="1"/>
  <c r="G12" i="1"/>
  <c r="F13" i="1"/>
  <c r="M13" i="1" s="1"/>
  <c r="G13" i="1"/>
  <c r="F14" i="1"/>
  <c r="J14" i="1" s="1"/>
  <c r="G14" i="1"/>
  <c r="F15" i="1"/>
  <c r="J15" i="1" s="1"/>
  <c r="G15" i="1"/>
  <c r="M15" i="1" s="1"/>
  <c r="F16" i="1"/>
  <c r="G16" i="1"/>
  <c r="F17" i="1"/>
  <c r="M17" i="1" s="1"/>
  <c r="G17" i="1"/>
  <c r="G18" i="1" s="1"/>
  <c r="G19" i="1" s="1"/>
  <c r="F6" i="1"/>
  <c r="M6" i="1" s="1"/>
  <c r="G6" i="1"/>
  <c r="I11" i="4"/>
  <c r="I12" i="1" l="1"/>
  <c r="I16" i="1"/>
  <c r="I10" i="1"/>
  <c r="I14" i="1"/>
  <c r="I7" i="1"/>
  <c r="I15" i="1"/>
  <c r="I8" i="1"/>
  <c r="I6" i="1"/>
  <c r="I13" i="1"/>
  <c r="I9" i="1"/>
  <c r="Q13" i="1"/>
  <c r="P14" i="1"/>
  <c r="I11" i="1"/>
  <c r="M12" i="1"/>
  <c r="M8" i="1"/>
  <c r="J17" i="1"/>
  <c r="I17" i="1"/>
  <c r="J7" i="4"/>
  <c r="J18" i="4" s="1"/>
  <c r="J19" i="4" s="1"/>
  <c r="M11" i="1"/>
  <c r="J8" i="1"/>
  <c r="F18" i="1"/>
  <c r="F19" i="1" s="1"/>
  <c r="H8" i="1" s="1"/>
  <c r="J15" i="4"/>
  <c r="J12" i="4"/>
  <c r="M14" i="1"/>
  <c r="M10" i="1"/>
  <c r="M18" i="1" s="1"/>
  <c r="M19" i="1" s="1"/>
  <c r="N7" i="1" s="1"/>
  <c r="I9" i="4"/>
  <c r="I18" i="4" s="1"/>
  <c r="I19" i="4" s="1"/>
  <c r="J6" i="1"/>
  <c r="J18" i="1"/>
  <c r="J19" i="1" s="1"/>
  <c r="K6" i="4" l="1"/>
  <c r="K13" i="4"/>
  <c r="K12" i="4"/>
  <c r="K10" i="4"/>
  <c r="K15" i="4"/>
  <c r="K8" i="4"/>
  <c r="K11" i="4"/>
  <c r="K7" i="4"/>
  <c r="K14" i="4"/>
  <c r="K17" i="4"/>
  <c r="K16" i="4"/>
  <c r="R13" i="1"/>
  <c r="K22" i="4"/>
  <c r="I18" i="1"/>
  <c r="I20" i="1" s="1"/>
  <c r="I21" i="1" s="1"/>
  <c r="I22" i="1" s="1"/>
  <c r="H7" i="1"/>
  <c r="H15" i="1"/>
  <c r="H9" i="1"/>
  <c r="R12" i="1"/>
  <c r="H11" i="1"/>
  <c r="R11" i="1"/>
  <c r="H16" i="1"/>
  <c r="H6" i="1"/>
  <c r="H14" i="1"/>
  <c r="H12" i="1"/>
  <c r="H17" i="1"/>
  <c r="H13" i="1"/>
  <c r="H10" i="1"/>
  <c r="K9" i="4"/>
  <c r="Q14" i="1"/>
  <c r="R14" i="1"/>
  <c r="P15" i="1"/>
  <c r="N8" i="1"/>
  <c r="N12" i="1"/>
  <c r="N14" i="1"/>
  <c r="N9" i="1"/>
  <c r="N13" i="1"/>
  <c r="N11" i="1"/>
  <c r="N6" i="1"/>
  <c r="N10" i="1"/>
  <c r="K13" i="1"/>
  <c r="K15" i="1"/>
  <c r="K16" i="1"/>
  <c r="K12" i="1"/>
  <c r="K11" i="1"/>
  <c r="K8" i="1"/>
  <c r="K17" i="1"/>
  <c r="K10" i="1"/>
  <c r="K14" i="1"/>
  <c r="K7" i="1"/>
  <c r="K9" i="1"/>
  <c r="K6" i="1"/>
  <c r="N17" i="1"/>
  <c r="N15" i="1"/>
  <c r="N16" i="1"/>
  <c r="H18" i="1" l="1"/>
  <c r="H20" i="1" s="1"/>
  <c r="P16" i="1"/>
  <c r="Q15" i="1"/>
  <c r="R15" i="1" s="1"/>
  <c r="L6" i="1"/>
  <c r="K18" i="4"/>
  <c r="K20" i="4" s="1"/>
  <c r="N18" i="1"/>
  <c r="N20" i="1" s="1"/>
  <c r="N21" i="1" s="1"/>
  <c r="N22" i="1" s="1"/>
  <c r="K18" i="1"/>
  <c r="K20" i="1" s="1"/>
  <c r="K21" i="1" s="1"/>
  <c r="K22" i="1" s="1"/>
  <c r="Q16" i="1" l="1"/>
  <c r="S16" i="1" s="1"/>
  <c r="T16" i="1" s="1"/>
  <c r="R16" i="1"/>
  <c r="P17" i="1"/>
  <c r="S15" i="1"/>
  <c r="T15" i="1" s="1"/>
  <c r="H21" i="1"/>
  <c r="S12" i="1"/>
  <c r="T12" i="1" s="1"/>
  <c r="S11" i="1"/>
  <c r="T11" i="1" s="1"/>
  <c r="S13" i="1"/>
  <c r="T13" i="1" s="1"/>
  <c r="S14" i="1"/>
  <c r="T14" i="1" s="1"/>
  <c r="H22" i="1" l="1"/>
  <c r="L24" i="1"/>
  <c r="Q17" i="1"/>
  <c r="S17" i="1" s="1"/>
  <c r="T17" i="1" s="1"/>
  <c r="P18" i="1"/>
  <c r="K21" i="4"/>
  <c r="R17" i="1" l="1"/>
  <c r="P19" i="1"/>
  <c r="Q18" i="1"/>
  <c r="R18" i="1" s="1"/>
  <c r="Q19" i="1" l="1"/>
  <c r="R19" i="1"/>
  <c r="P20" i="1"/>
  <c r="S19" i="1"/>
  <c r="T19" i="1" s="1"/>
  <c r="S18" i="1"/>
  <c r="T18" i="1" s="1"/>
  <c r="Q20" i="1" l="1"/>
  <c r="R20" i="1" s="1"/>
  <c r="S20" i="1" l="1"/>
  <c r="T20" i="1" s="1"/>
</calcChain>
</file>

<file path=xl/sharedStrings.xml><?xml version="1.0" encoding="utf-8"?>
<sst xmlns="http://schemas.openxmlformats.org/spreadsheetml/2006/main" count="39" uniqueCount="28">
  <si>
    <t>Period ending</t>
  </si>
  <si>
    <t>Unit Value</t>
  </si>
  <si>
    <t>Quarterly dividend</t>
  </si>
  <si>
    <t>UNIT 1</t>
  </si>
  <si>
    <t>UNIT 2</t>
  </si>
  <si>
    <t>HPR 1</t>
  </si>
  <si>
    <t>HPR 2</t>
  </si>
  <si>
    <t>SUM</t>
  </si>
  <si>
    <t>Mean HPR</t>
  </si>
  <si>
    <t>n=12</t>
  </si>
  <si>
    <t>Variance</t>
  </si>
  <si>
    <t>St.deviation</t>
  </si>
  <si>
    <t>Coefficient Variation</t>
  </si>
  <si>
    <t>Unit 1</t>
  </si>
  <si>
    <t>unit 2</t>
  </si>
  <si>
    <t>Covariance=</t>
  </si>
  <si>
    <t>Covariance</t>
  </si>
  <si>
    <t>Correlation Coefficient</t>
  </si>
  <si>
    <t>Unit 2</t>
  </si>
  <si>
    <t>Return</t>
  </si>
  <si>
    <t>Risk</t>
  </si>
  <si>
    <t>test</t>
  </si>
  <si>
    <t>HPRp</t>
  </si>
  <si>
    <t>portfolio</t>
  </si>
  <si>
    <t>Correlation of coefficient</t>
  </si>
  <si>
    <t>Excel test</t>
  </si>
  <si>
    <t>Cor of Coef</t>
  </si>
  <si>
    <t>Corr of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</si>
</sst>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164" formatCode="#,##0.0000_ ;[Red]\-#,##0.0000\ "/>
    <numFmt numFmtId="165" formatCode="0.000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3" fillId="3" borderId="1" xfId="0" applyFont="1" applyFill="1" applyBorder="1" applyAlignment="1">
      <alignment wrapText="1"/>
    </xf>
    <xf numFmtId="164" fontId="0" fillId="2" borderId="2" xfId="0" applyNumberFormat="1" applyFill="1" applyBorder="1"/>
    <xf numFmtId="0" fontId="4" fillId="4" borderId="1" xfId="0" applyFont="1" applyFill="1" applyBorder="1" applyAlignment="1">
      <alignment horizontal="right"/>
    </xf>
    <xf numFmtId="8" fontId="4" fillId="5" borderId="1" xfId="0" applyNumberFormat="1" applyFont="1" applyFill="1" applyBorder="1" applyAlignment="1">
      <alignment horizontal="right"/>
    </xf>
    <xf numFmtId="8" fontId="4" fillId="6" borderId="1" xfId="0" applyNumberFormat="1" applyFont="1" applyFill="1" applyBorder="1" applyAlignment="1">
      <alignment horizontal="right"/>
    </xf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/>
    <xf numFmtId="164" fontId="0" fillId="8" borderId="3" xfId="0" applyNumberFormat="1" applyFill="1" applyBorder="1"/>
    <xf numFmtId="164" fontId="0" fillId="0" borderId="0" xfId="0" applyNumberFormat="1"/>
    <xf numFmtId="0" fontId="3" fillId="9" borderId="1" xfId="0" applyFont="1" applyFill="1" applyBorder="1" applyAlignment="1">
      <alignment wrapText="1"/>
    </xf>
    <xf numFmtId="0" fontId="0" fillId="9" borderId="1" xfId="0" applyFill="1" applyBorder="1"/>
    <xf numFmtId="0" fontId="0" fillId="10" borderId="1" xfId="0" applyFill="1" applyBorder="1"/>
    <xf numFmtId="165" fontId="0" fillId="9" borderId="1" xfId="0" applyNumberFormat="1" applyFill="1" applyBorder="1"/>
    <xf numFmtId="165" fontId="0" fillId="10" borderId="1" xfId="0" applyNumberFormat="1" applyFill="1" applyBorder="1"/>
    <xf numFmtId="0" fontId="0" fillId="11" borderId="1" xfId="0" applyFill="1" applyBorder="1"/>
    <xf numFmtId="165" fontId="0" fillId="11" borderId="1" xfId="0" applyNumberFormat="1" applyFill="1" applyBorder="1"/>
    <xf numFmtId="0" fontId="0" fillId="12" borderId="1" xfId="0" applyFill="1" applyBorder="1"/>
    <xf numFmtId="8" fontId="4" fillId="9" borderId="1" xfId="0" applyNumberFormat="1" applyFont="1" applyFill="1" applyBorder="1" applyAlignment="1">
      <alignment horizontal="right"/>
    </xf>
    <xf numFmtId="0" fontId="0" fillId="9" borderId="4" xfId="0" applyFill="1" applyBorder="1"/>
    <xf numFmtId="165" fontId="0" fillId="9" borderId="4" xfId="0" applyNumberFormat="1" applyFill="1" applyBorder="1"/>
    <xf numFmtId="8" fontId="4" fillId="12" borderId="1" xfId="0" applyNumberFormat="1" applyFont="1" applyFill="1" applyBorder="1" applyAlignment="1">
      <alignment horizontal="right"/>
    </xf>
    <xf numFmtId="164" fontId="0" fillId="12" borderId="1" xfId="0" applyNumberFormat="1" applyFill="1" applyBorder="1"/>
    <xf numFmtId="0" fontId="4" fillId="13" borderId="1" xfId="0" applyFont="1" applyFill="1" applyBorder="1" applyAlignment="1">
      <alignment horizontal="right"/>
    </xf>
    <xf numFmtId="0" fontId="0" fillId="0" borderId="0" xfId="0" applyFill="1"/>
    <xf numFmtId="0" fontId="0" fillId="14" borderId="2" xfId="0" applyFill="1" applyBorder="1"/>
    <xf numFmtId="164" fontId="0" fillId="14" borderId="2" xfId="0" applyNumberFormat="1" applyFill="1" applyBorder="1"/>
    <xf numFmtId="165" fontId="0" fillId="14" borderId="2" xfId="0" applyNumberFormat="1" applyFill="1" applyBorder="1"/>
    <xf numFmtId="165" fontId="0" fillId="14" borderId="5" xfId="0" applyNumberFormat="1" applyFill="1" applyBorder="1"/>
    <xf numFmtId="165" fontId="0" fillId="14" borderId="1" xfId="0" applyNumberFormat="1" applyFill="1" applyBorder="1"/>
    <xf numFmtId="0" fontId="0" fillId="14" borderId="1" xfId="0" applyFill="1" applyBorder="1"/>
    <xf numFmtId="0" fontId="0" fillId="10" borderId="2" xfId="0" applyFill="1" applyBorder="1"/>
    <xf numFmtId="164" fontId="0" fillId="10" borderId="2" xfId="0" applyNumberFormat="1" applyFill="1" applyBorder="1"/>
    <xf numFmtId="0" fontId="0" fillId="10" borderId="0" xfId="0" applyFill="1"/>
    <xf numFmtId="165" fontId="0" fillId="14" borderId="4" xfId="0" applyNumberFormat="1" applyFill="1" applyBorder="1"/>
    <xf numFmtId="165" fontId="0" fillId="10" borderId="4" xfId="0" applyNumberFormat="1" applyFill="1" applyBorder="1"/>
    <xf numFmtId="8" fontId="5" fillId="12" borderId="1" xfId="0" applyNumberFormat="1" applyFont="1" applyFill="1" applyBorder="1" applyAlignment="1">
      <alignment horizontal="right"/>
    </xf>
    <xf numFmtId="0" fontId="3" fillId="11" borderId="1" xfId="0" applyFont="1" applyFill="1" applyBorder="1" applyAlignment="1">
      <alignment wrapText="1"/>
    </xf>
    <xf numFmtId="0" fontId="5" fillId="13" borderId="1" xfId="0" applyFont="1" applyFill="1" applyBorder="1" applyAlignment="1">
      <alignment horizontal="right" wrapText="1"/>
    </xf>
    <xf numFmtId="0" fontId="3" fillId="9" borderId="4" xfId="0" applyFont="1" applyFill="1" applyBorder="1" applyAlignment="1">
      <alignment wrapText="1"/>
    </xf>
    <xf numFmtId="0" fontId="4" fillId="0" borderId="0" xfId="0" applyFont="1"/>
    <xf numFmtId="9" fontId="0" fillId="0" borderId="0" xfId="0" applyNumberFormat="1"/>
    <xf numFmtId="9" fontId="0" fillId="0" borderId="1" xfId="0" applyNumberFormat="1" applyBorder="1"/>
    <xf numFmtId="0" fontId="4" fillId="13" borderId="1" xfId="0" applyFont="1" applyFill="1" applyBorder="1" applyAlignment="1">
      <alignment horizontal="center"/>
    </xf>
    <xf numFmtId="9" fontId="0" fillId="13" borderId="1" xfId="0" applyNumberFormat="1" applyFill="1" applyBorder="1"/>
    <xf numFmtId="165" fontId="0" fillId="11" borderId="4" xfId="0" applyNumberFormat="1" applyFill="1" applyBorder="1"/>
    <xf numFmtId="0" fontId="0" fillId="0" borderId="0" xfId="0" applyBorder="1"/>
    <xf numFmtId="0" fontId="0" fillId="11" borderId="4" xfId="0" applyFill="1" applyBorder="1"/>
    <xf numFmtId="0" fontId="0" fillId="0" borderId="4" xfId="0" applyBorder="1"/>
    <xf numFmtId="0" fontId="0" fillId="14" borderId="4" xfId="0" applyFill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11" borderId="11" xfId="0" applyNumberFormat="1" applyFill="1" applyBorder="1"/>
    <xf numFmtId="165" fontId="0" fillId="0" borderId="9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7" xfId="0" applyFont="1" applyBorder="1"/>
    <xf numFmtId="10" fontId="0" fillId="0" borderId="1" xfId="1" applyNumberFormat="1" applyFont="1" applyBorder="1"/>
    <xf numFmtId="0" fontId="4" fillId="0" borderId="1" xfId="0" applyFont="1" applyBorder="1" applyAlignment="1">
      <alignment wrapText="1"/>
    </xf>
    <xf numFmtId="0" fontId="4" fillId="15" borderId="1" xfId="0" applyFont="1" applyFill="1" applyBorder="1"/>
    <xf numFmtId="0" fontId="0" fillId="15" borderId="1" xfId="0" applyFill="1" applyBorder="1"/>
    <xf numFmtId="0" fontId="4" fillId="11" borderId="4" xfId="0" applyFont="1" applyFill="1" applyBorder="1"/>
    <xf numFmtId="0" fontId="0" fillId="7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7" borderId="1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'Workings for a and b'!$T$10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'Workings for a and b'!$T$11:$T$20</c:f>
              <c:numCache>
                <c:formatCode>0.00%</c:formatCode>
                <c:ptCount val="10"/>
                <c:pt idx="0">
                  <c:v>7.6933339601560069E-2</c:v>
                </c:pt>
                <c:pt idx="1">
                  <c:v>7.3929751189286907E-2</c:v>
                </c:pt>
                <c:pt idx="2">
                  <c:v>7.2249265006283939E-2</c:v>
                </c:pt>
                <c:pt idx="3">
                  <c:v>7.1984604544055836E-2</c:v>
                </c:pt>
                <c:pt idx="4">
                  <c:v>7.3151138768698887E-2</c:v>
                </c:pt>
                <c:pt idx="5">
                  <c:v>7.5682717507554245E-2</c:v>
                </c:pt>
                <c:pt idx="6">
                  <c:v>7.944895952670844E-2</c:v>
                </c:pt>
                <c:pt idx="7">
                  <c:v>8.4284514739080829E-2</c:v>
                </c:pt>
                <c:pt idx="8">
                  <c:v>9.0017223319238143E-2</c:v>
                </c:pt>
                <c:pt idx="9">
                  <c:v>9.6487306822122088E-2</c:v>
                </c:pt>
              </c:numCache>
            </c:numRef>
          </c:xVal>
          <c:yVal>
            <c:numRef>
              <c:f>'Workings for a and b'!$R$11:$R$20</c:f>
              <c:numCache>
                <c:formatCode>0.00%</c:formatCode>
                <c:ptCount val="10"/>
                <c:pt idx="0">
                  <c:v>4.1436307931511679E-2</c:v>
                </c:pt>
                <c:pt idx="1">
                  <c:v>4.6366267260526811E-2</c:v>
                </c:pt>
                <c:pt idx="2">
                  <c:v>5.1296226589541943E-2</c:v>
                </c:pt>
                <c:pt idx="3">
                  <c:v>5.6226185918557076E-2</c:v>
                </c:pt>
                <c:pt idx="4">
                  <c:v>6.1156145247572201E-2</c:v>
                </c:pt>
                <c:pt idx="5">
                  <c:v>6.6086104576587326E-2</c:v>
                </c:pt>
                <c:pt idx="6">
                  <c:v>7.1016063905602458E-2</c:v>
                </c:pt>
                <c:pt idx="7">
                  <c:v>7.5946023234617591E-2</c:v>
                </c:pt>
                <c:pt idx="8">
                  <c:v>8.0875982563632723E-2</c:v>
                </c:pt>
                <c:pt idx="9">
                  <c:v>8.5805941892647841E-2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6-4125-9789-BF82FDB5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92464"/>
        <c:axId val="689804112"/>
      </c:scatterChart>
      <c:valAx>
        <c:axId val="7254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Risk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4112"/>
        <c:crosses val="autoZero"/>
        <c:crossBetween val="midCat"/>
      </c:valAx>
      <c:valAx>
        <c:axId val="6898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w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95250</xdr:rowOff>
        </xdr:from>
        <xdr:to>
          <xdr:col>0</xdr:col>
          <xdr:colOff>0</xdr:colOff>
          <xdr:row>24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76200</xdr:colOff>
          <xdr:row>2</xdr:row>
          <xdr:rowOff>28575</xdr:rowOff>
        </xdr:from>
        <xdr:to>
          <xdr:col>8</xdr:col>
          <xdr:colOff>571500</xdr:colOff>
          <xdr:row>2</xdr:row>
          <xdr:rowOff>228600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133350</xdr:colOff>
          <xdr:row>3</xdr:row>
          <xdr:rowOff>28575</xdr:rowOff>
        </xdr:from>
        <xdr:to>
          <xdr:col>9</xdr:col>
          <xdr:colOff>552450</xdr:colOff>
          <xdr:row>3</xdr:row>
          <xdr:rowOff>266700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</xdr:row>
          <xdr:rowOff>76200</xdr:rowOff>
        </xdr:from>
        <xdr:to>
          <xdr:col>10</xdr:col>
          <xdr:colOff>923925</xdr:colOff>
          <xdr:row>3</xdr:row>
          <xdr:rowOff>295275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171450</xdr:colOff>
      <xdr:row>28</xdr:row>
      <xdr:rowOff>14287</xdr:rowOff>
    </xdr:from>
    <xdr:to>
      <xdr:col>19</xdr:col>
      <xdr:colOff>142875</xdr:colOff>
      <xdr:row>45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438150</xdr:colOff>
          <xdr:row>29</xdr:row>
          <xdr:rowOff>85725</xdr:rowOff>
        </xdr:from>
        <xdr:to>
          <xdr:col>7</xdr:col>
          <xdr:colOff>409575</xdr:colOff>
          <xdr:row>31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32</xdr:row>
          <xdr:rowOff>28575</xdr:rowOff>
        </xdr:from>
        <xdr:to>
          <xdr:col>6</xdr:col>
          <xdr:colOff>238125</xdr:colOff>
          <xdr:row>33</xdr:row>
          <xdr:rowOff>104775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6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43"/>
  <sheetViews>
    <sheetView tabSelected="1" workbookViewId="0">
      <selection activeCell="H9" sqref="H9"/>
    </sheetView>
  </sheetViews>
  <sheetFormatPr defaultRowHeight="12.75" x14ac:dyDescent="0.2"/>
  <cols>
    <col min="1" max="1" width="8.7109375" customWidth="1"/>
    <col min="2" max="2" width="11.28515625" customWidth="1"/>
    <col min="3" max="3" width="10.85546875" customWidth="1"/>
    <col min="4" max="4" width="10.28515625" customWidth="1"/>
    <col min="5" max="5" width="10.42578125" customWidth="1"/>
    <col min="8" max="8" width="12.42578125" bestFit="1" customWidth="1"/>
    <col min="10" max="10" width="13" customWidth="1"/>
    <col min="11" max="11" width="14.140625" customWidth="1"/>
    <col min="12" max="12" width="10.7109375" customWidth="1"/>
    <col min="14" max="14" width="12.42578125" bestFit="1" customWidth="1"/>
    <col min="19" max="19" width="10.85546875" customWidth="1"/>
  </cols>
  <sheetData>
    <row r="2" spans="1:21" x14ac:dyDescent="0.2">
      <c r="M2" s="47">
        <v>0.5</v>
      </c>
      <c r="N2" s="47">
        <v>0.5</v>
      </c>
    </row>
    <row r="3" spans="1:21" ht="21.75" customHeight="1" thickBot="1" x14ac:dyDescent="0.25">
      <c r="B3" s="78" t="s">
        <v>3</v>
      </c>
      <c r="C3" s="78"/>
      <c r="D3" s="78" t="s">
        <v>4</v>
      </c>
      <c r="E3" s="78"/>
      <c r="F3" s="13" t="s">
        <v>13</v>
      </c>
      <c r="G3" s="13" t="s">
        <v>14</v>
      </c>
      <c r="H3" s="72"/>
      <c r="I3" s="72"/>
    </row>
    <row r="4" spans="1:21" ht="25.5" x14ac:dyDescent="0.2">
      <c r="A4" s="44" t="s">
        <v>0</v>
      </c>
      <c r="B4" s="42" t="s">
        <v>1</v>
      </c>
      <c r="C4" s="43" t="s">
        <v>2</v>
      </c>
      <c r="D4" s="16" t="s">
        <v>1</v>
      </c>
      <c r="E4" s="16" t="s">
        <v>2</v>
      </c>
      <c r="F4" s="43" t="s">
        <v>5</v>
      </c>
      <c r="G4" s="43" t="s">
        <v>6</v>
      </c>
      <c r="H4" s="17">
        <v>1</v>
      </c>
      <c r="I4" s="17">
        <v>2</v>
      </c>
      <c r="J4" s="43"/>
      <c r="K4" s="45"/>
      <c r="L4" s="71" t="s">
        <v>27</v>
      </c>
      <c r="M4" s="56" t="s">
        <v>22</v>
      </c>
      <c r="N4" s="66" t="s">
        <v>23</v>
      </c>
      <c r="O4" s="57"/>
      <c r="P4" s="57"/>
      <c r="Q4" s="57"/>
      <c r="R4" s="57"/>
      <c r="S4" s="57"/>
      <c r="T4" s="57"/>
      <c r="U4" s="58"/>
    </row>
    <row r="5" spans="1:21" x14ac:dyDescent="0.2">
      <c r="A5" s="29">
        <v>1</v>
      </c>
      <c r="B5" s="27">
        <v>701</v>
      </c>
      <c r="C5" s="27">
        <v>8.3000000000000007</v>
      </c>
      <c r="D5" s="24">
        <v>70</v>
      </c>
      <c r="E5" s="24">
        <v>2.17</v>
      </c>
      <c r="F5" s="23"/>
      <c r="G5" s="23"/>
      <c r="H5" s="17"/>
      <c r="I5" s="25"/>
      <c r="J5" s="21"/>
      <c r="K5" s="25"/>
      <c r="L5" s="53"/>
      <c r="M5" s="59"/>
      <c r="N5" s="52"/>
      <c r="O5" s="52"/>
      <c r="P5" s="52"/>
      <c r="Q5" s="52"/>
      <c r="R5" s="52"/>
      <c r="S5" s="52"/>
      <c r="T5" s="52"/>
      <c r="U5" s="60"/>
    </row>
    <row r="6" spans="1:21" x14ac:dyDescent="0.2">
      <c r="A6" s="29">
        <v>2</v>
      </c>
      <c r="B6" s="27">
        <v>752.5</v>
      </c>
      <c r="C6" s="27">
        <v>8.11</v>
      </c>
      <c r="D6" s="24">
        <v>80.099999999999994</v>
      </c>
      <c r="E6" s="24">
        <v>2.14</v>
      </c>
      <c r="F6" s="28">
        <f>(B6-B5+C6)/B5</f>
        <v>8.5035663338088444E-2</v>
      </c>
      <c r="G6" s="28">
        <f>(D6-D5+E6)/D5</f>
        <v>0.17485714285714279</v>
      </c>
      <c r="H6" s="19">
        <f>POWER(F6-$F$19,2)</f>
        <v>5.9332905161413629E-7</v>
      </c>
      <c r="I6" s="26">
        <f>POWER(G6-$G$19,2)</f>
        <v>1.9140942270891456E-2</v>
      </c>
      <c r="J6" s="22">
        <f>$M$2*F6+$N$2*G6</f>
        <v>0.12994640309761563</v>
      </c>
      <c r="K6" s="26">
        <f>POWER(J6-J19,2)</f>
        <v>4.7320995750754604E-3</v>
      </c>
      <c r="L6" s="51">
        <f>'Workings for d'!K6</f>
        <v>-1.0656864982061545E-4</v>
      </c>
      <c r="M6" s="61">
        <f>($M$2*F6)+($N$2*G6)</f>
        <v>0.12994640309761563</v>
      </c>
      <c r="N6" s="1">
        <f>(M6-$M19)^2</f>
        <v>4.7320995750754604E-3</v>
      </c>
      <c r="O6" s="52"/>
      <c r="P6" s="52"/>
      <c r="Q6" s="52"/>
      <c r="R6" s="52"/>
      <c r="S6" s="52"/>
      <c r="T6" s="52"/>
      <c r="U6" s="60"/>
    </row>
    <row r="7" spans="1:21" x14ac:dyDescent="0.2">
      <c r="A7" s="29">
        <v>3</v>
      </c>
      <c r="B7" s="27">
        <v>850.5</v>
      </c>
      <c r="C7" s="27">
        <v>10.3</v>
      </c>
      <c r="D7" s="24">
        <v>90.8</v>
      </c>
      <c r="E7" s="24">
        <v>2.0099999999999998</v>
      </c>
      <c r="F7" s="28">
        <f>(B7-B6+C7)/B6</f>
        <v>0.14392026578073089</v>
      </c>
      <c r="G7" s="28">
        <f t="shared" ref="G7:G17" si="0">(D7-D6+E7)/D6</f>
        <v>0.1586766541822722</v>
      </c>
      <c r="H7" s="19">
        <f t="shared" ref="H7:H17" si="1">POWER(F7-$F$19,2)</f>
        <v>3.3772746409690183E-3</v>
      </c>
      <c r="I7" s="26">
        <f t="shared" ref="I7:I17" si="2">POWER(G7-$G$19,2)</f>
        <v>1.4925583565455761E-2</v>
      </c>
      <c r="J7" s="22">
        <f t="shared" ref="J7:J17" si="3">$M$2*F7+$N$2*G7</f>
        <v>0.15129845998150154</v>
      </c>
      <c r="K7" s="26">
        <f>POWER(J7-J19,2)</f>
        <v>8.1256369055907746E-3</v>
      </c>
      <c r="L7" s="51">
        <v>7.09984470796916E-3</v>
      </c>
      <c r="M7" s="61">
        <f t="shared" ref="M7:M17" si="4">($M$2*F7)+($N$2*G7)</f>
        <v>0.15129845998150154</v>
      </c>
      <c r="N7" s="1">
        <f>(M7-$M19)^2</f>
        <v>8.1256369055907746E-3</v>
      </c>
      <c r="O7" s="52"/>
      <c r="P7" s="52"/>
      <c r="Q7" s="52"/>
      <c r="R7" s="52"/>
      <c r="S7" s="52"/>
      <c r="T7" s="52"/>
      <c r="U7" s="60"/>
    </row>
    <row r="8" spans="1:21" x14ac:dyDescent="0.2">
      <c r="A8" s="29">
        <v>4</v>
      </c>
      <c r="B8" s="27">
        <v>953.75</v>
      </c>
      <c r="C8" s="27">
        <v>9.81</v>
      </c>
      <c r="D8" s="24">
        <v>100.5</v>
      </c>
      <c r="E8" s="24">
        <v>2.0099999999999998</v>
      </c>
      <c r="F8" s="28">
        <f t="shared" ref="F8:F17" si="5">(B8-B7+C8)/B7</f>
        <v>0.13293356848912405</v>
      </c>
      <c r="G8" s="28">
        <f t="shared" si="0"/>
        <v>0.12896475770925114</v>
      </c>
      <c r="H8" s="19">
        <f t="shared" si="1"/>
        <v>2.2210131886168903E-3</v>
      </c>
      <c r="I8" s="26">
        <f t="shared" si="2"/>
        <v>8.5485574145520021E-3</v>
      </c>
      <c r="J8" s="22">
        <f t="shared" si="3"/>
        <v>0.13094916309918758</v>
      </c>
      <c r="K8" s="26">
        <f>POWER(J8-J19,2)</f>
        <v>4.871065340835902E-3</v>
      </c>
      <c r="L8" s="51">
        <v>4.3573453800873647E-3</v>
      </c>
      <c r="M8" s="61">
        <f t="shared" si="4"/>
        <v>0.13094916309918758</v>
      </c>
      <c r="N8" s="1">
        <f>(M8-$M19)^2</f>
        <v>4.871065340835902E-3</v>
      </c>
      <c r="O8" s="52"/>
      <c r="P8" s="52"/>
      <c r="Q8" s="52"/>
      <c r="R8" s="52"/>
      <c r="S8" s="52"/>
      <c r="T8" s="52"/>
      <c r="U8" s="60"/>
    </row>
    <row r="9" spans="1:21" x14ac:dyDescent="0.2">
      <c r="A9" s="29">
        <v>5</v>
      </c>
      <c r="B9" s="27">
        <v>1047</v>
      </c>
      <c r="C9" s="27">
        <v>12.05</v>
      </c>
      <c r="D9" s="24">
        <v>99.15</v>
      </c>
      <c r="E9" s="24">
        <v>1.87</v>
      </c>
      <c r="F9" s="28">
        <f t="shared" si="5"/>
        <v>0.11040629095674967</v>
      </c>
      <c r="G9" s="28">
        <f t="shared" si="0"/>
        <v>5.1741293532338887E-3</v>
      </c>
      <c r="H9" s="19">
        <f t="shared" si="1"/>
        <v>6.0517717407565508E-4</v>
      </c>
      <c r="I9" s="26">
        <f t="shared" si="2"/>
        <v>9.8170796308386554E-4</v>
      </c>
      <c r="J9" s="22">
        <f t="shared" si="3"/>
        <v>5.7790210154991778E-2</v>
      </c>
      <c r="K9" s="26">
        <f>POWER(J9-J19,2)</f>
        <v>1.1329519047464427E-5</v>
      </c>
      <c r="L9" s="51">
        <v>-7.7078353048483155E-4</v>
      </c>
      <c r="M9" s="61">
        <f t="shared" si="4"/>
        <v>5.7790210154991778E-2</v>
      </c>
      <c r="N9" s="1">
        <f>(M9-$M19)^2</f>
        <v>1.1329519047464427E-5</v>
      </c>
      <c r="O9" s="52"/>
      <c r="P9" s="52"/>
      <c r="Q9" s="52"/>
      <c r="R9" s="52"/>
      <c r="S9" s="52"/>
      <c r="T9" s="52"/>
      <c r="U9" s="60"/>
    </row>
    <row r="10" spans="1:21" x14ac:dyDescent="0.2">
      <c r="A10" s="29">
        <v>6</v>
      </c>
      <c r="B10" s="27">
        <v>1221</v>
      </c>
      <c r="C10" s="27">
        <v>14.15</v>
      </c>
      <c r="D10" s="24">
        <v>95.5</v>
      </c>
      <c r="E10" s="24">
        <v>1.81</v>
      </c>
      <c r="F10" s="28">
        <f t="shared" si="5"/>
        <v>0.1797039159503343</v>
      </c>
      <c r="G10" s="28">
        <f t="shared" si="0"/>
        <v>-1.8557740796772623E-2</v>
      </c>
      <c r="H10" s="19">
        <f t="shared" si="1"/>
        <v>8.8168295321379569E-3</v>
      </c>
      <c r="I10" s="26">
        <f t="shared" si="2"/>
        <v>3.0320539413707073E-3</v>
      </c>
      <c r="J10" s="22">
        <f t="shared" si="3"/>
        <v>8.0573087576780833E-2</v>
      </c>
      <c r="K10" s="26">
        <f>POWER(J10-J19,2)</f>
        <v>3.7701764941581366E-4</v>
      </c>
      <c r="L10" s="51">
        <v>-5.170406437922704E-3</v>
      </c>
      <c r="M10" s="61">
        <f t="shared" si="4"/>
        <v>8.0573087576780833E-2</v>
      </c>
      <c r="N10" s="1">
        <f>(M10-$M19)^2</f>
        <v>3.7701764941581366E-4</v>
      </c>
      <c r="O10" s="52"/>
      <c r="P10" s="49" t="s">
        <v>13</v>
      </c>
      <c r="Q10" s="49" t="s">
        <v>18</v>
      </c>
      <c r="R10" s="49" t="s">
        <v>19</v>
      </c>
      <c r="S10" s="49" t="s">
        <v>10</v>
      </c>
      <c r="T10" s="49" t="s">
        <v>20</v>
      </c>
      <c r="U10" s="60"/>
    </row>
    <row r="11" spans="1:21" x14ac:dyDescent="0.2">
      <c r="A11" s="29">
        <v>7</v>
      </c>
      <c r="B11" s="27">
        <v>1443.9</v>
      </c>
      <c r="C11" s="27">
        <v>17.2</v>
      </c>
      <c r="D11" s="24">
        <v>93.75</v>
      </c>
      <c r="E11" s="24">
        <v>1.79</v>
      </c>
      <c r="F11" s="28">
        <f t="shared" si="5"/>
        <v>0.1966420966420967</v>
      </c>
      <c r="G11" s="28">
        <f t="shared" si="0"/>
        <v>4.1884816753926738E-4</v>
      </c>
      <c r="H11" s="19">
        <f t="shared" si="1"/>
        <v>1.2284653199643772E-2</v>
      </c>
      <c r="I11" s="26">
        <f t="shared" si="2"/>
        <v>1.3023076876430418E-3</v>
      </c>
      <c r="J11" s="22">
        <f t="shared" si="3"/>
        <v>9.8530472404817979E-2</v>
      </c>
      <c r="K11" s="26">
        <f>POWER(J11-J19,2)</f>
        <v>1.3968403304568386E-3</v>
      </c>
      <c r="L11" s="51">
        <v>-3.9997997827297275E-3</v>
      </c>
      <c r="M11" s="61">
        <f t="shared" si="4"/>
        <v>9.8530472404817979E-2</v>
      </c>
      <c r="N11" s="1">
        <f>(M11-$M19)^2</f>
        <v>1.3968403304568386E-3</v>
      </c>
      <c r="O11" s="52"/>
      <c r="P11" s="48">
        <v>0.1</v>
      </c>
      <c r="Q11" s="48">
        <f>100%-P11</f>
        <v>0.9</v>
      </c>
      <c r="R11" s="67">
        <f>P11*$F$19+Q11*$G$19</f>
        <v>4.1436307931511679E-2</v>
      </c>
      <c r="S11" s="2">
        <f>P11^2*$H$20+Q11^2*$I$20+2*P11*Q11*'Workings for d'!$K$20</f>
        <v>5.9187387422489704E-3</v>
      </c>
      <c r="T11" s="67">
        <f t="shared" ref="T11:T20" si="6">SQRT(S11)</f>
        <v>7.6933339601560069E-2</v>
      </c>
      <c r="U11" s="60"/>
    </row>
    <row r="12" spans="1:21" x14ac:dyDescent="0.2">
      <c r="A12" s="29">
        <v>8</v>
      </c>
      <c r="B12" s="27">
        <v>1263</v>
      </c>
      <c r="C12" s="27">
        <v>14.9</v>
      </c>
      <c r="D12" s="24">
        <v>80.3</v>
      </c>
      <c r="E12" s="24">
        <v>1.54</v>
      </c>
      <c r="F12" s="28">
        <f t="shared" si="5"/>
        <v>-0.11496641041623386</v>
      </c>
      <c r="G12" s="28">
        <f t="shared" si="0"/>
        <v>-0.12704000000000004</v>
      </c>
      <c r="H12" s="19">
        <f t="shared" si="1"/>
        <v>4.0309537451641723E-2</v>
      </c>
      <c r="I12" s="26">
        <f t="shared" si="2"/>
        <v>2.6747408141209336E-2</v>
      </c>
      <c r="J12" s="22">
        <f t="shared" si="3"/>
        <v>-0.12100320520811694</v>
      </c>
      <c r="K12" s="26">
        <f>POWER(J12-J19,2)</f>
        <v>3.3182028958438581E-2</v>
      </c>
      <c r="L12" s="51">
        <v>3.2835585120451628E-2</v>
      </c>
      <c r="M12" s="61">
        <f t="shared" si="4"/>
        <v>-0.12100320520811694</v>
      </c>
      <c r="N12" s="1">
        <f>(M12-$M19)^2</f>
        <v>3.3182028958438581E-2</v>
      </c>
      <c r="O12" s="52"/>
      <c r="P12" s="50">
        <f>P11+10%</f>
        <v>0.2</v>
      </c>
      <c r="Q12" s="48">
        <f>100%-P12</f>
        <v>0.8</v>
      </c>
      <c r="R12" s="67">
        <f>P12*$F$19+Q12*$G$19</f>
        <v>4.6366267260526811E-2</v>
      </c>
      <c r="S12" s="2">
        <f>P12^2*$H$20+Q12^2*$I$20+2*P12*Q12*'Workings for d'!$K$20</f>
        <v>5.4656081109098684E-3</v>
      </c>
      <c r="T12" s="67">
        <f t="shared" si="6"/>
        <v>7.3929751189286907E-2</v>
      </c>
      <c r="U12" s="60"/>
    </row>
    <row r="13" spans="1:21" x14ac:dyDescent="0.2">
      <c r="A13" s="29">
        <v>9</v>
      </c>
      <c r="B13" s="27">
        <v>1258</v>
      </c>
      <c r="C13" s="27">
        <v>13.8</v>
      </c>
      <c r="D13" s="24">
        <v>77.349999999999994</v>
      </c>
      <c r="E13" s="24">
        <v>1.49</v>
      </c>
      <c r="F13" s="28">
        <f t="shared" si="5"/>
        <v>6.9675376088677759E-3</v>
      </c>
      <c r="G13" s="28">
        <f t="shared" si="0"/>
        <v>-1.8181818181818219E-2</v>
      </c>
      <c r="H13" s="19">
        <f t="shared" si="1"/>
        <v>6.215493990012754E-3</v>
      </c>
      <c r="I13" s="26">
        <f t="shared" si="2"/>
        <v>2.9907955862290285E-3</v>
      </c>
      <c r="J13" s="22">
        <f t="shared" si="3"/>
        <v>-5.6071402864752221E-3</v>
      </c>
      <c r="K13" s="26">
        <f>POWER(J13-J19,2)</f>
        <v>4.4573362953007458E-3</v>
      </c>
      <c r="L13" s="51">
        <v>4.311527802480601E-3</v>
      </c>
      <c r="M13" s="61">
        <f t="shared" si="4"/>
        <v>-5.6071402864752221E-3</v>
      </c>
      <c r="N13" s="1">
        <f>(M13-$M19)^2</f>
        <v>4.4573362953007458E-3</v>
      </c>
      <c r="O13" s="52"/>
      <c r="P13" s="50">
        <f t="shared" ref="P13:P20" si="7">P12+10%</f>
        <v>0.30000000000000004</v>
      </c>
      <c r="Q13" s="48">
        <f t="shared" ref="Q13:Q20" si="8">100%-P13</f>
        <v>0.7</v>
      </c>
      <c r="R13" s="67">
        <f t="shared" ref="R13:R20" si="9">P13*$F$19+Q13*$G$19</f>
        <v>5.1296226589541943E-2</v>
      </c>
      <c r="S13" s="2">
        <f>P13^2*$H$20+Q13^2*$I$20+2*P13*Q13*'Workings for d'!$K$20</f>
        <v>5.2199562939482455E-3</v>
      </c>
      <c r="T13" s="67">
        <f t="shared" si="6"/>
        <v>7.2249265006283939E-2</v>
      </c>
      <c r="U13" s="60"/>
    </row>
    <row r="14" spans="1:21" x14ac:dyDescent="0.2">
      <c r="A14" s="29">
        <v>10</v>
      </c>
      <c r="B14" s="27">
        <v>1526</v>
      </c>
      <c r="C14" s="27">
        <v>18.3</v>
      </c>
      <c r="D14" s="24">
        <v>76.55</v>
      </c>
      <c r="E14" s="24">
        <v>1.44</v>
      </c>
      <c r="F14" s="28">
        <f t="shared" si="5"/>
        <v>0.22758346581875993</v>
      </c>
      <c r="G14" s="28">
        <f t="shared" si="0"/>
        <v>8.274078862314193E-3</v>
      </c>
      <c r="H14" s="19">
        <f t="shared" si="1"/>
        <v>2.0100866290619288E-2</v>
      </c>
      <c r="I14" s="26">
        <f t="shared" si="2"/>
        <v>7.9706105468241621E-4</v>
      </c>
      <c r="J14" s="22">
        <f t="shared" si="3"/>
        <v>0.11792877234053706</v>
      </c>
      <c r="K14" s="26">
        <f>POWER(J14-J19,2)</f>
        <v>3.2231311870368467E-3</v>
      </c>
      <c r="L14" s="51">
        <v>-4.0027012985771543E-3</v>
      </c>
      <c r="M14" s="61">
        <f t="shared" si="4"/>
        <v>0.11792877234053706</v>
      </c>
      <c r="N14" s="1">
        <f>(M14-$M19)^2</f>
        <v>3.2231311870368467E-3</v>
      </c>
      <c r="O14" s="52"/>
      <c r="P14" s="50">
        <f t="shared" si="7"/>
        <v>0.4</v>
      </c>
      <c r="Q14" s="48">
        <f t="shared" si="8"/>
        <v>0.6</v>
      </c>
      <c r="R14" s="67">
        <f t="shared" si="9"/>
        <v>5.6226185918557076E-2</v>
      </c>
      <c r="S14" s="2">
        <f>P14^2*$H$20+Q14^2*$I$20+2*P14*Q14*'Workings for d'!$K$20</f>
        <v>5.1817832913641036E-3</v>
      </c>
      <c r="T14" s="67">
        <f t="shared" si="6"/>
        <v>7.1984604544055836E-2</v>
      </c>
      <c r="U14" s="60"/>
    </row>
    <row r="15" spans="1:21" x14ac:dyDescent="0.2">
      <c r="A15" s="29">
        <v>11</v>
      </c>
      <c r="B15" s="27">
        <v>1616</v>
      </c>
      <c r="C15" s="27">
        <v>19.75</v>
      </c>
      <c r="D15" s="24">
        <v>78.45</v>
      </c>
      <c r="E15" s="24">
        <v>1.51</v>
      </c>
      <c r="F15" s="28">
        <f t="shared" si="5"/>
        <v>7.1920052424639586E-2</v>
      </c>
      <c r="G15" s="28">
        <f t="shared" si="0"/>
        <v>4.4546048334422023E-2</v>
      </c>
      <c r="H15" s="19">
        <f t="shared" si="1"/>
        <v>1.9281792631774299E-4</v>
      </c>
      <c r="I15" s="26">
        <f t="shared" si="2"/>
        <v>6.463677177952257E-5</v>
      </c>
      <c r="J15" s="22">
        <f t="shared" si="3"/>
        <v>5.8233050379530804E-2</v>
      </c>
      <c r="K15" s="26">
        <f>POWER(J15-J19,2)</f>
        <v>8.5444836075699918E-6</v>
      </c>
      <c r="L15" s="51">
        <v>-1.1163838183349287E-4</v>
      </c>
      <c r="M15" s="61">
        <f t="shared" si="4"/>
        <v>5.8233050379530804E-2</v>
      </c>
      <c r="N15" s="1">
        <f>(M15-$M19)^2</f>
        <v>8.5444836075699918E-6</v>
      </c>
      <c r="O15" s="52"/>
      <c r="P15" s="50">
        <f t="shared" si="7"/>
        <v>0.5</v>
      </c>
      <c r="Q15" s="48">
        <f t="shared" si="8"/>
        <v>0.5</v>
      </c>
      <c r="R15" s="67">
        <f t="shared" si="9"/>
        <v>6.1156145247572201E-2</v>
      </c>
      <c r="S15" s="2">
        <f>P15^2*$H$20+Q15^2*$I$20+2*P15*Q15*'Workings for d'!$K$20</f>
        <v>5.3510891031574416E-3</v>
      </c>
      <c r="T15" s="67">
        <f t="shared" si="6"/>
        <v>7.3151138768698887E-2</v>
      </c>
      <c r="U15" s="60"/>
    </row>
    <row r="16" spans="1:21" x14ac:dyDescent="0.2">
      <c r="A16" s="29">
        <v>12</v>
      </c>
      <c r="B16" s="27">
        <v>1624</v>
      </c>
      <c r="C16" s="27">
        <v>19.95</v>
      </c>
      <c r="D16" s="24">
        <v>79</v>
      </c>
      <c r="E16" s="24">
        <v>1.53</v>
      </c>
      <c r="F16" s="28">
        <f t="shared" si="5"/>
        <v>1.7295792079207919E-2</v>
      </c>
      <c r="G16" s="28">
        <f t="shared" si="0"/>
        <v>2.6513702995538527E-2</v>
      </c>
      <c r="H16" s="19">
        <f t="shared" si="1"/>
        <v>4.6936406274599839E-3</v>
      </c>
      <c r="I16" s="26">
        <f t="shared" si="2"/>
        <v>9.9852966226257416E-5</v>
      </c>
      <c r="J16" s="22">
        <f t="shared" si="3"/>
        <v>2.1904747537373224E-2</v>
      </c>
      <c r="K16" s="26">
        <f>POWER(J16-J19,2)</f>
        <v>1.5406722222042139E-3</v>
      </c>
      <c r="L16" s="51">
        <v>6.845976475653064E-4</v>
      </c>
      <c r="M16" s="61">
        <f t="shared" si="4"/>
        <v>2.1904747537373224E-2</v>
      </c>
      <c r="N16" s="1">
        <f>(M16-$M19)^2</f>
        <v>1.5406722222042139E-3</v>
      </c>
      <c r="O16" s="52"/>
      <c r="P16" s="50">
        <f t="shared" si="7"/>
        <v>0.6</v>
      </c>
      <c r="Q16" s="48">
        <f t="shared" si="8"/>
        <v>0.4</v>
      </c>
      <c r="R16" s="67">
        <f t="shared" si="9"/>
        <v>6.6086104576587326E-2</v>
      </c>
      <c r="S16" s="2">
        <f>P16^2*$H$20+Q16^2*$I$20+2*P16*Q16*'Workings for d'!$K$20</f>
        <v>5.7278737293282589E-3</v>
      </c>
      <c r="T16" s="67">
        <f t="shared" si="6"/>
        <v>7.5682717507554245E-2</v>
      </c>
      <c r="U16" s="60"/>
    </row>
    <row r="17" spans="1:21" x14ac:dyDescent="0.2">
      <c r="A17" s="29">
        <v>13</v>
      </c>
      <c r="B17" s="27">
        <v>1560</v>
      </c>
      <c r="C17" s="27">
        <v>18.899999999999999</v>
      </c>
      <c r="D17" s="24">
        <v>81.75</v>
      </c>
      <c r="E17" s="24">
        <v>1.55</v>
      </c>
      <c r="F17" s="28">
        <f t="shared" si="5"/>
        <v>-2.7770935960591134E-2</v>
      </c>
      <c r="G17" s="28">
        <f t="shared" si="0"/>
        <v>5.4430379746835442E-2</v>
      </c>
      <c r="H17" s="19">
        <f t="shared" si="1"/>
        <v>1.2899707182889568E-2</v>
      </c>
      <c r="I17" s="26">
        <f t="shared" si="2"/>
        <v>3.2127089246323067E-4</v>
      </c>
      <c r="J17" s="22">
        <f t="shared" si="3"/>
        <v>1.3329721893122154E-2</v>
      </c>
      <c r="K17" s="26">
        <f>POWER(J17-J19,2)</f>
        <v>2.2873667708790853E-3</v>
      </c>
      <c r="L17" s="51">
        <v>-2.0357554959182303E-3</v>
      </c>
      <c r="M17" s="61">
        <f t="shared" si="4"/>
        <v>1.3329721893122154E-2</v>
      </c>
      <c r="N17" s="1">
        <f>(M17-$M19)^2</f>
        <v>2.2873667708790853E-3</v>
      </c>
      <c r="O17" s="52"/>
      <c r="P17" s="50">
        <f t="shared" si="7"/>
        <v>0.7</v>
      </c>
      <c r="Q17" s="48">
        <f t="shared" si="8"/>
        <v>0.30000000000000004</v>
      </c>
      <c r="R17" s="67">
        <f t="shared" si="9"/>
        <v>7.1016063905602458E-2</v>
      </c>
      <c r="S17" s="2">
        <f>P17^2*$H$20+Q17^2*$I$20+2*P17*Q17*'Workings for d'!$K$20</f>
        <v>6.3121371698765562E-3</v>
      </c>
      <c r="T17" s="67">
        <f t="shared" si="6"/>
        <v>7.944895952670844E-2</v>
      </c>
      <c r="U17" s="60"/>
    </row>
    <row r="18" spans="1:21" ht="24" customHeight="1" x14ac:dyDescent="0.2">
      <c r="E18" s="31" t="s">
        <v>7</v>
      </c>
      <c r="F18" s="32">
        <f t="shared" ref="F18:K18" si="10">SUM(F6:F17)</f>
        <v>1.0296713027117743</v>
      </c>
      <c r="G18" s="32">
        <f t="shared" si="10"/>
        <v>0.43807618322995856</v>
      </c>
      <c r="H18" s="33">
        <f t="shared" si="10"/>
        <v>0.11171760453343596</v>
      </c>
      <c r="I18" s="34">
        <f t="shared" si="10"/>
        <v>7.8952178255586619E-2</v>
      </c>
      <c r="J18" s="35">
        <f t="shared" si="10"/>
        <v>0.73387374297086649</v>
      </c>
      <c r="K18" s="40">
        <f t="shared" si="10"/>
        <v>6.4213069237889303E-2</v>
      </c>
      <c r="L18" s="40">
        <v>3.3091247081267303E-2</v>
      </c>
      <c r="M18" s="62">
        <f>SUM(M6:M17)</f>
        <v>0.73387374297086649</v>
      </c>
      <c r="N18" s="35">
        <f>SUM(N6:N17)</f>
        <v>6.4213069237889303E-2</v>
      </c>
      <c r="O18" s="52"/>
      <c r="P18" s="50">
        <f t="shared" si="7"/>
        <v>0.79999999999999993</v>
      </c>
      <c r="Q18" s="48">
        <f t="shared" si="8"/>
        <v>0.20000000000000007</v>
      </c>
      <c r="R18" s="67">
        <f t="shared" si="9"/>
        <v>7.5946023234617591E-2</v>
      </c>
      <c r="S18" s="2">
        <f>P18^2*$H$20+Q18^2*$I$20+2*P18*Q18*'Workings for d'!$K$20</f>
        <v>7.1038794248023344E-3</v>
      </c>
      <c r="T18" s="67">
        <f t="shared" si="6"/>
        <v>8.4284514739080829E-2</v>
      </c>
      <c r="U18" s="60"/>
    </row>
    <row r="19" spans="1:21" ht="20.25" customHeight="1" x14ac:dyDescent="0.2">
      <c r="A19" s="30" t="s">
        <v>9</v>
      </c>
      <c r="E19" s="37" t="s">
        <v>8</v>
      </c>
      <c r="F19" s="38">
        <f>F18/12</f>
        <v>8.5805941892647855E-2</v>
      </c>
      <c r="G19" s="38">
        <f>G18/12</f>
        <v>3.6506348602496547E-2</v>
      </c>
      <c r="H19" s="39"/>
      <c r="I19" s="39"/>
      <c r="J19" s="20">
        <f>J18/12</f>
        <v>6.1156145247572208E-2</v>
      </c>
      <c r="K19" s="41"/>
      <c r="L19" s="54"/>
      <c r="M19" s="59">
        <f>M18/12</f>
        <v>6.1156145247572208E-2</v>
      </c>
      <c r="N19" s="1"/>
      <c r="O19" s="52"/>
      <c r="P19" s="50">
        <f t="shared" si="7"/>
        <v>0.89999999999999991</v>
      </c>
      <c r="Q19" s="48">
        <f t="shared" si="8"/>
        <v>0.10000000000000009</v>
      </c>
      <c r="R19" s="67">
        <f>P19*$F$19+Q19*$G$19</f>
        <v>8.0875982563632723E-2</v>
      </c>
      <c r="S19" s="2">
        <f>P19^2*$H$20+Q19^2*$I$20+2*P19*Q19*'Workings for d'!$K$20</f>
        <v>8.1031004941055917E-3</v>
      </c>
      <c r="T19" s="67">
        <f t="shared" si="6"/>
        <v>9.0017223319238143E-2</v>
      </c>
      <c r="U19" s="60"/>
    </row>
    <row r="20" spans="1:21" ht="21" customHeight="1" x14ac:dyDescent="0.2">
      <c r="E20" s="74" t="s">
        <v>10</v>
      </c>
      <c r="F20" s="75"/>
      <c r="G20" s="76"/>
      <c r="H20" s="35">
        <f>H18/12</f>
        <v>9.30980037778633E-3</v>
      </c>
      <c r="I20" s="35">
        <f>I18/12</f>
        <v>6.5793481879655516E-3</v>
      </c>
      <c r="J20" s="36"/>
      <c r="K20" s="40">
        <f>K18/12</f>
        <v>5.3510891031574416E-3</v>
      </c>
      <c r="L20" s="55"/>
      <c r="M20" s="59"/>
      <c r="N20" s="1">
        <f>N18/12</f>
        <v>5.3510891031574416E-3</v>
      </c>
      <c r="O20" s="52"/>
      <c r="P20" s="50">
        <f t="shared" si="7"/>
        <v>0.99999999999999989</v>
      </c>
      <c r="Q20" s="48">
        <f t="shared" si="8"/>
        <v>0</v>
      </c>
      <c r="R20" s="67">
        <f t="shared" si="9"/>
        <v>8.5805941892647841E-2</v>
      </c>
      <c r="S20" s="2">
        <f>P20^2*$H$20+Q20^2*$I$20+2*P20*Q20*'Workings for d'!$K$20</f>
        <v>9.3098003777863283E-3</v>
      </c>
      <c r="T20" s="67">
        <f t="shared" si="6"/>
        <v>9.6487306822122088E-2</v>
      </c>
      <c r="U20" s="60"/>
    </row>
    <row r="21" spans="1:21" ht="25.5" customHeight="1" x14ac:dyDescent="0.2">
      <c r="E21" s="73" t="s">
        <v>11</v>
      </c>
      <c r="F21" s="73"/>
      <c r="G21" s="73"/>
      <c r="H21" s="20">
        <f>SQRT(H20)</f>
        <v>9.6487306822122101E-2</v>
      </c>
      <c r="I21" s="20">
        <f>SQRT(I20)</f>
        <v>8.1113181345361815E-2</v>
      </c>
      <c r="J21" s="18"/>
      <c r="K21" s="41">
        <f>SQRT(K20)</f>
        <v>7.3151138768698887E-2</v>
      </c>
      <c r="L21" s="54"/>
      <c r="M21" s="59"/>
      <c r="N21" s="1">
        <f>SQRT(N20)</f>
        <v>7.3151138768698887E-2</v>
      </c>
      <c r="O21" s="52"/>
      <c r="P21" s="1"/>
      <c r="Q21" s="48"/>
      <c r="R21" s="2"/>
      <c r="S21" s="2"/>
      <c r="T21" s="2"/>
      <c r="U21" s="60"/>
    </row>
    <row r="22" spans="1:21" ht="25.5" customHeight="1" x14ac:dyDescent="0.2">
      <c r="E22" s="77" t="s">
        <v>12</v>
      </c>
      <c r="F22" s="77"/>
      <c r="G22" s="77"/>
      <c r="H22" s="35">
        <f>H21/F19</f>
        <v>1.1244828119576817</v>
      </c>
      <c r="I22" s="35">
        <f>I21/G19</f>
        <v>2.221892477622776</v>
      </c>
      <c r="J22" s="36"/>
      <c r="K22" s="40">
        <f>K21/J19</f>
        <v>1.1961371743194174</v>
      </c>
      <c r="L22" s="55"/>
      <c r="M22" s="59"/>
      <c r="N22" s="1">
        <f>N21/M19</f>
        <v>1.1961371743194174</v>
      </c>
      <c r="O22" s="52"/>
      <c r="P22" s="52"/>
      <c r="Q22" s="52"/>
      <c r="R22" s="52"/>
      <c r="S22" s="52"/>
      <c r="T22" s="52"/>
      <c r="U22" s="60"/>
    </row>
    <row r="23" spans="1:21" ht="20.25" customHeight="1" thickBot="1" x14ac:dyDescent="0.25">
      <c r="E23" s="73" t="s">
        <v>16</v>
      </c>
      <c r="F23" s="73"/>
      <c r="G23" s="73"/>
      <c r="H23" s="18"/>
      <c r="I23" s="18"/>
      <c r="J23" s="18"/>
      <c r="K23" s="18"/>
      <c r="L23" s="41">
        <v>2.757603923438942E-3</v>
      </c>
      <c r="M23" s="63"/>
      <c r="N23" s="64"/>
      <c r="O23" s="64"/>
      <c r="P23" s="64"/>
      <c r="Q23" s="64"/>
      <c r="R23" s="64"/>
      <c r="S23" s="64"/>
      <c r="T23" s="64"/>
      <c r="U23" s="65"/>
    </row>
    <row r="24" spans="1:21" ht="23.25" customHeight="1" x14ac:dyDescent="0.2">
      <c r="E24" s="77" t="s">
        <v>17</v>
      </c>
      <c r="F24" s="77"/>
      <c r="G24" s="77"/>
      <c r="H24" s="36"/>
      <c r="I24" s="36"/>
      <c r="J24" s="36"/>
      <c r="K24" s="36"/>
      <c r="L24" s="35">
        <f>L23/(H21*I21)</f>
        <v>0.35234674891537077</v>
      </c>
    </row>
    <row r="26" spans="1:21" x14ac:dyDescent="0.2">
      <c r="K26" s="46" t="s">
        <v>21</v>
      </c>
      <c r="L26">
        <f>CORREL(F6:F17,G6:G17)</f>
        <v>0.35234674891537077</v>
      </c>
    </row>
    <row r="28" spans="1:21" x14ac:dyDescent="0.2">
      <c r="F28" s="15"/>
    </row>
    <row r="29" spans="1:21" x14ac:dyDescent="0.2">
      <c r="N29" s="52"/>
    </row>
    <row r="30" spans="1:21" x14ac:dyDescent="0.2">
      <c r="N30" s="52"/>
    </row>
    <row r="31" spans="1:21" x14ac:dyDescent="0.2">
      <c r="N31" s="52"/>
    </row>
    <row r="32" spans="1:21" x14ac:dyDescent="0.2">
      <c r="N32" s="52"/>
    </row>
    <row r="33" spans="14:19" x14ac:dyDescent="0.2">
      <c r="N33" s="52"/>
    </row>
    <row r="34" spans="14:19" x14ac:dyDescent="0.2">
      <c r="N34" s="52"/>
    </row>
    <row r="35" spans="14:19" x14ac:dyDescent="0.2">
      <c r="N35" s="52"/>
    </row>
    <row r="36" spans="14:19" x14ac:dyDescent="0.2">
      <c r="N36" s="52"/>
    </row>
    <row r="37" spans="14:19" x14ac:dyDescent="0.2">
      <c r="N37" s="52"/>
    </row>
    <row r="38" spans="14:19" x14ac:dyDescent="0.2">
      <c r="N38" s="52"/>
    </row>
    <row r="39" spans="14:19" x14ac:dyDescent="0.2">
      <c r="N39" s="52"/>
    </row>
    <row r="40" spans="14:19" x14ac:dyDescent="0.2">
      <c r="N40" s="52"/>
    </row>
    <row r="41" spans="14:19" x14ac:dyDescent="0.2">
      <c r="N41" s="52"/>
      <c r="O41" s="52"/>
      <c r="P41" s="52"/>
      <c r="Q41" s="52"/>
      <c r="R41" s="52"/>
      <c r="S41" s="52"/>
    </row>
    <row r="42" spans="14:19" x14ac:dyDescent="0.2">
      <c r="N42" s="52"/>
      <c r="O42" s="52"/>
      <c r="P42" s="52"/>
      <c r="Q42" s="52"/>
      <c r="R42" s="52"/>
      <c r="S42" s="52"/>
    </row>
    <row r="43" spans="14:19" x14ac:dyDescent="0.2">
      <c r="N43" s="52"/>
      <c r="O43" s="52"/>
      <c r="P43" s="52"/>
      <c r="Q43" s="52"/>
      <c r="R43" s="52"/>
      <c r="S43" s="52"/>
    </row>
  </sheetData>
  <sheetProtection algorithmName="SHA-512" hashValue="92MrFQXoeCmZ2lnyPUhhxZHbS26i7ZNSz6cUgKR5jIu6Fggbz8Los3O4PVnlg/sps2ecVcmvtDZoBPWN9o+FZg==" saltValue="RUe7YZhqY+UTHoqEuMzrPw==" spinCount="100000" sheet="1" formatCells="0" formatColumns="0" formatRows="0" insertColumns="0" insertRows="0" insertHyperlinks="0" deleteColumns="0" deleteRows="0"/>
  <mergeCells count="8">
    <mergeCell ref="B3:C3"/>
    <mergeCell ref="D3:E3"/>
    <mergeCell ref="H3:I3"/>
    <mergeCell ref="E21:G21"/>
    <mergeCell ref="E20:G20"/>
    <mergeCell ref="E23:G23"/>
    <mergeCell ref="E24:G24"/>
    <mergeCell ref="E22:G22"/>
  </mergeCells>
  <phoneticPr fontId="2" type="noConversion"/>
  <pageMargins left="0.75" right="0.75" top="1" bottom="1" header="0.5" footer="0.5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0</xdr:colOff>
                <xdr:row>22</xdr:row>
                <xdr:rowOff>95250</xdr:rowOff>
              </from>
              <to>
                <xdr:col>0</xdr:col>
                <xdr:colOff>0</xdr:colOff>
                <xdr:row>24</xdr:row>
                <xdr:rowOff>28575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7</xdr:col>
                <xdr:colOff>76200</xdr:colOff>
                <xdr:row>2</xdr:row>
                <xdr:rowOff>28575</xdr:rowOff>
              </from>
              <to>
                <xdr:col>8</xdr:col>
                <xdr:colOff>571500</xdr:colOff>
                <xdr:row>2</xdr:row>
                <xdr:rowOff>228600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32" r:id="rId8">
          <objectPr defaultSize="0" autoPict="0" r:id="rId9">
            <anchor moveWithCells="1" sizeWithCells="1">
              <from>
                <xdr:col>9</xdr:col>
                <xdr:colOff>133350</xdr:colOff>
                <xdr:row>3</xdr:row>
                <xdr:rowOff>28575</xdr:rowOff>
              </from>
              <to>
                <xdr:col>9</xdr:col>
                <xdr:colOff>552450</xdr:colOff>
                <xdr:row>3</xdr:row>
                <xdr:rowOff>266700</xdr:rowOff>
              </to>
            </anchor>
          </objectPr>
        </oleObject>
      </mc:Choice>
      <mc:Fallback>
        <oleObject progId="Equation.3" shapeId="1032" r:id="rId8"/>
      </mc:Fallback>
    </mc:AlternateContent>
    <mc:AlternateContent xmlns:mc="http://schemas.openxmlformats.org/markup-compatibility/2006">
      <mc:Choice Requires="x14">
        <oleObject progId="Equation.3" shapeId="1034" r:id="rId10">
          <objectPr defaultSize="0" autoPict="0" r:id="rId11">
            <anchor moveWithCells="1" sizeWithCells="1">
              <from>
                <xdr:col>10</xdr:col>
                <xdr:colOff>28575</xdr:colOff>
                <xdr:row>3</xdr:row>
                <xdr:rowOff>76200</xdr:rowOff>
              </from>
              <to>
                <xdr:col>10</xdr:col>
                <xdr:colOff>923925</xdr:colOff>
                <xdr:row>3</xdr:row>
                <xdr:rowOff>295275</xdr:rowOff>
              </to>
            </anchor>
          </objectPr>
        </oleObject>
      </mc:Choice>
      <mc:Fallback>
        <oleObject progId="Equation.3" shapeId="1034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K22"/>
  <sheetViews>
    <sheetView workbookViewId="0">
      <selection activeCell="K11" sqref="K11"/>
    </sheetView>
  </sheetViews>
  <sheetFormatPr defaultRowHeight="12.75" x14ac:dyDescent="0.2"/>
  <cols>
    <col min="9" max="9" width="12" customWidth="1"/>
    <col min="10" max="10" width="11.85546875" customWidth="1"/>
  </cols>
  <sheetData>
    <row r="4" spans="4:11" ht="38.25" x14ac:dyDescent="0.2">
      <c r="D4" s="6" t="s">
        <v>0</v>
      </c>
      <c r="E4" s="6" t="s">
        <v>1</v>
      </c>
      <c r="F4" s="6" t="s">
        <v>2</v>
      </c>
      <c r="G4" s="6" t="s">
        <v>1</v>
      </c>
      <c r="H4" s="6" t="s">
        <v>2</v>
      </c>
      <c r="I4" s="6" t="s">
        <v>5</v>
      </c>
      <c r="J4" s="6" t="s">
        <v>6</v>
      </c>
      <c r="K4" s="6" t="s">
        <v>26</v>
      </c>
    </row>
    <row r="5" spans="4:11" x14ac:dyDescent="0.2">
      <c r="D5" s="8">
        <v>1</v>
      </c>
      <c r="E5" s="10">
        <f>'Workings for a and b'!B5</f>
        <v>701</v>
      </c>
      <c r="F5" s="10">
        <f>'Workings for a and b'!C5</f>
        <v>8.3000000000000007</v>
      </c>
      <c r="G5" s="9">
        <f>'Workings for a and b'!D5</f>
        <v>70</v>
      </c>
      <c r="H5" s="9">
        <f>'Workings for a and b'!E5</f>
        <v>2.17</v>
      </c>
      <c r="I5" s="11"/>
      <c r="J5" s="11"/>
      <c r="K5" s="1"/>
    </row>
    <row r="6" spans="4:11" x14ac:dyDescent="0.2">
      <c r="D6" s="8">
        <v>2</v>
      </c>
      <c r="E6" s="10">
        <f>'Workings for a and b'!B6</f>
        <v>752.5</v>
      </c>
      <c r="F6" s="10">
        <f>'Workings for a and b'!C6</f>
        <v>8.11</v>
      </c>
      <c r="G6" s="9">
        <f>'Workings for a and b'!D6</f>
        <v>80.099999999999994</v>
      </c>
      <c r="H6" s="9">
        <f>'Workings for a and b'!E6</f>
        <v>2.14</v>
      </c>
      <c r="I6" s="12">
        <f>(E6-E5+F6)/E5</f>
        <v>8.5035663338088444E-2</v>
      </c>
      <c r="J6" s="12">
        <f>(G6-G5+H6)/G5</f>
        <v>0.17485714285714279</v>
      </c>
      <c r="K6" s="2">
        <f>(I6-$I$19)*(J6-$J$19)</f>
        <v>-1.0656864982061545E-4</v>
      </c>
    </row>
    <row r="7" spans="4:11" x14ac:dyDescent="0.2">
      <c r="D7" s="8">
        <v>3</v>
      </c>
      <c r="E7" s="10">
        <f>'Workings for a and b'!B7</f>
        <v>850.5</v>
      </c>
      <c r="F7" s="10">
        <f>'Workings for a and b'!C7</f>
        <v>10.3</v>
      </c>
      <c r="G7" s="9">
        <f>'Workings for a and b'!D7</f>
        <v>90.8</v>
      </c>
      <c r="H7" s="9">
        <f>'Workings for a and b'!E7</f>
        <v>2.0099999999999998</v>
      </c>
      <c r="I7" s="12">
        <f>(E7-E6+F7)/E6</f>
        <v>0.14392026578073089</v>
      </c>
      <c r="J7" s="12">
        <f t="shared" ref="J7:J17" si="0">(G7-G6+H7)/G6</f>
        <v>0.1586766541822722</v>
      </c>
      <c r="K7" s="2">
        <f t="shared" ref="K7:K17" si="1">(I7-$I$19)*(J7-$J$19)</f>
        <v>7.09984470796916E-3</v>
      </c>
    </row>
    <row r="8" spans="4:11" x14ac:dyDescent="0.2">
      <c r="D8" s="8">
        <v>4</v>
      </c>
      <c r="E8" s="10">
        <f>'Workings for a and b'!B8</f>
        <v>953.75</v>
      </c>
      <c r="F8" s="10">
        <f>'Workings for a and b'!C8</f>
        <v>9.81</v>
      </c>
      <c r="G8" s="9">
        <f>'Workings for a and b'!D8</f>
        <v>100.5</v>
      </c>
      <c r="H8" s="9">
        <f>'Workings for a and b'!E8</f>
        <v>2.0099999999999998</v>
      </c>
      <c r="I8" s="12">
        <f t="shared" ref="I8:I17" si="2">(E8-E7+F8)/E7</f>
        <v>0.13293356848912405</v>
      </c>
      <c r="J8" s="12">
        <f t="shared" si="0"/>
        <v>0.12896475770925114</v>
      </c>
      <c r="K8" s="2">
        <f t="shared" si="1"/>
        <v>4.3573453800873647E-3</v>
      </c>
    </row>
    <row r="9" spans="4:11" x14ac:dyDescent="0.2">
      <c r="D9" s="8">
        <v>5</v>
      </c>
      <c r="E9" s="10">
        <f>'Workings for a and b'!B9</f>
        <v>1047</v>
      </c>
      <c r="F9" s="10">
        <f>'Workings for a and b'!C9</f>
        <v>12.05</v>
      </c>
      <c r="G9" s="9">
        <f>'Workings for a and b'!D9</f>
        <v>99.15</v>
      </c>
      <c r="H9" s="9">
        <f>'Workings for a and b'!E9</f>
        <v>1.87</v>
      </c>
      <c r="I9" s="12">
        <f t="shared" si="2"/>
        <v>0.11040629095674967</v>
      </c>
      <c r="J9" s="12">
        <f t="shared" si="0"/>
        <v>5.1741293532338887E-3</v>
      </c>
      <c r="K9" s="2">
        <f t="shared" si="1"/>
        <v>-7.7078353048483155E-4</v>
      </c>
    </row>
    <row r="10" spans="4:11" x14ac:dyDescent="0.2">
      <c r="D10" s="8">
        <v>6</v>
      </c>
      <c r="E10" s="10">
        <f>'Workings for a and b'!B10</f>
        <v>1221</v>
      </c>
      <c r="F10" s="10">
        <f>'Workings for a and b'!C10</f>
        <v>14.15</v>
      </c>
      <c r="G10" s="9">
        <f>'Workings for a and b'!D10</f>
        <v>95.5</v>
      </c>
      <c r="H10" s="9">
        <f>'Workings for a and b'!E10</f>
        <v>1.81</v>
      </c>
      <c r="I10" s="12">
        <f t="shared" si="2"/>
        <v>0.1797039159503343</v>
      </c>
      <c r="J10" s="12">
        <f t="shared" si="0"/>
        <v>-1.8557740796772623E-2</v>
      </c>
      <c r="K10" s="2">
        <f t="shared" si="1"/>
        <v>-5.170406437922704E-3</v>
      </c>
    </row>
    <row r="11" spans="4:11" x14ac:dyDescent="0.2">
      <c r="D11" s="8">
        <v>7</v>
      </c>
      <c r="E11" s="10">
        <f>'Workings for a and b'!B11</f>
        <v>1443.9</v>
      </c>
      <c r="F11" s="10">
        <f>'Workings for a and b'!C11</f>
        <v>17.2</v>
      </c>
      <c r="G11" s="9">
        <f>'Workings for a and b'!D11</f>
        <v>93.75</v>
      </c>
      <c r="H11" s="9">
        <f>'Workings for a and b'!E11</f>
        <v>1.79</v>
      </c>
      <c r="I11" s="12">
        <f t="shared" si="2"/>
        <v>0.1966420966420967</v>
      </c>
      <c r="J11" s="12">
        <f t="shared" si="0"/>
        <v>4.1884816753926738E-4</v>
      </c>
      <c r="K11" s="2">
        <f t="shared" si="1"/>
        <v>-3.9997997827297275E-3</v>
      </c>
    </row>
    <row r="12" spans="4:11" x14ac:dyDescent="0.2">
      <c r="D12" s="8">
        <v>8</v>
      </c>
      <c r="E12" s="10">
        <f>'Workings for a and b'!B12</f>
        <v>1263</v>
      </c>
      <c r="F12" s="10">
        <f>'Workings for a and b'!C12</f>
        <v>14.9</v>
      </c>
      <c r="G12" s="9">
        <f>'Workings for a and b'!D12</f>
        <v>80.3</v>
      </c>
      <c r="H12" s="9">
        <f>'Workings for a and b'!E12</f>
        <v>1.54</v>
      </c>
      <c r="I12" s="12">
        <f t="shared" si="2"/>
        <v>-0.11496641041623386</v>
      </c>
      <c r="J12" s="12">
        <f t="shared" si="0"/>
        <v>-0.12704000000000004</v>
      </c>
      <c r="K12" s="2">
        <f t="shared" si="1"/>
        <v>3.2835585120451628E-2</v>
      </c>
    </row>
    <row r="13" spans="4:11" x14ac:dyDescent="0.2">
      <c r="D13" s="8">
        <v>9</v>
      </c>
      <c r="E13" s="10">
        <f>'Workings for a and b'!B13</f>
        <v>1258</v>
      </c>
      <c r="F13" s="10">
        <f>'Workings for a and b'!C13</f>
        <v>13.8</v>
      </c>
      <c r="G13" s="9">
        <f>'Workings for a and b'!D13</f>
        <v>77.349999999999994</v>
      </c>
      <c r="H13" s="9">
        <f>'Workings for a and b'!E13</f>
        <v>1.49</v>
      </c>
      <c r="I13" s="12">
        <f t="shared" si="2"/>
        <v>6.9675376088677759E-3</v>
      </c>
      <c r="J13" s="12">
        <f t="shared" si="0"/>
        <v>-1.8181818181818219E-2</v>
      </c>
      <c r="K13" s="2">
        <f t="shared" si="1"/>
        <v>4.311527802480601E-3</v>
      </c>
    </row>
    <row r="14" spans="4:11" x14ac:dyDescent="0.2">
      <c r="D14" s="8">
        <v>10</v>
      </c>
      <c r="E14" s="10">
        <f>'Workings for a and b'!B14</f>
        <v>1526</v>
      </c>
      <c r="F14" s="10">
        <f>'Workings for a and b'!C14</f>
        <v>18.3</v>
      </c>
      <c r="G14" s="9">
        <f>'Workings for a and b'!D14</f>
        <v>76.55</v>
      </c>
      <c r="H14" s="9">
        <f>'Workings for a and b'!E14</f>
        <v>1.44</v>
      </c>
      <c r="I14" s="12">
        <f t="shared" si="2"/>
        <v>0.22758346581875993</v>
      </c>
      <c r="J14" s="12">
        <f t="shared" si="0"/>
        <v>8.274078862314193E-3</v>
      </c>
      <c r="K14" s="2">
        <f t="shared" si="1"/>
        <v>-4.0027012985771543E-3</v>
      </c>
    </row>
    <row r="15" spans="4:11" x14ac:dyDescent="0.2">
      <c r="D15" s="8">
        <v>11</v>
      </c>
      <c r="E15" s="10">
        <f>'Workings for a and b'!B15</f>
        <v>1616</v>
      </c>
      <c r="F15" s="10">
        <f>'Workings for a and b'!C15</f>
        <v>19.75</v>
      </c>
      <c r="G15" s="9">
        <f>'Workings for a and b'!D15</f>
        <v>78.45</v>
      </c>
      <c r="H15" s="9">
        <f>'Workings for a and b'!E15</f>
        <v>1.51</v>
      </c>
      <c r="I15" s="12">
        <f t="shared" si="2"/>
        <v>7.1920052424639586E-2</v>
      </c>
      <c r="J15" s="12">
        <f t="shared" si="0"/>
        <v>4.4546048334422023E-2</v>
      </c>
      <c r="K15" s="2">
        <f t="shared" si="1"/>
        <v>-1.1163838183349287E-4</v>
      </c>
    </row>
    <row r="16" spans="4:11" x14ac:dyDescent="0.2">
      <c r="D16" s="8">
        <v>12</v>
      </c>
      <c r="E16" s="10">
        <f>'Workings for a and b'!B16</f>
        <v>1624</v>
      </c>
      <c r="F16" s="10">
        <f>'Workings for a and b'!C16</f>
        <v>19.95</v>
      </c>
      <c r="G16" s="9">
        <f>'Workings for a and b'!D16</f>
        <v>79</v>
      </c>
      <c r="H16" s="9">
        <f>'Workings for a and b'!E16</f>
        <v>1.53</v>
      </c>
      <c r="I16" s="12">
        <f t="shared" si="2"/>
        <v>1.7295792079207919E-2</v>
      </c>
      <c r="J16" s="12">
        <f t="shared" si="0"/>
        <v>2.6513702995538527E-2</v>
      </c>
      <c r="K16" s="2">
        <f t="shared" si="1"/>
        <v>6.845976475653064E-4</v>
      </c>
    </row>
    <row r="17" spans="4:11" x14ac:dyDescent="0.2">
      <c r="D17" s="8">
        <v>13</v>
      </c>
      <c r="E17" s="10">
        <f>'Workings for a and b'!B17</f>
        <v>1560</v>
      </c>
      <c r="F17" s="10">
        <f>'Workings for a and b'!C17</f>
        <v>18.899999999999999</v>
      </c>
      <c r="G17" s="9">
        <f>'Workings for a and b'!D17</f>
        <v>81.75</v>
      </c>
      <c r="H17" s="9">
        <f>'Workings for a and b'!E17</f>
        <v>1.55</v>
      </c>
      <c r="I17" s="12">
        <f t="shared" si="2"/>
        <v>-2.7770935960591134E-2</v>
      </c>
      <c r="J17" s="12">
        <f t="shared" si="0"/>
        <v>5.4430379746835442E-2</v>
      </c>
      <c r="K17" s="2">
        <f t="shared" si="1"/>
        <v>-2.0357554959182303E-3</v>
      </c>
    </row>
    <row r="18" spans="4:11" x14ac:dyDescent="0.2">
      <c r="I18" s="7">
        <f>SUM(I6:I17)</f>
        <v>1.0296713027117743</v>
      </c>
      <c r="J18" s="7">
        <f>SUM(J6:J17)</f>
        <v>0.43807618322995856</v>
      </c>
      <c r="K18" s="4">
        <f>SUM(K6:K17)</f>
        <v>3.3091247081267303E-2</v>
      </c>
    </row>
    <row r="19" spans="4:11" x14ac:dyDescent="0.2">
      <c r="I19" s="14">
        <f>I18/12</f>
        <v>8.5805941892647855E-2</v>
      </c>
      <c r="J19" s="14">
        <f>J18/12</f>
        <v>3.6506348602496547E-2</v>
      </c>
    </row>
    <row r="20" spans="4:11" x14ac:dyDescent="0.2">
      <c r="I20" s="3" t="s">
        <v>15</v>
      </c>
      <c r="J20" s="3"/>
      <c r="K20" s="5">
        <f>K18/12</f>
        <v>2.757603923438942E-3</v>
      </c>
    </row>
    <row r="21" spans="4:11" ht="25.5" x14ac:dyDescent="0.2">
      <c r="I21" s="68" t="s">
        <v>24</v>
      </c>
      <c r="J21" s="1"/>
      <c r="K21" s="1">
        <f>K20/('Workings for a and b'!H21*'Workings for a and b'!I21)</f>
        <v>0.35234674891537077</v>
      </c>
    </row>
    <row r="22" spans="4:11" x14ac:dyDescent="0.2">
      <c r="J22" s="69" t="s">
        <v>25</v>
      </c>
      <c r="K22" s="70">
        <f>CORREL(I6:I17,J6:J17)</f>
        <v>0.35234674891537077</v>
      </c>
    </row>
  </sheetData>
  <sheetProtection algorithmName="SHA-512" hashValue="Fheh8DIPREEA8FIjQohI0ROfLv8Bg03lHM/X19tI1QsNwAuxaJIzI7MARnZmI4occoHDOQhE0SOmoNtqPIbT8Q==" saltValue="VRTBkpF3ICodIA73ppaNhA==" spinCount="100000" sheet="1" formatCells="0" formatColumns="0" formatRows="0" insertColumns="0" insertRows="0" insertHyperlinks="0" deleteColumns="0" deleteRows="0" sort="0" autoFilter="0" pivotTables="0"/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2</xdr:col>
                <xdr:colOff>438150</xdr:colOff>
                <xdr:row>29</xdr:row>
                <xdr:rowOff>85725</xdr:rowOff>
              </from>
              <to>
                <xdr:col>7</xdr:col>
                <xdr:colOff>409575</xdr:colOff>
                <xdr:row>31</xdr:row>
                <xdr:rowOff>19050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3</xdr:col>
                <xdr:colOff>123825</xdr:colOff>
                <xdr:row>32</xdr:row>
                <xdr:rowOff>28575</xdr:rowOff>
              </from>
              <to>
                <xdr:col>6</xdr:col>
                <xdr:colOff>238125</xdr:colOff>
                <xdr:row>33</xdr:row>
                <xdr:rowOff>104775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 for a and b</vt:lpstr>
      <vt:lpstr>Workings for d</vt:lpstr>
      <vt:lpstr>Sheet3</vt:lpstr>
    </vt:vector>
  </TitlesOfParts>
  <Company>Marion Iraninejad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Iraninejad</dc:creator>
  <cp:lastModifiedBy>James Tompson</cp:lastModifiedBy>
  <cp:lastPrinted>2008-12-08T22:01:48Z</cp:lastPrinted>
  <dcterms:created xsi:type="dcterms:W3CDTF">2008-12-07T21:29:07Z</dcterms:created>
  <dcterms:modified xsi:type="dcterms:W3CDTF">2019-04-11T00:58:35Z</dcterms:modified>
</cp:coreProperties>
</file>