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vsdx" ContentType="application/vnd.ms-visio.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havy\Desktop\Automated chessboard\100_Design\"/>
    </mc:Choice>
  </mc:AlternateContent>
  <xr:revisionPtr revIDLastSave="0" documentId="13_ncr:1_{6B72481F-D938-46E2-9E6D-855A9A593EE3}" xr6:coauthVersionLast="47" xr6:coauthVersionMax="47" xr10:uidLastSave="{00000000-0000-0000-0000-000000000000}"/>
  <bookViews>
    <workbookView xWindow="-120" yWindow="-120" windowWidth="29040" windowHeight="15720" tabRatio="757" xr2:uid="{00000000-000D-0000-FFFF-FFFF00000000}"/>
  </bookViews>
  <sheets>
    <sheet name="Mapping AT2560" sheetId="7" r:id="rId1"/>
    <sheet name="Power Tree" sheetId="1" r:id="rId2"/>
    <sheet name="Hall sensor matrix" sheetId="2" r:id="rId3"/>
    <sheet name="Hall sensor Calcul" sheetId="12" r:id="rId4"/>
    <sheet name="Motor Move" sheetId="3" r:id="rId5"/>
    <sheet name="StepMot" sheetId="10" r:id="rId6"/>
    <sheet name="StepMot Driver" sheetId="5" r:id="rId7"/>
    <sheet name="Magnet" sheetId="13" r:id="rId8"/>
    <sheet name="Square size" sheetId="4" r:id="rId9"/>
    <sheet name="Electromagnet1" sheetId="6" r:id="rId10"/>
    <sheet name="Electromagnet2" sheetId="14" r:id="rId11"/>
    <sheet name="Electromagnet Driver" sheetId="8" r:id="rId12"/>
    <sheet name="RAMP CONT 1,4" sheetId="9" r:id="rId13"/>
  </sheets>
  <definedNames>
    <definedName name="_xlnm._FilterDatabase" localSheetId="0" hidden="1">'Mapping AT2560'!$B$2:$F$2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" i="14" l="1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5" i="14"/>
  <c r="J11" i="14"/>
  <c r="K11" i="14"/>
  <c r="B61" i="14" s="1"/>
  <c r="B70" i="14"/>
  <c r="B78" i="14"/>
  <c r="B86" i="14"/>
  <c r="B94" i="14"/>
  <c r="B102" i="14"/>
  <c r="B110" i="14"/>
  <c r="B115" i="14"/>
  <c r="B118" i="14"/>
  <c r="B123" i="14"/>
  <c r="B126" i="14"/>
  <c r="B131" i="14"/>
  <c r="B134" i="14"/>
  <c r="B139" i="14"/>
  <c r="B142" i="14"/>
  <c r="B147" i="14"/>
  <c r="B150" i="14"/>
  <c r="B155" i="14"/>
  <c r="B158" i="14"/>
  <c r="B163" i="14"/>
  <c r="B166" i="14"/>
  <c r="B171" i="14"/>
  <c r="B174" i="14"/>
  <c r="B179" i="14"/>
  <c r="B182" i="14"/>
  <c r="B187" i="14"/>
  <c r="B190" i="14"/>
  <c r="B195" i="14"/>
  <c r="B198" i="14"/>
  <c r="B203" i="14"/>
  <c r="B206" i="14"/>
  <c r="B211" i="14"/>
  <c r="B214" i="14"/>
  <c r="B219" i="14"/>
  <c r="B222" i="14"/>
  <c r="B227" i="14"/>
  <c r="B230" i="14"/>
  <c r="B50" i="14"/>
  <c r="B47" i="14"/>
  <c r="B42" i="14"/>
  <c r="B39" i="14"/>
  <c r="B34" i="14"/>
  <c r="B31" i="14"/>
  <c r="K5" i="14"/>
  <c r="B24" i="14"/>
  <c r="J14" i="14"/>
  <c r="B20" i="14"/>
  <c r="B17" i="14"/>
  <c r="B12" i="14"/>
  <c r="B9" i="14"/>
  <c r="G21" i="6"/>
  <c r="G20" i="6"/>
  <c r="G12" i="6"/>
  <c r="G13" i="6" s="1"/>
  <c r="G9" i="6"/>
  <c r="G25" i="6" s="1"/>
  <c r="B13" i="6"/>
  <c r="B14" i="6" s="1"/>
  <c r="B15" i="6" s="1"/>
  <c r="B11" i="14" l="1"/>
  <c r="B19" i="14"/>
  <c r="B26" i="14"/>
  <c r="B33" i="14"/>
  <c r="B41" i="14"/>
  <c r="B49" i="14"/>
  <c r="B228" i="14"/>
  <c r="B220" i="14"/>
  <c r="B212" i="14"/>
  <c r="B204" i="14"/>
  <c r="B196" i="14"/>
  <c r="B188" i="14"/>
  <c r="B180" i="14"/>
  <c r="B172" i="14"/>
  <c r="B164" i="14"/>
  <c r="B156" i="14"/>
  <c r="B148" i="14"/>
  <c r="B140" i="14"/>
  <c r="B132" i="14"/>
  <c r="B124" i="14"/>
  <c r="B116" i="14"/>
  <c r="B108" i="14"/>
  <c r="B100" i="14"/>
  <c r="B92" i="14"/>
  <c r="C92" i="14" s="1"/>
  <c r="D92" i="14" s="1"/>
  <c r="B84" i="14"/>
  <c r="C84" i="14" s="1"/>
  <c r="D84" i="14" s="1"/>
  <c r="E84" i="14" s="1"/>
  <c r="B76" i="14"/>
  <c r="B68" i="14"/>
  <c r="B60" i="14"/>
  <c r="B67" i="14"/>
  <c r="B5" i="14"/>
  <c r="B13" i="14"/>
  <c r="B21" i="14"/>
  <c r="B27" i="14"/>
  <c r="B35" i="14"/>
  <c r="B43" i="14"/>
  <c r="B51" i="14"/>
  <c r="B226" i="14"/>
  <c r="C226" i="14" s="1"/>
  <c r="D226" i="14" s="1"/>
  <c r="E226" i="14" s="1"/>
  <c r="B218" i="14"/>
  <c r="B210" i="14"/>
  <c r="B202" i="14"/>
  <c r="B194" i="14"/>
  <c r="B186" i="14"/>
  <c r="B178" i="14"/>
  <c r="B170" i="14"/>
  <c r="B162" i="14"/>
  <c r="B154" i="14"/>
  <c r="B146" i="14"/>
  <c r="B138" i="14"/>
  <c r="B130" i="14"/>
  <c r="B122" i="14"/>
  <c r="B114" i="14"/>
  <c r="B106" i="14"/>
  <c r="B98" i="14"/>
  <c r="C98" i="14" s="1"/>
  <c r="D98" i="14" s="1"/>
  <c r="E98" i="14" s="1"/>
  <c r="B90" i="14"/>
  <c r="B82" i="14"/>
  <c r="B74" i="14"/>
  <c r="B66" i="14"/>
  <c r="C66" i="14" s="1"/>
  <c r="D66" i="14" s="1"/>
  <c r="B58" i="14"/>
  <c r="B107" i="14"/>
  <c r="B99" i="14"/>
  <c r="B83" i="14"/>
  <c r="B75" i="14"/>
  <c r="B59" i="14"/>
  <c r="B6" i="14"/>
  <c r="B14" i="14"/>
  <c r="B22" i="14"/>
  <c r="B28" i="14"/>
  <c r="B36" i="14"/>
  <c r="B44" i="14"/>
  <c r="B52" i="14"/>
  <c r="B225" i="14"/>
  <c r="B217" i="14"/>
  <c r="B209" i="14"/>
  <c r="B201" i="14"/>
  <c r="B193" i="14"/>
  <c r="B185" i="14"/>
  <c r="B177" i="14"/>
  <c r="B169" i="14"/>
  <c r="B161" i="14"/>
  <c r="B153" i="14"/>
  <c r="B145" i="14"/>
  <c r="C145" i="14" s="1"/>
  <c r="D145" i="14" s="1"/>
  <c r="B137" i="14"/>
  <c r="B129" i="14"/>
  <c r="B121" i="14"/>
  <c r="B113" i="14"/>
  <c r="C113" i="14" s="1"/>
  <c r="D113" i="14" s="1"/>
  <c r="B105" i="14"/>
  <c r="B97" i="14"/>
  <c r="B89" i="14"/>
  <c r="C89" i="14" s="1"/>
  <c r="D89" i="14" s="1"/>
  <c r="E89" i="14" s="1"/>
  <c r="F89" i="14" s="1"/>
  <c r="H89" i="14" s="1"/>
  <c r="B81" i="14"/>
  <c r="C81" i="14" s="1"/>
  <c r="D81" i="14" s="1"/>
  <c r="B73" i="14"/>
  <c r="B65" i="14"/>
  <c r="B57" i="14"/>
  <c r="C59" i="14"/>
  <c r="D59" i="14" s="1"/>
  <c r="G59" i="14" s="1"/>
  <c r="B29" i="14"/>
  <c r="B37" i="14"/>
  <c r="B45" i="14"/>
  <c r="B53" i="14"/>
  <c r="B224" i="14"/>
  <c r="B216" i="14"/>
  <c r="B208" i="14"/>
  <c r="B200" i="14"/>
  <c r="C200" i="14" s="1"/>
  <c r="D200" i="14" s="1"/>
  <c r="B192" i="14"/>
  <c r="B184" i="14"/>
  <c r="B176" i="14"/>
  <c r="B168" i="14"/>
  <c r="B160" i="14"/>
  <c r="B152" i="14"/>
  <c r="B144" i="14"/>
  <c r="B136" i="14"/>
  <c r="B128" i="14"/>
  <c r="B120" i="14"/>
  <c r="B112" i="14"/>
  <c r="B104" i="14"/>
  <c r="B96" i="14"/>
  <c r="B88" i="14"/>
  <c r="B80" i="14"/>
  <c r="B72" i="14"/>
  <c r="B64" i="14"/>
  <c r="B56" i="14"/>
  <c r="B91" i="14"/>
  <c r="B7" i="14"/>
  <c r="B15" i="14"/>
  <c r="B8" i="14"/>
  <c r="B16" i="14"/>
  <c r="B23" i="14"/>
  <c r="B30" i="14"/>
  <c r="B38" i="14"/>
  <c r="B46" i="14"/>
  <c r="B54" i="14"/>
  <c r="B223" i="14"/>
  <c r="B215" i="14"/>
  <c r="B207" i="14"/>
  <c r="B199" i="14"/>
  <c r="C199" i="14" s="1"/>
  <c r="D199" i="14" s="1"/>
  <c r="B191" i="14"/>
  <c r="B183" i="14"/>
  <c r="B175" i="14"/>
  <c r="B167" i="14"/>
  <c r="C167" i="14" s="1"/>
  <c r="D167" i="14" s="1"/>
  <c r="B159" i="14"/>
  <c r="B151" i="14"/>
  <c r="B143" i="14"/>
  <c r="B135" i="14"/>
  <c r="B127" i="14"/>
  <c r="C127" i="14" s="1"/>
  <c r="D127" i="14" s="1"/>
  <c r="B119" i="14"/>
  <c r="C119" i="14" s="1"/>
  <c r="D119" i="14" s="1"/>
  <c r="B111" i="14"/>
  <c r="B103" i="14"/>
  <c r="B95" i="14"/>
  <c r="B87" i="14"/>
  <c r="B79" i="14"/>
  <c r="B71" i="14"/>
  <c r="C71" i="14" s="1"/>
  <c r="D71" i="14" s="1"/>
  <c r="B63" i="14"/>
  <c r="B55" i="14"/>
  <c r="B62" i="14"/>
  <c r="B10" i="14"/>
  <c r="B18" i="14"/>
  <c r="B25" i="14"/>
  <c r="B32" i="14"/>
  <c r="B40" i="14"/>
  <c r="B48" i="14"/>
  <c r="B229" i="14"/>
  <c r="B221" i="14"/>
  <c r="B213" i="14"/>
  <c r="C213" i="14" s="1"/>
  <c r="D213" i="14" s="1"/>
  <c r="B205" i="14"/>
  <c r="B197" i="14"/>
  <c r="B189" i="14"/>
  <c r="B181" i="14"/>
  <c r="B173" i="14"/>
  <c r="B165" i="14"/>
  <c r="C165" i="14" s="1"/>
  <c r="D165" i="14" s="1"/>
  <c r="B157" i="14"/>
  <c r="C157" i="14" s="1"/>
  <c r="D157" i="14" s="1"/>
  <c r="E157" i="14" s="1"/>
  <c r="B149" i="14"/>
  <c r="B141" i="14"/>
  <c r="B133" i="14"/>
  <c r="B125" i="14"/>
  <c r="B117" i="14"/>
  <c r="B109" i="14"/>
  <c r="B101" i="14"/>
  <c r="B93" i="14"/>
  <c r="B85" i="14"/>
  <c r="B77" i="14"/>
  <c r="B69" i="14"/>
  <c r="C222" i="14"/>
  <c r="D222" i="14" s="1"/>
  <c r="G222" i="14" s="1"/>
  <c r="C183" i="14"/>
  <c r="D183" i="14" s="1"/>
  <c r="C176" i="14"/>
  <c r="D176" i="14" s="1"/>
  <c r="E176" i="14" s="1"/>
  <c r="F176" i="14" s="1"/>
  <c r="H176" i="14" s="1"/>
  <c r="C155" i="14"/>
  <c r="D155" i="14" s="1"/>
  <c r="C134" i="14"/>
  <c r="D134" i="14" s="1"/>
  <c r="C215" i="14"/>
  <c r="D215" i="14" s="1"/>
  <c r="C208" i="14"/>
  <c r="D208" i="14" s="1"/>
  <c r="C169" i="14"/>
  <c r="D169" i="14" s="1"/>
  <c r="G169" i="14" s="1"/>
  <c r="C162" i="14"/>
  <c r="D162" i="14" s="1"/>
  <c r="G162" i="14" s="1"/>
  <c r="C154" i="14"/>
  <c r="D154" i="14" s="1"/>
  <c r="C118" i="14"/>
  <c r="D118" i="14" s="1"/>
  <c r="C74" i="14"/>
  <c r="D74" i="14" s="1"/>
  <c r="C201" i="14"/>
  <c r="D201" i="14" s="1"/>
  <c r="C139" i="14"/>
  <c r="D139" i="14" s="1"/>
  <c r="C106" i="14"/>
  <c r="D106" i="14" s="1"/>
  <c r="G106" i="14" s="1"/>
  <c r="C99" i="14"/>
  <c r="D99" i="14" s="1"/>
  <c r="C229" i="14"/>
  <c r="D229" i="14" s="1"/>
  <c r="C186" i="14"/>
  <c r="D186" i="14" s="1"/>
  <c r="E186" i="14" s="1"/>
  <c r="C179" i="14"/>
  <c r="D179" i="14" s="1"/>
  <c r="C116" i="14"/>
  <c r="D116" i="14" s="1"/>
  <c r="C218" i="14"/>
  <c r="D218" i="14" s="1"/>
  <c r="E218" i="14" s="1"/>
  <c r="C211" i="14"/>
  <c r="D211" i="14" s="1"/>
  <c r="C172" i="14"/>
  <c r="D172" i="14" s="1"/>
  <c r="C150" i="14"/>
  <c r="D150" i="14" s="1"/>
  <c r="C204" i="14"/>
  <c r="D204" i="14" s="1"/>
  <c r="C197" i="14"/>
  <c r="D197" i="14" s="1"/>
  <c r="C190" i="14"/>
  <c r="D190" i="14" s="1"/>
  <c r="C164" i="14"/>
  <c r="D164" i="14" s="1"/>
  <c r="C102" i="14"/>
  <c r="D102" i="14" s="1"/>
  <c r="C96" i="14"/>
  <c r="D96" i="14" s="1"/>
  <c r="C77" i="14"/>
  <c r="D77" i="14" s="1"/>
  <c r="C69" i="14"/>
  <c r="D69" i="14" s="1"/>
  <c r="C62" i="14"/>
  <c r="D62" i="14" s="1"/>
  <c r="C214" i="14"/>
  <c r="D214" i="14" s="1"/>
  <c r="G214" i="14" s="1"/>
  <c r="C207" i="14"/>
  <c r="D207" i="14" s="1"/>
  <c r="C203" i="14"/>
  <c r="D203" i="14" s="1"/>
  <c r="C196" i="14"/>
  <c r="D196" i="14" s="1"/>
  <c r="C189" i="14"/>
  <c r="D189" i="14" s="1"/>
  <c r="C182" i="14"/>
  <c r="D182" i="14" s="1"/>
  <c r="C175" i="14"/>
  <c r="D175" i="14" s="1"/>
  <c r="C171" i="14"/>
  <c r="D171" i="14" s="1"/>
  <c r="C168" i="14"/>
  <c r="D168" i="14" s="1"/>
  <c r="C161" i="14"/>
  <c r="D161" i="14" s="1"/>
  <c r="C144" i="14"/>
  <c r="D144" i="14" s="1"/>
  <c r="C133" i="14"/>
  <c r="D133" i="14" s="1"/>
  <c r="C124" i="14"/>
  <c r="D124" i="14" s="1"/>
  <c r="E124" i="14" s="1"/>
  <c r="C122" i="14"/>
  <c r="D122" i="14" s="1"/>
  <c r="E122" i="14" s="1"/>
  <c r="C101" i="14"/>
  <c r="D101" i="14" s="1"/>
  <c r="C95" i="14"/>
  <c r="D95" i="14" s="1"/>
  <c r="C88" i="14"/>
  <c r="D88" i="14" s="1"/>
  <c r="C73" i="14"/>
  <c r="D73" i="14" s="1"/>
  <c r="C61" i="14"/>
  <c r="D61" i="14" s="1"/>
  <c r="C58" i="14"/>
  <c r="D58" i="14" s="1"/>
  <c r="C221" i="14"/>
  <c r="D221" i="14" s="1"/>
  <c r="C210" i="14"/>
  <c r="D210" i="14" s="1"/>
  <c r="E210" i="14" s="1"/>
  <c r="C193" i="14"/>
  <c r="D193" i="14" s="1"/>
  <c r="E193" i="14" s="1"/>
  <c r="C178" i="14"/>
  <c r="D178" i="14" s="1"/>
  <c r="E178" i="14" s="1"/>
  <c r="C153" i="14"/>
  <c r="D153" i="14" s="1"/>
  <c r="E153" i="14" s="1"/>
  <c r="C147" i="14"/>
  <c r="D147" i="14" s="1"/>
  <c r="E147" i="14" s="1"/>
  <c r="C141" i="14"/>
  <c r="D141" i="14" s="1"/>
  <c r="E141" i="14" s="1"/>
  <c r="C138" i="14"/>
  <c r="D138" i="14" s="1"/>
  <c r="C130" i="14"/>
  <c r="D130" i="14" s="1"/>
  <c r="E130" i="14" s="1"/>
  <c r="C126" i="14"/>
  <c r="D126" i="14" s="1"/>
  <c r="C112" i="14"/>
  <c r="D112" i="14" s="1"/>
  <c r="E112" i="14" s="1"/>
  <c r="F112" i="14" s="1"/>
  <c r="H112" i="14" s="1"/>
  <c r="C108" i="14"/>
  <c r="D108" i="14" s="1"/>
  <c r="E108" i="14" s="1"/>
  <c r="C105" i="14"/>
  <c r="D105" i="14" s="1"/>
  <c r="C94" i="14"/>
  <c r="D94" i="14" s="1"/>
  <c r="C80" i="14"/>
  <c r="D80" i="14" s="1"/>
  <c r="C76" i="14"/>
  <c r="D76" i="14" s="1"/>
  <c r="E76" i="14" s="1"/>
  <c r="C65" i="14"/>
  <c r="D65" i="14" s="1"/>
  <c r="G65" i="14" s="1"/>
  <c r="C228" i="14"/>
  <c r="D228" i="14" s="1"/>
  <c r="E228" i="14" s="1"/>
  <c r="C225" i="14"/>
  <c r="D225" i="14" s="1"/>
  <c r="G225" i="14" s="1"/>
  <c r="C220" i="14"/>
  <c r="D220" i="14" s="1"/>
  <c r="C206" i="14"/>
  <c r="D206" i="14" s="1"/>
  <c r="C195" i="14"/>
  <c r="D195" i="14" s="1"/>
  <c r="C192" i="14"/>
  <c r="D192" i="14" s="1"/>
  <c r="C188" i="14"/>
  <c r="D188" i="14" s="1"/>
  <c r="C181" i="14"/>
  <c r="D181" i="14" s="1"/>
  <c r="C174" i="14"/>
  <c r="D174" i="14" s="1"/>
  <c r="C160" i="14"/>
  <c r="D160" i="14" s="1"/>
  <c r="C149" i="14"/>
  <c r="D149" i="14" s="1"/>
  <c r="E149" i="14" s="1"/>
  <c r="C137" i="14"/>
  <c r="D137" i="14" s="1"/>
  <c r="C132" i="14"/>
  <c r="D132" i="14" s="1"/>
  <c r="C121" i="14"/>
  <c r="D121" i="14" s="1"/>
  <c r="G121" i="14" s="1"/>
  <c r="C117" i="14"/>
  <c r="D117" i="14" s="1"/>
  <c r="E117" i="14" s="1"/>
  <c r="C115" i="14"/>
  <c r="D115" i="14" s="1"/>
  <c r="E115" i="14" s="1"/>
  <c r="C111" i="14"/>
  <c r="D111" i="14" s="1"/>
  <c r="C91" i="14"/>
  <c r="D91" i="14" s="1"/>
  <c r="E91" i="14" s="1"/>
  <c r="C87" i="14"/>
  <c r="D87" i="14" s="1"/>
  <c r="G87" i="14" s="1"/>
  <c r="C83" i="14"/>
  <c r="D83" i="14" s="1"/>
  <c r="C72" i="14"/>
  <c r="D72" i="14" s="1"/>
  <c r="C68" i="14"/>
  <c r="D68" i="14" s="1"/>
  <c r="E68" i="14" s="1"/>
  <c r="C57" i="14"/>
  <c r="D57" i="14" s="1"/>
  <c r="C224" i="14"/>
  <c r="D224" i="14" s="1"/>
  <c r="C217" i="14"/>
  <c r="D217" i="14" s="1"/>
  <c r="E217" i="14" s="1"/>
  <c r="C202" i="14"/>
  <c r="D202" i="14" s="1"/>
  <c r="E202" i="14" s="1"/>
  <c r="C185" i="14"/>
  <c r="D185" i="14" s="1"/>
  <c r="E185" i="14" s="1"/>
  <c r="C170" i="14"/>
  <c r="D170" i="14" s="1"/>
  <c r="E170" i="14" s="1"/>
  <c r="C163" i="14"/>
  <c r="D163" i="14" s="1"/>
  <c r="E163" i="14" s="1"/>
  <c r="C159" i="14"/>
  <c r="D159" i="14" s="1"/>
  <c r="C152" i="14"/>
  <c r="D152" i="14" s="1"/>
  <c r="C129" i="14"/>
  <c r="D129" i="14" s="1"/>
  <c r="C110" i="14"/>
  <c r="D110" i="14" s="1"/>
  <c r="C104" i="14"/>
  <c r="D104" i="14" s="1"/>
  <c r="C100" i="14"/>
  <c r="D100" i="14" s="1"/>
  <c r="E100" i="14" s="1"/>
  <c r="C86" i="14"/>
  <c r="D86" i="14" s="1"/>
  <c r="C79" i="14"/>
  <c r="D79" i="14" s="1"/>
  <c r="C75" i="14"/>
  <c r="D75" i="14" s="1"/>
  <c r="C64" i="14"/>
  <c r="D64" i="14" s="1"/>
  <c r="C60" i="14"/>
  <c r="D60" i="14" s="1"/>
  <c r="E60" i="14" s="1"/>
  <c r="C227" i="14"/>
  <c r="D227" i="14" s="1"/>
  <c r="C219" i="14"/>
  <c r="D219" i="14" s="1"/>
  <c r="C216" i="14"/>
  <c r="D216" i="14" s="1"/>
  <c r="C212" i="14"/>
  <c r="D212" i="14" s="1"/>
  <c r="C205" i="14"/>
  <c r="D205" i="14" s="1"/>
  <c r="C198" i="14"/>
  <c r="D198" i="14" s="1"/>
  <c r="C191" i="14"/>
  <c r="D191" i="14" s="1"/>
  <c r="C187" i="14"/>
  <c r="D187" i="14" s="1"/>
  <c r="C184" i="14"/>
  <c r="D184" i="14" s="1"/>
  <c r="C180" i="14"/>
  <c r="D180" i="14" s="1"/>
  <c r="C173" i="14"/>
  <c r="D173" i="14" s="1"/>
  <c r="C166" i="14"/>
  <c r="D166" i="14" s="1"/>
  <c r="C156" i="14"/>
  <c r="D156" i="14" s="1"/>
  <c r="C146" i="14"/>
  <c r="D146" i="14" s="1"/>
  <c r="C143" i="14"/>
  <c r="D143" i="14" s="1"/>
  <c r="E143" i="14" s="1"/>
  <c r="C136" i="14"/>
  <c r="D136" i="14" s="1"/>
  <c r="C125" i="14"/>
  <c r="D125" i="14" s="1"/>
  <c r="E125" i="14" s="1"/>
  <c r="C123" i="14"/>
  <c r="D123" i="14" s="1"/>
  <c r="E123" i="14" s="1"/>
  <c r="C120" i="14"/>
  <c r="D120" i="14" s="1"/>
  <c r="C107" i="14"/>
  <c r="D107" i="14" s="1"/>
  <c r="E107" i="14" s="1"/>
  <c r="C97" i="14"/>
  <c r="D97" i="14" s="1"/>
  <c r="C93" i="14"/>
  <c r="D93" i="14" s="1"/>
  <c r="C90" i="14"/>
  <c r="D90" i="14" s="1"/>
  <c r="C78" i="14"/>
  <c r="D78" i="14" s="1"/>
  <c r="C67" i="14"/>
  <c r="D67" i="14" s="1"/>
  <c r="C56" i="14"/>
  <c r="D56" i="14" s="1"/>
  <c r="C230" i="14"/>
  <c r="D230" i="14" s="1"/>
  <c r="C223" i="14"/>
  <c r="D223" i="14" s="1"/>
  <c r="G223" i="14" s="1"/>
  <c r="C209" i="14"/>
  <c r="D209" i="14" s="1"/>
  <c r="E209" i="14" s="1"/>
  <c r="C194" i="14"/>
  <c r="D194" i="14" s="1"/>
  <c r="E194" i="14" s="1"/>
  <c r="C177" i="14"/>
  <c r="D177" i="14" s="1"/>
  <c r="E177" i="14" s="1"/>
  <c r="C158" i="14"/>
  <c r="D158" i="14" s="1"/>
  <c r="E158" i="14" s="1"/>
  <c r="C151" i="14"/>
  <c r="D151" i="14" s="1"/>
  <c r="C148" i="14"/>
  <c r="D148" i="14" s="1"/>
  <c r="C142" i="14"/>
  <c r="D142" i="14" s="1"/>
  <c r="C140" i="14"/>
  <c r="D140" i="14" s="1"/>
  <c r="E140" i="14" s="1"/>
  <c r="C135" i="14"/>
  <c r="D135" i="14" s="1"/>
  <c r="C131" i="14"/>
  <c r="D131" i="14" s="1"/>
  <c r="E131" i="14" s="1"/>
  <c r="C128" i="14"/>
  <c r="D128" i="14" s="1"/>
  <c r="C114" i="14"/>
  <c r="D114" i="14" s="1"/>
  <c r="C109" i="14"/>
  <c r="D109" i="14" s="1"/>
  <c r="C103" i="14"/>
  <c r="D103" i="14" s="1"/>
  <c r="C85" i="14"/>
  <c r="D85" i="14" s="1"/>
  <c r="C82" i="14"/>
  <c r="D82" i="14" s="1"/>
  <c r="C70" i="14"/>
  <c r="D70" i="14" s="1"/>
  <c r="C63" i="14"/>
  <c r="D63" i="14" s="1"/>
  <c r="C55" i="14"/>
  <c r="D55" i="14" s="1"/>
  <c r="C16" i="14"/>
  <c r="D16" i="14" s="1"/>
  <c r="C15" i="14"/>
  <c r="D15" i="14" s="1"/>
  <c r="E15" i="14" s="1"/>
  <c r="C11" i="14"/>
  <c r="D11" i="14" s="1"/>
  <c r="E11" i="14" s="1"/>
  <c r="C48" i="14"/>
  <c r="D48" i="14" s="1"/>
  <c r="C14" i="14"/>
  <c r="D14" i="14" s="1"/>
  <c r="C20" i="14"/>
  <c r="D20" i="14" s="1"/>
  <c r="C8" i="14"/>
  <c r="D8" i="14" s="1"/>
  <c r="C22" i="14"/>
  <c r="D22" i="14" s="1"/>
  <c r="C28" i="14"/>
  <c r="D28" i="14" s="1"/>
  <c r="E28" i="14" s="1"/>
  <c r="C36" i="14"/>
  <c r="D36" i="14" s="1"/>
  <c r="E36" i="14" s="1"/>
  <c r="C10" i="14"/>
  <c r="D10" i="14" s="1"/>
  <c r="E10" i="14" s="1"/>
  <c r="C17" i="14"/>
  <c r="D17" i="14" s="1"/>
  <c r="C33" i="14"/>
  <c r="D33" i="14" s="1"/>
  <c r="E33" i="14" s="1"/>
  <c r="C9" i="14"/>
  <c r="D9" i="14" s="1"/>
  <c r="C21" i="14"/>
  <c r="D21" i="14" s="1"/>
  <c r="C34" i="14"/>
  <c r="D34" i="14" s="1"/>
  <c r="C42" i="14"/>
  <c r="D42" i="14" s="1"/>
  <c r="C35" i="14"/>
  <c r="D35" i="14" s="1"/>
  <c r="E35" i="14" s="1"/>
  <c r="C5" i="14"/>
  <c r="D5" i="14" s="1"/>
  <c r="C23" i="14"/>
  <c r="D23" i="14" s="1"/>
  <c r="C30" i="14"/>
  <c r="D30" i="14" s="1"/>
  <c r="E30" i="14" s="1"/>
  <c r="C38" i="14"/>
  <c r="D38" i="14" s="1"/>
  <c r="E38" i="14" s="1"/>
  <c r="C6" i="14"/>
  <c r="D6" i="14" s="1"/>
  <c r="C12" i="14"/>
  <c r="D12" i="14" s="1"/>
  <c r="E12" i="14" s="1"/>
  <c r="C18" i="14"/>
  <c r="D18" i="14" s="1"/>
  <c r="C46" i="14"/>
  <c r="D46" i="14" s="1"/>
  <c r="E46" i="14" s="1"/>
  <c r="C53" i="14"/>
  <c r="D53" i="14" s="1"/>
  <c r="C7" i="14"/>
  <c r="D7" i="14" s="1"/>
  <c r="E7" i="14" s="1"/>
  <c r="C13" i="14"/>
  <c r="D13" i="14" s="1"/>
  <c r="C32" i="14"/>
  <c r="D32" i="14" s="1"/>
  <c r="E32" i="14" s="1"/>
  <c r="C40" i="14"/>
  <c r="D40" i="14" s="1"/>
  <c r="C47" i="14"/>
  <c r="D47" i="14" s="1"/>
  <c r="E47" i="14" s="1"/>
  <c r="C54" i="14"/>
  <c r="D54" i="14" s="1"/>
  <c r="C19" i="14"/>
  <c r="D19" i="14" s="1"/>
  <c r="C24" i="14"/>
  <c r="D24" i="14" s="1"/>
  <c r="C37" i="14"/>
  <c r="D37" i="14" s="1"/>
  <c r="C43" i="14"/>
  <c r="D43" i="14" s="1"/>
  <c r="E43" i="14" s="1"/>
  <c r="C49" i="14"/>
  <c r="D49" i="14" s="1"/>
  <c r="E49" i="14" s="1"/>
  <c r="C25" i="14"/>
  <c r="D25" i="14" s="1"/>
  <c r="E25" i="14" s="1"/>
  <c r="C31" i="14"/>
  <c r="D31" i="14" s="1"/>
  <c r="C44" i="14"/>
  <c r="D44" i="14" s="1"/>
  <c r="E44" i="14" s="1"/>
  <c r="C50" i="14"/>
  <c r="D50" i="14" s="1"/>
  <c r="C45" i="14"/>
  <c r="D45" i="14" s="1"/>
  <c r="C51" i="14"/>
  <c r="D51" i="14" s="1"/>
  <c r="E51" i="14" s="1"/>
  <c r="C39" i="14"/>
  <c r="D39" i="14" s="1"/>
  <c r="E39" i="14" s="1"/>
  <c r="C52" i="14"/>
  <c r="D52" i="14" s="1"/>
  <c r="E52" i="14" s="1"/>
  <c r="C29" i="14"/>
  <c r="D29" i="14" s="1"/>
  <c r="E29" i="14" s="1"/>
  <c r="C41" i="14"/>
  <c r="D41" i="14" s="1"/>
  <c r="E41" i="14" s="1"/>
  <c r="L14" i="14"/>
  <c r="C26" i="14"/>
  <c r="D26" i="14" s="1"/>
  <c r="E26" i="14" s="1"/>
  <c r="C27" i="14"/>
  <c r="D27" i="14" s="1"/>
  <c r="E27" i="14" s="1"/>
  <c r="G16" i="6"/>
  <c r="G17" i="6" s="1"/>
  <c r="G24" i="6" s="1"/>
  <c r="G15" i="6"/>
  <c r="B17" i="6"/>
  <c r="B16" i="6"/>
  <c r="D5" i="1"/>
  <c r="D13" i="1"/>
  <c r="F5" i="1"/>
  <c r="G5" i="1" s="1"/>
  <c r="F13" i="1"/>
  <c r="C6" i="1"/>
  <c r="F6" i="1" s="1"/>
  <c r="G6" i="1" s="1"/>
  <c r="D18" i="1"/>
  <c r="D19" i="1"/>
  <c r="F19" i="1"/>
  <c r="G19" i="1" s="1"/>
  <c r="F18" i="1"/>
  <c r="G18" i="1" s="1"/>
  <c r="D45" i="4"/>
  <c r="J23" i="10"/>
  <c r="J22" i="10"/>
  <c r="I24" i="10"/>
  <c r="J24" i="10" s="1"/>
  <c r="C6" i="12"/>
  <c r="C12" i="12" s="1"/>
  <c r="J9" i="10"/>
  <c r="J15" i="10" s="1"/>
  <c r="E59" i="14" l="1"/>
  <c r="F59" i="14" s="1"/>
  <c r="H59" i="14" s="1"/>
  <c r="G89" i="14"/>
  <c r="G112" i="14"/>
  <c r="G176" i="14"/>
  <c r="G31" i="14"/>
  <c r="E31" i="14"/>
  <c r="G22" i="14"/>
  <c r="E22" i="14"/>
  <c r="E129" i="14"/>
  <c r="F129" i="14" s="1"/>
  <c r="H129" i="14" s="1"/>
  <c r="E160" i="14"/>
  <c r="F160" i="14" s="1"/>
  <c r="H160" i="14" s="1"/>
  <c r="E73" i="14"/>
  <c r="F73" i="14" s="1"/>
  <c r="H73" i="14" s="1"/>
  <c r="E172" i="14"/>
  <c r="F172" i="14" s="1"/>
  <c r="H172" i="14" s="1"/>
  <c r="E90" i="14"/>
  <c r="F90" i="14" s="1"/>
  <c r="H90" i="14" s="1"/>
  <c r="G64" i="14"/>
  <c r="E64" i="14"/>
  <c r="F64" i="14" s="1"/>
  <c r="H64" i="14" s="1"/>
  <c r="G144" i="14"/>
  <c r="E144" i="14"/>
  <c r="F144" i="14" s="1"/>
  <c r="H144" i="14" s="1"/>
  <c r="G134" i="14"/>
  <c r="E134" i="14"/>
  <c r="F134" i="14" s="1"/>
  <c r="H134" i="14" s="1"/>
  <c r="G9" i="14"/>
  <c r="E9" i="14"/>
  <c r="G99" i="14"/>
  <c r="E99" i="14"/>
  <c r="F99" i="14" s="1"/>
  <c r="H99" i="14" s="1"/>
  <c r="G13" i="14"/>
  <c r="E13" i="14"/>
  <c r="G14" i="14"/>
  <c r="E14" i="14"/>
  <c r="E85" i="14"/>
  <c r="F85" i="14" s="1"/>
  <c r="H85" i="14" s="1"/>
  <c r="E142" i="14"/>
  <c r="F142" i="14" s="1"/>
  <c r="H142" i="14" s="1"/>
  <c r="E223" i="14"/>
  <c r="F223" i="14" s="1"/>
  <c r="H223" i="14" s="1"/>
  <c r="E97" i="14"/>
  <c r="F97" i="14" s="1"/>
  <c r="H97" i="14" s="1"/>
  <c r="E156" i="14"/>
  <c r="F156" i="14" s="1"/>
  <c r="H156" i="14" s="1"/>
  <c r="E205" i="14"/>
  <c r="F205" i="14" s="1"/>
  <c r="H205" i="14" s="1"/>
  <c r="G79" i="14"/>
  <c r="E79" i="14"/>
  <c r="F79" i="14" s="1"/>
  <c r="H79" i="14" s="1"/>
  <c r="G72" i="14"/>
  <c r="E72" i="14"/>
  <c r="F72" i="14" s="1"/>
  <c r="H72" i="14" s="1"/>
  <c r="E121" i="14"/>
  <c r="F121" i="14" s="1"/>
  <c r="H121" i="14" s="1"/>
  <c r="G181" i="14"/>
  <c r="E181" i="14"/>
  <c r="F181" i="14" s="1"/>
  <c r="H181" i="14" s="1"/>
  <c r="E225" i="14"/>
  <c r="F225" i="14" s="1"/>
  <c r="H225" i="14" s="1"/>
  <c r="G95" i="14"/>
  <c r="E95" i="14"/>
  <c r="F95" i="14" s="1"/>
  <c r="H95" i="14" s="1"/>
  <c r="E168" i="14"/>
  <c r="F168" i="14" s="1"/>
  <c r="H168" i="14" s="1"/>
  <c r="G207" i="14"/>
  <c r="E207" i="14"/>
  <c r="F207" i="14" s="1"/>
  <c r="H207" i="14" s="1"/>
  <c r="E190" i="14"/>
  <c r="F190" i="14" s="1"/>
  <c r="H190" i="14" s="1"/>
  <c r="E116" i="14"/>
  <c r="F116" i="14" s="1"/>
  <c r="H116" i="14" s="1"/>
  <c r="E106" i="14"/>
  <c r="F106" i="14" s="1"/>
  <c r="H106" i="14" s="1"/>
  <c r="E162" i="14"/>
  <c r="F162" i="14" s="1"/>
  <c r="H162" i="14" s="1"/>
  <c r="E78" i="14"/>
  <c r="F78" i="14" s="1"/>
  <c r="H78" i="14" s="1"/>
  <c r="E113" i="14"/>
  <c r="F113" i="14" s="1"/>
  <c r="H113" i="14" s="1"/>
  <c r="G40" i="14"/>
  <c r="E40" i="14"/>
  <c r="G152" i="14"/>
  <c r="E152" i="14"/>
  <c r="F152" i="14" s="1"/>
  <c r="H152" i="14" s="1"/>
  <c r="G213" i="14"/>
  <c r="E213" i="14"/>
  <c r="F213" i="14" s="1"/>
  <c r="H213" i="14" s="1"/>
  <c r="G211" i="14"/>
  <c r="E211" i="14"/>
  <c r="F211" i="14" s="1"/>
  <c r="H211" i="14" s="1"/>
  <c r="G20" i="14"/>
  <c r="E20" i="14"/>
  <c r="E220" i="14"/>
  <c r="F220" i="14" s="1"/>
  <c r="H220" i="14" s="1"/>
  <c r="G161" i="14"/>
  <c r="E161" i="14"/>
  <c r="F161" i="14" s="1"/>
  <c r="H161" i="14" s="1"/>
  <c r="E154" i="14"/>
  <c r="F154" i="14" s="1"/>
  <c r="H154" i="14" s="1"/>
  <c r="G37" i="14"/>
  <c r="E37" i="14"/>
  <c r="G23" i="14"/>
  <c r="E23" i="14"/>
  <c r="G17" i="14"/>
  <c r="E17" i="14"/>
  <c r="G48" i="14"/>
  <c r="E48" i="14"/>
  <c r="G103" i="14"/>
  <c r="E103" i="14"/>
  <c r="F103" i="14" s="1"/>
  <c r="H103" i="14" s="1"/>
  <c r="E148" i="14"/>
  <c r="F148" i="14" s="1"/>
  <c r="H148" i="14" s="1"/>
  <c r="E230" i="14"/>
  <c r="F230" i="14" s="1"/>
  <c r="H230" i="14" s="1"/>
  <c r="G166" i="14"/>
  <c r="E166" i="14"/>
  <c r="F166" i="14" s="1"/>
  <c r="H166" i="14" s="1"/>
  <c r="E212" i="14"/>
  <c r="F212" i="14" s="1"/>
  <c r="H212" i="14" s="1"/>
  <c r="G86" i="14"/>
  <c r="E86" i="14"/>
  <c r="F86" i="14" s="1"/>
  <c r="H86" i="14" s="1"/>
  <c r="G83" i="14"/>
  <c r="E83" i="14"/>
  <c r="F83" i="14" s="1"/>
  <c r="H83" i="14" s="1"/>
  <c r="E132" i="14"/>
  <c r="F132" i="14" s="1"/>
  <c r="H132" i="14" s="1"/>
  <c r="E188" i="14"/>
  <c r="F188" i="14" s="1"/>
  <c r="H188" i="14" s="1"/>
  <c r="E126" i="14"/>
  <c r="F126" i="14" s="1"/>
  <c r="H126" i="14" s="1"/>
  <c r="E101" i="14"/>
  <c r="F101" i="14" s="1"/>
  <c r="H101" i="14" s="1"/>
  <c r="G171" i="14"/>
  <c r="E171" i="14"/>
  <c r="F171" i="14" s="1"/>
  <c r="H171" i="14" s="1"/>
  <c r="E214" i="14"/>
  <c r="F214" i="14" s="1"/>
  <c r="H214" i="14" s="1"/>
  <c r="G197" i="14"/>
  <c r="E197" i="14"/>
  <c r="F197" i="14" s="1"/>
  <c r="H197" i="14" s="1"/>
  <c r="G179" i="14"/>
  <c r="E179" i="14"/>
  <c r="F179" i="14" s="1"/>
  <c r="H179" i="14" s="1"/>
  <c r="G139" i="14"/>
  <c r="E139" i="14"/>
  <c r="F139" i="14" s="1"/>
  <c r="H139" i="14" s="1"/>
  <c r="E169" i="14"/>
  <c r="F169" i="14" s="1"/>
  <c r="H169" i="14" s="1"/>
  <c r="G183" i="14"/>
  <c r="E183" i="14"/>
  <c r="F183" i="14" s="1"/>
  <c r="H183" i="14" s="1"/>
  <c r="G34" i="14"/>
  <c r="E34" i="14"/>
  <c r="F34" i="14" s="1"/>
  <c r="H34" i="14" s="1"/>
  <c r="G136" i="14"/>
  <c r="E136" i="14"/>
  <c r="F136" i="14" s="1"/>
  <c r="H136" i="14" s="1"/>
  <c r="G224" i="14"/>
  <c r="E224" i="14"/>
  <c r="F224" i="14" s="1"/>
  <c r="H224" i="14" s="1"/>
  <c r="E206" i="14"/>
  <c r="F206" i="14" s="1"/>
  <c r="H206" i="14" s="1"/>
  <c r="E196" i="14"/>
  <c r="F196" i="14" s="1"/>
  <c r="H196" i="14" s="1"/>
  <c r="E96" i="14"/>
  <c r="F96" i="14" s="1"/>
  <c r="H96" i="14" s="1"/>
  <c r="G21" i="14"/>
  <c r="E21" i="14"/>
  <c r="G135" i="14"/>
  <c r="E135" i="14"/>
  <c r="F135" i="14" s="1"/>
  <c r="H135" i="14" s="1"/>
  <c r="E200" i="14"/>
  <c r="F200" i="14" s="1"/>
  <c r="H200" i="14" s="1"/>
  <c r="E118" i="14"/>
  <c r="F118" i="14" s="1"/>
  <c r="H118" i="14" s="1"/>
  <c r="G82" i="14"/>
  <c r="E82" i="14"/>
  <c r="F82" i="14" s="1"/>
  <c r="H82" i="14" s="1"/>
  <c r="E146" i="14"/>
  <c r="F146" i="14" s="1"/>
  <c r="H146" i="14" s="1"/>
  <c r="E159" i="14"/>
  <c r="F159" i="14" s="1"/>
  <c r="H159" i="14" s="1"/>
  <c r="E88" i="14"/>
  <c r="F88" i="14" s="1"/>
  <c r="H88" i="14" s="1"/>
  <c r="E164" i="14"/>
  <c r="F164" i="14" s="1"/>
  <c r="H164" i="14" s="1"/>
  <c r="E155" i="14"/>
  <c r="F155" i="14" s="1"/>
  <c r="H155" i="14" s="1"/>
  <c r="G45" i="14"/>
  <c r="E45" i="14"/>
  <c r="G24" i="14"/>
  <c r="E24" i="14"/>
  <c r="G53" i="14"/>
  <c r="E53" i="14"/>
  <c r="G5" i="14"/>
  <c r="E5" i="14"/>
  <c r="E109" i="14"/>
  <c r="F109" i="14" s="1"/>
  <c r="H109" i="14" s="1"/>
  <c r="E151" i="14"/>
  <c r="F151" i="14" s="1"/>
  <c r="H151" i="14" s="1"/>
  <c r="G56" i="14"/>
  <c r="E56" i="14"/>
  <c r="F56" i="14" s="1"/>
  <c r="H56" i="14" s="1"/>
  <c r="G120" i="14"/>
  <c r="E120" i="14"/>
  <c r="F120" i="14" s="1"/>
  <c r="H120" i="14" s="1"/>
  <c r="G173" i="14"/>
  <c r="E173" i="14"/>
  <c r="F173" i="14" s="1"/>
  <c r="H173" i="14" s="1"/>
  <c r="E216" i="14"/>
  <c r="F216" i="14" s="1"/>
  <c r="H216" i="14" s="1"/>
  <c r="E87" i="14"/>
  <c r="F87" i="14" s="1"/>
  <c r="H87" i="14" s="1"/>
  <c r="E137" i="14"/>
  <c r="F137" i="14" s="1"/>
  <c r="H137" i="14" s="1"/>
  <c r="E192" i="14"/>
  <c r="F192" i="14" s="1"/>
  <c r="H192" i="14" s="1"/>
  <c r="E65" i="14"/>
  <c r="F65" i="14" s="1"/>
  <c r="H65" i="14" s="1"/>
  <c r="G221" i="14"/>
  <c r="E221" i="14"/>
  <c r="F221" i="14" s="1"/>
  <c r="H221" i="14" s="1"/>
  <c r="G175" i="14"/>
  <c r="E175" i="14"/>
  <c r="F175" i="14" s="1"/>
  <c r="H175" i="14" s="1"/>
  <c r="E62" i="14"/>
  <c r="F62" i="14" s="1"/>
  <c r="H62" i="14" s="1"/>
  <c r="E204" i="14"/>
  <c r="F204" i="14" s="1"/>
  <c r="H204" i="14" s="1"/>
  <c r="E201" i="14"/>
  <c r="F201" i="14" s="1"/>
  <c r="H201" i="14" s="1"/>
  <c r="E208" i="14"/>
  <c r="F208" i="14" s="1"/>
  <c r="H208" i="14" s="1"/>
  <c r="E94" i="14"/>
  <c r="F94" i="14" s="1"/>
  <c r="H94" i="14" s="1"/>
  <c r="G119" i="14"/>
  <c r="E119" i="14"/>
  <c r="F119" i="14" s="1"/>
  <c r="H119" i="14" s="1"/>
  <c r="G8" i="14"/>
  <c r="E8" i="14"/>
  <c r="E70" i="14"/>
  <c r="F70" i="14" s="1"/>
  <c r="H70" i="14" s="1"/>
  <c r="G191" i="14"/>
  <c r="E191" i="14"/>
  <c r="F191" i="14" s="1"/>
  <c r="H191" i="14" s="1"/>
  <c r="E167" i="14"/>
  <c r="F167" i="14" s="1"/>
  <c r="H167" i="14" s="1"/>
  <c r="G66" i="14"/>
  <c r="E66" i="14"/>
  <c r="F66" i="14" s="1"/>
  <c r="H66" i="14" s="1"/>
  <c r="E93" i="14"/>
  <c r="F93" i="14" s="1"/>
  <c r="H93" i="14" s="1"/>
  <c r="G75" i="14"/>
  <c r="E75" i="14"/>
  <c r="F75" i="14" s="1"/>
  <c r="H75" i="14" s="1"/>
  <c r="G203" i="14"/>
  <c r="E203" i="14"/>
  <c r="F203" i="14" s="1"/>
  <c r="H203" i="14" s="1"/>
  <c r="G50" i="14"/>
  <c r="E50" i="14"/>
  <c r="G19" i="14"/>
  <c r="E19" i="14"/>
  <c r="E114" i="14"/>
  <c r="F114" i="14" s="1"/>
  <c r="H114" i="14" s="1"/>
  <c r="G67" i="14"/>
  <c r="E67" i="14"/>
  <c r="F67" i="14" s="1"/>
  <c r="H67" i="14" s="1"/>
  <c r="E180" i="14"/>
  <c r="F180" i="14" s="1"/>
  <c r="H180" i="14" s="1"/>
  <c r="G219" i="14"/>
  <c r="E219" i="14"/>
  <c r="F219" i="14" s="1"/>
  <c r="H219" i="14" s="1"/>
  <c r="G104" i="14"/>
  <c r="E104" i="14"/>
  <c r="F104" i="14" s="1"/>
  <c r="H104" i="14" s="1"/>
  <c r="G195" i="14"/>
  <c r="E195" i="14"/>
  <c r="F195" i="14" s="1"/>
  <c r="H195" i="14" s="1"/>
  <c r="G138" i="14"/>
  <c r="E138" i="14"/>
  <c r="F138" i="14" s="1"/>
  <c r="H138" i="14" s="1"/>
  <c r="G58" i="14"/>
  <c r="E58" i="14"/>
  <c r="F58" i="14" s="1"/>
  <c r="H58" i="14" s="1"/>
  <c r="E182" i="14"/>
  <c r="F182" i="14" s="1"/>
  <c r="H182" i="14" s="1"/>
  <c r="E69" i="14"/>
  <c r="F69" i="14" s="1"/>
  <c r="H69" i="14" s="1"/>
  <c r="E150" i="14"/>
  <c r="F150" i="14" s="1"/>
  <c r="H150" i="14" s="1"/>
  <c r="G229" i="14"/>
  <c r="E229" i="14"/>
  <c r="F229" i="14" s="1"/>
  <c r="H229" i="14" s="1"/>
  <c r="G74" i="14"/>
  <c r="E74" i="14"/>
  <c r="F74" i="14" s="1"/>
  <c r="H74" i="14" s="1"/>
  <c r="G215" i="14"/>
  <c r="E215" i="14"/>
  <c r="F215" i="14" s="1"/>
  <c r="H215" i="14" s="1"/>
  <c r="E222" i="14"/>
  <c r="F222" i="14" s="1"/>
  <c r="H222" i="14" s="1"/>
  <c r="G63" i="14"/>
  <c r="E63" i="14"/>
  <c r="F63" i="14" s="1"/>
  <c r="H63" i="14" s="1"/>
  <c r="G187" i="14"/>
  <c r="E187" i="14"/>
  <c r="F187" i="14" s="1"/>
  <c r="H187" i="14" s="1"/>
  <c r="E111" i="14"/>
  <c r="F111" i="14" s="1"/>
  <c r="H111" i="14" s="1"/>
  <c r="E133" i="14"/>
  <c r="F133" i="14" s="1"/>
  <c r="H133" i="14" s="1"/>
  <c r="E145" i="14"/>
  <c r="F145" i="14" s="1"/>
  <c r="H145" i="14" s="1"/>
  <c r="G6" i="14"/>
  <c r="E6" i="14"/>
  <c r="E57" i="14"/>
  <c r="F57" i="14" s="1"/>
  <c r="H57" i="14" s="1"/>
  <c r="E105" i="14"/>
  <c r="F105" i="14" s="1"/>
  <c r="H105" i="14" s="1"/>
  <c r="E102" i="14"/>
  <c r="F102" i="14" s="1"/>
  <c r="H102" i="14" s="1"/>
  <c r="E198" i="14"/>
  <c r="F198" i="14" s="1"/>
  <c r="H198" i="14" s="1"/>
  <c r="E174" i="14"/>
  <c r="F174" i="14" s="1"/>
  <c r="H174" i="14" s="1"/>
  <c r="G54" i="14"/>
  <c r="E54" i="14"/>
  <c r="G18" i="14"/>
  <c r="E18" i="14"/>
  <c r="G42" i="14"/>
  <c r="E42" i="14"/>
  <c r="G16" i="14"/>
  <c r="E16" i="14"/>
  <c r="F16" i="14" s="1"/>
  <c r="H16" i="14" s="1"/>
  <c r="G55" i="14"/>
  <c r="E55" i="14"/>
  <c r="F55" i="14" s="1"/>
  <c r="H55" i="14" s="1"/>
  <c r="G128" i="14"/>
  <c r="E128" i="14"/>
  <c r="F128" i="14" s="1"/>
  <c r="H128" i="14" s="1"/>
  <c r="E71" i="14"/>
  <c r="F71" i="14" s="1"/>
  <c r="H71" i="14" s="1"/>
  <c r="E184" i="14"/>
  <c r="F184" i="14" s="1"/>
  <c r="H184" i="14" s="1"/>
  <c r="G227" i="14"/>
  <c r="E227" i="14"/>
  <c r="F227" i="14" s="1"/>
  <c r="H227" i="14" s="1"/>
  <c r="G110" i="14"/>
  <c r="E110" i="14"/>
  <c r="F110" i="14" s="1"/>
  <c r="H110" i="14" s="1"/>
  <c r="G199" i="14"/>
  <c r="E199" i="14"/>
  <c r="F199" i="14" s="1"/>
  <c r="H199" i="14" s="1"/>
  <c r="E80" i="14"/>
  <c r="F80" i="14" s="1"/>
  <c r="H80" i="14" s="1"/>
  <c r="E61" i="14"/>
  <c r="F61" i="14" s="1"/>
  <c r="H61" i="14" s="1"/>
  <c r="E127" i="14"/>
  <c r="F127" i="14" s="1"/>
  <c r="H127" i="14" s="1"/>
  <c r="E189" i="14"/>
  <c r="F189" i="14" s="1"/>
  <c r="H189" i="14" s="1"/>
  <c r="E77" i="14"/>
  <c r="F77" i="14" s="1"/>
  <c r="H77" i="14" s="1"/>
  <c r="E165" i="14"/>
  <c r="F165" i="14" s="1"/>
  <c r="H165" i="14" s="1"/>
  <c r="E92" i="14"/>
  <c r="F92" i="14" s="1"/>
  <c r="H92" i="14" s="1"/>
  <c r="E81" i="14"/>
  <c r="F81" i="14" s="1"/>
  <c r="H81" i="14" s="1"/>
  <c r="G137" i="14"/>
  <c r="G164" i="14"/>
  <c r="G150" i="14"/>
  <c r="G101" i="14"/>
  <c r="G126" i="14"/>
  <c r="G97" i="14"/>
  <c r="G132" i="14"/>
  <c r="G154" i="14"/>
  <c r="G208" i="14"/>
  <c r="G62" i="14"/>
  <c r="G190" i="14"/>
  <c r="G188" i="14"/>
  <c r="G168" i="14"/>
  <c r="G201" i="14"/>
  <c r="G192" i="14"/>
  <c r="G148" i="14"/>
  <c r="G156" i="14"/>
  <c r="G205" i="14"/>
  <c r="G129" i="14"/>
  <c r="G155" i="14"/>
  <c r="G206" i="14"/>
  <c r="G172" i="14"/>
  <c r="G142" i="14"/>
  <c r="G174" i="14"/>
  <c r="G220" i="14"/>
  <c r="G146" i="14"/>
  <c r="G212" i="14"/>
  <c r="G92" i="14"/>
  <c r="G102" i="14"/>
  <c r="G109" i="14"/>
  <c r="G118" i="14"/>
  <c r="G69" i="14"/>
  <c r="G145" i="14"/>
  <c r="G71" i="14"/>
  <c r="G85" i="14"/>
  <c r="G57" i="14"/>
  <c r="G96" i="14"/>
  <c r="G230" i="14"/>
  <c r="G105" i="14"/>
  <c r="G116" i="14"/>
  <c r="G186" i="14"/>
  <c r="F186" i="14"/>
  <c r="H186" i="14" s="1"/>
  <c r="G88" i="14"/>
  <c r="G151" i="14"/>
  <c r="G198" i="14"/>
  <c r="G165" i="14"/>
  <c r="G77" i="14"/>
  <c r="G218" i="14"/>
  <c r="F218" i="14"/>
  <c r="H218" i="14" s="1"/>
  <c r="F226" i="14"/>
  <c r="H226" i="14" s="1"/>
  <c r="G226" i="14"/>
  <c r="G90" i="14"/>
  <c r="G159" i="14"/>
  <c r="G113" i="14"/>
  <c r="G81" i="14"/>
  <c r="G93" i="14"/>
  <c r="G204" i="14"/>
  <c r="F60" i="14"/>
  <c r="H60" i="14" s="1"/>
  <c r="G60" i="14"/>
  <c r="G147" i="14"/>
  <c r="F147" i="14"/>
  <c r="H147" i="14" s="1"/>
  <c r="F177" i="14"/>
  <c r="H177" i="14" s="1"/>
  <c r="G177" i="14"/>
  <c r="G61" i="14"/>
  <c r="F140" i="14"/>
  <c r="H140" i="14" s="1"/>
  <c r="G140" i="14"/>
  <c r="F143" i="14"/>
  <c r="H143" i="14" s="1"/>
  <c r="G143" i="14"/>
  <c r="G115" i="14"/>
  <c r="F115" i="14"/>
  <c r="H115" i="14" s="1"/>
  <c r="F84" i="14"/>
  <c r="H84" i="14" s="1"/>
  <c r="G84" i="14"/>
  <c r="G73" i="14"/>
  <c r="G70" i="14"/>
  <c r="G184" i="14"/>
  <c r="G200" i="14"/>
  <c r="G216" i="14"/>
  <c r="F209" i="14"/>
  <c r="H209" i="14" s="1"/>
  <c r="G209" i="14"/>
  <c r="F68" i="14"/>
  <c r="H68" i="14" s="1"/>
  <c r="G68" i="14"/>
  <c r="F117" i="14"/>
  <c r="H117" i="14" s="1"/>
  <c r="G117" i="14"/>
  <c r="F108" i="14"/>
  <c r="H108" i="14" s="1"/>
  <c r="G108" i="14"/>
  <c r="G178" i="14"/>
  <c r="F178" i="14"/>
  <c r="H178" i="14" s="1"/>
  <c r="G91" i="14"/>
  <c r="F91" i="14"/>
  <c r="H91" i="14" s="1"/>
  <c r="F76" i="14"/>
  <c r="H76" i="14" s="1"/>
  <c r="G76" i="14"/>
  <c r="F124" i="14"/>
  <c r="H124" i="14" s="1"/>
  <c r="G124" i="14"/>
  <c r="G94" i="14"/>
  <c r="G127" i="14"/>
  <c r="G133" i="14"/>
  <c r="G182" i="14"/>
  <c r="G114" i="14"/>
  <c r="G111" i="14"/>
  <c r="G160" i="14"/>
  <c r="F163" i="14"/>
  <c r="H163" i="14" s="1"/>
  <c r="G163" i="14"/>
  <c r="F193" i="14"/>
  <c r="H193" i="14" s="1"/>
  <c r="G193" i="14"/>
  <c r="G123" i="14"/>
  <c r="F123" i="14"/>
  <c r="H123" i="14" s="1"/>
  <c r="G202" i="14"/>
  <c r="F202" i="14"/>
  <c r="H202" i="14" s="1"/>
  <c r="G149" i="14"/>
  <c r="F149" i="14"/>
  <c r="H149" i="14" s="1"/>
  <c r="G131" i="14"/>
  <c r="F131" i="14"/>
  <c r="H131" i="14" s="1"/>
  <c r="G125" i="14"/>
  <c r="F125" i="14"/>
  <c r="H125" i="14" s="1"/>
  <c r="F98" i="14"/>
  <c r="H98" i="14" s="1"/>
  <c r="G98" i="14"/>
  <c r="G80" i="14"/>
  <c r="G180" i="14"/>
  <c r="G194" i="14"/>
  <c r="F194" i="14"/>
  <c r="H194" i="14" s="1"/>
  <c r="G153" i="14"/>
  <c r="F153" i="14"/>
  <c r="H153" i="14" s="1"/>
  <c r="G78" i="14"/>
  <c r="G167" i="14"/>
  <c r="G196" i="14"/>
  <c r="G189" i="14"/>
  <c r="G107" i="14"/>
  <c r="F107" i="14"/>
  <c r="H107" i="14" s="1"/>
  <c r="G170" i="14"/>
  <c r="F170" i="14"/>
  <c r="H170" i="14" s="1"/>
  <c r="F228" i="14"/>
  <c r="H228" i="14" s="1"/>
  <c r="G228" i="14"/>
  <c r="G210" i="14"/>
  <c r="F210" i="14"/>
  <c r="H210" i="14" s="1"/>
  <c r="F217" i="14"/>
  <c r="H217" i="14" s="1"/>
  <c r="G217" i="14"/>
  <c r="G157" i="14"/>
  <c r="F157" i="14"/>
  <c r="H157" i="14" s="1"/>
  <c r="G141" i="14"/>
  <c r="F141" i="14"/>
  <c r="H141" i="14" s="1"/>
  <c r="G158" i="14"/>
  <c r="F158" i="14"/>
  <c r="H158" i="14" s="1"/>
  <c r="F100" i="14"/>
  <c r="H100" i="14" s="1"/>
  <c r="G100" i="14"/>
  <c r="F185" i="14"/>
  <c r="H185" i="14" s="1"/>
  <c r="G185" i="14"/>
  <c r="F130" i="14"/>
  <c r="H130" i="14" s="1"/>
  <c r="G130" i="14"/>
  <c r="G122" i="14"/>
  <c r="F122" i="14"/>
  <c r="H122" i="14" s="1"/>
  <c r="G41" i="14"/>
  <c r="F41" i="14"/>
  <c r="H41" i="14" s="1"/>
  <c r="F44" i="14"/>
  <c r="H44" i="14" s="1"/>
  <c r="F28" i="14"/>
  <c r="H28" i="14" s="1"/>
  <c r="F47" i="14"/>
  <c r="H47" i="14" s="1"/>
  <c r="F12" i="14"/>
  <c r="H12" i="14" s="1"/>
  <c r="F29" i="14"/>
  <c r="H29" i="14" s="1"/>
  <c r="F32" i="14"/>
  <c r="H32" i="14" s="1"/>
  <c r="F39" i="14"/>
  <c r="H39" i="14" s="1"/>
  <c r="F43" i="14"/>
  <c r="H43" i="14" s="1"/>
  <c r="F30" i="14"/>
  <c r="H30" i="14" s="1"/>
  <c r="F33" i="14"/>
  <c r="H33" i="14" s="1"/>
  <c r="F25" i="14"/>
  <c r="H25" i="14" s="1"/>
  <c r="F49" i="14"/>
  <c r="H49" i="14" s="1"/>
  <c r="F51" i="14"/>
  <c r="H51" i="14" s="1"/>
  <c r="F7" i="14"/>
  <c r="H7" i="14" s="1"/>
  <c r="F38" i="14"/>
  <c r="H38" i="14" s="1"/>
  <c r="F10" i="14"/>
  <c r="H10" i="14" s="1"/>
  <c r="F11" i="14"/>
  <c r="H11" i="14" s="1"/>
  <c r="F52" i="14"/>
  <c r="H52" i="14" s="1"/>
  <c r="F46" i="14"/>
  <c r="H46" i="14" s="1"/>
  <c r="F35" i="14"/>
  <c r="H35" i="14" s="1"/>
  <c r="F36" i="14"/>
  <c r="H36" i="14" s="1"/>
  <c r="F15" i="14"/>
  <c r="H15" i="14" s="1"/>
  <c r="G33" i="14"/>
  <c r="G47" i="14"/>
  <c r="G30" i="14"/>
  <c r="G12" i="14"/>
  <c r="G28" i="14"/>
  <c r="G35" i="14"/>
  <c r="G36" i="14"/>
  <c r="G15" i="14"/>
  <c r="G44" i="14"/>
  <c r="G11" i="14"/>
  <c r="G10" i="14"/>
  <c r="G32" i="14"/>
  <c r="G46" i="14"/>
  <c r="G38" i="14"/>
  <c r="G43" i="14"/>
  <c r="G39" i="14"/>
  <c r="G49" i="14"/>
  <c r="G52" i="14"/>
  <c r="G25" i="14"/>
  <c r="G29" i="14"/>
  <c r="G7" i="14"/>
  <c r="G51" i="14"/>
  <c r="G27" i="14"/>
  <c r="G26" i="14"/>
  <c r="G18" i="6"/>
  <c r="G19" i="6" s="1"/>
  <c r="G14" i="6"/>
  <c r="B19" i="6"/>
  <c r="D6" i="1"/>
  <c r="G13" i="1"/>
  <c r="F20" i="1"/>
  <c r="G20" i="1" s="1"/>
  <c r="I25" i="10"/>
  <c r="C13" i="12"/>
  <c r="C16" i="12" s="1"/>
  <c r="C15" i="12"/>
  <c r="AU4" i="12"/>
  <c r="AU3" i="12"/>
  <c r="O39" i="4"/>
  <c r="D22" i="4"/>
  <c r="D18" i="4"/>
  <c r="D16" i="4"/>
  <c r="AC4" i="12"/>
  <c r="AC3" i="12"/>
  <c r="J14" i="10"/>
  <c r="J12" i="10"/>
  <c r="J13" i="10"/>
  <c r="H5" i="5"/>
  <c r="D11" i="4"/>
  <c r="D12" i="4" s="1"/>
  <c r="D13" i="4" s="1"/>
  <c r="F22" i="14" l="1"/>
  <c r="H22" i="14" s="1"/>
  <c r="F27" i="14"/>
  <c r="H27" i="14" s="1"/>
  <c r="F53" i="14"/>
  <c r="H53" i="14" s="1"/>
  <c r="F19" i="14"/>
  <c r="H19" i="14" s="1"/>
  <c r="F24" i="14"/>
  <c r="H24" i="14" s="1"/>
  <c r="F17" i="14"/>
  <c r="H17" i="14" s="1"/>
  <c r="F14" i="14"/>
  <c r="H14" i="14" s="1"/>
  <c r="F23" i="14"/>
  <c r="H23" i="14" s="1"/>
  <c r="F50" i="14"/>
  <c r="H50" i="14" s="1"/>
  <c r="F45" i="14"/>
  <c r="H45" i="14" s="1"/>
  <c r="F20" i="14"/>
  <c r="H20" i="14" s="1"/>
  <c r="F8" i="14"/>
  <c r="H8" i="14" s="1"/>
  <c r="F31" i="14"/>
  <c r="H31" i="14" s="1"/>
  <c r="F9" i="14"/>
  <c r="H9" i="14" s="1"/>
  <c r="F42" i="14"/>
  <c r="H42" i="14" s="1"/>
  <c r="F6" i="14"/>
  <c r="H6" i="14" s="1"/>
  <c r="F40" i="14"/>
  <c r="H40" i="14" s="1"/>
  <c r="F5" i="14"/>
  <c r="H5" i="14" s="1"/>
  <c r="F54" i="14"/>
  <c r="H54" i="14" s="1"/>
  <c r="F18" i="14"/>
  <c r="H18" i="14" s="1"/>
  <c r="F13" i="14"/>
  <c r="H13" i="14" s="1"/>
  <c r="F26" i="14"/>
  <c r="H26" i="14" s="1"/>
  <c r="F37" i="14"/>
  <c r="H37" i="14" s="1"/>
  <c r="F21" i="14"/>
  <c r="H21" i="14" s="1"/>
  <c r="F48" i="14"/>
  <c r="H48" i="14" s="1"/>
  <c r="G23" i="6"/>
  <c r="G26" i="6" s="1"/>
  <c r="G27" i="6" s="1"/>
  <c r="G22" i="6"/>
  <c r="I26" i="10"/>
  <c r="J25" i="10"/>
  <c r="C19" i="12"/>
  <c r="I27" i="10" l="1"/>
  <c r="J26" i="10"/>
  <c r="I28" i="10" l="1"/>
  <c r="J27" i="10"/>
  <c r="C11" i="1"/>
  <c r="D11" i="1" s="1"/>
  <c r="D12" i="1"/>
  <c r="F12" i="1"/>
  <c r="G12" i="1" s="1"/>
  <c r="D4" i="1"/>
  <c r="D3" i="1"/>
  <c r="F4" i="1"/>
  <c r="G4" i="1" s="1"/>
  <c r="F3" i="1"/>
  <c r="G3" i="1" l="1"/>
  <c r="G7" i="1" s="1"/>
  <c r="F7" i="1"/>
  <c r="I29" i="10"/>
  <c r="J28" i="10"/>
  <c r="F11" i="1"/>
  <c r="F14" i="1" s="1"/>
  <c r="G11" i="1" l="1"/>
  <c r="G14" i="1" s="1"/>
  <c r="I30" i="10"/>
  <c r="J30" i="10" s="1"/>
  <c r="J29" i="10"/>
</calcChain>
</file>

<file path=xl/sharedStrings.xml><?xml version="1.0" encoding="utf-8"?>
<sst xmlns="http://schemas.openxmlformats.org/spreadsheetml/2006/main" count="1130" uniqueCount="603">
  <si>
    <t>P12V</t>
  </si>
  <si>
    <t>Component</t>
  </si>
  <si>
    <t>Current</t>
  </si>
  <si>
    <t>Power</t>
  </si>
  <si>
    <t>Total</t>
  </si>
  <si>
    <t>Stepper Motor - Adafruit - Nema 17 size - 200 steps/rev, 12V 350mA 12V</t>
  </si>
  <si>
    <t>DRV8825</t>
  </si>
  <si>
    <t>qty</t>
  </si>
  <si>
    <t>Electromagnet - 5Kg Holding Force 12V</t>
  </si>
  <si>
    <t>L298N</t>
  </si>
  <si>
    <t>Arduino 2560 rev 3</t>
  </si>
  <si>
    <t>LCD Module - I2C Serial</t>
  </si>
  <si>
    <t xml:space="preserve">CD74HC4067 </t>
  </si>
  <si>
    <t>49E OH49E SS49E TO-92S</t>
  </si>
  <si>
    <t>https://docs.arduino.cc/resources/datasheets/A000067-datasheet.pdf</t>
  </si>
  <si>
    <t>a</t>
  </si>
  <si>
    <t>b</t>
  </si>
  <si>
    <t>c</t>
  </si>
  <si>
    <t>d</t>
  </si>
  <si>
    <t>e</t>
  </si>
  <si>
    <t>f</t>
  </si>
  <si>
    <t>g</t>
  </si>
  <si>
    <t>h</t>
  </si>
  <si>
    <t>r</t>
  </si>
  <si>
    <t>R</t>
  </si>
  <si>
    <t>N</t>
  </si>
  <si>
    <t>B</t>
  </si>
  <si>
    <t>Q</t>
  </si>
  <si>
    <t>K</t>
  </si>
  <si>
    <t>P</t>
  </si>
  <si>
    <t>.</t>
  </si>
  <si>
    <t>n</t>
  </si>
  <si>
    <t>q</t>
  </si>
  <si>
    <t>k</t>
  </si>
  <si>
    <t>p</t>
  </si>
  <si>
    <t>Black side</t>
  </si>
  <si>
    <t>Minuscule</t>
  </si>
  <si>
    <t>White side</t>
  </si>
  <si>
    <t>majuscule</t>
  </si>
  <si>
    <t>Polarité aimant</t>
  </si>
  <si>
    <t>Mux 1</t>
  </si>
  <si>
    <t>Mux 2</t>
  </si>
  <si>
    <t>Mux 3</t>
  </si>
  <si>
    <t>Mux 4</t>
  </si>
  <si>
    <t>Hall 49e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</si>
  <si>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</si>
  <si>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</si>
  <si>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</si>
  <si>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</si>
  <si>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</si>
  <si>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</si>
  <si>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</si>
  <si>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</si>
  <si>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</si>
  <si>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</si>
  <si>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</si>
  <si>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</si>
  <si>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</si>
  <si>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</si>
  <si>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</si>
  <si>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</si>
  <si>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</si>
  <si>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</si>
  <si>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</si>
  <si>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</si>
  <si>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</si>
  <si>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</si>
  <si>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</si>
  <si>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</si>
  <si>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</si>
  <si>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</si>
  <si>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</si>
  <si>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</si>
  <si>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</si>
  <si>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</si>
  <si>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</si>
  <si>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</si>
  <si>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</si>
  <si>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</si>
  <si>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</si>
  <si>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</si>
  <si>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</si>
  <si>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</si>
  <si>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</si>
  <si>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</si>
  <si>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</si>
  <si>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</si>
  <si>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</si>
  <si>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</si>
  <si>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F3</t>
  </si>
  <si>
    <t>F4</t>
  </si>
  <si>
    <t>F5</t>
  </si>
  <si>
    <t>F6</t>
  </si>
  <si>
    <t>F7</t>
  </si>
  <si>
    <t>F8</t>
  </si>
  <si>
    <t>G1</t>
  </si>
  <si>
    <t>G2</t>
  </si>
  <si>
    <t>G3</t>
  </si>
  <si>
    <t>G4</t>
  </si>
  <si>
    <t>G5</t>
  </si>
  <si>
    <t>G6</t>
  </si>
  <si>
    <t>G7</t>
  </si>
  <si>
    <t>G8</t>
  </si>
  <si>
    <t>H1</t>
  </si>
  <si>
    <t>H2</t>
  </si>
  <si>
    <t>H3</t>
  </si>
  <si>
    <t>H4</t>
  </si>
  <si>
    <t>H5</t>
  </si>
  <si>
    <t>H6</t>
  </si>
  <si>
    <t>H7</t>
  </si>
  <si>
    <t>H8</t>
  </si>
  <si>
    <t>Motor #1</t>
  </si>
  <si>
    <t>Motor #2</t>
  </si>
  <si>
    <t>C0</t>
  </si>
  <si>
    <t>C11</t>
  </si>
  <si>
    <t>C12</t>
  </si>
  <si>
    <t>C13</t>
  </si>
  <si>
    <t>C14</t>
  </si>
  <si>
    <t>Table 
raw</t>
  </si>
  <si>
    <t>0</t>
  </si>
  <si>
    <t>Table 
column</t>
  </si>
  <si>
    <t>matrix code</t>
  </si>
  <si>
    <t>Mux1</t>
  </si>
  <si>
    <t>Mux</t>
  </si>
  <si>
    <t>Chess coordinate</t>
  </si>
  <si>
    <t>HIGH</t>
  </si>
  <si>
    <t>LOW</t>
  </si>
  <si>
    <t>Coil</t>
  </si>
  <si>
    <t>Trolley movement</t>
  </si>
  <si>
    <t>Movimiento:</t>
  </si>
  <si>
    <t>A</t>
  </si>
  <si>
    <t>H</t>
  </si>
  <si>
    <t>AH</t>
  </si>
  <si>
    <t>No matter</t>
  </si>
  <si>
    <t>coil</t>
  </si>
  <si>
    <t>HA</t>
  </si>
  <si>
    <t>G</t>
  </si>
  <si>
    <t>Red</t>
  </si>
  <si>
    <t>X</t>
  </si>
  <si>
    <t>Blue</t>
  </si>
  <si>
    <t>Black</t>
  </si>
  <si>
    <t>Green</t>
  </si>
  <si>
    <t>Square size</t>
  </si>
  <si>
    <t>Pulley Ext. Diam</t>
  </si>
  <si>
    <t>By Manufacturer</t>
  </si>
  <si>
    <t>C</t>
  </si>
  <si>
    <t>D</t>
  </si>
  <si>
    <t>E</t>
  </si>
  <si>
    <t>F</t>
  </si>
  <si>
    <t>-</t>
  </si>
  <si>
    <t>Poids pièce echec</t>
  </si>
  <si>
    <t>Pulley Int Diam</t>
  </si>
  <si>
    <t>Pulley witdh</t>
  </si>
  <si>
    <t>Belt pitch</t>
  </si>
  <si>
    <t>Pin Number</t>
  </si>
  <si>
    <t>Pin Name</t>
  </si>
  <si>
    <t>Mapped pin name</t>
  </si>
  <si>
    <t>PG5 ( OC0B )</t>
  </si>
  <si>
    <t>Digital pin 4 (PWM)</t>
  </si>
  <si>
    <t>Motor Black</t>
  </si>
  <si>
    <t>MOTOR_BLACK_DIR</t>
  </si>
  <si>
    <t>PE0 ( RXD0/PCINT8 )</t>
  </si>
  <si>
    <t>Digital pin 0 (RX0)</t>
  </si>
  <si>
    <t>PE1 ( TXD0 )</t>
  </si>
  <si>
    <t>Digital pin 1 (TX0)</t>
  </si>
  <si>
    <t>PE2 ( XCK0/AIN0 )</t>
  </si>
  <si>
    <t>PE3 ( OC3A/AIN1 )</t>
  </si>
  <si>
    <t>Digital pin 5 (PWM)</t>
  </si>
  <si>
    <t>MOTOR_BLACK_STEP</t>
  </si>
  <si>
    <t>PE4 ( OC3B/INT4 )</t>
  </si>
  <si>
    <t>Digital pin 2 (PWM)</t>
  </si>
  <si>
    <t>Motor White</t>
  </si>
  <si>
    <t>MOTOR_WHITE_DIR</t>
  </si>
  <si>
    <t>PE5 ( OC3C/INT5 )</t>
  </si>
  <si>
    <t>Digital pin 3 (PWM)</t>
  </si>
  <si>
    <t>MOTOR_WHITE_STEP</t>
  </si>
  <si>
    <t>PE6 ( T3/INT6 )</t>
  </si>
  <si>
    <t>PE7 ( CLKO/ICP3/INT7 )</t>
  </si>
  <si>
    <t>VCC</t>
  </si>
  <si>
    <t>GND</t>
  </si>
  <si>
    <t>PH0 ( RXD2 )</t>
  </si>
  <si>
    <t>Digital pin 17 (RX2)</t>
  </si>
  <si>
    <t>PH1 ( TXD2 )</t>
  </si>
  <si>
    <t>Digital pin 16 (TX2)</t>
  </si>
  <si>
    <t>PH2 ( XCK2 )</t>
  </si>
  <si>
    <t>PH3 ( OC4A )</t>
  </si>
  <si>
    <t>Digital pin 6 (PWM)</t>
  </si>
  <si>
    <t>H-bridge Magnet</t>
  </si>
  <si>
    <t>Enable</t>
  </si>
  <si>
    <t>PH4 ( OC4B )</t>
  </si>
  <si>
    <t>Digital pin 7 (PWM)</t>
  </si>
  <si>
    <t>PH5 ( OC4C )</t>
  </si>
  <si>
    <t>Digital pin 8 (PWM)</t>
  </si>
  <si>
    <t>PH6 ( OC2B )</t>
  </si>
  <si>
    <t>Digital pin 9 (PWM)</t>
  </si>
  <si>
    <t>PB0 ( SS/PCINT0 )</t>
  </si>
  <si>
    <t>Digital pin 53 (SS)</t>
  </si>
  <si>
    <t>LED matrix</t>
  </si>
  <si>
    <t>CS</t>
  </si>
  <si>
    <t>PB1 ( SCK/PCINT1 )</t>
  </si>
  <si>
    <t>Digital pin 52 (SCK)</t>
  </si>
  <si>
    <t>CLK</t>
  </si>
  <si>
    <t>PB2 ( MOSI/PCINT2 )</t>
  </si>
  <si>
    <t>Digital pin 51 (MOSI)</t>
  </si>
  <si>
    <t>DIN</t>
  </si>
  <si>
    <t>PB3 ( MISO/PCINT3 )</t>
  </si>
  <si>
    <t>Digital pin 50 (MISO)</t>
  </si>
  <si>
    <t>PB4 ( OC2A/PCINT4 )</t>
  </si>
  <si>
    <t>Digital pin 10 (PWM)</t>
  </si>
  <si>
    <t>Button Black</t>
  </si>
  <si>
    <t>BUTTON_BLACK_SWITCH_MOTOR_BLACK</t>
  </si>
  <si>
    <t>PB5 ( OC1A/PCINT5 )</t>
  </si>
  <si>
    <t>Digital pin 11 (PWM)</t>
  </si>
  <si>
    <t>Button White</t>
  </si>
  <si>
    <t>BUTTON_WHITE_SWITCH_MOTOR_WHITE</t>
  </si>
  <si>
    <t>PB6 ( OC1B/PCINT6 )</t>
  </si>
  <si>
    <t>Digital pin 12 (PWM)</t>
  </si>
  <si>
    <t>PB7 ( OC0A/OC1C/PCINT7 )</t>
  </si>
  <si>
    <t>Digital pin 13 (PWM)</t>
  </si>
  <si>
    <t>PH7 ( T4 )</t>
  </si>
  <si>
    <t>PG3 ( TOSC2 )</t>
  </si>
  <si>
    <t>PG4 ( TOSC1 )</t>
  </si>
  <si>
    <t>RESET</t>
  </si>
  <si>
    <t>XTAL2</t>
  </si>
  <si>
    <t>XTAL1</t>
  </si>
  <si>
    <t>PL0 ( ICP4 )</t>
  </si>
  <si>
    <t>Digital pin 49</t>
  </si>
  <si>
    <t>PL1 ( ICP5 )</t>
  </si>
  <si>
    <t>Digital pin 48</t>
  </si>
  <si>
    <t>PL2 ( T5 )</t>
  </si>
  <si>
    <t>Digital pin 47</t>
  </si>
  <si>
    <t>PL3 ( OC5A )</t>
  </si>
  <si>
    <t>Digital pin 46 (PWM)</t>
  </si>
  <si>
    <t>PL4 ( OC5B )</t>
  </si>
  <si>
    <t>Digital pin 45 (PWM)</t>
  </si>
  <si>
    <t>PL5 ( OC5C )</t>
  </si>
  <si>
    <t>Digital pin 44 (PWM)</t>
  </si>
  <si>
    <t>PL6</t>
  </si>
  <si>
    <t>Digital pin 43</t>
  </si>
  <si>
    <t>PL7</t>
  </si>
  <si>
    <t>Digital pin 42</t>
  </si>
  <si>
    <t>PD0 ( SCL/INT0 )</t>
  </si>
  <si>
    <t>Digital pin 21 (SCL)</t>
  </si>
  <si>
    <t>PD1 ( SDA/INT1 )</t>
  </si>
  <si>
    <t>Digital pin 20 (SDA)</t>
  </si>
  <si>
    <t>PD2 ( RXDI/INT2 )</t>
  </si>
  <si>
    <t>Digital pin 19 (RX1)</t>
  </si>
  <si>
    <t>PD3 ( TXD1/INT3 )</t>
  </si>
  <si>
    <t>Digital pin 18 (TX1)</t>
  </si>
  <si>
    <t>PD4 ( ICP1 )</t>
  </si>
  <si>
    <t>PD5 ( XCK1 )</t>
  </si>
  <si>
    <t>PD6 ( T1 )</t>
  </si>
  <si>
    <t>PD7 ( T0 )</t>
  </si>
  <si>
    <t>Digital pin 38</t>
  </si>
  <si>
    <t>PG0 ( WR )</t>
  </si>
  <si>
    <t>Digital pin 41</t>
  </si>
  <si>
    <t>PG1 ( RD )</t>
  </si>
  <si>
    <t>Digital pin 40</t>
  </si>
  <si>
    <t>PC0 ( A8 )</t>
  </si>
  <si>
    <t>Digital pin 37</t>
  </si>
  <si>
    <t>PC1 ( A9 )</t>
  </si>
  <si>
    <t>Digital pin 36</t>
  </si>
  <si>
    <t>PC2 ( A10 )</t>
  </si>
  <si>
    <t>Digital pin 35</t>
  </si>
  <si>
    <t>PC3 ( A11 )</t>
  </si>
  <si>
    <t>Digital pin 34</t>
  </si>
  <si>
    <t>PC4 ( A12 )</t>
  </si>
  <si>
    <t>Digital pin 33</t>
  </si>
  <si>
    <t>PC5 ( A13 )</t>
  </si>
  <si>
    <t>Digital pin 32</t>
  </si>
  <si>
    <t>PC6 ( A14 )</t>
  </si>
  <si>
    <t>Digital pin 31</t>
  </si>
  <si>
    <t>PC7 ( A15 )</t>
  </si>
  <si>
    <t>Digital pin 30</t>
  </si>
  <si>
    <t>PJ0 ( RXD3/PCINT9 )</t>
  </si>
  <si>
    <t>Digital pin 15 (RX3)</t>
  </si>
  <si>
    <t>IN2</t>
  </si>
  <si>
    <t>PJ1 ( TXD3/PCINT10 )</t>
  </si>
  <si>
    <t>Digital pin 14 (TX3)</t>
  </si>
  <si>
    <t>IN1</t>
  </si>
  <si>
    <t>PJ2 ( XCK3/PCINT11 )</t>
  </si>
  <si>
    <t>PJ3 ( PCINT12 )</t>
  </si>
  <si>
    <t>PJ4 ( PCINT13 )</t>
  </si>
  <si>
    <t>PJ5 ( PCINT14 )</t>
  </si>
  <si>
    <t>PJ6 ( PCINT 15 )</t>
  </si>
  <si>
    <t>PG2 ( ALE )</t>
  </si>
  <si>
    <t>Digital pin 39</t>
  </si>
  <si>
    <t>PA7 ( AD7 )</t>
  </si>
  <si>
    <t>Digital pin 29</t>
  </si>
  <si>
    <t>PA6 ( AD6 )</t>
  </si>
  <si>
    <t>Digital pin 28</t>
  </si>
  <si>
    <t>PA5 ( AD5 )</t>
  </si>
  <si>
    <t>Digital pin 27</t>
  </si>
  <si>
    <t>PA4 ( AD4 )</t>
  </si>
  <si>
    <t>Digital pin 26</t>
  </si>
  <si>
    <t>PA3 ( AD3 )</t>
  </si>
  <si>
    <t>Digital pin 25</t>
  </si>
  <si>
    <t>PA2 ( AD2 )</t>
  </si>
  <si>
    <t>Digital pin 24</t>
  </si>
  <si>
    <t>PA1 ( AD1 )</t>
  </si>
  <si>
    <t>Digital pin 23</t>
  </si>
  <si>
    <t>PA0 ( AD0 )</t>
  </si>
  <si>
    <t>Digital pin 22</t>
  </si>
  <si>
    <t>PJ7</t>
  </si>
  <si>
    <t>PK7 ( ADC15/PCINT23 )</t>
  </si>
  <si>
    <t>Analog pin 15</t>
  </si>
  <si>
    <t>PK6 ( ADC14/PCINT22 )</t>
  </si>
  <si>
    <t>Analog pin 14</t>
  </si>
  <si>
    <t>PK5 ( ADC13/PCINT21 )</t>
  </si>
  <si>
    <t>Analog pin 13</t>
  </si>
  <si>
    <t>PK4 ( ADC12/PCINT20 )</t>
  </si>
  <si>
    <t>Analog pin 12</t>
  </si>
  <si>
    <t>PK3 ( ADC11/PCINT19 )</t>
  </si>
  <si>
    <t>Analog pin 11</t>
  </si>
  <si>
    <t>PK2 ( ADC10/PCINT18 )</t>
  </si>
  <si>
    <t>Analog pin 10</t>
  </si>
  <si>
    <t>PK1 ( ADC9/PCINT17 )</t>
  </si>
  <si>
    <t>Analog pin 9</t>
  </si>
  <si>
    <t>PK0 ( ADC8/PCINT16 )</t>
  </si>
  <si>
    <t>Analog pin 8</t>
  </si>
  <si>
    <t>Mux_out</t>
  </si>
  <si>
    <t>PF7 ( ADC7/TDI )</t>
  </si>
  <si>
    <t>Analog pin 7</t>
  </si>
  <si>
    <t>PF6 ( ADC6/TDO )</t>
  </si>
  <si>
    <t>Analog pin 6</t>
  </si>
  <si>
    <t>PF5 ( ADC5/TMS )</t>
  </si>
  <si>
    <t>Analog pin 5</t>
  </si>
  <si>
    <t>PF4 ( ADC4/TCK )</t>
  </si>
  <si>
    <t>Analog pin 4</t>
  </si>
  <si>
    <t>PF3 ( ADC3 )</t>
  </si>
  <si>
    <t>Analog pin 3</t>
  </si>
  <si>
    <t>MUX</t>
  </si>
  <si>
    <t>S0</t>
  </si>
  <si>
    <t>PF2 ( ADC2 )</t>
  </si>
  <si>
    <t>Analog pin 2</t>
  </si>
  <si>
    <t>S1</t>
  </si>
  <si>
    <t>PF1 ( ADC1 )</t>
  </si>
  <si>
    <t>Analog pin 1</t>
  </si>
  <si>
    <t>S2</t>
  </si>
  <si>
    <t>PF0 ( ADC0 )</t>
  </si>
  <si>
    <t>Analog pin 0</t>
  </si>
  <si>
    <t>S3</t>
  </si>
  <si>
    <t>AREF</t>
  </si>
  <si>
    <t>Analog Reference</t>
  </si>
  <si>
    <t>AVCC</t>
  </si>
  <si>
    <t>LCD</t>
  </si>
  <si>
    <t>LCD_SDA</t>
  </si>
  <si>
    <t>LCD_SCL</t>
  </si>
  <si>
    <t>EN_MUX2</t>
  </si>
  <si>
    <t>EN_MUX3</t>
  </si>
  <si>
    <t>EN_MUX4</t>
  </si>
  <si>
    <t>Atemga 2560</t>
  </si>
  <si>
    <t>Belt teeth</t>
  </si>
  <si>
    <t>Motor step</t>
  </si>
  <si>
    <t>Motor µstep</t>
  </si>
  <si>
    <t>https://www.norwegiancreations.com/2015/07/tutorial-calibrating-stepper-motor-machines-with-belts-and-pulleys/</t>
  </si>
  <si>
    <t>M0</t>
  </si>
  <si>
    <t>M1</t>
  </si>
  <si>
    <t>M2</t>
  </si>
  <si>
    <t>Microstep Resolution</t>
  </si>
  <si>
    <t>Low</t>
  </si>
  <si>
    <t>High</t>
  </si>
  <si>
    <t>Full step</t>
  </si>
  <si>
    <t>Half step</t>
  </si>
  <si>
    <t>1/4 step</t>
  </si>
  <si>
    <t>1/8 step</t>
  </si>
  <si>
    <t>1/32 step</t>
  </si>
  <si>
    <t>1/16 step</t>
  </si>
  <si>
    <t>vref</t>
  </si>
  <si>
    <t>DRV8825 Ilim</t>
  </si>
  <si>
    <t>I limit</t>
  </si>
  <si>
    <t>I MOT</t>
  </si>
  <si>
    <t>Imax 8825 = 2,2A</t>
  </si>
  <si>
    <t>Example</t>
  </si>
  <si>
    <t>Hall sensor allows to differenciate black/white/no piece on the board instead of reed relay (binary)</t>
  </si>
  <si>
    <t>Fpwm</t>
  </si>
  <si>
    <t>Typ</t>
  </si>
  <si>
    <t>Max</t>
  </si>
  <si>
    <t>ENA</t>
  </si>
  <si>
    <t>L</t>
  </si>
  <si>
    <t>Output</t>
  </si>
  <si>
    <t>Drive</t>
  </si>
  <si>
    <t>Rear</t>
  </si>
  <si>
    <t>Free wheel output</t>
  </si>
  <si>
    <t>output locked</t>
  </si>
  <si>
    <t>I magnet</t>
  </si>
  <si>
    <t>Imax L298</t>
  </si>
  <si>
    <t>Motort White</t>
  </si>
  <si>
    <t>MOTOR_WHITE_EN</t>
  </si>
  <si>
    <t>MOTOR_BLACK_EN</t>
  </si>
  <si>
    <t>Vcc</t>
  </si>
  <si>
    <t>Imax</t>
  </si>
  <si>
    <t>spr</t>
  </si>
  <si>
    <t>Speed max</t>
  </si>
  <si>
    <t>T per Step min</t>
  </si>
  <si>
    <t>Pmax</t>
  </si>
  <si>
    <t>NEMA 17 26Ncm</t>
  </si>
  <si>
    <t>Load</t>
  </si>
  <si>
    <t>D pulley</t>
  </si>
  <si>
    <t>Torque mot</t>
  </si>
  <si>
    <t>TBC</t>
  </si>
  <si>
    <t>Dir (TBC)</t>
  </si>
  <si>
    <t xml:space="preserve">MUX CD4067 </t>
  </si>
  <si>
    <t>tph=650ns</t>
  </si>
  <si>
    <t>Need to calibrate Hall sensor</t>
  </si>
  <si>
    <t>Voltage</t>
  </si>
  <si>
    <t>Gauss</t>
  </si>
  <si>
    <t>V</t>
  </si>
  <si>
    <t>2,48V</t>
  </si>
  <si>
    <t>0,9V</t>
  </si>
  <si>
    <t>4,29V</t>
  </si>
  <si>
    <t xml:space="preserve">Add acquisition channel to 49e to increase accuracy? </t>
  </si>
  <si>
    <t>Hall measure 3 (bit)</t>
  </si>
  <si>
    <t>Hall measure 2 (bit)</t>
  </si>
  <si>
    <t>Hall measure 1 (bit)</t>
  </si>
  <si>
    <t>SS49e Theoretical</t>
  </si>
  <si>
    <t>Power supply = 5,00V</t>
  </si>
  <si>
    <t>Hall no piece min =</t>
  </si>
  <si>
    <t>Hall no piece max =</t>
  </si>
  <si>
    <t>LIMIT_SWITCH_WHITE</t>
  </si>
  <si>
    <t>Micro switch</t>
  </si>
  <si>
    <t>Added in code</t>
  </si>
  <si>
    <t xml:space="preserve">Measured </t>
  </si>
  <si>
    <t>261 mm</t>
  </si>
  <si>
    <t>Measured</t>
  </si>
  <si>
    <t>14:46:55.294 -&gt; Distance H_A = 302.00mm</t>
  </si>
  <si>
    <t>14:46:55.294 -&gt; Steps on F8_F1 = 1310</t>
  </si>
  <si>
    <t>14:46:55.327 -&gt; Distance F8_F1 = 262.00mm</t>
  </si>
  <si>
    <t>14:46:55.226 -&gt; Steps on H_A = 1510</t>
  </si>
  <si>
    <t>300 mm</t>
  </si>
  <si>
    <t>En prenant en compte l'imprécision du test, les résultats sont acceptables</t>
  </si>
  <si>
    <t>Diagonal move Square</t>
  </si>
  <si>
    <t>distance d  square</t>
  </si>
  <si>
    <t>distance  d Unit</t>
  </si>
  <si>
    <t>Size Table XY</t>
  </si>
  <si>
    <t>Diagonal</t>
  </si>
  <si>
    <t>On garde le coeff 185 (les caluls sont corrects)</t>
  </si>
  <si>
    <t>measured</t>
  </si>
  <si>
    <t>ADC 2^10 bit (1024)</t>
  </si>
  <si>
    <t>DO measurement !!!</t>
  </si>
  <si>
    <t xml:space="preserve">Only for square table </t>
  </si>
  <si>
    <t>Test results with arduino code (XY)</t>
  </si>
  <si>
    <t>Test results with arduino code (diagonal)</t>
  </si>
  <si>
    <t>18:24:26.638 -&gt; Steps on HA_81 = 1968</t>
  </si>
  <si>
    <t>18:24:26.638 -&gt; Distance HA_81 = 393.60mm</t>
  </si>
  <si>
    <t>390mm</t>
  </si>
  <si>
    <t>18:24:26.705 -&gt; Steps on HA_18 = 1963</t>
  </si>
  <si>
    <t>18:24:26.739 -&gt; Distance HA_18 = 392.60mm</t>
  </si>
  <si>
    <t>18:32:09.646 -&gt; Steps on HA-18 = 1882</t>
  </si>
  <si>
    <t>18:32:09.646 -&gt; Distance HA_18 = 376.40mm</t>
  </si>
  <si>
    <t>18:32:09.684 -&gt; Steps on AH_81 = 1884</t>
  </si>
  <si>
    <t>18:14:44.558 -&gt; Distance AH_81 = 376.80mm</t>
  </si>
  <si>
    <t>372mm</t>
  </si>
  <si>
    <t>Test Results</t>
  </si>
  <si>
    <t>Coeff diagonal move</t>
  </si>
  <si>
    <t>Coeff square size</t>
  </si>
  <si>
    <t>Dir (28)</t>
  </si>
  <si>
    <t>Dir (34)</t>
  </si>
  <si>
    <t>Cable XY choisis plutôt qu'un cablage cartesien,</t>
  </si>
  <si>
    <t>Cela permet d'éviter d'avoir un moteur sur le chariot (et donc une meilleure intégration) et une plus grande plage de mouvement.</t>
  </si>
  <si>
    <t>Cependant, le cablage est plus complexe et une précision de déplacement plus faible.</t>
  </si>
  <si>
    <t>A chaque utilisation, la position du chariot est inconnu. Il doit revenir en position 0 en entrant en contact avec les capteurs fins de course.</t>
  </si>
  <si>
    <t>Augmenter l'alimentation permet d'améliorer la précision de mesure d'après la datasheet. Essayer 6V ou 6,5V</t>
  </si>
  <si>
    <t>Power supply = 6,00V</t>
  </si>
  <si>
    <t>H_A</t>
  </si>
  <si>
    <t>White</t>
  </si>
  <si>
    <t>A_H</t>
  </si>
  <si>
    <t>8_1</t>
  </si>
  <si>
    <t>1_8</t>
  </si>
  <si>
    <t>HA_81</t>
  </si>
  <si>
    <t>AH_18</t>
  </si>
  <si>
    <t>HA_18</t>
  </si>
  <si>
    <t>AH_81</t>
  </si>
  <si>
    <t>Table of truth</t>
  </si>
  <si>
    <t>DIR MOT</t>
  </si>
  <si>
    <t>STEP MOT</t>
  </si>
  <si>
    <t>Direction</t>
  </si>
  <si>
    <t>DIR (White = 1) ==&gt; H_A || 1_8 || HA_18  Sinon DIR (White = 0)</t>
  </si>
  <si>
    <t>DIR (Black = 1) ==&gt; A_H || 1_8 || AH_18 Sinon DIR Black = 0)</t>
  </si>
  <si>
    <t>STEP (White = 0) ==&gt; HA_81  || AH_18  Sinon STEP (White = 1)</t>
  </si>
  <si>
    <t>STEP (Black = 0) ==&gt; AH_81 || HA_18 Sinon DIR Black = 1)</t>
  </si>
  <si>
    <t>Buzzer</t>
  </si>
  <si>
    <t>pin_buzzer</t>
  </si>
  <si>
    <t>Linear Resolution</t>
  </si>
  <si>
    <t>Displacement Resolution</t>
  </si>
  <si>
    <t xml:space="preserve">Vcc </t>
  </si>
  <si>
    <t>Sensitivity</t>
  </si>
  <si>
    <t>microstep</t>
  </si>
  <si>
    <t>Torque max</t>
  </si>
  <si>
    <t>Microstep</t>
  </si>
  <si>
    <t>Torque</t>
  </si>
  <si>
    <t>On garde le coeff 1,41 (les caluls sont corrects)</t>
  </si>
  <si>
    <t>P5V</t>
  </si>
  <si>
    <t>P6V5</t>
  </si>
  <si>
    <t>Matrix LED max7219-dotmatrix-V02</t>
  </si>
  <si>
    <t>hauteur noyau</t>
  </si>
  <si>
    <t>diamètre noyau</t>
  </si>
  <si>
    <t>Volume noyau</t>
  </si>
  <si>
    <t>masse aimant</t>
  </si>
  <si>
    <t>Force min</t>
  </si>
  <si>
    <t>Force frottement</t>
  </si>
  <si>
    <t>Force inertie</t>
  </si>
  <si>
    <t>coeff frottement plexiglas</t>
  </si>
  <si>
    <t>acceleration aimant</t>
  </si>
  <si>
    <t>Force aimant nécessaire</t>
  </si>
  <si>
    <t>Force mécanique totale</t>
  </si>
  <si>
    <t>ISO 60404-8-1</t>
  </si>
  <si>
    <t>Induction rémanente</t>
  </si>
  <si>
    <t>https://www.kjmagnetics.com/magnetic-field-calculator.asp</t>
  </si>
  <si>
    <t>https://www.femm.info/wiki/HomePage</t>
  </si>
  <si>
    <t>Le problème est de type planaire.</t>
  </si>
  <si>
    <t>Épaisseur du blindage magnétique : 4 mm.</t>
  </si>
  <si>
    <t>Diamètre intérieur du moyeu du blindage magnétique : 10 mm.</t>
  </si>
  <si>
    <t>Électro-aimant à lévitation, 840 spires. Fil de 0,45 mm, noyau magnétique de 2,41 mm.</t>
  </si>
  <si>
    <t>Orientation de l’aimant : vers le haut ou vers le bas.</t>
  </si>
  <si>
    <t>Il est dessiné en 2D, vue Y-Z</t>
  </si>
  <si>
    <t>Matériau IASI 304 Custom pour le blindage magnétique.</t>
  </si>
  <si>
    <t>Aimants N35. Diamètre de l’aimant : 8 mm x 3 mm.</t>
  </si>
  <si>
    <t>H (Amp/m)</t>
  </si>
  <si>
    <t>B (Tesla)</t>
  </si>
  <si>
    <t>B-H courbe pour 
AISI 304 Custom</t>
  </si>
  <si>
    <t>Poids 4 rondelles</t>
  </si>
  <si>
    <t>https://www.production-solution.com/coil-calculator.htm</t>
  </si>
  <si>
    <t>Dw</t>
  </si>
  <si>
    <t>Wire.Diameter</t>
  </si>
  <si>
    <t>Number of Turns</t>
  </si>
  <si>
    <t>Lb</t>
  </si>
  <si>
    <t>Bobbin Length</t>
  </si>
  <si>
    <t>Db</t>
  </si>
  <si>
    <t>Core Diameter</t>
  </si>
  <si>
    <t>Permeability on Air</t>
  </si>
  <si>
    <t>I</t>
  </si>
  <si>
    <t>Current Designed</t>
  </si>
  <si>
    <t>Gap</t>
  </si>
  <si>
    <t>TpW</t>
  </si>
  <si>
    <t>Turns per Layer (Turns per Winding)</t>
  </si>
  <si>
    <t>TpW= Lb/Dw;</t>
  </si>
  <si>
    <t>W</t>
  </si>
  <si>
    <t>Number of Layers: Windings</t>
  </si>
  <si>
    <t>W=N/TpW;</t>
  </si>
  <si>
    <t>Cross Section Area</t>
  </si>
  <si>
    <t>A= PI*Rw*Rw;</t>
  </si>
  <si>
    <t>Rw</t>
  </si>
  <si>
    <t>Average Radius of Coil</t>
  </si>
  <si>
    <t>Rw= (W*Dw+ Db)/2;</t>
  </si>
  <si>
    <t>Dc</t>
  </si>
  <si>
    <t>Outer Diameter of Coil</t>
  </si>
  <si>
    <t>Dc= (2*W*Dw+Db);</t>
  </si>
  <si>
    <t>Dm</t>
  </si>
  <si>
    <t>Diameter to middle of the Coil</t>
  </si>
  <si>
    <t>Dm=(Dc-Db)/2+Db;</t>
  </si>
  <si>
    <t>LpT</t>
  </si>
  <si>
    <t>Average Length Turn</t>
  </si>
  <si>
    <t>LpT= 2*PI*Rw;</t>
  </si>
  <si>
    <t>Length</t>
  </si>
  <si>
    <t>L= LpT*N/KILO;</t>
  </si>
  <si>
    <t>RpM</t>
  </si>
  <si>
    <t>Resistance Per Meter</t>
  </si>
  <si>
    <t>RpM=0,033*((0.812/2)*(0.812/2))/((Dw/2)*(Dw/2));</t>
  </si>
  <si>
    <t>Ww</t>
  </si>
  <si>
    <t>Wire Weight</t>
  </si>
  <si>
    <t>Ww= (L/(51.05/(((Dw/2)*(Dw/2))*PI)))*.45359237;</t>
  </si>
  <si>
    <t>Total Resistance</t>
  </si>
  <si>
    <t>R= RpM*L;</t>
  </si>
  <si>
    <t>Inductance in Micro Henries</t>
  </si>
  <si>
    <t>H=(Dm*.001*Dm*.001*N*N)/(Lb*.001+.45*Dm*.001);</t>
  </si>
  <si>
    <t>Force</t>
  </si>
  <si>
    <t>F= (N*I)*(N*I)*K*A0/(2*g*g);</t>
  </si>
  <si>
    <t>V=I.R</t>
  </si>
  <si>
    <t>P=V.I</t>
  </si>
  <si>
    <t>A0</t>
  </si>
  <si>
    <t>Cross section for force calculation</t>
  </si>
  <si>
    <t>A0= PI*Math.pow((Db/2),2)</t>
  </si>
  <si>
    <t>Données Electro aimant</t>
  </si>
  <si>
    <t>https://www.youtube.com/watch?v=vHP-zq23uvE&amp;t=15s</t>
  </si>
  <si>
    <t>I = V/ R</t>
  </si>
  <si>
    <t>B =N*I*µ0 * Core Effective Permeability / Core Lenght</t>
  </si>
  <si>
    <t>F =B^2 * Core Area / (2 * µ0 )</t>
  </si>
  <si>
    <t>P = I^2xR</t>
  </si>
  <si>
    <t>N [Number of Turns]</t>
  </si>
  <si>
    <t>Length [m]</t>
  </si>
  <si>
    <t>Resistance [Ohm]</t>
  </si>
  <si>
    <t>Current [Ampere]</t>
  </si>
  <si>
    <t>B [Tesla]</t>
  </si>
  <si>
    <t>Force [Newton]</t>
  </si>
  <si>
    <t>Power [Watt]</t>
  </si>
  <si>
    <t>Weight [ Grams]</t>
  </si>
  <si>
    <t>Wire Area [mm2]</t>
  </si>
  <si>
    <t>Wire Max Current</t>
  </si>
  <si>
    <t>Core Effective permeability</t>
  </si>
  <si>
    <t>Resistivity</t>
  </si>
  <si>
    <t>Ohm*mm^2/m</t>
  </si>
  <si>
    <t>Wire Radius</t>
  </si>
  <si>
    <t xml:space="preserve">Core Radius </t>
  </si>
  <si>
    <t>Core Lenght</t>
  </si>
  <si>
    <t>Current Limit</t>
  </si>
  <si>
    <t>Vacuum permeability</t>
  </si>
  <si>
    <t>B MIN</t>
  </si>
  <si>
    <t>Densité neodyme</t>
  </si>
  <si>
    <t>Courant</t>
  </si>
  <si>
    <t>Section</t>
  </si>
  <si>
    <t>Current density</t>
  </si>
  <si>
    <t>Servo_MOT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</si>
</sst>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4">
    <numFmt numFmtId="164" formatCode="General&quot;W&quot;"/>
    <numFmt numFmtId="165" formatCode="General&quot;A&quot;"/>
    <numFmt numFmtId="166" formatCode="General\ &quot;mm&quot;"/>
    <numFmt numFmtId="167" formatCode="General\ &quot;N&quot;"/>
    <numFmt numFmtId="168" formatCode="General\ &quot;m&quot;"/>
    <numFmt numFmtId="169" formatCode="General\ &quot;A&quot;"/>
    <numFmt numFmtId="170" formatCode="General\ &quot;Kg&quot;"/>
    <numFmt numFmtId="171" formatCode="General\ &quot;V&quot;"/>
    <numFmt numFmtId="172" formatCode="General\ &quot;steps per square&quot;"/>
    <numFmt numFmtId="173" formatCode="General\ &quot;step&quot;"/>
    <numFmt numFmtId="174" formatCode="General\ &quot;steps&quot;"/>
    <numFmt numFmtId="175" formatCode="General\ &quot;kHz&quot;"/>
    <numFmt numFmtId="176" formatCode="General\ &quot;ms&quot;"/>
    <numFmt numFmtId="177" formatCode="General\ &quot;mH&quot;"/>
    <numFmt numFmtId="178" formatCode="General\ &quot;rev/s&quot;"/>
    <numFmt numFmtId="179" formatCode="General\ &quot;W&quot;"/>
    <numFmt numFmtId="180" formatCode="General\ &quot;cm&quot;"/>
    <numFmt numFmtId="181" formatCode="General\ &quot;Ncm&quot;"/>
    <numFmt numFmtId="182" formatCode="General\ &quot;g&quot;"/>
    <numFmt numFmtId="183" formatCode="General\ &quot;G&quot;"/>
    <numFmt numFmtId="184" formatCode="General\ &quot;µsteps per square&quot;"/>
    <numFmt numFmtId="185" formatCode="General\ "/>
    <numFmt numFmtId="186" formatCode="General\ &quot;teeth&quot;"/>
    <numFmt numFmtId="187" formatCode="General\ &quot;mV/G&quot;"/>
    <numFmt numFmtId="188" formatCode="General\ &quot;&quot;"/>
    <numFmt numFmtId="189" formatCode="General\ &quot;µsteps per mm&quot;"/>
    <numFmt numFmtId="190" formatCode="General\ &quot;m3&quot;"/>
    <numFmt numFmtId="191" formatCode="General\ &quot;Kg/m3&quot;"/>
    <numFmt numFmtId="192" formatCode="General\ &quot;kg&quot;"/>
    <numFmt numFmtId="193" formatCode="General\ &quot;m/s²&quot;"/>
    <numFmt numFmtId="194" formatCode="General\ &quot;T&quot;"/>
    <numFmt numFmtId="195" formatCode="General\ &quot;mm²&quot;"/>
    <numFmt numFmtId="196" formatCode="General\ &quot;Ohm&quot;"/>
    <numFmt numFmtId="197" formatCode="General\ &quot;µH&quot;"/>
    <numFmt numFmtId="198" formatCode="General\ &quot;Ohm/m&quot;"/>
    <numFmt numFmtId="199" formatCode="#,##0.0000"/>
    <numFmt numFmtId="200" formatCode="#,##0.000000"/>
    <numFmt numFmtId="201" formatCode="General&quot;V&quot;"/>
    <numFmt numFmtId="202" formatCode="General&quot;mm&quot;"/>
    <numFmt numFmtId="203" formatCode="General&quot;A/mm²&quot;"/>
    <numFmt numFmtId="204" formatCode="General&quot;mm²&quot;"/>
    <numFmt numFmtId="205" formatCode="General&quot;H/m&quot;"/>
    <numFmt numFmtId="206" formatCode="General&quot;&quot;"/>
    <numFmt numFmtId="207" formatCode="General&quot;T&quot;"/>
  </numFmts>
  <fonts count="2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Frutiger-light"/>
    </font>
    <font>
      <sz val="11"/>
      <color rgb="FF000000"/>
      <name val="Frutiger-light"/>
    </font>
    <font>
      <sz val="11"/>
      <color rgb="FF000000"/>
      <name val="Arial"/>
      <family val="2"/>
    </font>
    <font>
      <sz val="11"/>
      <color rgb="FF374151"/>
      <name val="Arial"/>
      <family val="2"/>
    </font>
    <font>
      <b/>
      <sz val="11"/>
      <color rgb="FF000000"/>
      <name val="Arial"/>
      <family val="2"/>
    </font>
    <font>
      <sz val="11"/>
      <color rgb="FF37414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CCCCCC"/>
      <name val="Arial Unicode MS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  <font>
      <sz val="10"/>
      <color rgb="FFFF0000"/>
      <name val="Arial Unicode MS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theme="1"/>
      <name val="Calibri"/>
      <family val="2"/>
      <scheme val="minor"/>
    </font>
    <font>
      <sz val="11"/>
      <color rgb="FF000000"/>
      <name val="Calibri"/>
    </font>
    <font>
      <sz val="1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9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 style="medium">
        <color indexed="64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medium">
        <color indexed="64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medium">
        <color indexed="64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6" fillId="21" borderId="65" applyNumberFormat="0" applyFont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3" fillId="27" borderId="0" applyNumberFormat="0" applyBorder="0" applyAlignment="0" applyProtection="0"/>
    <xf numFmtId="0" fontId="6" fillId="28" borderId="0" applyNumberFormat="0" applyBorder="0" applyAlignment="0" applyProtection="0"/>
  </cellStyleXfs>
  <cellXfs count="436">
    <xf numFmtId="0" fontId="0" fillId="0" borderId="0" xfId="0"/>
    <xf numFmtId="0" fontId="0" fillId="0" borderId="1" xfId="0" applyBorder="1"/>
    <xf numFmtId="165" fontId="0" fillId="0" borderId="1" xfId="0" applyNumberFormat="1" applyBorder="1"/>
    <xf numFmtId="164" fontId="0" fillId="0" borderId="1" xfId="0" applyNumberFormat="1" applyBorder="1"/>
    <xf numFmtId="0" fontId="1" fillId="0" borderId="0" xfId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5" xfId="0" applyFill="1" applyBorder="1"/>
    <xf numFmtId="0" fontId="0" fillId="4" borderId="10" xfId="0" applyFill="1" applyBorder="1"/>
    <xf numFmtId="0" fontId="0" fillId="4" borderId="7" xfId="0" applyFill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0" borderId="32" xfId="0" applyBorder="1"/>
    <xf numFmtId="0" fontId="2" fillId="0" borderId="32" xfId="0" applyFont="1" applyBorder="1"/>
    <xf numFmtId="0" fontId="0" fillId="7" borderId="19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4" borderId="6" xfId="0" applyFill="1" applyBorder="1"/>
    <xf numFmtId="0" fontId="0" fillId="4" borderId="29" xfId="0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33" xfId="0" applyFill="1" applyBorder="1"/>
    <xf numFmtId="0" fontId="0" fillId="4" borderId="9" xfId="0" applyFill="1" applyBorder="1"/>
    <xf numFmtId="0" fontId="3" fillId="5" borderId="34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6" fillId="10" borderId="44" xfId="0" applyFont="1" applyFill="1" applyBorder="1"/>
    <xf numFmtId="0" fontId="0" fillId="10" borderId="44" xfId="0" applyFill="1" applyBorder="1"/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45" xfId="0" applyBorder="1"/>
    <xf numFmtId="0" fontId="0" fillId="0" borderId="44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26" xfId="0" applyBorder="1" applyAlignment="1">
      <alignment horizontal="center" vertical="center"/>
    </xf>
    <xf numFmtId="0" fontId="0" fillId="12" borderId="0" xfId="0" applyFill="1"/>
    <xf numFmtId="0" fontId="0" fillId="11" borderId="12" xfId="0" applyFill="1" applyBorder="1"/>
    <xf numFmtId="0" fontId="0" fillId="11" borderId="34" xfId="0" applyFill="1" applyBorder="1"/>
    <xf numFmtId="0" fontId="0" fillId="11" borderId="52" xfId="0" applyFill="1" applyBorder="1" applyAlignment="1">
      <alignment horizontal="center" vertical="center"/>
    </xf>
    <xf numFmtId="0" fontId="0" fillId="11" borderId="53" xfId="0" applyFill="1" applyBorder="1" applyAlignment="1">
      <alignment horizontal="center" vertical="center"/>
    </xf>
    <xf numFmtId="0" fontId="0" fillId="11" borderId="54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 vertical="center"/>
    </xf>
    <xf numFmtId="0" fontId="0" fillId="11" borderId="5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10" fillId="13" borderId="59" xfId="0" applyFont="1" applyFill="1" applyBorder="1" applyAlignment="1">
      <alignment horizontal="center"/>
    </xf>
    <xf numFmtId="0" fontId="10" fillId="13" borderId="60" xfId="0" applyFont="1" applyFill="1" applyBorder="1" applyAlignment="1">
      <alignment horizontal="center"/>
    </xf>
    <xf numFmtId="0" fontId="9" fillId="14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9" fillId="14" borderId="59" xfId="0" applyFont="1" applyFill="1" applyBorder="1"/>
    <xf numFmtId="0" fontId="11" fillId="14" borderId="0" xfId="0" applyFont="1" applyFill="1" applyAlignment="1">
      <alignment horizontal="right"/>
    </xf>
    <xf numFmtId="0" fontId="10" fillId="13" borderId="61" xfId="0" applyFont="1" applyFill="1" applyBorder="1" applyAlignment="1">
      <alignment horizontal="center"/>
    </xf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2" borderId="21" xfId="0" applyFill="1" applyBorder="1"/>
    <xf numFmtId="0" fontId="0" fillId="2" borderId="22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2" borderId="21" xfId="0" applyFill="1" applyBorder="1"/>
    <xf numFmtId="0" fontId="0" fillId="12" borderId="22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23" xfId="0" applyBorder="1"/>
    <xf numFmtId="0" fontId="0" fillId="0" borderId="25" xfId="0" applyBorder="1"/>
    <xf numFmtId="0" fontId="12" fillId="16" borderId="21" xfId="0" applyFont="1" applyFill="1" applyBorder="1" applyAlignment="1">
      <alignment vertical="center" wrapText="1"/>
    </xf>
    <xf numFmtId="0" fontId="12" fillId="16" borderId="1" xfId="0" applyFont="1" applyFill="1" applyBorder="1" applyAlignment="1">
      <alignment vertical="center" wrapText="1"/>
    </xf>
    <xf numFmtId="0" fontId="12" fillId="16" borderId="22" xfId="0" applyFont="1" applyFill="1" applyBorder="1" applyAlignment="1">
      <alignment vertical="center" wrapText="1"/>
    </xf>
    <xf numFmtId="0" fontId="12" fillId="2" borderId="2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2" fillId="2" borderId="22" xfId="0" applyFont="1" applyFill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17" borderId="21" xfId="0" applyFont="1" applyFill="1" applyBorder="1" applyAlignment="1">
      <alignment vertical="center" wrapText="1"/>
    </xf>
    <xf numFmtId="0" fontId="12" fillId="17" borderId="1" xfId="0" applyFont="1" applyFill="1" applyBorder="1" applyAlignment="1">
      <alignment vertical="center" wrapText="1"/>
    </xf>
    <xf numFmtId="0" fontId="12" fillId="17" borderId="22" xfId="0" applyFont="1" applyFill="1" applyBorder="1" applyAlignment="1">
      <alignment vertical="center" wrapText="1"/>
    </xf>
    <xf numFmtId="0" fontId="12" fillId="15" borderId="21" xfId="0" applyFont="1" applyFill="1" applyBorder="1" applyAlignment="1">
      <alignment vertical="center" wrapText="1"/>
    </xf>
    <xf numFmtId="0" fontId="12" fillId="15" borderId="1" xfId="0" applyFont="1" applyFill="1" applyBorder="1" applyAlignment="1">
      <alignment vertical="center" wrapText="1"/>
    </xf>
    <xf numFmtId="0" fontId="12" fillId="15" borderId="22" xfId="0" applyFont="1" applyFill="1" applyBorder="1" applyAlignment="1">
      <alignment vertical="center" wrapText="1"/>
    </xf>
    <xf numFmtId="0" fontId="12" fillId="12" borderId="21" xfId="0" applyFont="1" applyFill="1" applyBorder="1" applyAlignment="1">
      <alignment vertical="center" wrapText="1"/>
    </xf>
    <xf numFmtId="0" fontId="12" fillId="12" borderId="1" xfId="0" applyFont="1" applyFill="1" applyBorder="1" applyAlignment="1">
      <alignment vertical="center" wrapText="1"/>
    </xf>
    <xf numFmtId="0" fontId="12" fillId="12" borderId="22" xfId="0" applyFont="1" applyFill="1" applyBorder="1" applyAlignment="1">
      <alignment vertical="center" wrapText="1"/>
    </xf>
    <xf numFmtId="0" fontId="12" fillId="10" borderId="2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 wrapText="1"/>
    </xf>
    <xf numFmtId="0" fontId="12" fillId="10" borderId="22" xfId="0" applyFont="1" applyFill="1" applyBorder="1" applyAlignment="1">
      <alignment vertical="center" wrapText="1"/>
    </xf>
    <xf numFmtId="0" fontId="12" fillId="3" borderId="2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vertical="center" wrapText="1"/>
    </xf>
    <xf numFmtId="0" fontId="12" fillId="16" borderId="23" xfId="0" applyFont="1" applyFill="1" applyBorder="1" applyAlignment="1">
      <alignment vertical="center" wrapText="1"/>
    </xf>
    <xf numFmtId="0" fontId="12" fillId="16" borderId="24" xfId="0" applyFont="1" applyFill="1" applyBorder="1" applyAlignment="1">
      <alignment vertical="center" wrapText="1"/>
    </xf>
    <xf numFmtId="0" fontId="12" fillId="16" borderId="25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/>
    <xf numFmtId="0" fontId="0" fillId="0" borderId="63" xfId="0" applyBorder="1"/>
    <xf numFmtId="0" fontId="0" fillId="0" borderId="26" xfId="0" applyBorder="1"/>
    <xf numFmtId="0" fontId="13" fillId="0" borderId="0" xfId="0" applyFont="1"/>
    <xf numFmtId="0" fontId="0" fillId="0" borderId="15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7" fillId="0" borderId="15" xfId="0" applyFont="1" applyBorder="1"/>
    <xf numFmtId="0" fontId="0" fillId="0" borderId="0" xfId="0" applyAlignment="1">
      <alignment horizontal="center"/>
    </xf>
    <xf numFmtId="0" fontId="0" fillId="11" borderId="26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9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175" fontId="0" fillId="0" borderId="1" xfId="0" applyNumberFormat="1" applyBorder="1"/>
    <xf numFmtId="0" fontId="14" fillId="0" borderId="0" xfId="0" applyFont="1"/>
    <xf numFmtId="0" fontId="0" fillId="0" borderId="6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173" fontId="0" fillId="0" borderId="0" xfId="0" applyNumberFormat="1"/>
    <xf numFmtId="0" fontId="12" fillId="0" borderId="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3" fillId="22" borderId="16" xfId="3" applyBorder="1" applyAlignment="1">
      <alignment horizontal="center"/>
    </xf>
    <xf numFmtId="0" fontId="3" fillId="22" borderId="17" xfId="3" applyBorder="1" applyAlignment="1">
      <alignment horizontal="center"/>
    </xf>
    <xf numFmtId="0" fontId="3" fillId="22" borderId="18" xfId="3" applyBorder="1" applyAlignment="1">
      <alignment horizontal="center"/>
    </xf>
    <xf numFmtId="0" fontId="3" fillId="22" borderId="62" xfId="3" applyBorder="1" applyAlignment="1">
      <alignment horizontal="center"/>
    </xf>
    <xf numFmtId="0" fontId="3" fillId="22" borderId="1" xfId="3" applyBorder="1" applyAlignment="1">
      <alignment horizontal="center"/>
    </xf>
    <xf numFmtId="0" fontId="3" fillId="22" borderId="9" xfId="3" applyBorder="1" applyAlignment="1">
      <alignment horizontal="center" vertical="center"/>
    </xf>
    <xf numFmtId="0" fontId="3" fillId="22" borderId="16" xfId="3" applyBorder="1" applyAlignment="1">
      <alignment horizontal="center" vertical="center"/>
    </xf>
    <xf numFmtId="0" fontId="3" fillId="22" borderId="17" xfId="3" applyBorder="1" applyAlignment="1">
      <alignment horizontal="center" vertical="center"/>
    </xf>
    <xf numFmtId="0" fontId="3" fillId="22" borderId="18" xfId="3" applyBorder="1" applyAlignment="1">
      <alignment horizontal="center" vertical="center"/>
    </xf>
    <xf numFmtId="0" fontId="3" fillId="22" borderId="11" xfId="3" applyBorder="1" applyAlignment="1">
      <alignment horizontal="center" vertical="center" wrapText="1"/>
    </xf>
    <xf numFmtId="0" fontId="3" fillId="22" borderId="18" xfId="3" applyBorder="1" applyAlignment="1">
      <alignment horizontal="center" vertical="center" wrapText="1"/>
    </xf>
    <xf numFmtId="0" fontId="3" fillId="22" borderId="11" xfId="3" applyBorder="1" applyAlignment="1">
      <alignment horizontal="center"/>
    </xf>
    <xf numFmtId="171" fontId="0" fillId="21" borderId="65" xfId="2" applyNumberFormat="1" applyFont="1"/>
    <xf numFmtId="169" fontId="0" fillId="21" borderId="65" xfId="2" applyNumberFormat="1" applyFont="1"/>
    <xf numFmtId="177" fontId="0" fillId="21" borderId="65" xfId="2" applyNumberFormat="1" applyFont="1"/>
    <xf numFmtId="173" fontId="0" fillId="21" borderId="65" xfId="2" applyNumberFormat="1" applyFont="1"/>
    <xf numFmtId="182" fontId="0" fillId="21" borderId="65" xfId="2" applyNumberFormat="1" applyFont="1"/>
    <xf numFmtId="180" fontId="0" fillId="21" borderId="65" xfId="2" applyNumberFormat="1" applyFont="1"/>
    <xf numFmtId="167" fontId="3" fillId="23" borderId="1" xfId="4" applyNumberFormat="1" applyBorder="1"/>
    <xf numFmtId="171" fontId="3" fillId="23" borderId="1" xfId="4" applyNumberFormat="1" applyBorder="1"/>
    <xf numFmtId="0" fontId="3" fillId="23" borderId="21" xfId="4" applyBorder="1" applyAlignment="1">
      <alignment horizontal="center"/>
    </xf>
    <xf numFmtId="0" fontId="3" fillId="23" borderId="1" xfId="4" applyBorder="1" applyAlignment="1">
      <alignment horizontal="center"/>
    </xf>
    <xf numFmtId="0" fontId="3" fillId="23" borderId="22" xfId="4" applyBorder="1" applyAlignment="1">
      <alignment horizontal="center"/>
    </xf>
    <xf numFmtId="0" fontId="3" fillId="23" borderId="4" xfId="4" applyBorder="1" applyAlignment="1">
      <alignment horizontal="center"/>
    </xf>
    <xf numFmtId="166" fontId="0" fillId="21" borderId="65" xfId="2" applyNumberFormat="1" applyFont="1"/>
    <xf numFmtId="168" fontId="0" fillId="21" borderId="65" xfId="2" applyNumberFormat="1" applyFont="1"/>
    <xf numFmtId="170" fontId="0" fillId="21" borderId="65" xfId="2" applyNumberFormat="1" applyFont="1"/>
    <xf numFmtId="0" fontId="0" fillId="21" borderId="65" xfId="2" applyFont="1"/>
    <xf numFmtId="178" fontId="3" fillId="23" borderId="27" xfId="4" applyNumberFormat="1" applyBorder="1"/>
    <xf numFmtId="176" fontId="3" fillId="23" borderId="22" xfId="4" applyNumberFormat="1" applyBorder="1"/>
    <xf numFmtId="179" fontId="3" fillId="23" borderId="22" xfId="4" applyNumberFormat="1" applyBorder="1"/>
    <xf numFmtId="181" fontId="3" fillId="23" borderId="25" xfId="4" applyNumberFormat="1" applyBorder="1"/>
    <xf numFmtId="183" fontId="0" fillId="21" borderId="65" xfId="2" applyNumberFormat="1" applyFont="1"/>
    <xf numFmtId="0" fontId="3" fillId="23" borderId="1" xfId="4" applyBorder="1"/>
    <xf numFmtId="0" fontId="15" fillId="0" borderId="0" xfId="0" applyFont="1" applyAlignment="1">
      <alignment vertical="center"/>
    </xf>
    <xf numFmtId="3" fontId="0" fillId="0" borderId="21" xfId="0" applyNumberForma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24" borderId="21" xfId="0" applyFont="1" applyFill="1" applyBorder="1" applyAlignment="1">
      <alignment vertical="center" wrapText="1"/>
    </xf>
    <xf numFmtId="0" fontId="12" fillId="24" borderId="1" xfId="0" applyFont="1" applyFill="1" applyBorder="1" applyAlignment="1">
      <alignment vertical="center" wrapText="1"/>
    </xf>
    <xf numFmtId="0" fontId="12" fillId="24" borderId="22" xfId="0" applyFont="1" applyFill="1" applyBorder="1" applyAlignment="1">
      <alignment vertical="center" wrapText="1"/>
    </xf>
    <xf numFmtId="0" fontId="0" fillId="24" borderId="21" xfId="0" applyFill="1" applyBorder="1"/>
    <xf numFmtId="0" fontId="0" fillId="24" borderId="22" xfId="0" applyFill="1" applyBorder="1"/>
    <xf numFmtId="0" fontId="12" fillId="24" borderId="19" xfId="0" applyFont="1" applyFill="1" applyBorder="1" applyAlignment="1">
      <alignment vertical="center" wrapText="1"/>
    </xf>
    <xf numFmtId="0" fontId="12" fillId="24" borderId="15" xfId="0" applyFont="1" applyFill="1" applyBorder="1" applyAlignment="1">
      <alignment vertical="center" wrapText="1"/>
    </xf>
    <xf numFmtId="0" fontId="12" fillId="24" borderId="20" xfId="0" applyFont="1" applyFill="1" applyBorder="1" applyAlignment="1">
      <alignment vertical="center" wrapText="1"/>
    </xf>
    <xf numFmtId="0" fontId="0" fillId="24" borderId="26" xfId="0" applyFill="1" applyBorder="1"/>
    <xf numFmtId="0" fontId="0" fillId="24" borderId="27" xfId="0" applyFill="1" applyBorder="1"/>
    <xf numFmtId="0" fontId="16" fillId="0" borderId="0" xfId="0" applyFont="1" applyAlignment="1">
      <alignment vertical="center"/>
    </xf>
    <xf numFmtId="172" fontId="3" fillId="23" borderId="67" xfId="4" applyNumberFormat="1" applyBorder="1"/>
    <xf numFmtId="184" fontId="3" fillId="23" borderId="22" xfId="4" applyNumberFormat="1" applyBorder="1"/>
    <xf numFmtId="185" fontId="0" fillId="21" borderId="71" xfId="2" applyNumberFormat="1" applyFont="1" applyBorder="1"/>
    <xf numFmtId="166" fontId="0" fillId="21" borderId="72" xfId="2" applyNumberFormat="1" applyFont="1" applyBorder="1"/>
    <xf numFmtId="166" fontId="0" fillId="21" borderId="71" xfId="2" applyNumberFormat="1" applyFont="1" applyBorder="1"/>
    <xf numFmtId="166" fontId="3" fillId="23" borderId="70" xfId="4" applyNumberFormat="1" applyBorder="1"/>
    <xf numFmtId="0" fontId="3" fillId="23" borderId="39" xfId="4" applyNumberFormat="1" applyBorder="1"/>
    <xf numFmtId="0" fontId="6" fillId="26" borderId="26" xfId="6" applyBorder="1"/>
    <xf numFmtId="0" fontId="6" fillId="26" borderId="27" xfId="6" applyBorder="1"/>
    <xf numFmtId="0" fontId="6" fillId="26" borderId="23" xfId="6" applyBorder="1"/>
    <xf numFmtId="0" fontId="6" fillId="26" borderId="25" xfId="6" applyBorder="1"/>
    <xf numFmtId="0" fontId="6" fillId="25" borderId="58" xfId="5" applyBorder="1" applyAlignment="1">
      <alignment horizontal="center"/>
    </xf>
    <xf numFmtId="174" fontId="6" fillId="25" borderId="58" xfId="5" applyNumberFormat="1" applyBorder="1" applyAlignment="1">
      <alignment horizontal="center"/>
    </xf>
    <xf numFmtId="0" fontId="6" fillId="25" borderId="13" xfId="5" applyBorder="1"/>
    <xf numFmtId="0" fontId="6" fillId="25" borderId="14" xfId="5" applyBorder="1"/>
    <xf numFmtId="0" fontId="6" fillId="25" borderId="33" xfId="5" applyBorder="1" applyAlignment="1">
      <alignment vertical="center"/>
    </xf>
    <xf numFmtId="0" fontId="6" fillId="25" borderId="0" xfId="5"/>
    <xf numFmtId="0" fontId="6" fillId="25" borderId="68" xfId="5" applyBorder="1"/>
    <xf numFmtId="0" fontId="6" fillId="25" borderId="34" xfId="5" applyBorder="1" applyAlignment="1">
      <alignment vertical="center"/>
    </xf>
    <xf numFmtId="0" fontId="6" fillId="25" borderId="69" xfId="5" applyBorder="1"/>
    <xf numFmtId="0" fontId="6" fillId="25" borderId="70" xfId="5" applyBorder="1"/>
    <xf numFmtId="0" fontId="6" fillId="25" borderId="13" xfId="5" applyBorder="1" applyAlignment="1">
      <alignment vertical="center"/>
    </xf>
    <xf numFmtId="0" fontId="6" fillId="25" borderId="33" xfId="5" applyBorder="1"/>
    <xf numFmtId="0" fontId="17" fillId="25" borderId="12" xfId="5" applyFont="1" applyBorder="1"/>
    <xf numFmtId="0" fontId="2" fillId="0" borderId="66" xfId="0" applyFont="1" applyBorder="1"/>
    <xf numFmtId="0" fontId="2" fillId="0" borderId="21" xfId="0" applyFont="1" applyBorder="1"/>
    <xf numFmtId="0" fontId="18" fillId="0" borderId="0" xfId="0" applyFont="1" applyAlignment="1">
      <alignment vertical="center"/>
    </xf>
    <xf numFmtId="0" fontId="0" fillId="0" borderId="35" xfId="0" applyBorder="1"/>
    <xf numFmtId="0" fontId="0" fillId="0" borderId="40" xfId="0" applyBorder="1" applyAlignment="1">
      <alignment horizontal="center"/>
    </xf>
    <xf numFmtId="0" fontId="0" fillId="21" borderId="74" xfId="2" applyFont="1" applyBorder="1" applyAlignment="1">
      <alignment horizontal="center"/>
    </xf>
    <xf numFmtId="0" fontId="0" fillId="21" borderId="75" xfId="2" applyFont="1" applyBorder="1" applyAlignment="1">
      <alignment horizontal="center"/>
    </xf>
    <xf numFmtId="0" fontId="0" fillId="21" borderId="76" xfId="2" applyFont="1" applyBorder="1" applyAlignment="1">
      <alignment horizontal="center"/>
    </xf>
    <xf numFmtId="0" fontId="0" fillId="21" borderId="77" xfId="2" applyFont="1" applyBorder="1" applyAlignment="1">
      <alignment horizontal="center"/>
    </xf>
    <xf numFmtId="0" fontId="0" fillId="21" borderId="78" xfId="2" applyFont="1" applyBorder="1" applyAlignment="1">
      <alignment horizontal="center"/>
    </xf>
    <xf numFmtId="0" fontId="0" fillId="21" borderId="79" xfId="2" applyFont="1" applyBorder="1" applyAlignment="1">
      <alignment horizontal="center"/>
    </xf>
    <xf numFmtId="0" fontId="0" fillId="21" borderId="80" xfId="2" applyFont="1" applyBorder="1" applyAlignment="1">
      <alignment horizontal="center"/>
    </xf>
    <xf numFmtId="0" fontId="0" fillId="21" borderId="81" xfId="2" applyFont="1" applyBorder="1" applyAlignment="1">
      <alignment horizontal="center"/>
    </xf>
    <xf numFmtId="0" fontId="0" fillId="21" borderId="82" xfId="2" applyFont="1" applyBorder="1" applyAlignment="1">
      <alignment horizontal="center"/>
    </xf>
    <xf numFmtId="0" fontId="0" fillId="21" borderId="83" xfId="2" applyFont="1" applyBorder="1" applyAlignment="1">
      <alignment horizontal="center"/>
    </xf>
    <xf numFmtId="0" fontId="0" fillId="21" borderId="84" xfId="2" applyFont="1" applyBorder="1" applyAlignment="1">
      <alignment horizontal="center"/>
    </xf>
    <xf numFmtId="0" fontId="0" fillId="21" borderId="85" xfId="2" applyFont="1" applyBorder="1" applyAlignment="1">
      <alignment horizontal="center"/>
    </xf>
    <xf numFmtId="0" fontId="19" fillId="23" borderId="35" xfId="4" applyFont="1" applyBorder="1" applyAlignment="1">
      <alignment horizontal="center"/>
    </xf>
    <xf numFmtId="0" fontId="19" fillId="23" borderId="40" xfId="4" applyFont="1" applyBorder="1" applyAlignment="1">
      <alignment horizontal="center"/>
    </xf>
    <xf numFmtId="0" fontId="19" fillId="23" borderId="73" xfId="4" applyFont="1" applyBorder="1" applyAlignment="1">
      <alignment horizontal="center"/>
    </xf>
    <xf numFmtId="0" fontId="19" fillId="23" borderId="38" xfId="4" applyFont="1" applyBorder="1" applyAlignment="1">
      <alignment horizontal="center"/>
    </xf>
    <xf numFmtId="186" fontId="0" fillId="21" borderId="65" xfId="2" applyNumberFormat="1" applyFont="1"/>
    <xf numFmtId="187" fontId="0" fillId="21" borderId="65" xfId="2" applyNumberFormat="1" applyFont="1"/>
    <xf numFmtId="181" fontId="0" fillId="21" borderId="65" xfId="2" applyNumberFormat="1" applyFont="1"/>
    <xf numFmtId="2" fontId="0" fillId="21" borderId="65" xfId="2" applyNumberFormat="1" applyFont="1"/>
    <xf numFmtId="188" fontId="0" fillId="21" borderId="65" xfId="2" applyNumberFormat="1" applyFont="1"/>
    <xf numFmtId="188" fontId="0" fillId="21" borderId="86" xfId="2" applyNumberFormat="1" applyFont="1" applyBorder="1"/>
    <xf numFmtId="188" fontId="0" fillId="21" borderId="88" xfId="2" applyNumberFormat="1" applyFont="1" applyBorder="1"/>
    <xf numFmtId="188" fontId="0" fillId="21" borderId="87" xfId="2" applyNumberFormat="1" applyFont="1" applyBorder="1"/>
    <xf numFmtId="181" fontId="3" fillId="23" borderId="1" xfId="4" applyNumberFormat="1" applyBorder="1"/>
    <xf numFmtId="181" fontId="3" fillId="23" borderId="63" xfId="4" applyNumberFormat="1" applyBorder="1"/>
    <xf numFmtId="181" fontId="3" fillId="23" borderId="18" xfId="4" applyNumberFormat="1" applyBorder="1"/>
    <xf numFmtId="181" fontId="3" fillId="23" borderId="15" xfId="4" applyNumberFormat="1" applyBorder="1"/>
    <xf numFmtId="189" fontId="3" fillId="23" borderId="27" xfId="4" applyNumberFormat="1" applyBorder="1"/>
    <xf numFmtId="0" fontId="0" fillId="0" borderId="2" xfId="0" applyBorder="1"/>
    <xf numFmtId="164" fontId="0" fillId="0" borderId="0" xfId="0" applyNumberFormat="1"/>
    <xf numFmtId="191" fontId="0" fillId="21" borderId="65" xfId="2" applyNumberFormat="1" applyFont="1"/>
    <xf numFmtId="0" fontId="0" fillId="0" borderId="16" xfId="0" applyBorder="1"/>
    <xf numFmtId="167" fontId="3" fillId="23" borderId="18" xfId="4" applyNumberFormat="1" applyBorder="1"/>
    <xf numFmtId="193" fontId="0" fillId="21" borderId="86" xfId="2" applyNumberFormat="1" applyFont="1" applyBorder="1"/>
    <xf numFmtId="190" fontId="3" fillId="23" borderId="27" xfId="4" applyNumberFormat="1" applyBorder="1"/>
    <xf numFmtId="192" fontId="3" fillId="23" borderId="22" xfId="4" applyNumberFormat="1" applyBorder="1"/>
    <xf numFmtId="167" fontId="3" fillId="23" borderId="22" xfId="4" applyNumberFormat="1" applyBorder="1"/>
    <xf numFmtId="167" fontId="3" fillId="23" borderId="25" xfId="4" applyNumberFormat="1" applyBorder="1"/>
    <xf numFmtId="194" fontId="0" fillId="21" borderId="65" xfId="2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92" fontId="0" fillId="21" borderId="65" xfId="2" applyNumberFormat="1" applyFont="1"/>
    <xf numFmtId="166" fontId="3" fillId="23" borderId="1" xfId="4" applyNumberFormat="1" applyBorder="1"/>
    <xf numFmtId="195" fontId="3" fillId="23" borderId="1" xfId="4" applyNumberFormat="1" applyBorder="1"/>
    <xf numFmtId="188" fontId="3" fillId="23" borderId="1" xfId="4" applyNumberFormat="1" applyBorder="1"/>
    <xf numFmtId="168" fontId="3" fillId="23" borderId="1" xfId="4" applyNumberFormat="1" applyBorder="1"/>
    <xf numFmtId="197" fontId="3" fillId="23" borderId="1" xfId="4" applyNumberFormat="1" applyBorder="1"/>
    <xf numFmtId="0" fontId="0" fillId="0" borderId="37" xfId="0" applyBorder="1"/>
    <xf numFmtId="188" fontId="3" fillId="23" borderId="37" xfId="4" applyNumberFormat="1" applyBorder="1"/>
    <xf numFmtId="0" fontId="0" fillId="0" borderId="27" xfId="0" applyBorder="1"/>
    <xf numFmtId="0" fontId="0" fillId="0" borderId="24" xfId="0" applyBorder="1"/>
    <xf numFmtId="198" fontId="3" fillId="23" borderId="1" xfId="4" applyNumberFormat="1" applyBorder="1"/>
    <xf numFmtId="0" fontId="0" fillId="0" borderId="89" xfId="0" applyBorder="1"/>
    <xf numFmtId="192" fontId="3" fillId="23" borderId="63" xfId="4" applyNumberFormat="1" applyBorder="1"/>
    <xf numFmtId="196" fontId="3" fillId="23" borderId="37" xfId="4" applyNumberFormat="1" applyBorder="1"/>
    <xf numFmtId="204" fontId="20" fillId="0" borderId="15" xfId="0" applyNumberFormat="1" applyFont="1" applyBorder="1"/>
    <xf numFmtId="203" fontId="20" fillId="0" borderId="15" xfId="0" applyNumberFormat="1" applyFont="1" applyBorder="1"/>
    <xf numFmtId="165" fontId="20" fillId="0" borderId="15" xfId="0" applyNumberFormat="1" applyFont="1" applyBorder="1"/>
    <xf numFmtId="202" fontId="20" fillId="0" borderId="15" xfId="0" applyNumberFormat="1" applyFont="1" applyBorder="1"/>
    <xf numFmtId="201" fontId="20" fillId="0" borderId="15" xfId="0" applyNumberFormat="1" applyFont="1" applyBorder="1"/>
    <xf numFmtId="0" fontId="24" fillId="32" borderId="16" xfId="0" applyFont="1" applyFill="1" applyBorder="1"/>
    <xf numFmtId="0" fontId="24" fillId="32" borderId="18" xfId="0" applyFont="1" applyFill="1" applyBorder="1"/>
    <xf numFmtId="0" fontId="24" fillId="31" borderId="16" xfId="0" applyFont="1" applyFill="1" applyBorder="1" applyAlignment="1">
      <alignment horizontal="center"/>
    </xf>
    <xf numFmtId="0" fontId="24" fillId="31" borderId="17" xfId="0" applyFont="1" applyFill="1" applyBorder="1" applyAlignment="1">
      <alignment horizontal="center"/>
    </xf>
    <xf numFmtId="0" fontId="24" fillId="31" borderId="18" xfId="0" applyFont="1" applyFill="1" applyBorder="1" applyAlignment="1">
      <alignment horizontal="center"/>
    </xf>
    <xf numFmtId="0" fontId="24" fillId="30" borderId="16" xfId="0" applyFont="1" applyFill="1" applyBorder="1" applyAlignment="1">
      <alignment horizontal="center"/>
    </xf>
    <xf numFmtId="0" fontId="24" fillId="30" borderId="18" xfId="0" applyFont="1" applyFill="1" applyBorder="1" applyAlignment="1">
      <alignment horizontal="center" wrapText="1"/>
    </xf>
    <xf numFmtId="0" fontId="24" fillId="29" borderId="5" xfId="0" applyFont="1" applyFill="1" applyBorder="1" applyAlignment="1">
      <alignment horizontal="center"/>
    </xf>
    <xf numFmtId="0" fontId="3" fillId="22" borderId="90" xfId="3" applyBorder="1" applyAlignment="1">
      <alignment horizontal="center" wrapText="1"/>
    </xf>
    <xf numFmtId="0" fontId="3" fillId="22" borderId="90" xfId="3" applyBorder="1" applyAlignment="1">
      <alignment horizontal="center"/>
    </xf>
    <xf numFmtId="0" fontId="22" fillId="28" borderId="59" xfId="8" quotePrefix="1" applyFont="1" applyBorder="1" applyAlignment="1">
      <alignment horizontal="center" vertical="center"/>
    </xf>
    <xf numFmtId="0" fontId="22" fillId="28" borderId="59" xfId="8" quotePrefix="1" applyFont="1" applyBorder="1" applyAlignment="1">
      <alignment horizontal="center" vertical="center" wrapText="1"/>
    </xf>
    <xf numFmtId="205" fontId="20" fillId="0" borderId="15" xfId="0" applyNumberFormat="1" applyFont="1" applyBorder="1"/>
    <xf numFmtId="0" fontId="23" fillId="21" borderId="65" xfId="2" applyFont="1" applyAlignment="1">
      <alignment horizontal="center"/>
    </xf>
    <xf numFmtId="199" fontId="3" fillId="23" borderId="1" xfId="4" applyNumberFormat="1" applyBorder="1"/>
    <xf numFmtId="4" fontId="3" fillId="23" borderId="1" xfId="4" applyNumberFormat="1" applyBorder="1"/>
    <xf numFmtId="200" fontId="3" fillId="23" borderId="1" xfId="4" applyNumberFormat="1" applyBorder="1"/>
    <xf numFmtId="0" fontId="23" fillId="21" borderId="86" xfId="2" applyFont="1" applyBorder="1" applyAlignment="1">
      <alignment horizontal="center"/>
    </xf>
    <xf numFmtId="199" fontId="3" fillId="23" borderId="63" xfId="4" applyNumberFormat="1" applyBorder="1"/>
    <xf numFmtId="4" fontId="3" fillId="23" borderId="63" xfId="4" applyNumberFormat="1" applyBorder="1"/>
    <xf numFmtId="200" fontId="3" fillId="23" borderId="63" xfId="4" applyNumberFormat="1" applyBorder="1"/>
    <xf numFmtId="0" fontId="23" fillId="21" borderId="87" xfId="2" applyFont="1" applyBorder="1" applyAlignment="1">
      <alignment horizontal="center"/>
    </xf>
    <xf numFmtId="199" fontId="3" fillId="23" borderId="15" xfId="4" applyNumberFormat="1" applyBorder="1"/>
    <xf numFmtId="4" fontId="3" fillId="23" borderId="15" xfId="4" applyNumberFormat="1" applyBorder="1"/>
    <xf numFmtId="200" fontId="3" fillId="23" borderId="15" xfId="4" applyNumberFormat="1" applyBorder="1"/>
    <xf numFmtId="199" fontId="3" fillId="3" borderId="17" xfId="4" applyNumberFormat="1" applyFill="1" applyBorder="1"/>
    <xf numFmtId="4" fontId="3" fillId="3" borderId="17" xfId="4" applyNumberFormat="1" applyFill="1" applyBorder="1"/>
    <xf numFmtId="200" fontId="3" fillId="3" borderId="17" xfId="4" applyNumberFormat="1" applyFill="1" applyBorder="1"/>
    <xf numFmtId="4" fontId="3" fillId="3" borderId="18" xfId="4" applyNumberFormat="1" applyFill="1" applyBorder="1"/>
    <xf numFmtId="0" fontId="23" fillId="21" borderId="85" xfId="2" applyFont="1" applyBorder="1" applyAlignment="1">
      <alignment horizontal="center"/>
    </xf>
    <xf numFmtId="199" fontId="3" fillId="3" borderId="16" xfId="4" applyNumberFormat="1" applyFill="1" applyBorder="1"/>
    <xf numFmtId="207" fontId="20" fillId="0" borderId="15" xfId="0" applyNumberFormat="1" applyFont="1" applyBorder="1"/>
    <xf numFmtId="206" fontId="20" fillId="0" borderId="1" xfId="0" applyNumberFormat="1" applyFont="1" applyBorder="1"/>
    <xf numFmtId="0" fontId="0" fillId="21" borderId="87" xfId="2" applyFont="1" applyBorder="1"/>
    <xf numFmtId="0" fontId="24" fillId="32" borderId="17" xfId="0" applyFont="1" applyFill="1" applyBorder="1" applyAlignment="1">
      <alignment horizontal="center"/>
    </xf>
    <xf numFmtId="0" fontId="3" fillId="22" borderId="90" xfId="3" applyBorder="1" applyAlignment="1">
      <alignment horizontal="center" vertical="center" wrapText="1"/>
    </xf>
    <xf numFmtId="179" fontId="3" fillId="23" borderId="24" xfId="4" applyNumberFormat="1" applyBorder="1"/>
    <xf numFmtId="0" fontId="4" fillId="18" borderId="9" xfId="0" applyFont="1" applyFill="1" applyBorder="1" applyAlignment="1">
      <alignment horizontal="center"/>
    </xf>
    <xf numFmtId="0" fontId="4" fillId="18" borderId="10" xfId="0" applyFont="1" applyFill="1" applyBorder="1" applyAlignment="1">
      <alignment horizontal="center"/>
    </xf>
    <xf numFmtId="0" fontId="4" fillId="18" borderId="1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2" fillId="18" borderId="9" xfId="0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/>
    </xf>
    <xf numFmtId="0" fontId="2" fillId="18" borderId="11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" fillId="26" borderId="9" xfId="6" applyFont="1" applyBorder="1" applyAlignment="1">
      <alignment horizontal="center"/>
    </xf>
    <xf numFmtId="0" fontId="2" fillId="26" borderId="10" xfId="6" applyFont="1" applyBorder="1" applyAlignment="1">
      <alignment horizontal="center"/>
    </xf>
    <xf numFmtId="0" fontId="2" fillId="26" borderId="11" xfId="6" applyFont="1" applyBorder="1" applyAlignment="1">
      <alignment horizontal="center"/>
    </xf>
    <xf numFmtId="0" fontId="3" fillId="22" borderId="9" xfId="3" applyBorder="1" applyAlignment="1">
      <alignment horizontal="center"/>
    </xf>
    <xf numFmtId="0" fontId="3" fillId="22" borderId="11" xfId="3" applyBorder="1" applyAlignment="1">
      <alignment horizontal="center"/>
    </xf>
    <xf numFmtId="0" fontId="3" fillId="27" borderId="12" xfId="7" applyBorder="1" applyAlignment="1">
      <alignment horizontal="center"/>
    </xf>
    <xf numFmtId="0" fontId="3" fillId="27" borderId="13" xfId="7" applyBorder="1" applyAlignment="1">
      <alignment horizontal="center"/>
    </xf>
    <xf numFmtId="0" fontId="3" fillId="27" borderId="14" xfId="7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2" xfId="0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2" borderId="16" xfId="3" applyBorder="1" applyAlignment="1">
      <alignment horizontal="center"/>
    </xf>
    <xf numFmtId="0" fontId="3" fillId="22" borderId="18" xfId="3" applyBorder="1" applyAlignment="1">
      <alignment horizontal="center"/>
    </xf>
    <xf numFmtId="0" fontId="0" fillId="18" borderId="16" xfId="0" applyFill="1" applyBorder="1" applyAlignment="1">
      <alignment horizontal="center"/>
    </xf>
    <xf numFmtId="0" fontId="0" fillId="18" borderId="17" xfId="0" applyFill="1" applyBorder="1" applyAlignment="1">
      <alignment horizontal="center"/>
    </xf>
    <xf numFmtId="0" fontId="0" fillId="18" borderId="18" xfId="0" applyFill="1" applyBorder="1" applyAlignment="1">
      <alignment horizontal="center"/>
    </xf>
    <xf numFmtId="0" fontId="3" fillId="22" borderId="91" xfId="3" applyBorder="1" applyAlignment="1">
      <alignment horizontal="center" wrapText="1"/>
    </xf>
    <xf numFmtId="0" fontId="3" fillId="22" borderId="92" xfId="3" applyBorder="1" applyAlignment="1">
      <alignment horizontal="center"/>
    </xf>
    <xf numFmtId="0" fontId="3" fillId="22" borderId="10" xfId="3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18" borderId="16" xfId="0" applyFont="1" applyFill="1" applyBorder="1" applyAlignment="1">
      <alignment horizontal="center" vertical="center"/>
    </xf>
    <xf numFmtId="0" fontId="2" fillId="18" borderId="17" xfId="0" applyFont="1" applyFill="1" applyBorder="1" applyAlignment="1">
      <alignment horizontal="center" vertical="center"/>
    </xf>
    <xf numFmtId="0" fontId="2" fillId="18" borderId="18" xfId="0" applyFont="1" applyFill="1" applyBorder="1" applyAlignment="1">
      <alignment horizontal="center" vertical="center"/>
    </xf>
  </cellXfs>
  <cellStyles count="9">
    <cellStyle name="20 % - Accent5" xfId="8" builtinId="46"/>
    <cellStyle name="20 % - Accent6" xfId="5" builtinId="50"/>
    <cellStyle name="60 % - Accent6" xfId="6" builtinId="52"/>
    <cellStyle name="Accent3" xfId="7" builtinId="37"/>
    <cellStyle name="Accent5" xfId="3" builtinId="45"/>
    <cellStyle name="Accent6" xfId="4" builtinId="49"/>
    <cellStyle name="Lien hypertexte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SS49e Theoretical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'Hall sensor Calcul'!$B$10:$C$10</c:f>
              <c:strCache>
                <c:ptCount val="1"/>
                <c:pt idx="0">
                  <c:v>SS49e Theoretical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209366391184574E-2"/>
                  <c:y val="0.210474477861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'Hall sensor Calcul'!$B$12:$B$13</c:f>
              <c:numCache>
                <c:formatCode>General\ "G"</c:formatCode>
                <c:ptCount val="2"/>
                <c:pt idx="0">
                  <c:v>-1200</c:v>
                </c:pt>
                <c:pt idx="1">
                  <c:v>1200</c:v>
                </c:pt>
              </c:numCache>
            </c:numRef>
          </c:xVal>
          <c:yVal>
            <c:numRef>
              <c:f>'Hall sensor Calcul'!$C$12:$C$13</c:f>
              <c:numCache>
                <c:formatCode>General\ "V"</c:formatCode>
                <c:ptCount val="2"/>
                <c:pt idx="0">
                  <c:v>0.98400000000000043</c:v>
                </c:pt>
                <c:pt idx="1">
                  <c:v>5.016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E-432C-9F1F-F011DF291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6832"/>
        <c:axId val="84779152"/>
      </c:scatterChart>
      <c:valAx>
        <c:axId val="84786832"/>
        <c:scaling>
          <c:orientation val="minMax"/>
          <c:max val="1200"/>
          <c:min val="-12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\ &quot;G&quot;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79152"/>
        <c:crossesAt val="-1100"/>
        <c:crossBetween val="midCat"/>
        <c:majorUnit val="200"/>
      </c:valAx>
      <c:valAx>
        <c:axId val="84779152"/>
        <c:scaling>
          <c:orientation val="minMax"/>
          <c:max val="5.0999999999999996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\ &quot;V&quot;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7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Torque Vs Microstep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061574074074074"/>
          <c:w val="0.88386351706036748"/>
          <c:h val="0.709591353164187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StepMot!$J$21</c:f>
              <c:strCache>
                <c:ptCount val="1"/>
                <c:pt idx="0">
                  <c:v>Torque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StepMot!$I$22:$I$30</c:f>
              <c:numCache>
                <c:formatCode>General\ ""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</c:numCache>
            </c:numRef>
          </c:xVal>
          <c:yVal>
            <c:numRef>
              <c:f>StepMot!$J$22:$J$30</c:f>
              <c:numCache>
                <c:formatCode>General\ "Ncm"</c:formatCode>
                <c:ptCount val="9"/>
                <c:pt idx="0">
                  <c:v>26</c:v>
                </c:pt>
                <c:pt idx="1">
                  <c:v>18.384776310850235</c:v>
                </c:pt>
                <c:pt idx="2">
                  <c:v>9.9497692414923335</c:v>
                </c:pt>
                <c:pt idx="3">
                  <c:v>5.0723483724193343</c:v>
                </c:pt>
                <c:pt idx="4">
                  <c:v>2.5484456485685758</c:v>
                </c:pt>
                <c:pt idx="5">
                  <c:v>1.2757595325128683</c:v>
                </c:pt>
                <c:pt idx="6">
                  <c:v>0.63807194159571945</c:v>
                </c:pt>
                <c:pt idx="7">
                  <c:v>0.31905999542871805</c:v>
                </c:pt>
                <c:pt idx="8">
                  <c:v>0.15953300087801636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35-4CAB-B622-E0FD2ED5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175343"/>
        <c:axId val="1477178223"/>
      </c:scatterChart>
      <c:valAx>
        <c:axId val="1477175343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8223"/>
        <c:crosses val="autoZero"/>
        <c:crossBetween val="midCat"/>
        <c:majorUnit val="2"/>
      </c:valAx>
      <c:valAx>
        <c:axId val="1477178223"/>
        <c:scaling>
          <c:orientation val="minMax"/>
          <c:max val="26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\ &quot;Nc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7175343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Magnet!$B$12</c:f>
              <c:strCache>
                <c:ptCount val="1"/>
                <c:pt idx="0">
                  <c:v>B-H courbe pour 
AISI 304 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5C1-4811-975D-DF36C5A57C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Magnet!$B$14:$B$27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  <c:pt idx="9">
                  <c:v>50000</c:v>
                </c:pt>
                <c:pt idx="10">
                  <c:v>100000</c:v>
                </c:pt>
                <c:pt idx="11">
                  <c:v>200000</c:v>
                </c:pt>
                <c:pt idx="12">
                  <c:v>500000</c:v>
                </c:pt>
                <c:pt idx="13">
                  <c:v>1000000</c:v>
                </c:pt>
              </c:numCache>
            </c:numRef>
          </c:xVal>
          <c:yVal>
            <c:numRef>
              <c:f>Magnet!$C$14:$C$27</c:f>
              <c:numCache>
                <c:formatCode>General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C1-4811-975D-DF36C5A5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947279"/>
        <c:axId val="1100945359"/>
      </c:scatterChart>
      <c:valAx>
        <c:axId val="1100947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945359"/>
        <c:crosses val="autoZero"/>
        <c:crossBetween val="midCat"/>
      </c:valAx>
      <c:valAx>
        <c:axId val="110094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947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Turn</a:t>
            </a:r>
            <a:r>
              <a:rPr lang="fr-FR" baseline="0"/>
              <a:t> number</a:t>
            </a:r>
            <a:r>
              <a:rPr lang="fr-FR"/>
              <a:t>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Electromagnet2!$G$4</c:f>
              <c:strCache>
                <c:ptCount val="1"/>
                <c:pt idx="0">
                  <c:v>Power [Watt]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Electromagnet2!$A$5:$A$229</c:f>
              <c:numCache>
                <c:formatCode>General</c:formatCode>
                <c:ptCount val="2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840</c:v>
                </c:pt>
                <c:pt idx="23">
                  <c:v>900</c:v>
                </c:pt>
                <c:pt idx="24">
                  <c:v>1000</c:v>
                </c:pt>
                <c:pt idx="25">
                  <c:v>1100</c:v>
                </c:pt>
                <c:pt idx="26">
                  <c:v>1200</c:v>
                </c:pt>
                <c:pt idx="27">
                  <c:v>1300</c:v>
                </c:pt>
                <c:pt idx="28">
                  <c:v>1400</c:v>
                </c:pt>
                <c:pt idx="29">
                  <c:v>1500</c:v>
                </c:pt>
                <c:pt idx="30">
                  <c:v>1600</c:v>
                </c:pt>
                <c:pt idx="31">
                  <c:v>1700</c:v>
                </c:pt>
                <c:pt idx="32">
                  <c:v>1800</c:v>
                </c:pt>
                <c:pt idx="33">
                  <c:v>1900</c:v>
                </c:pt>
                <c:pt idx="34">
                  <c:v>2000</c:v>
                </c:pt>
                <c:pt idx="35">
                  <c:v>2100</c:v>
                </c:pt>
                <c:pt idx="36">
                  <c:v>2200</c:v>
                </c:pt>
                <c:pt idx="37">
                  <c:v>2300</c:v>
                </c:pt>
                <c:pt idx="38">
                  <c:v>2400</c:v>
                </c:pt>
                <c:pt idx="39">
                  <c:v>2500</c:v>
                </c:pt>
                <c:pt idx="40">
                  <c:v>2600</c:v>
                </c:pt>
                <c:pt idx="41">
                  <c:v>2700</c:v>
                </c:pt>
                <c:pt idx="42">
                  <c:v>2800</c:v>
                </c:pt>
                <c:pt idx="43">
                  <c:v>2900</c:v>
                </c:pt>
                <c:pt idx="44">
                  <c:v>3000</c:v>
                </c:pt>
                <c:pt idx="45">
                  <c:v>3100</c:v>
                </c:pt>
                <c:pt idx="46">
                  <c:v>3200</c:v>
                </c:pt>
                <c:pt idx="47">
                  <c:v>3300</c:v>
                </c:pt>
                <c:pt idx="48">
                  <c:v>3400</c:v>
                </c:pt>
                <c:pt idx="49">
                  <c:v>3500</c:v>
                </c:pt>
                <c:pt idx="50">
                  <c:v>3600</c:v>
                </c:pt>
                <c:pt idx="51">
                  <c:v>3700</c:v>
                </c:pt>
                <c:pt idx="52">
                  <c:v>3800</c:v>
                </c:pt>
                <c:pt idx="53">
                  <c:v>3900</c:v>
                </c:pt>
                <c:pt idx="54">
                  <c:v>4000</c:v>
                </c:pt>
                <c:pt idx="55">
                  <c:v>4100</c:v>
                </c:pt>
                <c:pt idx="56">
                  <c:v>4200</c:v>
                </c:pt>
                <c:pt idx="57">
                  <c:v>4300</c:v>
                </c:pt>
                <c:pt idx="58">
                  <c:v>4400</c:v>
                </c:pt>
                <c:pt idx="59">
                  <c:v>4500</c:v>
                </c:pt>
                <c:pt idx="60">
                  <c:v>4600</c:v>
                </c:pt>
                <c:pt idx="61">
                  <c:v>4700</c:v>
                </c:pt>
                <c:pt idx="62">
                  <c:v>4800</c:v>
                </c:pt>
                <c:pt idx="63">
                  <c:v>4900</c:v>
                </c:pt>
                <c:pt idx="64">
                  <c:v>5000</c:v>
                </c:pt>
                <c:pt idx="65">
                  <c:v>5100</c:v>
                </c:pt>
                <c:pt idx="66">
                  <c:v>5200</c:v>
                </c:pt>
                <c:pt idx="67">
                  <c:v>5300</c:v>
                </c:pt>
                <c:pt idx="68">
                  <c:v>5400</c:v>
                </c:pt>
                <c:pt idx="69">
                  <c:v>5500</c:v>
                </c:pt>
                <c:pt idx="70">
                  <c:v>5600</c:v>
                </c:pt>
                <c:pt idx="71">
                  <c:v>5700</c:v>
                </c:pt>
                <c:pt idx="72">
                  <c:v>5800</c:v>
                </c:pt>
                <c:pt idx="73">
                  <c:v>5900</c:v>
                </c:pt>
                <c:pt idx="74">
                  <c:v>6000</c:v>
                </c:pt>
                <c:pt idx="75">
                  <c:v>6100</c:v>
                </c:pt>
                <c:pt idx="76">
                  <c:v>6200</c:v>
                </c:pt>
                <c:pt idx="77">
                  <c:v>6300</c:v>
                </c:pt>
                <c:pt idx="78">
                  <c:v>6400</c:v>
                </c:pt>
                <c:pt idx="79">
                  <c:v>6500</c:v>
                </c:pt>
                <c:pt idx="80">
                  <c:v>6600</c:v>
                </c:pt>
                <c:pt idx="81">
                  <c:v>6700</c:v>
                </c:pt>
                <c:pt idx="82">
                  <c:v>6800</c:v>
                </c:pt>
                <c:pt idx="83">
                  <c:v>6900</c:v>
                </c:pt>
                <c:pt idx="84">
                  <c:v>7000</c:v>
                </c:pt>
                <c:pt idx="85">
                  <c:v>7100</c:v>
                </c:pt>
                <c:pt idx="86">
                  <c:v>7200</c:v>
                </c:pt>
                <c:pt idx="87">
                  <c:v>7300</c:v>
                </c:pt>
                <c:pt idx="88">
                  <c:v>7400</c:v>
                </c:pt>
                <c:pt idx="89">
                  <c:v>7500</c:v>
                </c:pt>
                <c:pt idx="90">
                  <c:v>7600</c:v>
                </c:pt>
                <c:pt idx="91">
                  <c:v>7700</c:v>
                </c:pt>
                <c:pt idx="92">
                  <c:v>7800</c:v>
                </c:pt>
                <c:pt idx="93">
                  <c:v>7900</c:v>
                </c:pt>
                <c:pt idx="94">
                  <c:v>8000</c:v>
                </c:pt>
                <c:pt idx="95">
                  <c:v>8100</c:v>
                </c:pt>
                <c:pt idx="96">
                  <c:v>8200</c:v>
                </c:pt>
                <c:pt idx="97">
                  <c:v>8300</c:v>
                </c:pt>
                <c:pt idx="98">
                  <c:v>8400</c:v>
                </c:pt>
                <c:pt idx="99">
                  <c:v>8500</c:v>
                </c:pt>
                <c:pt idx="100">
                  <c:v>8600</c:v>
                </c:pt>
                <c:pt idx="101">
                  <c:v>8700</c:v>
                </c:pt>
                <c:pt idx="102">
                  <c:v>8800</c:v>
                </c:pt>
                <c:pt idx="103">
                  <c:v>8900</c:v>
                </c:pt>
                <c:pt idx="104">
                  <c:v>9000</c:v>
                </c:pt>
                <c:pt idx="105">
                  <c:v>9100</c:v>
                </c:pt>
                <c:pt idx="106">
                  <c:v>9200</c:v>
                </c:pt>
                <c:pt idx="107">
                  <c:v>9300</c:v>
                </c:pt>
                <c:pt idx="108">
                  <c:v>9400</c:v>
                </c:pt>
                <c:pt idx="109">
                  <c:v>9500</c:v>
                </c:pt>
                <c:pt idx="110">
                  <c:v>9600</c:v>
                </c:pt>
                <c:pt idx="111">
                  <c:v>9700</c:v>
                </c:pt>
                <c:pt idx="112">
                  <c:v>9800</c:v>
                </c:pt>
                <c:pt idx="113">
                  <c:v>9900</c:v>
                </c:pt>
                <c:pt idx="114">
                  <c:v>10000</c:v>
                </c:pt>
                <c:pt idx="115">
                  <c:v>10100</c:v>
                </c:pt>
                <c:pt idx="116">
                  <c:v>10200</c:v>
                </c:pt>
                <c:pt idx="117">
                  <c:v>10300</c:v>
                </c:pt>
                <c:pt idx="118">
                  <c:v>10400</c:v>
                </c:pt>
                <c:pt idx="119">
                  <c:v>10500</c:v>
                </c:pt>
                <c:pt idx="120">
                  <c:v>10600</c:v>
                </c:pt>
                <c:pt idx="121">
                  <c:v>10700</c:v>
                </c:pt>
                <c:pt idx="122">
                  <c:v>10800</c:v>
                </c:pt>
                <c:pt idx="123">
                  <c:v>10900</c:v>
                </c:pt>
                <c:pt idx="124">
                  <c:v>11000</c:v>
                </c:pt>
                <c:pt idx="125">
                  <c:v>11100</c:v>
                </c:pt>
                <c:pt idx="126">
                  <c:v>11200</c:v>
                </c:pt>
                <c:pt idx="127">
                  <c:v>11300</c:v>
                </c:pt>
                <c:pt idx="128">
                  <c:v>11400</c:v>
                </c:pt>
                <c:pt idx="129">
                  <c:v>11500</c:v>
                </c:pt>
                <c:pt idx="130">
                  <c:v>11600</c:v>
                </c:pt>
                <c:pt idx="131">
                  <c:v>11700</c:v>
                </c:pt>
                <c:pt idx="132">
                  <c:v>11800</c:v>
                </c:pt>
                <c:pt idx="133">
                  <c:v>11900</c:v>
                </c:pt>
                <c:pt idx="134">
                  <c:v>12000</c:v>
                </c:pt>
                <c:pt idx="135">
                  <c:v>12100</c:v>
                </c:pt>
                <c:pt idx="136">
                  <c:v>12200</c:v>
                </c:pt>
                <c:pt idx="137">
                  <c:v>12300</c:v>
                </c:pt>
                <c:pt idx="138">
                  <c:v>12400</c:v>
                </c:pt>
                <c:pt idx="139">
                  <c:v>12500</c:v>
                </c:pt>
                <c:pt idx="140">
                  <c:v>12600</c:v>
                </c:pt>
                <c:pt idx="141">
                  <c:v>12700</c:v>
                </c:pt>
                <c:pt idx="142">
                  <c:v>12800</c:v>
                </c:pt>
                <c:pt idx="143">
                  <c:v>12900</c:v>
                </c:pt>
                <c:pt idx="144">
                  <c:v>13000</c:v>
                </c:pt>
                <c:pt idx="145">
                  <c:v>13100</c:v>
                </c:pt>
                <c:pt idx="146">
                  <c:v>13200</c:v>
                </c:pt>
                <c:pt idx="147">
                  <c:v>13300</c:v>
                </c:pt>
                <c:pt idx="148">
                  <c:v>13400</c:v>
                </c:pt>
                <c:pt idx="149">
                  <c:v>13500</c:v>
                </c:pt>
                <c:pt idx="150">
                  <c:v>13600</c:v>
                </c:pt>
                <c:pt idx="151">
                  <c:v>13700</c:v>
                </c:pt>
                <c:pt idx="152">
                  <c:v>13800</c:v>
                </c:pt>
                <c:pt idx="153">
                  <c:v>13900</c:v>
                </c:pt>
                <c:pt idx="154">
                  <c:v>14000</c:v>
                </c:pt>
                <c:pt idx="155">
                  <c:v>14100</c:v>
                </c:pt>
                <c:pt idx="156">
                  <c:v>14200</c:v>
                </c:pt>
                <c:pt idx="157">
                  <c:v>14300</c:v>
                </c:pt>
                <c:pt idx="158">
                  <c:v>14400</c:v>
                </c:pt>
                <c:pt idx="159">
                  <c:v>14500</c:v>
                </c:pt>
                <c:pt idx="160">
                  <c:v>14600</c:v>
                </c:pt>
                <c:pt idx="161">
                  <c:v>14700</c:v>
                </c:pt>
                <c:pt idx="162">
                  <c:v>14800</c:v>
                </c:pt>
                <c:pt idx="163">
                  <c:v>14900</c:v>
                </c:pt>
                <c:pt idx="164">
                  <c:v>15000</c:v>
                </c:pt>
                <c:pt idx="165">
                  <c:v>15100</c:v>
                </c:pt>
                <c:pt idx="166">
                  <c:v>15200</c:v>
                </c:pt>
                <c:pt idx="167">
                  <c:v>15300</c:v>
                </c:pt>
                <c:pt idx="168">
                  <c:v>15400</c:v>
                </c:pt>
                <c:pt idx="169">
                  <c:v>15500</c:v>
                </c:pt>
                <c:pt idx="170">
                  <c:v>15600</c:v>
                </c:pt>
                <c:pt idx="171">
                  <c:v>15700</c:v>
                </c:pt>
                <c:pt idx="172">
                  <c:v>15800</c:v>
                </c:pt>
                <c:pt idx="173">
                  <c:v>15900</c:v>
                </c:pt>
                <c:pt idx="174">
                  <c:v>16000</c:v>
                </c:pt>
                <c:pt idx="175">
                  <c:v>16100</c:v>
                </c:pt>
                <c:pt idx="176">
                  <c:v>16200</c:v>
                </c:pt>
                <c:pt idx="177">
                  <c:v>16300</c:v>
                </c:pt>
                <c:pt idx="178">
                  <c:v>16400</c:v>
                </c:pt>
                <c:pt idx="179">
                  <c:v>16500</c:v>
                </c:pt>
                <c:pt idx="180">
                  <c:v>16600</c:v>
                </c:pt>
                <c:pt idx="181">
                  <c:v>16700</c:v>
                </c:pt>
                <c:pt idx="182">
                  <c:v>16800</c:v>
                </c:pt>
                <c:pt idx="183">
                  <c:v>16900</c:v>
                </c:pt>
                <c:pt idx="184">
                  <c:v>17000</c:v>
                </c:pt>
                <c:pt idx="185">
                  <c:v>17100</c:v>
                </c:pt>
                <c:pt idx="186">
                  <c:v>17200</c:v>
                </c:pt>
                <c:pt idx="187">
                  <c:v>17300</c:v>
                </c:pt>
                <c:pt idx="188">
                  <c:v>17400</c:v>
                </c:pt>
                <c:pt idx="189">
                  <c:v>17500</c:v>
                </c:pt>
                <c:pt idx="190">
                  <c:v>17600</c:v>
                </c:pt>
                <c:pt idx="191">
                  <c:v>17700</c:v>
                </c:pt>
                <c:pt idx="192">
                  <c:v>17800</c:v>
                </c:pt>
                <c:pt idx="193">
                  <c:v>17900</c:v>
                </c:pt>
                <c:pt idx="194">
                  <c:v>18000</c:v>
                </c:pt>
                <c:pt idx="195">
                  <c:v>18100</c:v>
                </c:pt>
                <c:pt idx="196">
                  <c:v>18200</c:v>
                </c:pt>
                <c:pt idx="197">
                  <c:v>18300</c:v>
                </c:pt>
                <c:pt idx="198">
                  <c:v>18400</c:v>
                </c:pt>
                <c:pt idx="199">
                  <c:v>18500</c:v>
                </c:pt>
                <c:pt idx="200">
                  <c:v>18600</c:v>
                </c:pt>
                <c:pt idx="201">
                  <c:v>18700</c:v>
                </c:pt>
                <c:pt idx="202">
                  <c:v>18800</c:v>
                </c:pt>
                <c:pt idx="203">
                  <c:v>18900</c:v>
                </c:pt>
                <c:pt idx="204">
                  <c:v>19000</c:v>
                </c:pt>
                <c:pt idx="205">
                  <c:v>19100</c:v>
                </c:pt>
                <c:pt idx="206">
                  <c:v>19200</c:v>
                </c:pt>
                <c:pt idx="207">
                  <c:v>19300</c:v>
                </c:pt>
                <c:pt idx="208">
                  <c:v>19400</c:v>
                </c:pt>
                <c:pt idx="209">
                  <c:v>19500</c:v>
                </c:pt>
                <c:pt idx="210">
                  <c:v>19600</c:v>
                </c:pt>
                <c:pt idx="211">
                  <c:v>19700</c:v>
                </c:pt>
                <c:pt idx="212">
                  <c:v>19800</c:v>
                </c:pt>
                <c:pt idx="213">
                  <c:v>19900</c:v>
                </c:pt>
                <c:pt idx="214">
                  <c:v>20000</c:v>
                </c:pt>
                <c:pt idx="215">
                  <c:v>20100</c:v>
                </c:pt>
                <c:pt idx="216">
                  <c:v>20200</c:v>
                </c:pt>
                <c:pt idx="217">
                  <c:v>20300</c:v>
                </c:pt>
                <c:pt idx="218">
                  <c:v>20400</c:v>
                </c:pt>
                <c:pt idx="219">
                  <c:v>20500</c:v>
                </c:pt>
                <c:pt idx="220">
                  <c:v>20600</c:v>
                </c:pt>
                <c:pt idx="221">
                  <c:v>20700</c:v>
                </c:pt>
                <c:pt idx="222">
                  <c:v>20800</c:v>
                </c:pt>
                <c:pt idx="223">
                  <c:v>20900</c:v>
                </c:pt>
                <c:pt idx="224">
                  <c:v>21000</c:v>
                </c:pt>
              </c:numCache>
            </c:numRef>
          </c:xVal>
          <c:yVal>
            <c:numRef>
              <c:f>Electromagnet2!$G$5:$G$229</c:f>
              <c:numCache>
                <c:formatCode>#\ ##0.000000</c:formatCode>
                <c:ptCount val="225"/>
                <c:pt idx="0">
                  <c:v>3.398162962962963E-3</c:v>
                </c:pt>
                <c:pt idx="1">
                  <c:v>1.6990814814814816E-2</c:v>
                </c:pt>
                <c:pt idx="2">
                  <c:v>3.3981629629629632E-2</c:v>
                </c:pt>
                <c:pt idx="3">
                  <c:v>6.7963259259259265E-2</c:v>
                </c:pt>
                <c:pt idx="4">
                  <c:v>0.10194488888888889</c:v>
                </c:pt>
                <c:pt idx="5">
                  <c:v>0.13592651851851853</c:v>
                </c:pt>
                <c:pt idx="6">
                  <c:v>0.16990814814814814</c:v>
                </c:pt>
                <c:pt idx="7">
                  <c:v>0.20388977777777778</c:v>
                </c:pt>
                <c:pt idx="8">
                  <c:v>0.23787140740740745</c:v>
                </c:pt>
                <c:pt idx="9">
                  <c:v>0.27185303703703706</c:v>
                </c:pt>
                <c:pt idx="10">
                  <c:v>0.3058346666666667</c:v>
                </c:pt>
                <c:pt idx="11">
                  <c:v>0.33981629629629628</c:v>
                </c:pt>
                <c:pt idx="12">
                  <c:v>0.50972444444444442</c:v>
                </c:pt>
                <c:pt idx="13">
                  <c:v>0.67963259259259257</c:v>
                </c:pt>
                <c:pt idx="14">
                  <c:v>0.84954074074074071</c:v>
                </c:pt>
                <c:pt idx="15">
                  <c:v>1.0194488888888888</c:v>
                </c:pt>
                <c:pt idx="16">
                  <c:v>1.1893570370370372</c:v>
                </c:pt>
                <c:pt idx="17">
                  <c:v>1.3592651851851851</c:v>
                </c:pt>
                <c:pt idx="18">
                  <c:v>1.5291733333333333</c:v>
                </c:pt>
                <c:pt idx="19">
                  <c:v>1.6990814814814814</c:v>
                </c:pt>
                <c:pt idx="20">
                  <c:v>2.0388977777777777</c:v>
                </c:pt>
                <c:pt idx="21">
                  <c:v>2.3787140740740744</c:v>
                </c:pt>
                <c:pt idx="22">
                  <c:v>2.854456888888889</c:v>
                </c:pt>
                <c:pt idx="23">
                  <c:v>3.0583466666666665</c:v>
                </c:pt>
                <c:pt idx="24">
                  <c:v>3.3981629629629628</c:v>
                </c:pt>
                <c:pt idx="25">
                  <c:v>3.7379792592592596</c:v>
                </c:pt>
                <c:pt idx="26">
                  <c:v>4.0777955555555554</c:v>
                </c:pt>
                <c:pt idx="27">
                  <c:v>4.4176118518518521</c:v>
                </c:pt>
                <c:pt idx="28">
                  <c:v>4.7574281481481488</c:v>
                </c:pt>
                <c:pt idx="29">
                  <c:v>5.0972444444444447</c:v>
                </c:pt>
                <c:pt idx="30">
                  <c:v>5.4370607407407405</c:v>
                </c:pt>
                <c:pt idx="31">
                  <c:v>5.7768770370370373</c:v>
                </c:pt>
                <c:pt idx="32">
                  <c:v>6.1166933333333331</c:v>
                </c:pt>
                <c:pt idx="33">
                  <c:v>6.4565096296296289</c:v>
                </c:pt>
                <c:pt idx="34">
                  <c:v>6.7963259259259257</c:v>
                </c:pt>
                <c:pt idx="35">
                  <c:v>7.1361422222222224</c:v>
                </c:pt>
                <c:pt idx="36">
                  <c:v>7.4759585185185191</c:v>
                </c:pt>
                <c:pt idx="37">
                  <c:v>7.815774814814815</c:v>
                </c:pt>
                <c:pt idx="38">
                  <c:v>8.1555911111111108</c:v>
                </c:pt>
                <c:pt idx="39">
                  <c:v>8.4954074074074057</c:v>
                </c:pt>
                <c:pt idx="40">
                  <c:v>8.8352237037037042</c:v>
                </c:pt>
                <c:pt idx="41">
                  <c:v>9.1750399999999992</c:v>
                </c:pt>
                <c:pt idx="42">
                  <c:v>9.5148562962962977</c:v>
                </c:pt>
                <c:pt idx="43">
                  <c:v>9.8546725925925927</c:v>
                </c:pt>
                <c:pt idx="44">
                  <c:v>10.194488888888889</c:v>
                </c:pt>
                <c:pt idx="45">
                  <c:v>10.534305185185184</c:v>
                </c:pt>
                <c:pt idx="46">
                  <c:v>10.874121481481481</c:v>
                </c:pt>
                <c:pt idx="47">
                  <c:v>11.213937777777778</c:v>
                </c:pt>
                <c:pt idx="48">
                  <c:v>11.553754074074075</c:v>
                </c:pt>
                <c:pt idx="49">
                  <c:v>11.893570370370371</c:v>
                </c:pt>
                <c:pt idx="50">
                  <c:v>12.233386666666666</c:v>
                </c:pt>
                <c:pt idx="51">
                  <c:v>12.573202962962965</c:v>
                </c:pt>
                <c:pt idx="52">
                  <c:v>12.913019259259258</c:v>
                </c:pt>
                <c:pt idx="53">
                  <c:v>13.252835555555555</c:v>
                </c:pt>
                <c:pt idx="54">
                  <c:v>13.592651851851851</c:v>
                </c:pt>
                <c:pt idx="55">
                  <c:v>13.932468148148148</c:v>
                </c:pt>
                <c:pt idx="56">
                  <c:v>14.272284444444445</c:v>
                </c:pt>
                <c:pt idx="57">
                  <c:v>14.612100740740742</c:v>
                </c:pt>
                <c:pt idx="58">
                  <c:v>14.951917037037038</c:v>
                </c:pt>
                <c:pt idx="59">
                  <c:v>15.291733333333333</c:v>
                </c:pt>
                <c:pt idx="60">
                  <c:v>15.63154962962963</c:v>
                </c:pt>
                <c:pt idx="61">
                  <c:v>15.971365925925925</c:v>
                </c:pt>
                <c:pt idx="62">
                  <c:v>15.694754464285719</c:v>
                </c:pt>
                <c:pt idx="63">
                  <c:v>15.374453352769681</c:v>
                </c:pt>
                <c:pt idx="64">
                  <c:v>15.06696428571429</c:v>
                </c:pt>
                <c:pt idx="65">
                  <c:v>14.77153361344538</c:v>
                </c:pt>
                <c:pt idx="66">
                  <c:v>14.487465659340661</c:v>
                </c:pt>
                <c:pt idx="67">
                  <c:v>14.214117250673855</c:v>
                </c:pt>
                <c:pt idx="68">
                  <c:v>13.950892857142861</c:v>
                </c:pt>
                <c:pt idx="69">
                  <c:v>13.697240259740262</c:v>
                </c:pt>
                <c:pt idx="70">
                  <c:v>13.452646683673471</c:v>
                </c:pt>
                <c:pt idx="71">
                  <c:v>13.216635338345867</c:v>
                </c:pt>
                <c:pt idx="72">
                  <c:v>12.988762315270939</c:v>
                </c:pt>
                <c:pt idx="73">
                  <c:v>12.768613801452789</c:v>
                </c:pt>
                <c:pt idx="74">
                  <c:v>12.555803571428575</c:v>
                </c:pt>
                <c:pt idx="75">
                  <c:v>12.34997072599532</c:v>
                </c:pt>
                <c:pt idx="76">
                  <c:v>12.150777649769589</c:v>
                </c:pt>
                <c:pt idx="77">
                  <c:v>11.957908163265307</c:v>
                </c:pt>
                <c:pt idx="78">
                  <c:v>11.771065848214288</c:v>
                </c:pt>
                <c:pt idx="79">
                  <c:v>11.589972527472526</c:v>
                </c:pt>
                <c:pt idx="80">
                  <c:v>11.414366883116884</c:v>
                </c:pt>
                <c:pt idx="81">
                  <c:v>11.244003198294244</c:v>
                </c:pt>
                <c:pt idx="82">
                  <c:v>11.078650210084037</c:v>
                </c:pt>
                <c:pt idx="83">
                  <c:v>10.918090062111805</c:v>
                </c:pt>
                <c:pt idx="84">
                  <c:v>10.762117346938778</c:v>
                </c:pt>
                <c:pt idx="85">
                  <c:v>10.61053822937626</c:v>
                </c:pt>
                <c:pt idx="86">
                  <c:v>10.463169642857146</c:v>
                </c:pt>
                <c:pt idx="87">
                  <c:v>10.319838551859101</c:v>
                </c:pt>
                <c:pt idx="88">
                  <c:v>10.180381274131276</c:v>
                </c:pt>
                <c:pt idx="89">
                  <c:v>10.044642857142854</c:v>
                </c:pt>
                <c:pt idx="90">
                  <c:v>9.9124765037594003</c:v>
                </c:pt>
                <c:pt idx="91">
                  <c:v>9.783743042671615</c:v>
                </c:pt>
                <c:pt idx="92">
                  <c:v>9.6583104395604398</c:v>
                </c:pt>
                <c:pt idx="93">
                  <c:v>9.5360533453887868</c:v>
                </c:pt>
                <c:pt idx="94">
                  <c:v>9.4168526785714306</c:v>
                </c:pt>
                <c:pt idx="95">
                  <c:v>9.3005952380952408</c:v>
                </c:pt>
                <c:pt idx="96">
                  <c:v>9.1871733449477375</c:v>
                </c:pt>
                <c:pt idx="97">
                  <c:v>9.0764845094664395</c:v>
                </c:pt>
                <c:pt idx="98">
                  <c:v>8.9684311224489814</c:v>
                </c:pt>
                <c:pt idx="99">
                  <c:v>8.8629201680672285</c:v>
                </c:pt>
                <c:pt idx="100">
                  <c:v>8.7598629568106325</c:v>
                </c:pt>
                <c:pt idx="101">
                  <c:v>8.6591748768472918</c:v>
                </c:pt>
                <c:pt idx="102">
                  <c:v>8.5607751623376647</c:v>
                </c:pt>
                <c:pt idx="103">
                  <c:v>8.4645866773675777</c:v>
                </c:pt>
                <c:pt idx="104">
                  <c:v>8.3705357142857153</c:v>
                </c:pt>
                <c:pt idx="105">
                  <c:v>8.2785518053375213</c:v>
                </c:pt>
                <c:pt idx="106">
                  <c:v>8.1885675465838528</c:v>
                </c:pt>
                <c:pt idx="107">
                  <c:v>8.1005184331797224</c:v>
                </c:pt>
                <c:pt idx="108">
                  <c:v>8.0143427051671736</c:v>
                </c:pt>
                <c:pt idx="109">
                  <c:v>7.9299812030075199</c:v>
                </c:pt>
                <c:pt idx="110">
                  <c:v>7.8473772321428594</c:v>
                </c:pt>
                <c:pt idx="111">
                  <c:v>7.7664764359351999</c:v>
                </c:pt>
                <c:pt idx="112">
                  <c:v>7.6872266763848405</c:v>
                </c:pt>
                <c:pt idx="113">
                  <c:v>7.6095779220779205</c:v>
                </c:pt>
                <c:pt idx="114">
                  <c:v>7.533482142857145</c:v>
                </c:pt>
                <c:pt idx="115">
                  <c:v>7.4588932107496486</c:v>
                </c:pt>
                <c:pt idx="116">
                  <c:v>7.3857668067226898</c:v>
                </c:pt>
                <c:pt idx="117">
                  <c:v>7.3140603328710148</c:v>
                </c:pt>
                <c:pt idx="118">
                  <c:v>7.2437328296703303</c:v>
                </c:pt>
                <c:pt idx="119">
                  <c:v>7.1747448979591866</c:v>
                </c:pt>
                <c:pt idx="120">
                  <c:v>7.1070586253369274</c:v>
                </c:pt>
                <c:pt idx="121">
                  <c:v>7.0406375166889212</c:v>
                </c:pt>
                <c:pt idx="122">
                  <c:v>6.9754464285714306</c:v>
                </c:pt>
                <c:pt idx="123">
                  <c:v>6.9114515072083886</c:v>
                </c:pt>
                <c:pt idx="124">
                  <c:v>6.848620129870131</c:v>
                </c:pt>
                <c:pt idx="125">
                  <c:v>6.7869208494208504</c:v>
                </c:pt>
                <c:pt idx="126">
                  <c:v>6.7263233418367356</c:v>
                </c:pt>
                <c:pt idx="127">
                  <c:v>6.6667983565107471</c:v>
                </c:pt>
                <c:pt idx="128">
                  <c:v>6.6083176691729335</c:v>
                </c:pt>
                <c:pt idx="129">
                  <c:v>6.550854037267082</c:v>
                </c:pt>
                <c:pt idx="130">
                  <c:v>6.4943811576354697</c:v>
                </c:pt>
                <c:pt idx="131">
                  <c:v>6.4388736263736277</c:v>
                </c:pt>
                <c:pt idx="132">
                  <c:v>6.3843069007263944</c:v>
                </c:pt>
                <c:pt idx="133">
                  <c:v>6.3306572629051621</c:v>
                </c:pt>
                <c:pt idx="134">
                  <c:v>6.2779017857142874</c:v>
                </c:pt>
                <c:pt idx="135">
                  <c:v>6.2260182998819378</c:v>
                </c:pt>
                <c:pt idx="136">
                  <c:v>6.1749853629976599</c:v>
                </c:pt>
                <c:pt idx="137">
                  <c:v>6.1247822299651569</c:v>
                </c:pt>
                <c:pt idx="138">
                  <c:v>6.0753888248847945</c:v>
                </c:pt>
                <c:pt idx="139">
                  <c:v>6.0267857142857162</c:v>
                </c:pt>
                <c:pt idx="140">
                  <c:v>5.9789540816326534</c:v>
                </c:pt>
                <c:pt idx="141">
                  <c:v>5.9318757030371216</c:v>
                </c:pt>
                <c:pt idx="142">
                  <c:v>5.8855329241071441</c:v>
                </c:pt>
                <c:pt idx="143">
                  <c:v>5.8399086378737541</c:v>
                </c:pt>
                <c:pt idx="144">
                  <c:v>5.7949862637362628</c:v>
                </c:pt>
                <c:pt idx="145">
                  <c:v>5.7507497273718649</c:v>
                </c:pt>
                <c:pt idx="146">
                  <c:v>5.7071834415584419</c:v>
                </c:pt>
                <c:pt idx="147">
                  <c:v>5.6642722878625156</c:v>
                </c:pt>
                <c:pt idx="148">
                  <c:v>5.6220015991471222</c:v>
                </c:pt>
                <c:pt idx="149">
                  <c:v>5.5803571428571432</c:v>
                </c:pt>
                <c:pt idx="150">
                  <c:v>5.5393251050420185</c:v>
                </c:pt>
                <c:pt idx="151">
                  <c:v>5.4988920750782082</c:v>
                </c:pt>
                <c:pt idx="152">
                  <c:v>5.4590450310559024</c:v>
                </c:pt>
                <c:pt idx="153">
                  <c:v>5.4197713257965061</c:v>
                </c:pt>
                <c:pt idx="154">
                  <c:v>5.381058673469389</c:v>
                </c:pt>
                <c:pt idx="155">
                  <c:v>5.3428951367781155</c:v>
                </c:pt>
                <c:pt idx="156">
                  <c:v>5.3052691146881301</c:v>
                </c:pt>
                <c:pt idx="157">
                  <c:v>5.2681693306693314</c:v>
                </c:pt>
                <c:pt idx="158">
                  <c:v>5.231584821428573</c:v>
                </c:pt>
                <c:pt idx="159">
                  <c:v>5.1955049261083754</c:v>
                </c:pt>
                <c:pt idx="160">
                  <c:v>5.1599192759295507</c:v>
                </c:pt>
                <c:pt idx="161">
                  <c:v>5.1248177842565621</c:v>
                </c:pt>
                <c:pt idx="162">
                  <c:v>5.0901906370656382</c:v>
                </c:pt>
                <c:pt idx="163">
                  <c:v>5.0560282837967421</c:v>
                </c:pt>
                <c:pt idx="164">
                  <c:v>5.022321428571427</c:v>
                </c:pt>
                <c:pt idx="165">
                  <c:v>4.9890610217596976</c:v>
                </c:pt>
                <c:pt idx="166">
                  <c:v>4.9562382518797001</c:v>
                </c:pt>
                <c:pt idx="167">
                  <c:v>4.9238445378151257</c:v>
                </c:pt>
                <c:pt idx="168">
                  <c:v>4.8918715213358075</c:v>
                </c:pt>
                <c:pt idx="169">
                  <c:v>4.8603110599078345</c:v>
                </c:pt>
                <c:pt idx="170">
                  <c:v>4.8291552197802199</c:v>
                </c:pt>
                <c:pt idx="171">
                  <c:v>4.7983962693357602</c:v>
                </c:pt>
                <c:pt idx="172">
                  <c:v>4.7680266726943934</c:v>
                </c:pt>
                <c:pt idx="173">
                  <c:v>4.7380390835579522</c:v>
                </c:pt>
                <c:pt idx="174">
                  <c:v>4.7084263392857153</c:v>
                </c:pt>
                <c:pt idx="175">
                  <c:v>4.6791814551907729</c:v>
                </c:pt>
                <c:pt idx="176">
                  <c:v>4.6502976190476204</c:v>
                </c:pt>
                <c:pt idx="177">
                  <c:v>4.6217681858019297</c:v>
                </c:pt>
                <c:pt idx="178">
                  <c:v>4.5935866724738688</c:v>
                </c:pt>
                <c:pt idx="179">
                  <c:v>4.5657467532467546</c:v>
                </c:pt>
                <c:pt idx="180">
                  <c:v>4.5382422547332197</c:v>
                </c:pt>
                <c:pt idx="181">
                  <c:v>4.5110671514114626</c:v>
                </c:pt>
                <c:pt idx="182">
                  <c:v>4.4842155612244907</c:v>
                </c:pt>
                <c:pt idx="183">
                  <c:v>4.4576817413355867</c:v>
                </c:pt>
                <c:pt idx="184">
                  <c:v>4.4314600840336142</c:v>
                </c:pt>
                <c:pt idx="185">
                  <c:v>4.4055451127819563</c:v>
                </c:pt>
                <c:pt idx="186">
                  <c:v>4.3799314784053163</c:v>
                </c:pt>
                <c:pt idx="187">
                  <c:v>4.3546139554087535</c:v>
                </c:pt>
                <c:pt idx="188">
                  <c:v>4.3295874384236459</c:v>
                </c:pt>
                <c:pt idx="189">
                  <c:v>4.3048469387755111</c:v>
                </c:pt>
                <c:pt idx="190">
                  <c:v>4.2803875811688323</c:v>
                </c:pt>
                <c:pt idx="191">
                  <c:v>4.2562046004842626</c:v>
                </c:pt>
                <c:pt idx="192">
                  <c:v>4.2322933386837889</c:v>
                </c:pt>
                <c:pt idx="193">
                  <c:v>4.2086492418196331</c:v>
                </c:pt>
                <c:pt idx="194">
                  <c:v>4.1852678571428577</c:v>
                </c:pt>
                <c:pt idx="195">
                  <c:v>4.162144830307815</c:v>
                </c:pt>
                <c:pt idx="196">
                  <c:v>4.1392759026687607</c:v>
                </c:pt>
                <c:pt idx="197">
                  <c:v>4.1166569086651057</c:v>
                </c:pt>
                <c:pt idx="198">
                  <c:v>4.0942837732919264</c:v>
                </c:pt>
                <c:pt idx="199">
                  <c:v>4.0721525096525104</c:v>
                </c:pt>
                <c:pt idx="200">
                  <c:v>4.0502592165898612</c:v>
                </c:pt>
                <c:pt idx="201">
                  <c:v>4.0286000763941949</c:v>
                </c:pt>
                <c:pt idx="202">
                  <c:v>4.0071713525835868</c:v>
                </c:pt>
                <c:pt idx="203">
                  <c:v>3.9859693877551021</c:v>
                </c:pt>
                <c:pt idx="204">
                  <c:v>3.9649906015037599</c:v>
                </c:pt>
                <c:pt idx="205">
                  <c:v>3.9442314884068814</c:v>
                </c:pt>
                <c:pt idx="206">
                  <c:v>3.9236886160714297</c:v>
                </c:pt>
                <c:pt idx="207">
                  <c:v>3.9033586232420432</c:v>
                </c:pt>
                <c:pt idx="208">
                  <c:v>3.8832382179675999</c:v>
                </c:pt>
                <c:pt idx="209">
                  <c:v>3.863324175824177</c:v>
                </c:pt>
                <c:pt idx="210">
                  <c:v>3.8436133381924202</c:v>
                </c:pt>
                <c:pt idx="211">
                  <c:v>3.8241026105873828</c:v>
                </c:pt>
                <c:pt idx="212">
                  <c:v>3.8047889610389602</c:v>
                </c:pt>
                <c:pt idx="213">
                  <c:v>3.7856694185211772</c:v>
                </c:pt>
                <c:pt idx="214">
                  <c:v>3.7667410714285725</c:v>
                </c:pt>
                <c:pt idx="215">
                  <c:v>3.7480010660980811</c:v>
                </c:pt>
                <c:pt idx="216">
                  <c:v>3.7294466053748243</c:v>
                </c:pt>
                <c:pt idx="217">
                  <c:v>3.711074947220268</c:v>
                </c:pt>
                <c:pt idx="218">
                  <c:v>3.6928834033613449</c:v>
                </c:pt>
                <c:pt idx="219">
                  <c:v>3.6748693379790947</c:v>
                </c:pt>
                <c:pt idx="220">
                  <c:v>3.6570301664355074</c:v>
                </c:pt>
                <c:pt idx="221">
                  <c:v>3.6393633540372674</c:v>
                </c:pt>
                <c:pt idx="222">
                  <c:v>3.6218664148351651</c:v>
                </c:pt>
                <c:pt idx="223">
                  <c:v>3.6045369104579636</c:v>
                </c:pt>
                <c:pt idx="224">
                  <c:v>3.5873724489795933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08-4227-98FB-E0DA4BE8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75648"/>
        <c:axId val="1476275168"/>
      </c:scatterChart>
      <c:scatterChart>
        <c:scatterStyle val="smoothMarker"/>
        <c:varyColors val="0"/>
        <c:ser>
          <c:idx val="1"/>
          <c:order val="1"/>
          <c:tx>
            <c:strRef>
              <c:f>Electromagnet2!$F$4</c:f>
              <c:strCache>
                <c:ptCount val="1"/>
                <c:pt idx="0">
                  <c:v>Force [Newton]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Electromagnet2!$A$5:$A$229</c:f>
              <c:numCache>
                <c:formatCode>General</c:formatCode>
                <c:ptCount val="22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840</c:v>
                </c:pt>
                <c:pt idx="23">
                  <c:v>900</c:v>
                </c:pt>
                <c:pt idx="24">
                  <c:v>1000</c:v>
                </c:pt>
                <c:pt idx="25">
                  <c:v>1100</c:v>
                </c:pt>
                <c:pt idx="26">
                  <c:v>1200</c:v>
                </c:pt>
                <c:pt idx="27">
                  <c:v>1300</c:v>
                </c:pt>
                <c:pt idx="28">
                  <c:v>1400</c:v>
                </c:pt>
                <c:pt idx="29">
                  <c:v>1500</c:v>
                </c:pt>
                <c:pt idx="30">
                  <c:v>1600</c:v>
                </c:pt>
                <c:pt idx="31">
                  <c:v>1700</c:v>
                </c:pt>
                <c:pt idx="32">
                  <c:v>1800</c:v>
                </c:pt>
                <c:pt idx="33">
                  <c:v>1900</c:v>
                </c:pt>
                <c:pt idx="34">
                  <c:v>2000</c:v>
                </c:pt>
                <c:pt idx="35">
                  <c:v>2100</c:v>
                </c:pt>
                <c:pt idx="36">
                  <c:v>2200</c:v>
                </c:pt>
                <c:pt idx="37">
                  <c:v>2300</c:v>
                </c:pt>
                <c:pt idx="38">
                  <c:v>2400</c:v>
                </c:pt>
                <c:pt idx="39">
                  <c:v>2500</c:v>
                </c:pt>
                <c:pt idx="40">
                  <c:v>2600</c:v>
                </c:pt>
                <c:pt idx="41">
                  <c:v>2700</c:v>
                </c:pt>
                <c:pt idx="42">
                  <c:v>2800</c:v>
                </c:pt>
                <c:pt idx="43">
                  <c:v>2900</c:v>
                </c:pt>
                <c:pt idx="44">
                  <c:v>3000</c:v>
                </c:pt>
                <c:pt idx="45">
                  <c:v>3100</c:v>
                </c:pt>
                <c:pt idx="46">
                  <c:v>3200</c:v>
                </c:pt>
                <c:pt idx="47">
                  <c:v>3300</c:v>
                </c:pt>
                <c:pt idx="48">
                  <c:v>3400</c:v>
                </c:pt>
                <c:pt idx="49">
                  <c:v>3500</c:v>
                </c:pt>
                <c:pt idx="50">
                  <c:v>3600</c:v>
                </c:pt>
                <c:pt idx="51">
                  <c:v>3700</c:v>
                </c:pt>
                <c:pt idx="52">
                  <c:v>3800</c:v>
                </c:pt>
                <c:pt idx="53">
                  <c:v>3900</c:v>
                </c:pt>
                <c:pt idx="54">
                  <c:v>4000</c:v>
                </c:pt>
                <c:pt idx="55">
                  <c:v>4100</c:v>
                </c:pt>
                <c:pt idx="56">
                  <c:v>4200</c:v>
                </c:pt>
                <c:pt idx="57">
                  <c:v>4300</c:v>
                </c:pt>
                <c:pt idx="58">
                  <c:v>4400</c:v>
                </c:pt>
                <c:pt idx="59">
                  <c:v>4500</c:v>
                </c:pt>
                <c:pt idx="60">
                  <c:v>4600</c:v>
                </c:pt>
                <c:pt idx="61">
                  <c:v>4700</c:v>
                </c:pt>
                <c:pt idx="62">
                  <c:v>4800</c:v>
                </c:pt>
                <c:pt idx="63">
                  <c:v>4900</c:v>
                </c:pt>
                <c:pt idx="64">
                  <c:v>5000</c:v>
                </c:pt>
                <c:pt idx="65">
                  <c:v>5100</c:v>
                </c:pt>
                <c:pt idx="66">
                  <c:v>5200</c:v>
                </c:pt>
                <c:pt idx="67">
                  <c:v>5300</c:v>
                </c:pt>
                <c:pt idx="68">
                  <c:v>5400</c:v>
                </c:pt>
                <c:pt idx="69">
                  <c:v>5500</c:v>
                </c:pt>
                <c:pt idx="70">
                  <c:v>5600</c:v>
                </c:pt>
                <c:pt idx="71">
                  <c:v>5700</c:v>
                </c:pt>
                <c:pt idx="72">
                  <c:v>5800</c:v>
                </c:pt>
                <c:pt idx="73">
                  <c:v>5900</c:v>
                </c:pt>
                <c:pt idx="74">
                  <c:v>6000</c:v>
                </c:pt>
                <c:pt idx="75">
                  <c:v>6100</c:v>
                </c:pt>
                <c:pt idx="76">
                  <c:v>6200</c:v>
                </c:pt>
                <c:pt idx="77">
                  <c:v>6300</c:v>
                </c:pt>
                <c:pt idx="78">
                  <c:v>6400</c:v>
                </c:pt>
                <c:pt idx="79">
                  <c:v>6500</c:v>
                </c:pt>
                <c:pt idx="80">
                  <c:v>6600</c:v>
                </c:pt>
                <c:pt idx="81">
                  <c:v>6700</c:v>
                </c:pt>
                <c:pt idx="82">
                  <c:v>6800</c:v>
                </c:pt>
                <c:pt idx="83">
                  <c:v>6900</c:v>
                </c:pt>
                <c:pt idx="84">
                  <c:v>7000</c:v>
                </c:pt>
                <c:pt idx="85">
                  <c:v>7100</c:v>
                </c:pt>
                <c:pt idx="86">
                  <c:v>7200</c:v>
                </c:pt>
                <c:pt idx="87">
                  <c:v>7300</c:v>
                </c:pt>
                <c:pt idx="88">
                  <c:v>7400</c:v>
                </c:pt>
                <c:pt idx="89">
                  <c:v>7500</c:v>
                </c:pt>
                <c:pt idx="90">
                  <c:v>7600</c:v>
                </c:pt>
                <c:pt idx="91">
                  <c:v>7700</c:v>
                </c:pt>
                <c:pt idx="92">
                  <c:v>7800</c:v>
                </c:pt>
                <c:pt idx="93">
                  <c:v>7900</c:v>
                </c:pt>
                <c:pt idx="94">
                  <c:v>8000</c:v>
                </c:pt>
                <c:pt idx="95">
                  <c:v>8100</c:v>
                </c:pt>
                <c:pt idx="96">
                  <c:v>8200</c:v>
                </c:pt>
                <c:pt idx="97">
                  <c:v>8300</c:v>
                </c:pt>
                <c:pt idx="98">
                  <c:v>8400</c:v>
                </c:pt>
                <c:pt idx="99">
                  <c:v>8500</c:v>
                </c:pt>
                <c:pt idx="100">
                  <c:v>8600</c:v>
                </c:pt>
                <c:pt idx="101">
                  <c:v>8700</c:v>
                </c:pt>
                <c:pt idx="102">
                  <c:v>8800</c:v>
                </c:pt>
                <c:pt idx="103">
                  <c:v>8900</c:v>
                </c:pt>
                <c:pt idx="104">
                  <c:v>9000</c:v>
                </c:pt>
                <c:pt idx="105">
                  <c:v>9100</c:v>
                </c:pt>
                <c:pt idx="106">
                  <c:v>9200</c:v>
                </c:pt>
                <c:pt idx="107">
                  <c:v>9300</c:v>
                </c:pt>
                <c:pt idx="108">
                  <c:v>9400</c:v>
                </c:pt>
                <c:pt idx="109">
                  <c:v>9500</c:v>
                </c:pt>
                <c:pt idx="110">
                  <c:v>9600</c:v>
                </c:pt>
                <c:pt idx="111">
                  <c:v>9700</c:v>
                </c:pt>
                <c:pt idx="112">
                  <c:v>9800</c:v>
                </c:pt>
                <c:pt idx="113">
                  <c:v>9900</c:v>
                </c:pt>
                <c:pt idx="114">
                  <c:v>10000</c:v>
                </c:pt>
                <c:pt idx="115">
                  <c:v>10100</c:v>
                </c:pt>
                <c:pt idx="116">
                  <c:v>10200</c:v>
                </c:pt>
                <c:pt idx="117">
                  <c:v>10300</c:v>
                </c:pt>
                <c:pt idx="118">
                  <c:v>10400</c:v>
                </c:pt>
                <c:pt idx="119">
                  <c:v>10500</c:v>
                </c:pt>
                <c:pt idx="120">
                  <c:v>10600</c:v>
                </c:pt>
                <c:pt idx="121">
                  <c:v>10700</c:v>
                </c:pt>
                <c:pt idx="122">
                  <c:v>10800</c:v>
                </c:pt>
                <c:pt idx="123">
                  <c:v>10900</c:v>
                </c:pt>
                <c:pt idx="124">
                  <c:v>11000</c:v>
                </c:pt>
                <c:pt idx="125">
                  <c:v>11100</c:v>
                </c:pt>
                <c:pt idx="126">
                  <c:v>11200</c:v>
                </c:pt>
                <c:pt idx="127">
                  <c:v>11300</c:v>
                </c:pt>
                <c:pt idx="128">
                  <c:v>11400</c:v>
                </c:pt>
                <c:pt idx="129">
                  <c:v>11500</c:v>
                </c:pt>
                <c:pt idx="130">
                  <c:v>11600</c:v>
                </c:pt>
                <c:pt idx="131">
                  <c:v>11700</c:v>
                </c:pt>
                <c:pt idx="132">
                  <c:v>11800</c:v>
                </c:pt>
                <c:pt idx="133">
                  <c:v>11900</c:v>
                </c:pt>
                <c:pt idx="134">
                  <c:v>12000</c:v>
                </c:pt>
                <c:pt idx="135">
                  <c:v>12100</c:v>
                </c:pt>
                <c:pt idx="136">
                  <c:v>12200</c:v>
                </c:pt>
                <c:pt idx="137">
                  <c:v>12300</c:v>
                </c:pt>
                <c:pt idx="138">
                  <c:v>12400</c:v>
                </c:pt>
                <c:pt idx="139">
                  <c:v>12500</c:v>
                </c:pt>
                <c:pt idx="140">
                  <c:v>12600</c:v>
                </c:pt>
                <c:pt idx="141">
                  <c:v>12700</c:v>
                </c:pt>
                <c:pt idx="142">
                  <c:v>12800</c:v>
                </c:pt>
                <c:pt idx="143">
                  <c:v>12900</c:v>
                </c:pt>
                <c:pt idx="144">
                  <c:v>13000</c:v>
                </c:pt>
                <c:pt idx="145">
                  <c:v>13100</c:v>
                </c:pt>
                <c:pt idx="146">
                  <c:v>13200</c:v>
                </c:pt>
                <c:pt idx="147">
                  <c:v>13300</c:v>
                </c:pt>
                <c:pt idx="148">
                  <c:v>13400</c:v>
                </c:pt>
                <c:pt idx="149">
                  <c:v>13500</c:v>
                </c:pt>
                <c:pt idx="150">
                  <c:v>13600</c:v>
                </c:pt>
                <c:pt idx="151">
                  <c:v>13700</c:v>
                </c:pt>
                <c:pt idx="152">
                  <c:v>13800</c:v>
                </c:pt>
                <c:pt idx="153">
                  <c:v>13900</c:v>
                </c:pt>
                <c:pt idx="154">
                  <c:v>14000</c:v>
                </c:pt>
                <c:pt idx="155">
                  <c:v>14100</c:v>
                </c:pt>
                <c:pt idx="156">
                  <c:v>14200</c:v>
                </c:pt>
                <c:pt idx="157">
                  <c:v>14300</c:v>
                </c:pt>
                <c:pt idx="158">
                  <c:v>14400</c:v>
                </c:pt>
                <c:pt idx="159">
                  <c:v>14500</c:v>
                </c:pt>
                <c:pt idx="160">
                  <c:v>14600</c:v>
                </c:pt>
                <c:pt idx="161">
                  <c:v>14700</c:v>
                </c:pt>
                <c:pt idx="162">
                  <c:v>14800</c:v>
                </c:pt>
                <c:pt idx="163">
                  <c:v>14900</c:v>
                </c:pt>
                <c:pt idx="164">
                  <c:v>15000</c:v>
                </c:pt>
                <c:pt idx="165">
                  <c:v>15100</c:v>
                </c:pt>
                <c:pt idx="166">
                  <c:v>15200</c:v>
                </c:pt>
                <c:pt idx="167">
                  <c:v>15300</c:v>
                </c:pt>
                <c:pt idx="168">
                  <c:v>15400</c:v>
                </c:pt>
                <c:pt idx="169">
                  <c:v>15500</c:v>
                </c:pt>
                <c:pt idx="170">
                  <c:v>15600</c:v>
                </c:pt>
                <c:pt idx="171">
                  <c:v>15700</c:v>
                </c:pt>
                <c:pt idx="172">
                  <c:v>15800</c:v>
                </c:pt>
                <c:pt idx="173">
                  <c:v>15900</c:v>
                </c:pt>
                <c:pt idx="174">
                  <c:v>16000</c:v>
                </c:pt>
                <c:pt idx="175">
                  <c:v>16100</c:v>
                </c:pt>
                <c:pt idx="176">
                  <c:v>16200</c:v>
                </c:pt>
                <c:pt idx="177">
                  <c:v>16300</c:v>
                </c:pt>
                <c:pt idx="178">
                  <c:v>16400</c:v>
                </c:pt>
                <c:pt idx="179">
                  <c:v>16500</c:v>
                </c:pt>
                <c:pt idx="180">
                  <c:v>16600</c:v>
                </c:pt>
                <c:pt idx="181">
                  <c:v>16700</c:v>
                </c:pt>
                <c:pt idx="182">
                  <c:v>16800</c:v>
                </c:pt>
                <c:pt idx="183">
                  <c:v>16900</c:v>
                </c:pt>
                <c:pt idx="184">
                  <c:v>17000</c:v>
                </c:pt>
                <c:pt idx="185">
                  <c:v>17100</c:v>
                </c:pt>
                <c:pt idx="186">
                  <c:v>17200</c:v>
                </c:pt>
                <c:pt idx="187">
                  <c:v>17300</c:v>
                </c:pt>
                <c:pt idx="188">
                  <c:v>17400</c:v>
                </c:pt>
                <c:pt idx="189">
                  <c:v>17500</c:v>
                </c:pt>
                <c:pt idx="190">
                  <c:v>17600</c:v>
                </c:pt>
                <c:pt idx="191">
                  <c:v>17700</c:v>
                </c:pt>
                <c:pt idx="192">
                  <c:v>17800</c:v>
                </c:pt>
                <c:pt idx="193">
                  <c:v>17900</c:v>
                </c:pt>
                <c:pt idx="194">
                  <c:v>18000</c:v>
                </c:pt>
                <c:pt idx="195">
                  <c:v>18100</c:v>
                </c:pt>
                <c:pt idx="196">
                  <c:v>18200</c:v>
                </c:pt>
                <c:pt idx="197">
                  <c:v>18300</c:v>
                </c:pt>
                <c:pt idx="198">
                  <c:v>18400</c:v>
                </c:pt>
                <c:pt idx="199">
                  <c:v>18500</c:v>
                </c:pt>
                <c:pt idx="200">
                  <c:v>18600</c:v>
                </c:pt>
                <c:pt idx="201">
                  <c:v>18700</c:v>
                </c:pt>
                <c:pt idx="202">
                  <c:v>18800</c:v>
                </c:pt>
                <c:pt idx="203">
                  <c:v>18900</c:v>
                </c:pt>
                <c:pt idx="204">
                  <c:v>19000</c:v>
                </c:pt>
                <c:pt idx="205">
                  <c:v>19100</c:v>
                </c:pt>
                <c:pt idx="206">
                  <c:v>19200</c:v>
                </c:pt>
                <c:pt idx="207">
                  <c:v>19300</c:v>
                </c:pt>
                <c:pt idx="208">
                  <c:v>19400</c:v>
                </c:pt>
                <c:pt idx="209">
                  <c:v>19500</c:v>
                </c:pt>
                <c:pt idx="210">
                  <c:v>19600</c:v>
                </c:pt>
                <c:pt idx="211">
                  <c:v>19700</c:v>
                </c:pt>
                <c:pt idx="212">
                  <c:v>19800</c:v>
                </c:pt>
                <c:pt idx="213">
                  <c:v>19900</c:v>
                </c:pt>
                <c:pt idx="214">
                  <c:v>20000</c:v>
                </c:pt>
                <c:pt idx="215">
                  <c:v>20100</c:v>
                </c:pt>
                <c:pt idx="216">
                  <c:v>20200</c:v>
                </c:pt>
                <c:pt idx="217">
                  <c:v>20300</c:v>
                </c:pt>
                <c:pt idx="218">
                  <c:v>20400</c:v>
                </c:pt>
                <c:pt idx="219">
                  <c:v>20500</c:v>
                </c:pt>
                <c:pt idx="220">
                  <c:v>20600</c:v>
                </c:pt>
                <c:pt idx="221">
                  <c:v>20700</c:v>
                </c:pt>
                <c:pt idx="222">
                  <c:v>20800</c:v>
                </c:pt>
                <c:pt idx="223">
                  <c:v>20900</c:v>
                </c:pt>
                <c:pt idx="224">
                  <c:v>21000</c:v>
                </c:pt>
              </c:numCache>
            </c:numRef>
          </c:xVal>
          <c:yVal>
            <c:numRef>
              <c:f>Electromagnet2!$F$5:$F$229</c:f>
              <c:numCache>
                <c:formatCode>#\ ##0.000000</c:formatCode>
                <c:ptCount val="225"/>
                <c:pt idx="0">
                  <c:v>2.8448891616544079E-7</c:v>
                </c:pt>
                <c:pt idx="1">
                  <c:v>7.1122229041360203E-6</c:v>
                </c:pt>
                <c:pt idx="2">
                  <c:v>2.8448891616544081E-5</c:v>
                </c:pt>
                <c:pt idx="3">
                  <c:v>1.1379556646617632E-4</c:v>
                </c:pt>
                <c:pt idx="4">
                  <c:v>2.5604002454889668E-4</c:v>
                </c:pt>
                <c:pt idx="5">
                  <c:v>4.551822658647053E-4</c:v>
                </c:pt>
                <c:pt idx="6">
                  <c:v>7.1122229041360198E-4</c:v>
                </c:pt>
                <c:pt idx="7">
                  <c:v>1.0241600981955867E-3</c:v>
                </c:pt>
                <c:pt idx="8">
                  <c:v>1.3939956892106598E-3</c:v>
                </c:pt>
                <c:pt idx="9">
                  <c:v>1.8207290634588212E-3</c:v>
                </c:pt>
                <c:pt idx="10">
                  <c:v>2.3043602209400706E-3</c:v>
                </c:pt>
                <c:pt idx="11">
                  <c:v>2.8448891616544079E-3</c:v>
                </c:pt>
                <c:pt idx="12">
                  <c:v>6.4010006137224171E-3</c:v>
                </c:pt>
                <c:pt idx="13">
                  <c:v>1.1379556646617632E-2</c:v>
                </c:pt>
                <c:pt idx="14">
                  <c:v>1.7780557260340051E-2</c:v>
                </c:pt>
                <c:pt idx="15">
                  <c:v>2.5604002454889668E-2</c:v>
                </c:pt>
                <c:pt idx="16">
                  <c:v>3.4849892230266501E-2</c:v>
                </c:pt>
                <c:pt idx="17">
                  <c:v>4.5518226586470527E-2</c:v>
                </c:pt>
                <c:pt idx="18">
                  <c:v>5.7609005523501761E-2</c:v>
                </c:pt>
                <c:pt idx="19">
                  <c:v>7.1122229041360202E-2</c:v>
                </c:pt>
                <c:pt idx="20">
                  <c:v>0.10241600981955867</c:v>
                </c:pt>
                <c:pt idx="21">
                  <c:v>0.139399568921066</c:v>
                </c:pt>
                <c:pt idx="22">
                  <c:v>0.200735379246335</c:v>
                </c:pt>
                <c:pt idx="23">
                  <c:v>0.23043602209400704</c:v>
                </c:pt>
                <c:pt idx="24">
                  <c:v>0.28448891616544081</c:v>
                </c:pt>
                <c:pt idx="25">
                  <c:v>0.34423158856018321</c:v>
                </c:pt>
                <c:pt idx="26">
                  <c:v>0.40966403927823469</c:v>
                </c:pt>
                <c:pt idx="27">
                  <c:v>0.48078626831959498</c:v>
                </c:pt>
                <c:pt idx="28">
                  <c:v>0.55759827568426401</c:v>
                </c:pt>
                <c:pt idx="29">
                  <c:v>0.64010006137224196</c:v>
                </c:pt>
                <c:pt idx="30">
                  <c:v>0.72829162538352843</c:v>
                </c:pt>
                <c:pt idx="31">
                  <c:v>0.82217296771812387</c:v>
                </c:pt>
                <c:pt idx="32">
                  <c:v>0.92174408837602817</c:v>
                </c:pt>
                <c:pt idx="33">
                  <c:v>1.0270049873572413</c:v>
                </c:pt>
                <c:pt idx="34">
                  <c:v>1.1379556646617632</c:v>
                </c:pt>
                <c:pt idx="35">
                  <c:v>1.2545961202895941</c:v>
                </c:pt>
                <c:pt idx="36">
                  <c:v>1.3769263542407328</c:v>
                </c:pt>
                <c:pt idx="37">
                  <c:v>1.5049463665151814</c:v>
                </c:pt>
                <c:pt idx="38">
                  <c:v>1.6386561571129388</c:v>
                </c:pt>
                <c:pt idx="39">
                  <c:v>1.7780557260340049</c:v>
                </c:pt>
                <c:pt idx="40">
                  <c:v>1.9231450732783799</c:v>
                </c:pt>
                <c:pt idx="41">
                  <c:v>2.0739241988460635</c:v>
                </c:pt>
                <c:pt idx="42">
                  <c:v>2.230393102737056</c:v>
                </c:pt>
                <c:pt idx="43">
                  <c:v>2.3925517849513569</c:v>
                </c:pt>
                <c:pt idx="44">
                  <c:v>2.5604002454889678</c:v>
                </c:pt>
                <c:pt idx="45">
                  <c:v>2.7339384843498866</c:v>
                </c:pt>
                <c:pt idx="46">
                  <c:v>2.9131665015341137</c:v>
                </c:pt>
                <c:pt idx="47">
                  <c:v>3.0980842970416509</c:v>
                </c:pt>
                <c:pt idx="48">
                  <c:v>3.2886918708724955</c:v>
                </c:pt>
                <c:pt idx="49">
                  <c:v>3.4849892230266502</c:v>
                </c:pt>
                <c:pt idx="50">
                  <c:v>3.6869763535041127</c:v>
                </c:pt>
                <c:pt idx="51">
                  <c:v>3.8946532623048831</c:v>
                </c:pt>
                <c:pt idx="52">
                  <c:v>4.1080199494289653</c:v>
                </c:pt>
                <c:pt idx="53">
                  <c:v>4.3270764148763554</c:v>
                </c:pt>
                <c:pt idx="54">
                  <c:v>4.5518226586470529</c:v>
                </c:pt>
                <c:pt idx="55">
                  <c:v>4.7822586807410614</c:v>
                </c:pt>
                <c:pt idx="56">
                  <c:v>5.0183844811583764</c:v>
                </c:pt>
                <c:pt idx="57">
                  <c:v>5.2602000598989997</c:v>
                </c:pt>
                <c:pt idx="58">
                  <c:v>5.5077054169629314</c:v>
                </c:pt>
                <c:pt idx="59">
                  <c:v>5.7609005523501757</c:v>
                </c:pt>
                <c:pt idx="60">
                  <c:v>6.0197854660607257</c:v>
                </c:pt>
                <c:pt idx="61">
                  <c:v>6.2843601580945849</c:v>
                </c:pt>
                <c:pt idx="62">
                  <c:v>6.3069140389441998</c:v>
                </c:pt>
                <c:pt idx="63">
                  <c:v>6.3069140389441944</c:v>
                </c:pt>
                <c:pt idx="64">
                  <c:v>6.3069140389441998</c:v>
                </c:pt>
                <c:pt idx="65">
                  <c:v>6.3069140389441944</c:v>
                </c:pt>
                <c:pt idx="66">
                  <c:v>6.3069140389441944</c:v>
                </c:pt>
                <c:pt idx="67">
                  <c:v>6.3069140389441944</c:v>
                </c:pt>
                <c:pt idx="68">
                  <c:v>6.3069140389441998</c:v>
                </c:pt>
                <c:pt idx="69">
                  <c:v>6.3069140389441944</c:v>
                </c:pt>
                <c:pt idx="70">
                  <c:v>6.3069140389441944</c:v>
                </c:pt>
                <c:pt idx="71">
                  <c:v>6.3069140389441998</c:v>
                </c:pt>
                <c:pt idx="72">
                  <c:v>6.3069140389441944</c:v>
                </c:pt>
                <c:pt idx="73">
                  <c:v>6.3069140389441998</c:v>
                </c:pt>
                <c:pt idx="74">
                  <c:v>6.3069140389441998</c:v>
                </c:pt>
                <c:pt idx="75">
                  <c:v>6.3069140389441944</c:v>
                </c:pt>
                <c:pt idx="76">
                  <c:v>6.3069140389441998</c:v>
                </c:pt>
                <c:pt idx="77">
                  <c:v>6.3069140389441944</c:v>
                </c:pt>
                <c:pt idx="78">
                  <c:v>6.3069140389441998</c:v>
                </c:pt>
                <c:pt idx="79">
                  <c:v>6.3069140389441944</c:v>
                </c:pt>
                <c:pt idx="80">
                  <c:v>6.3069140389441944</c:v>
                </c:pt>
                <c:pt idx="81">
                  <c:v>6.3069140389441944</c:v>
                </c:pt>
                <c:pt idx="82">
                  <c:v>6.3069140389441944</c:v>
                </c:pt>
                <c:pt idx="83">
                  <c:v>6.3069140389441998</c:v>
                </c:pt>
                <c:pt idx="84">
                  <c:v>6.3069140389441944</c:v>
                </c:pt>
                <c:pt idx="85">
                  <c:v>6.3069140389441998</c:v>
                </c:pt>
                <c:pt idx="86">
                  <c:v>6.3069140389441998</c:v>
                </c:pt>
                <c:pt idx="87">
                  <c:v>6.3069140389441944</c:v>
                </c:pt>
                <c:pt idx="88">
                  <c:v>6.3069140389441944</c:v>
                </c:pt>
                <c:pt idx="89">
                  <c:v>6.3069140389441944</c:v>
                </c:pt>
                <c:pt idx="90">
                  <c:v>6.3069140389441998</c:v>
                </c:pt>
                <c:pt idx="91">
                  <c:v>6.3069140389441944</c:v>
                </c:pt>
                <c:pt idx="92">
                  <c:v>6.3069140389441944</c:v>
                </c:pt>
                <c:pt idx="93">
                  <c:v>6.3069140389441944</c:v>
                </c:pt>
                <c:pt idx="94">
                  <c:v>6.3069140389441944</c:v>
                </c:pt>
                <c:pt idx="95">
                  <c:v>6.3069140389441998</c:v>
                </c:pt>
                <c:pt idx="96">
                  <c:v>6.3069140389441944</c:v>
                </c:pt>
                <c:pt idx="97">
                  <c:v>6.3069140389441998</c:v>
                </c:pt>
                <c:pt idx="98">
                  <c:v>6.3069140389441944</c:v>
                </c:pt>
                <c:pt idx="99">
                  <c:v>6.3069140389441944</c:v>
                </c:pt>
                <c:pt idx="100">
                  <c:v>6.3069140389441944</c:v>
                </c:pt>
                <c:pt idx="101">
                  <c:v>6.3069140389441944</c:v>
                </c:pt>
                <c:pt idx="102">
                  <c:v>6.3069140389441944</c:v>
                </c:pt>
                <c:pt idx="103">
                  <c:v>6.3069140389441944</c:v>
                </c:pt>
                <c:pt idx="104">
                  <c:v>6.3069140389441998</c:v>
                </c:pt>
                <c:pt idx="105">
                  <c:v>6.3069140389441944</c:v>
                </c:pt>
                <c:pt idx="106">
                  <c:v>6.3069140389441944</c:v>
                </c:pt>
                <c:pt idx="107">
                  <c:v>6.3069140389441944</c:v>
                </c:pt>
                <c:pt idx="108">
                  <c:v>6.3069140389441944</c:v>
                </c:pt>
                <c:pt idx="109">
                  <c:v>6.3069140389441944</c:v>
                </c:pt>
                <c:pt idx="110">
                  <c:v>6.3069140389441998</c:v>
                </c:pt>
                <c:pt idx="111">
                  <c:v>6.3069140389441944</c:v>
                </c:pt>
                <c:pt idx="112">
                  <c:v>6.3069140389441944</c:v>
                </c:pt>
                <c:pt idx="113">
                  <c:v>6.3069140389441944</c:v>
                </c:pt>
                <c:pt idx="114">
                  <c:v>6.3069140389441998</c:v>
                </c:pt>
                <c:pt idx="115">
                  <c:v>6.3069140389441944</c:v>
                </c:pt>
                <c:pt idx="116">
                  <c:v>6.3069140389441944</c:v>
                </c:pt>
                <c:pt idx="117">
                  <c:v>6.3069140389441998</c:v>
                </c:pt>
                <c:pt idx="118">
                  <c:v>6.3069140389441944</c:v>
                </c:pt>
                <c:pt idx="119">
                  <c:v>6.3069140389441998</c:v>
                </c:pt>
                <c:pt idx="120">
                  <c:v>6.3069140389441944</c:v>
                </c:pt>
                <c:pt idx="121">
                  <c:v>6.3069140389441998</c:v>
                </c:pt>
                <c:pt idx="122">
                  <c:v>6.3069140389441998</c:v>
                </c:pt>
                <c:pt idx="123">
                  <c:v>6.3069140389441944</c:v>
                </c:pt>
                <c:pt idx="124">
                  <c:v>6.3069140389441944</c:v>
                </c:pt>
                <c:pt idx="125">
                  <c:v>6.3069140389441998</c:v>
                </c:pt>
                <c:pt idx="126">
                  <c:v>6.3069140389441944</c:v>
                </c:pt>
                <c:pt idx="127">
                  <c:v>6.3069140389441944</c:v>
                </c:pt>
                <c:pt idx="128">
                  <c:v>6.3069140389441998</c:v>
                </c:pt>
                <c:pt idx="129">
                  <c:v>6.3069140389441944</c:v>
                </c:pt>
                <c:pt idx="130">
                  <c:v>6.3069140389441944</c:v>
                </c:pt>
                <c:pt idx="131">
                  <c:v>6.3069140389441944</c:v>
                </c:pt>
                <c:pt idx="132">
                  <c:v>6.3069140389441998</c:v>
                </c:pt>
                <c:pt idx="133">
                  <c:v>6.3069140389441944</c:v>
                </c:pt>
                <c:pt idx="134">
                  <c:v>6.3069140389441998</c:v>
                </c:pt>
                <c:pt idx="135">
                  <c:v>6.3069140389441944</c:v>
                </c:pt>
                <c:pt idx="136">
                  <c:v>6.3069140389441944</c:v>
                </c:pt>
                <c:pt idx="137">
                  <c:v>6.3069140389441944</c:v>
                </c:pt>
                <c:pt idx="138">
                  <c:v>6.3069140389441998</c:v>
                </c:pt>
                <c:pt idx="139">
                  <c:v>6.3069140389441998</c:v>
                </c:pt>
                <c:pt idx="140">
                  <c:v>6.3069140389441944</c:v>
                </c:pt>
                <c:pt idx="141">
                  <c:v>6.3069140389441998</c:v>
                </c:pt>
                <c:pt idx="142">
                  <c:v>6.3069140389441998</c:v>
                </c:pt>
                <c:pt idx="143">
                  <c:v>6.3069140389441944</c:v>
                </c:pt>
                <c:pt idx="144">
                  <c:v>6.3069140389441944</c:v>
                </c:pt>
                <c:pt idx="145">
                  <c:v>6.3069140389441944</c:v>
                </c:pt>
                <c:pt idx="146">
                  <c:v>6.3069140389441944</c:v>
                </c:pt>
                <c:pt idx="147">
                  <c:v>6.3069140389441998</c:v>
                </c:pt>
                <c:pt idx="148">
                  <c:v>6.3069140389441944</c:v>
                </c:pt>
                <c:pt idx="149">
                  <c:v>6.3069140389441998</c:v>
                </c:pt>
                <c:pt idx="150">
                  <c:v>6.3069140389441944</c:v>
                </c:pt>
                <c:pt idx="151">
                  <c:v>6.3069140389441998</c:v>
                </c:pt>
                <c:pt idx="152">
                  <c:v>6.3069140389441998</c:v>
                </c:pt>
                <c:pt idx="153">
                  <c:v>6.3069140389441944</c:v>
                </c:pt>
                <c:pt idx="154">
                  <c:v>6.3069140389441944</c:v>
                </c:pt>
                <c:pt idx="155">
                  <c:v>6.3069140389441944</c:v>
                </c:pt>
                <c:pt idx="156">
                  <c:v>6.3069140389441998</c:v>
                </c:pt>
                <c:pt idx="157">
                  <c:v>6.3069140389441944</c:v>
                </c:pt>
                <c:pt idx="158">
                  <c:v>6.3069140389441998</c:v>
                </c:pt>
                <c:pt idx="159">
                  <c:v>6.3069140389441944</c:v>
                </c:pt>
                <c:pt idx="160">
                  <c:v>6.3069140389441944</c:v>
                </c:pt>
                <c:pt idx="161">
                  <c:v>6.3069140389441998</c:v>
                </c:pt>
                <c:pt idx="162">
                  <c:v>6.3069140389441944</c:v>
                </c:pt>
                <c:pt idx="163">
                  <c:v>6.3069140389441998</c:v>
                </c:pt>
                <c:pt idx="164">
                  <c:v>6.3069140389441944</c:v>
                </c:pt>
                <c:pt idx="165">
                  <c:v>6.3069140389441944</c:v>
                </c:pt>
                <c:pt idx="166">
                  <c:v>6.3069140389441998</c:v>
                </c:pt>
                <c:pt idx="167">
                  <c:v>6.3069140389441944</c:v>
                </c:pt>
                <c:pt idx="168">
                  <c:v>6.3069140389441944</c:v>
                </c:pt>
                <c:pt idx="169">
                  <c:v>6.3069140389441944</c:v>
                </c:pt>
                <c:pt idx="170">
                  <c:v>6.3069140389441944</c:v>
                </c:pt>
                <c:pt idx="171">
                  <c:v>6.3069140389441944</c:v>
                </c:pt>
                <c:pt idx="172">
                  <c:v>6.3069140389441944</c:v>
                </c:pt>
                <c:pt idx="173">
                  <c:v>6.3069140389441944</c:v>
                </c:pt>
                <c:pt idx="174">
                  <c:v>6.3069140389441944</c:v>
                </c:pt>
                <c:pt idx="175">
                  <c:v>6.3069140389441944</c:v>
                </c:pt>
                <c:pt idx="176">
                  <c:v>6.3069140389441998</c:v>
                </c:pt>
                <c:pt idx="177">
                  <c:v>6.3069140389441998</c:v>
                </c:pt>
                <c:pt idx="178">
                  <c:v>6.3069140389441944</c:v>
                </c:pt>
                <c:pt idx="179">
                  <c:v>6.3069140389441998</c:v>
                </c:pt>
                <c:pt idx="180">
                  <c:v>6.3069140389441998</c:v>
                </c:pt>
                <c:pt idx="181">
                  <c:v>6.3069140389441944</c:v>
                </c:pt>
                <c:pt idx="182">
                  <c:v>6.3069140389441944</c:v>
                </c:pt>
                <c:pt idx="183">
                  <c:v>6.3069140389441944</c:v>
                </c:pt>
                <c:pt idx="184">
                  <c:v>6.3069140389441944</c:v>
                </c:pt>
                <c:pt idx="185">
                  <c:v>6.3069140389441998</c:v>
                </c:pt>
                <c:pt idx="186">
                  <c:v>6.3069140389441944</c:v>
                </c:pt>
                <c:pt idx="187">
                  <c:v>6.3069140389441998</c:v>
                </c:pt>
                <c:pt idx="188">
                  <c:v>6.3069140389441944</c:v>
                </c:pt>
                <c:pt idx="189">
                  <c:v>6.3069140389441944</c:v>
                </c:pt>
                <c:pt idx="190">
                  <c:v>6.3069140389441944</c:v>
                </c:pt>
                <c:pt idx="191">
                  <c:v>6.3069140389441944</c:v>
                </c:pt>
                <c:pt idx="192">
                  <c:v>6.3069140389441944</c:v>
                </c:pt>
                <c:pt idx="193">
                  <c:v>6.3069140389441944</c:v>
                </c:pt>
                <c:pt idx="194">
                  <c:v>6.3069140389441998</c:v>
                </c:pt>
                <c:pt idx="195">
                  <c:v>6.3069140389441944</c:v>
                </c:pt>
                <c:pt idx="196">
                  <c:v>6.3069140389441944</c:v>
                </c:pt>
                <c:pt idx="197">
                  <c:v>6.3069140389441944</c:v>
                </c:pt>
                <c:pt idx="198">
                  <c:v>6.3069140389441944</c:v>
                </c:pt>
                <c:pt idx="199">
                  <c:v>6.3069140389441944</c:v>
                </c:pt>
                <c:pt idx="200">
                  <c:v>6.3069140389441944</c:v>
                </c:pt>
                <c:pt idx="201">
                  <c:v>6.3069140389441944</c:v>
                </c:pt>
                <c:pt idx="202">
                  <c:v>6.3069140389441944</c:v>
                </c:pt>
                <c:pt idx="203">
                  <c:v>6.3069140389441944</c:v>
                </c:pt>
                <c:pt idx="204">
                  <c:v>6.3069140389441944</c:v>
                </c:pt>
                <c:pt idx="205">
                  <c:v>6.3069140389441944</c:v>
                </c:pt>
                <c:pt idx="206">
                  <c:v>6.3069140389441998</c:v>
                </c:pt>
                <c:pt idx="207">
                  <c:v>6.3069140389441944</c:v>
                </c:pt>
                <c:pt idx="208">
                  <c:v>6.3069140389441944</c:v>
                </c:pt>
                <c:pt idx="209">
                  <c:v>6.3069140389441944</c:v>
                </c:pt>
                <c:pt idx="210">
                  <c:v>6.3069140389441944</c:v>
                </c:pt>
                <c:pt idx="211">
                  <c:v>6.3069140389441998</c:v>
                </c:pt>
                <c:pt idx="212">
                  <c:v>6.3069140389441944</c:v>
                </c:pt>
                <c:pt idx="213">
                  <c:v>6.3069140389441944</c:v>
                </c:pt>
                <c:pt idx="214">
                  <c:v>6.3069140389441998</c:v>
                </c:pt>
                <c:pt idx="215">
                  <c:v>6.3069140389441944</c:v>
                </c:pt>
                <c:pt idx="216">
                  <c:v>6.3069140389441944</c:v>
                </c:pt>
                <c:pt idx="217">
                  <c:v>6.3069140389441944</c:v>
                </c:pt>
                <c:pt idx="218">
                  <c:v>6.3069140389441944</c:v>
                </c:pt>
                <c:pt idx="219">
                  <c:v>6.3069140389441944</c:v>
                </c:pt>
                <c:pt idx="220">
                  <c:v>6.3069140389441998</c:v>
                </c:pt>
                <c:pt idx="221">
                  <c:v>6.3069140389441944</c:v>
                </c:pt>
                <c:pt idx="222">
                  <c:v>6.3069140389441944</c:v>
                </c:pt>
                <c:pt idx="223">
                  <c:v>6.3069140389441944</c:v>
                </c:pt>
                <c:pt idx="224">
                  <c:v>6.3069140389441998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708-4227-98FB-E0DA4BE86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47808"/>
        <c:axId val="1476235808"/>
      </c:scatterChart>
      <c:valAx>
        <c:axId val="1476275648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275168"/>
        <c:crosses val="autoZero"/>
        <c:crossBetween val="midCat"/>
      </c:valAx>
      <c:valAx>
        <c:axId val="14762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\ 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275648"/>
        <c:crosses val="autoZero"/>
        <c:crossBetween val="midCat"/>
      </c:valAx>
      <c:valAx>
        <c:axId val="1476235808"/>
        <c:scaling>
          <c:orientation val="minMax"/>
        </c:scaling>
        <c:delete val="0"/>
        <c:axPos val="r"/>
        <c:numFmt formatCode="#\ 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247808"/>
        <c:crosses val="max"/>
        <c:crossBetween val="midCat"/>
      </c:valAx>
      <c:valAx>
        <c:axId val="1476247808"/>
        <c:scaling>
          <c:orientation val="minMax"/>
          <c:max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623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Courant Vs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Electromagnet2!$R$5:$R$45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Electromagnet2!$S$5:$S$45</c:f>
              <c:numCache>
                <c:formatCode>#\ ##0.0000</c:formatCode>
                <c:ptCount val="4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86-45F2-B37D-717D09B7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7199"/>
        <c:axId val="146878719"/>
      </c:scatterChart>
      <c:valAx>
        <c:axId val="14686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78719"/>
        <c:crosses val="autoZero"/>
        <c:crossBetween val="midCat"/>
      </c:valAx>
      <c:valAx>
        <c:axId val="14687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\ 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86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1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5" Type="http://schemas.openxmlformats.org/officeDocument/2006/relationships/chart" Target="../charts/chart2.xml"/><Relationship Id="rId4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114301</xdr:colOff>
      <xdr:row>15</xdr:row>
      <xdr:rowOff>142875</xdr:rowOff>
    </xdr:from>
    <xdr:to>
      <xdr:col>14</xdr:col>
      <xdr:colOff>190501</xdr:colOff>
      <xdr:row>38</xdr:row>
      <xdr:rowOff>166139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66551D7-8E07-4EA0-BF8B-85273F60F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53576" y="3067050"/>
          <a:ext cx="5410200" cy="44047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609600</xdr:colOff>
      <xdr:row>27</xdr:row>
      <xdr:rowOff>95250</xdr:rowOff>
    </xdr:from>
    <xdr:to>
      <xdr:col>7</xdr:col>
      <xdr:colOff>895989</xdr:colOff>
      <xdr:row>43</xdr:row>
      <xdr:rowOff>48044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71950" y="5343525"/>
          <a:ext cx="4582164" cy="3000794"/>
        </a:xfrm>
        <a:prstGeom prst="rect">
          <a:avLst/>
        </a:prstGeom>
      </xdr:spPr>
    </xdr:pic>
    <xdr:clientData/>
  </xdr:twoCellAnchor>
  <xdr:oneCellAnchor>
    <xdr:from>
      <xdr:col>7</xdr:col>
      <xdr:colOff>1152526</xdr:colOff>
      <xdr:row>31</xdr:row>
      <xdr:rowOff>28575</xdr:rowOff>
    </xdr:from>
    <xdr:ext cx="2000250" cy="1781175"/>
    <xdr:pic>
      <xdr:nvPicPr>
        <xdr:cNvPr id="6" name="image18.png" title="Imagen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0651" y="6019800"/>
          <a:ext cx="2000250" cy="17811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9</xdr:col>
      <xdr:colOff>66675</xdr:colOff>
      <xdr:row>7</xdr:row>
      <xdr:rowOff>142875</xdr:rowOff>
    </xdr:from>
    <xdr:to>
      <xdr:col>13</xdr:col>
      <xdr:colOff>752996</xdr:colOff>
      <xdr:row>22</xdr:row>
      <xdr:rowOff>57150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35162"/>
        <a:stretch>
          <a:fillRect/>
        </a:stretch>
      </xdr:blipFill>
      <xdr:spPr>
        <a:xfrm>
          <a:off x="11906250" y="1495425"/>
          <a:ext cx="3734321" cy="2828925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628650</xdr:colOff>
      <xdr:row>3</xdr:row>
      <xdr:rowOff>76200</xdr:rowOff>
    </xdr:from>
    <xdr:to>
      <xdr:col>12</xdr:col>
      <xdr:colOff>85862</xdr:colOff>
      <xdr:row>5</xdr:row>
      <xdr:rowOff>85781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0225" y="657225"/>
          <a:ext cx="981212" cy="400106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657225</xdr:colOff>
      <xdr:row>5</xdr:row>
      <xdr:rowOff>142875</xdr:rowOff>
    </xdr:from>
    <xdr:to>
      <xdr:col>12</xdr:col>
      <xdr:colOff>76332</xdr:colOff>
      <xdr:row>7</xdr:row>
      <xdr:rowOff>47665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58800" y="1114425"/>
          <a:ext cx="943107" cy="28579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14</xdr:row>
      <xdr:rowOff>166686</xdr:rowOff>
    </xdr:from>
    <xdr:to>
      <xdr:col>16</xdr:col>
      <xdr:colOff>28575</xdr:colOff>
      <xdr:row>41</xdr:row>
      <xdr:rowOff>152399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244931</xdr:colOff>
      <xdr:row>17</xdr:row>
      <xdr:rowOff>13607</xdr:rowOff>
    </xdr:from>
    <xdr:to>
      <xdr:col>27</xdr:col>
      <xdr:colOff>204108</xdr:colOff>
      <xdr:row>44</xdr:row>
      <xdr:rowOff>40821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659945</xdr:colOff>
      <xdr:row>8</xdr:row>
      <xdr:rowOff>85725</xdr:rowOff>
    </xdr:from>
    <xdr:to>
      <xdr:col>5</xdr:col>
      <xdr:colOff>706045</xdr:colOff>
      <xdr:row>30</xdr:row>
      <xdr:rowOff>67513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945" y="1638300"/>
          <a:ext cx="5961125" cy="417278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1120</xdr:colOff>
      <xdr:row>1</xdr:row>
      <xdr:rowOff>182096</xdr:rowOff>
    </xdr:from>
    <xdr:to>
      <xdr:col>22</xdr:col>
      <xdr:colOff>192604</xdr:colOff>
      <xdr:row>41</xdr:row>
      <xdr:rowOff>106949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7120" y="372596"/>
          <a:ext cx="7049484" cy="7544853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723900</xdr:colOff>
      <xdr:row>1</xdr:row>
      <xdr:rowOff>57150</xdr:rowOff>
    </xdr:from>
    <xdr:to>
      <xdr:col>8</xdr:col>
      <xdr:colOff>694765</xdr:colOff>
      <xdr:row>27</xdr:row>
      <xdr:rowOff>43544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247650"/>
          <a:ext cx="6066865" cy="493939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27</xdr:row>
      <xdr:rowOff>179294</xdr:rowOff>
    </xdr:from>
    <xdr:to>
      <xdr:col>9</xdr:col>
      <xdr:colOff>372431</xdr:colOff>
      <xdr:row>55</xdr:row>
      <xdr:rowOff>141933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5322794"/>
          <a:ext cx="6849431" cy="5296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21</xdr:row>
      <xdr:rowOff>76200</xdr:rowOff>
    </xdr:from>
    <xdr:to>
      <xdr:col>8</xdr:col>
      <xdr:colOff>591760</xdr:colOff>
      <xdr:row>54</xdr:row>
      <xdr:rowOff>58025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4076700"/>
          <a:ext cx="8668960" cy="6268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370230</xdr:colOff>
      <xdr:row>45</xdr:row>
      <xdr:rowOff>367035</xdr:rowOff>
    </xdr:from>
    <xdr:to>
      <xdr:col>13</xdr:col>
      <xdr:colOff>32775</xdr:colOff>
      <xdr:row>54</xdr:row>
      <xdr:rowOff>57211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230" y="17329818"/>
          <a:ext cx="3091545" cy="3119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727278</xdr:colOff>
      <xdr:row>45</xdr:row>
      <xdr:rowOff>295133</xdr:rowOff>
    </xdr:from>
    <xdr:to>
      <xdr:col>20</xdr:col>
      <xdr:colOff>11756</xdr:colOff>
      <xdr:row>53</xdr:row>
      <xdr:rowOff>367393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278" y="17263240"/>
          <a:ext cx="3094478" cy="3120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6</xdr:row>
      <xdr:rowOff>138112</xdr:rowOff>
    </xdr:from>
    <xdr:to>
      <xdr:col>11</xdr:col>
      <xdr:colOff>171449</xdr:colOff>
      <xdr:row>20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233642</xdr:colOff>
      <xdr:row>8</xdr:row>
      <xdr:rowOff>140073</xdr:rowOff>
    </xdr:from>
    <xdr:to>
      <xdr:col>17</xdr:col>
      <xdr:colOff>952499</xdr:colOff>
      <xdr:row>10</xdr:row>
      <xdr:rowOff>149598</xdr:rowOff>
    </xdr:to>
    <xdr:sp macro="" textlink="">
      <xdr:nvSpPr>
        <xdr:cNvPr id="2" name="Flecha: en U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 flipH="1">
          <a:off x="7737661" y="36811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212909</xdr:colOff>
      <xdr:row>18</xdr:row>
      <xdr:rowOff>235324</xdr:rowOff>
    </xdr:from>
    <xdr:to>
      <xdr:col>17</xdr:col>
      <xdr:colOff>974910</xdr:colOff>
      <xdr:row>20</xdr:row>
      <xdr:rowOff>257736</xdr:rowOff>
    </xdr:to>
    <xdr:sp macro="" textlink="">
      <xdr:nvSpPr>
        <xdr:cNvPr id="5" name="Flecha: en U 8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 rot="16200000" flipH="1" flipV="1">
          <a:off x="7732057" y="425823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33615</xdr:colOff>
      <xdr:row>13</xdr:row>
      <xdr:rowOff>369793</xdr:rowOff>
    </xdr:from>
    <xdr:to>
      <xdr:col>10</xdr:col>
      <xdr:colOff>348155</xdr:colOff>
      <xdr:row>15</xdr:row>
      <xdr:rowOff>11205</xdr:rowOff>
    </xdr:to>
    <xdr:sp macro="" textlink="">
      <xdr:nvSpPr>
        <xdr:cNvPr id="6" name="Flecha: hacia la izquierda 49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 rot="10800000">
          <a:off x="2700615" y="2852862"/>
          <a:ext cx="1457540" cy="40341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233642</xdr:colOff>
      <xdr:row>24</xdr:row>
      <xdr:rowOff>140073</xdr:rowOff>
    </xdr:from>
    <xdr:to>
      <xdr:col>17</xdr:col>
      <xdr:colOff>952499</xdr:colOff>
      <xdr:row>26</xdr:row>
      <xdr:rowOff>149598</xdr:rowOff>
    </xdr:to>
    <xdr:sp macro="" textlink="">
      <xdr:nvSpPr>
        <xdr:cNvPr id="7" name="Flecha: en U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 rot="5400000" flipH="1">
          <a:off x="8494058" y="77872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326572</xdr:colOff>
      <xdr:row>28</xdr:row>
      <xdr:rowOff>27214</xdr:rowOff>
    </xdr:from>
    <xdr:to>
      <xdr:col>7</xdr:col>
      <xdr:colOff>27214</xdr:colOff>
      <xdr:row>31</xdr:row>
      <xdr:rowOff>353786</xdr:rowOff>
    </xdr:to>
    <xdr:sp macro="" textlink="">
      <xdr:nvSpPr>
        <xdr:cNvPr id="10" name="Flecha: hacia la izquierda 50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 rot="5400000">
          <a:off x="2490107" y="8232322"/>
          <a:ext cx="1469572" cy="4626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217714</xdr:colOff>
      <xdr:row>34</xdr:row>
      <xdr:rowOff>163286</xdr:rowOff>
    </xdr:from>
    <xdr:to>
      <xdr:col>17</xdr:col>
      <xdr:colOff>936571</xdr:colOff>
      <xdr:row>36</xdr:row>
      <xdr:rowOff>172811</xdr:rowOff>
    </xdr:to>
    <xdr:sp macro="" textlink="">
      <xdr:nvSpPr>
        <xdr:cNvPr id="12" name="Flecha: en U 7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 rot="5400000" flipH="1">
          <a:off x="8478130" y="10177263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233642</xdr:colOff>
      <xdr:row>40</xdr:row>
      <xdr:rowOff>140073</xdr:rowOff>
    </xdr:from>
    <xdr:to>
      <xdr:col>17</xdr:col>
      <xdr:colOff>952499</xdr:colOff>
      <xdr:row>42</xdr:row>
      <xdr:rowOff>149598</xdr:rowOff>
    </xdr:to>
    <xdr:sp macro="" textlink="">
      <xdr:nvSpPr>
        <xdr:cNvPr id="13" name="Flecha: en U 7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 rot="5400000" flipH="1">
          <a:off x="8494058" y="6344050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190499</xdr:colOff>
      <xdr:row>50</xdr:row>
      <xdr:rowOff>176892</xdr:rowOff>
    </xdr:from>
    <xdr:to>
      <xdr:col>17</xdr:col>
      <xdr:colOff>993320</xdr:colOff>
      <xdr:row>52</xdr:row>
      <xdr:rowOff>190499</xdr:rowOff>
    </xdr:to>
    <xdr:sp macro="" textlink="">
      <xdr:nvSpPr>
        <xdr:cNvPr id="16" name="Símbolo &quot;No permitido&quot; 3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477249" y="15729856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94278</xdr:colOff>
      <xdr:row>43</xdr:row>
      <xdr:rowOff>81733</xdr:rowOff>
    </xdr:from>
    <xdr:to>
      <xdr:col>9</xdr:col>
      <xdr:colOff>295517</xdr:colOff>
      <xdr:row>48</xdr:row>
      <xdr:rowOff>292466</xdr:rowOff>
    </xdr:to>
    <xdr:sp macro="" textlink="">
      <xdr:nvSpPr>
        <xdr:cNvPr id="17" name="Flecha: hacia la izquierda 2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 rot="8071364">
          <a:off x="3137531" y="13734444"/>
          <a:ext cx="2115733" cy="582239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17</xdr:col>
      <xdr:colOff>207508</xdr:colOff>
      <xdr:row>56</xdr:row>
      <xdr:rowOff>159884</xdr:rowOff>
    </xdr:from>
    <xdr:to>
      <xdr:col>17</xdr:col>
      <xdr:colOff>1010329</xdr:colOff>
      <xdr:row>58</xdr:row>
      <xdr:rowOff>173491</xdr:rowOff>
    </xdr:to>
    <xdr:sp macro="" textlink="">
      <xdr:nvSpPr>
        <xdr:cNvPr id="19" name="Símbolo &quot;No permitido&quot; 3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494258" y="17468170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231322</xdr:colOff>
      <xdr:row>66</xdr:row>
      <xdr:rowOff>163287</xdr:rowOff>
    </xdr:from>
    <xdr:to>
      <xdr:col>17</xdr:col>
      <xdr:colOff>993323</xdr:colOff>
      <xdr:row>68</xdr:row>
      <xdr:rowOff>185699</xdr:rowOff>
    </xdr:to>
    <xdr:sp macro="" textlink="">
      <xdr:nvSpPr>
        <xdr:cNvPr id="21" name="Flecha: en U 8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 rot="16200000" flipH="1" flipV="1">
          <a:off x="8506867" y="21292778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123910</xdr:colOff>
      <xdr:row>59</xdr:row>
      <xdr:rowOff>65835</xdr:rowOff>
    </xdr:from>
    <xdr:to>
      <xdr:col>9</xdr:col>
      <xdr:colOff>297182</xdr:colOff>
      <xdr:row>64</xdr:row>
      <xdr:rowOff>291476</xdr:rowOff>
    </xdr:to>
    <xdr:sp macro="" textlink="">
      <xdr:nvSpPr>
        <xdr:cNvPr id="22" name="Flecha: hacia la izquierda 30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 rot="13552678">
          <a:off x="3145725" y="19305306"/>
          <a:ext cx="2130641" cy="55427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289671</xdr:colOff>
      <xdr:row>18</xdr:row>
      <xdr:rowOff>162485</xdr:rowOff>
    </xdr:from>
    <xdr:to>
      <xdr:col>35</xdr:col>
      <xdr:colOff>1008528</xdr:colOff>
      <xdr:row>20</xdr:row>
      <xdr:rowOff>172010</xdr:rowOff>
    </xdr:to>
    <xdr:sp macro="" textlink="">
      <xdr:nvSpPr>
        <xdr:cNvPr id="23" name="Flecha: en U 7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 rot="5400000" flipH="1">
          <a:off x="17744513" y="4603937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268938</xdr:colOff>
      <xdr:row>8</xdr:row>
      <xdr:rowOff>224119</xdr:rowOff>
    </xdr:from>
    <xdr:to>
      <xdr:col>35</xdr:col>
      <xdr:colOff>1030939</xdr:colOff>
      <xdr:row>10</xdr:row>
      <xdr:rowOff>246531</xdr:rowOff>
    </xdr:to>
    <xdr:sp macro="" textlink="">
      <xdr:nvSpPr>
        <xdr:cNvPr id="24" name="Flecha: en U 8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 rot="16200000" flipH="1" flipV="1">
          <a:off x="17738909" y="840442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190499</xdr:colOff>
      <xdr:row>50</xdr:row>
      <xdr:rowOff>176892</xdr:rowOff>
    </xdr:from>
    <xdr:to>
      <xdr:col>35</xdr:col>
      <xdr:colOff>993320</xdr:colOff>
      <xdr:row>52</xdr:row>
      <xdr:rowOff>190499</xdr:rowOff>
    </xdr:to>
    <xdr:sp macro="" textlink="">
      <xdr:nvSpPr>
        <xdr:cNvPr id="30" name="Símbolo &quot;No permitido&quot; 3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477249" y="15693117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207508</xdr:colOff>
      <xdr:row>56</xdr:row>
      <xdr:rowOff>159884</xdr:rowOff>
    </xdr:from>
    <xdr:to>
      <xdr:col>35</xdr:col>
      <xdr:colOff>1010329</xdr:colOff>
      <xdr:row>58</xdr:row>
      <xdr:rowOff>173491</xdr:rowOff>
    </xdr:to>
    <xdr:sp macro="" textlink="">
      <xdr:nvSpPr>
        <xdr:cNvPr id="32" name="Símbolo &quot;No permitido&quot; 39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494258" y="17419184"/>
          <a:ext cx="802821" cy="775607"/>
        </a:xfrm>
        <a:prstGeom prst="noSmoking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22411</xdr:colOff>
      <xdr:row>13</xdr:row>
      <xdr:rowOff>380999</xdr:rowOff>
    </xdr:from>
    <xdr:to>
      <xdr:col>28</xdr:col>
      <xdr:colOff>347382</xdr:colOff>
      <xdr:row>15</xdr:row>
      <xdr:rowOff>11205</xdr:rowOff>
    </xdr:to>
    <xdr:sp macro="" textlink="">
      <xdr:nvSpPr>
        <xdr:cNvPr id="36" name="Flecha: hacia la izquierda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12931587" y="2891117"/>
          <a:ext cx="1467971" cy="392206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257735</xdr:colOff>
      <xdr:row>24</xdr:row>
      <xdr:rowOff>212913</xdr:rowOff>
    </xdr:from>
    <xdr:to>
      <xdr:col>35</xdr:col>
      <xdr:colOff>1019736</xdr:colOff>
      <xdr:row>26</xdr:row>
      <xdr:rowOff>235325</xdr:rowOff>
    </xdr:to>
    <xdr:sp macro="" textlink="">
      <xdr:nvSpPr>
        <xdr:cNvPr id="37" name="Flecha: en U 8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 rot="16200000" flipH="1" flipV="1">
          <a:off x="17727706" y="6387353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246529</xdr:colOff>
      <xdr:row>34</xdr:row>
      <xdr:rowOff>235325</xdr:rowOff>
    </xdr:from>
    <xdr:to>
      <xdr:col>35</xdr:col>
      <xdr:colOff>1008530</xdr:colOff>
      <xdr:row>36</xdr:row>
      <xdr:rowOff>257737</xdr:rowOff>
    </xdr:to>
    <xdr:sp macro="" textlink="">
      <xdr:nvSpPr>
        <xdr:cNvPr id="38" name="Flecha: en U 8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 rot="16200000" flipH="1" flipV="1">
          <a:off x="17716500" y="10219765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</xdr:colOff>
      <xdr:row>28</xdr:row>
      <xdr:rowOff>33617</xdr:rowOff>
    </xdr:from>
    <xdr:to>
      <xdr:col>29</xdr:col>
      <xdr:colOff>371746</xdr:colOff>
      <xdr:row>31</xdr:row>
      <xdr:rowOff>380999</xdr:rowOff>
    </xdr:to>
    <xdr:sp macro="" textlink="">
      <xdr:nvSpPr>
        <xdr:cNvPr id="39" name="Flecha: hacia la izquierda 51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 rot="16200000">
          <a:off x="13873860" y="8280172"/>
          <a:ext cx="1490382" cy="371742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268941</xdr:colOff>
      <xdr:row>40</xdr:row>
      <xdr:rowOff>257736</xdr:rowOff>
    </xdr:from>
    <xdr:to>
      <xdr:col>35</xdr:col>
      <xdr:colOff>1030942</xdr:colOff>
      <xdr:row>42</xdr:row>
      <xdr:rowOff>280148</xdr:rowOff>
    </xdr:to>
    <xdr:sp macro="" textlink="">
      <xdr:nvSpPr>
        <xdr:cNvPr id="40" name="Flecha: en U 8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 rot="16200000" flipH="1" flipV="1">
          <a:off x="17738912" y="11990294"/>
          <a:ext cx="784412" cy="762001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135212</xdr:colOff>
      <xdr:row>43</xdr:row>
      <xdr:rowOff>84027</xdr:rowOff>
    </xdr:from>
    <xdr:to>
      <xdr:col>27</xdr:col>
      <xdr:colOff>246200</xdr:colOff>
      <xdr:row>48</xdr:row>
      <xdr:rowOff>294637</xdr:rowOff>
    </xdr:to>
    <xdr:sp macro="" textlink="">
      <xdr:nvSpPr>
        <xdr:cNvPr id="41" name="Flecha: hacia la izquierda 29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 rot="18864782">
          <a:off x="12613577" y="13760191"/>
          <a:ext cx="2115610" cy="491988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35</xdr:col>
      <xdr:colOff>291353</xdr:colOff>
      <xdr:row>66</xdr:row>
      <xdr:rowOff>156883</xdr:rowOff>
    </xdr:from>
    <xdr:to>
      <xdr:col>35</xdr:col>
      <xdr:colOff>1010210</xdr:colOff>
      <xdr:row>68</xdr:row>
      <xdr:rowOff>166408</xdr:rowOff>
    </xdr:to>
    <xdr:sp macro="" textlink="">
      <xdr:nvSpPr>
        <xdr:cNvPr id="42" name="Flecha: en U 7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 rot="5400000" flipH="1">
          <a:off x="17746195" y="21272688"/>
          <a:ext cx="771525" cy="718857"/>
        </a:xfrm>
        <a:prstGeom prst="uturnArrow">
          <a:avLst/>
        </a:prstGeom>
        <a:gradFill flip="none" rotWithShape="1">
          <a:gsLst>
            <a:gs pos="0">
              <a:schemeClr val="accent6">
                <a:lumMod val="67000"/>
              </a:schemeClr>
            </a:gs>
            <a:gs pos="48000">
              <a:schemeClr val="accent6">
                <a:lumMod val="97000"/>
                <a:lumOff val="3000"/>
              </a:schemeClr>
            </a:gs>
            <a:gs pos="100000">
              <a:schemeClr val="accent6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300816</xdr:colOff>
      <xdr:row>60</xdr:row>
      <xdr:rowOff>132337</xdr:rowOff>
    </xdr:from>
    <xdr:to>
      <xdr:col>29</xdr:col>
      <xdr:colOff>16529</xdr:colOff>
      <xdr:row>61</xdr:row>
      <xdr:rowOff>260578</xdr:rowOff>
    </xdr:to>
    <xdr:sp macro="" textlink="">
      <xdr:nvSpPr>
        <xdr:cNvPr id="43" name="Flecha: hacia la izquierda 31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 rot="1714486">
          <a:off x="12828992" y="18935808"/>
          <a:ext cx="1620713" cy="509241"/>
        </a:xfrm>
        <a:prstGeom prst="leftArrow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22412</xdr:colOff>
      <xdr:row>66</xdr:row>
      <xdr:rowOff>-1</xdr:rowOff>
    </xdr:from>
    <xdr:to>
      <xdr:col>30</xdr:col>
      <xdr:colOff>369795</xdr:colOff>
      <xdr:row>67</xdr:row>
      <xdr:rowOff>11204</xdr:rowOff>
    </xdr:to>
    <xdr:sp macro="" textlink="">
      <xdr:nvSpPr>
        <xdr:cNvPr id="44" name="Elipse 19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14836588" y="21089470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66</xdr:row>
      <xdr:rowOff>0</xdr:rowOff>
    </xdr:from>
    <xdr:to>
      <xdr:col>23</xdr:col>
      <xdr:colOff>347383</xdr:colOff>
      <xdr:row>67</xdr:row>
      <xdr:rowOff>11205</xdr:rowOff>
    </xdr:to>
    <xdr:sp macro="" textlink="">
      <xdr:nvSpPr>
        <xdr:cNvPr id="45" name="Elipse 19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12147176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65</xdr:row>
      <xdr:rowOff>0</xdr:rowOff>
    </xdr:from>
    <xdr:to>
      <xdr:col>22</xdr:col>
      <xdr:colOff>347383</xdr:colOff>
      <xdr:row>66</xdr:row>
      <xdr:rowOff>11205</xdr:rowOff>
    </xdr:to>
    <xdr:sp macro="" textlink="">
      <xdr:nvSpPr>
        <xdr:cNvPr id="46" name="Elipse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11766176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58</xdr:row>
      <xdr:rowOff>0</xdr:rowOff>
    </xdr:from>
    <xdr:to>
      <xdr:col>22</xdr:col>
      <xdr:colOff>347383</xdr:colOff>
      <xdr:row>59</xdr:row>
      <xdr:rowOff>11205</xdr:rowOff>
    </xdr:to>
    <xdr:sp macro="" textlink="">
      <xdr:nvSpPr>
        <xdr:cNvPr id="47" name="Elipse 19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11766176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50</xdr:row>
      <xdr:rowOff>0</xdr:rowOff>
    </xdr:from>
    <xdr:to>
      <xdr:col>30</xdr:col>
      <xdr:colOff>347383</xdr:colOff>
      <xdr:row>51</xdr:row>
      <xdr:rowOff>11205</xdr:rowOff>
    </xdr:to>
    <xdr:sp macro="" textlink="">
      <xdr:nvSpPr>
        <xdr:cNvPr id="48" name="Elipse 19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14814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50</xdr:row>
      <xdr:rowOff>0</xdr:rowOff>
    </xdr:from>
    <xdr:to>
      <xdr:col>23</xdr:col>
      <xdr:colOff>347383</xdr:colOff>
      <xdr:row>51</xdr:row>
      <xdr:rowOff>11205</xdr:rowOff>
    </xdr:to>
    <xdr:sp macro="" textlink="">
      <xdr:nvSpPr>
        <xdr:cNvPr id="49" name="Elipse 19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12147176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22</xdr:col>
      <xdr:colOff>347383</xdr:colOff>
      <xdr:row>50</xdr:row>
      <xdr:rowOff>11205</xdr:rowOff>
    </xdr:to>
    <xdr:sp macro="" textlink="">
      <xdr:nvSpPr>
        <xdr:cNvPr id="50" name="Elipse 1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11766176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42</xdr:row>
      <xdr:rowOff>0</xdr:rowOff>
    </xdr:from>
    <xdr:to>
      <xdr:col>22</xdr:col>
      <xdr:colOff>347383</xdr:colOff>
      <xdr:row>43</xdr:row>
      <xdr:rowOff>11205</xdr:rowOff>
    </xdr:to>
    <xdr:sp macro="" textlink="">
      <xdr:nvSpPr>
        <xdr:cNvPr id="51" name="Elipse 19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1766176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347383</xdr:colOff>
      <xdr:row>34</xdr:row>
      <xdr:rowOff>11205</xdr:rowOff>
    </xdr:to>
    <xdr:sp macro="" textlink="">
      <xdr:nvSpPr>
        <xdr:cNvPr id="52" name="Elipse 19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1766176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22</xdr:col>
      <xdr:colOff>0</xdr:colOff>
      <xdr:row>26</xdr:row>
      <xdr:rowOff>0</xdr:rowOff>
    </xdr:from>
    <xdr:to>
      <xdr:col>22</xdr:col>
      <xdr:colOff>347383</xdr:colOff>
      <xdr:row>27</xdr:row>
      <xdr:rowOff>11205</xdr:rowOff>
    </xdr:to>
    <xdr:sp macro="" textlink="">
      <xdr:nvSpPr>
        <xdr:cNvPr id="53" name="Elipse 19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1766176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23</xdr:col>
      <xdr:colOff>0</xdr:colOff>
      <xdr:row>18</xdr:row>
      <xdr:rowOff>0</xdr:rowOff>
    </xdr:from>
    <xdr:to>
      <xdr:col>23</xdr:col>
      <xdr:colOff>347383</xdr:colOff>
      <xdr:row>19</xdr:row>
      <xdr:rowOff>11205</xdr:rowOff>
    </xdr:to>
    <xdr:sp macro="" textlink="">
      <xdr:nvSpPr>
        <xdr:cNvPr id="54" name="Elipse 19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147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30</xdr:col>
      <xdr:colOff>0</xdr:colOff>
      <xdr:row>18</xdr:row>
      <xdr:rowOff>0</xdr:rowOff>
    </xdr:from>
    <xdr:to>
      <xdr:col>30</xdr:col>
      <xdr:colOff>347383</xdr:colOff>
      <xdr:row>19</xdr:row>
      <xdr:rowOff>11205</xdr:rowOff>
    </xdr:to>
    <xdr:sp macro="" textlink="">
      <xdr:nvSpPr>
        <xdr:cNvPr id="55" name="Elipse 19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4814176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18</xdr:row>
      <xdr:rowOff>0</xdr:rowOff>
    </xdr:from>
    <xdr:to>
      <xdr:col>12</xdr:col>
      <xdr:colOff>347383</xdr:colOff>
      <xdr:row>19</xdr:row>
      <xdr:rowOff>11205</xdr:rowOff>
    </xdr:to>
    <xdr:sp macro="" textlink="">
      <xdr:nvSpPr>
        <xdr:cNvPr id="56" name="Elipse 1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5334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18</xdr:row>
      <xdr:rowOff>0</xdr:rowOff>
    </xdr:from>
    <xdr:to>
      <xdr:col>5</xdr:col>
      <xdr:colOff>347383</xdr:colOff>
      <xdr:row>19</xdr:row>
      <xdr:rowOff>11205</xdr:rowOff>
    </xdr:to>
    <xdr:sp macro="" textlink="">
      <xdr:nvSpPr>
        <xdr:cNvPr id="57" name="Elipse 19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2667000" y="4415118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347383</xdr:colOff>
      <xdr:row>34</xdr:row>
      <xdr:rowOff>11205</xdr:rowOff>
    </xdr:to>
    <xdr:sp macro="" textlink="">
      <xdr:nvSpPr>
        <xdr:cNvPr id="58" name="Elipse 19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2286000" y="9592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26</xdr:row>
      <xdr:rowOff>0</xdr:rowOff>
    </xdr:from>
    <xdr:to>
      <xdr:col>4</xdr:col>
      <xdr:colOff>347383</xdr:colOff>
      <xdr:row>27</xdr:row>
      <xdr:rowOff>11205</xdr:rowOff>
    </xdr:to>
    <xdr:sp macro="" textlink="">
      <xdr:nvSpPr>
        <xdr:cNvPr id="59" name="Elipse 19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/>
      </xdr:nvSpPr>
      <xdr:spPr>
        <a:xfrm>
          <a:off x="2286000" y="6925235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347383</xdr:colOff>
      <xdr:row>51</xdr:row>
      <xdr:rowOff>11205</xdr:rowOff>
    </xdr:to>
    <xdr:sp macro="" textlink="">
      <xdr:nvSpPr>
        <xdr:cNvPr id="60" name="Elipse 1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/>
      </xdr:nvSpPr>
      <xdr:spPr>
        <a:xfrm>
          <a:off x="2667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50</xdr:row>
      <xdr:rowOff>0</xdr:rowOff>
    </xdr:from>
    <xdr:to>
      <xdr:col>12</xdr:col>
      <xdr:colOff>347383</xdr:colOff>
      <xdr:row>51</xdr:row>
      <xdr:rowOff>11205</xdr:rowOff>
    </xdr:to>
    <xdr:sp macro="" textlink="">
      <xdr:nvSpPr>
        <xdr:cNvPr id="61" name="Elipse 19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5334000" y="15531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49</xdr:row>
      <xdr:rowOff>0</xdr:rowOff>
    </xdr:from>
    <xdr:to>
      <xdr:col>4</xdr:col>
      <xdr:colOff>347383</xdr:colOff>
      <xdr:row>50</xdr:row>
      <xdr:rowOff>11205</xdr:rowOff>
    </xdr:to>
    <xdr:sp macro="" textlink="">
      <xdr:nvSpPr>
        <xdr:cNvPr id="62" name="Elipse 19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286000" y="15150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4</xdr:col>
      <xdr:colOff>347383</xdr:colOff>
      <xdr:row>43</xdr:row>
      <xdr:rowOff>11205</xdr:rowOff>
    </xdr:to>
    <xdr:sp macro="" textlink="">
      <xdr:nvSpPr>
        <xdr:cNvPr id="63" name="Elipse 19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286000" y="12483353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58</xdr:row>
      <xdr:rowOff>0</xdr:rowOff>
    </xdr:from>
    <xdr:to>
      <xdr:col>4</xdr:col>
      <xdr:colOff>347383</xdr:colOff>
      <xdr:row>59</xdr:row>
      <xdr:rowOff>11205</xdr:rowOff>
    </xdr:to>
    <xdr:sp macro="" textlink="">
      <xdr:nvSpPr>
        <xdr:cNvPr id="64" name="Elipse 19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/>
      </xdr:nvSpPr>
      <xdr:spPr>
        <a:xfrm>
          <a:off x="2286000" y="18041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4</xdr:col>
      <xdr:colOff>0</xdr:colOff>
      <xdr:row>65</xdr:row>
      <xdr:rowOff>0</xdr:rowOff>
    </xdr:from>
    <xdr:to>
      <xdr:col>4</xdr:col>
      <xdr:colOff>347383</xdr:colOff>
      <xdr:row>66</xdr:row>
      <xdr:rowOff>11205</xdr:rowOff>
    </xdr:to>
    <xdr:sp macro="" textlink="">
      <xdr:nvSpPr>
        <xdr:cNvPr id="65" name="Elipse 19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/>
      </xdr:nvSpPr>
      <xdr:spPr>
        <a:xfrm>
          <a:off x="2286000" y="20708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5</xdr:col>
      <xdr:colOff>0</xdr:colOff>
      <xdr:row>66</xdr:row>
      <xdr:rowOff>0</xdr:rowOff>
    </xdr:from>
    <xdr:to>
      <xdr:col>5</xdr:col>
      <xdr:colOff>347383</xdr:colOff>
      <xdr:row>67</xdr:row>
      <xdr:rowOff>11205</xdr:rowOff>
    </xdr:to>
    <xdr:sp macro="" textlink="">
      <xdr:nvSpPr>
        <xdr:cNvPr id="66" name="Elipse 19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2667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xdr:twoCellAnchor>
    <xdr:from>
      <xdr:col>12</xdr:col>
      <xdr:colOff>0</xdr:colOff>
      <xdr:row>66</xdr:row>
      <xdr:rowOff>0</xdr:rowOff>
    </xdr:from>
    <xdr:to>
      <xdr:col>12</xdr:col>
      <xdr:colOff>347383</xdr:colOff>
      <xdr:row>67</xdr:row>
      <xdr:rowOff>11205</xdr:rowOff>
    </xdr:to>
    <xdr:sp macro="" textlink="">
      <xdr:nvSpPr>
        <xdr:cNvPr id="67" name="Elipse 19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/>
      </xdr:nvSpPr>
      <xdr:spPr>
        <a:xfrm>
          <a:off x="5334000" y="21089471"/>
          <a:ext cx="347383" cy="392205"/>
        </a:xfrm>
        <a:prstGeom prst="ellipse">
          <a:avLst/>
        </a:prstGeom>
        <a:solidFill>
          <a:srgbClr val="E71224">
            <a:alpha val="5000"/>
          </a:srgbClr>
        </a:solidFill>
        <a:ln w="18000">
          <a:solidFill>
            <a:srgbClr val="E7122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E71224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95250</xdr:colOff>
          <xdr:row>15</xdr:row>
          <xdr:rowOff>228600</xdr:rowOff>
        </xdr:from>
        <xdr:to>
          <xdr:col>54</xdr:col>
          <xdr:colOff>476250</xdr:colOff>
          <xdr:row>52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4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0</xdr:row>
      <xdr:rowOff>47625</xdr:rowOff>
    </xdr:from>
    <xdr:ext cx="4172532" cy="1732430"/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" y="47625"/>
          <a:ext cx="4172532" cy="1732430"/>
        </a:xfrm>
        <a:prstGeom prst="rect">
          <a:avLst/>
        </a:prstGeom>
      </xdr:spPr>
    </xdr:pic>
    <xdr:clientData/>
  </xdr:oneCellAnchor>
  <xdr:twoCellAnchor editAs="oneCell">
    <xdr:from>
      <xdr:col>10</xdr:col>
      <xdr:colOff>304800</xdr:colOff>
      <xdr:row>0</xdr:row>
      <xdr:rowOff>9525</xdr:rowOff>
    </xdr:from>
    <xdr:to>
      <xdr:col>14</xdr:col>
      <xdr:colOff>334185</xdr:colOff>
      <xdr:row>9</xdr:row>
      <xdr:rowOff>185495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0" y="9525"/>
          <a:ext cx="3077385" cy="1899995"/>
        </a:xfrm>
        <a:prstGeom prst="rect">
          <a:avLst/>
        </a:prstGeom>
      </xdr:spPr>
    </xdr:pic>
    <xdr:clientData/>
  </xdr:twoCellAnchor>
  <xdr:twoCellAnchor editAs="oneCell">
    <xdr:from>
      <xdr:col>14</xdr:col>
      <xdr:colOff>323851</xdr:colOff>
      <xdr:row>1</xdr:row>
      <xdr:rowOff>180975</xdr:rowOff>
    </xdr:from>
    <xdr:to>
      <xdr:col>18</xdr:col>
      <xdr:colOff>666751</xdr:colOff>
      <xdr:row>9</xdr:row>
      <xdr:rowOff>123310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77551" y="381000"/>
          <a:ext cx="3390900" cy="146633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152400</xdr:colOff>
      <xdr:row>17</xdr:row>
      <xdr:rowOff>47625</xdr:rowOff>
    </xdr:from>
    <xdr:to>
      <xdr:col>16</xdr:col>
      <xdr:colOff>305353</xdr:colOff>
      <xdr:row>21</xdr:row>
      <xdr:rowOff>57260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20100" y="3343275"/>
          <a:ext cx="3962953" cy="790685"/>
        </a:xfrm>
        <a:prstGeom prst="rect">
          <a:avLst/>
        </a:prstGeom>
      </xdr:spPr>
    </xdr:pic>
    <xdr:clientData/>
  </xdr:twoCellAnchor>
  <xdr:twoCellAnchor>
    <xdr:from>
      <xdr:col>10</xdr:col>
      <xdr:colOff>676275</xdr:colOff>
      <xdr:row>21</xdr:row>
      <xdr:rowOff>80962</xdr:rowOff>
    </xdr:from>
    <xdr:to>
      <xdr:col>16</xdr:col>
      <xdr:colOff>676275</xdr:colOff>
      <xdr:row>35</xdr:row>
      <xdr:rowOff>138112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10</xdr:row>
      <xdr:rowOff>104775</xdr:rowOff>
    </xdr:from>
    <xdr:to>
      <xdr:col>4</xdr:col>
      <xdr:colOff>905292</xdr:colOff>
      <xdr:row>22</xdr:row>
      <xdr:rowOff>152722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1325" y="2038350"/>
          <a:ext cx="2991267" cy="2305372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6</xdr:row>
      <xdr:rowOff>5363</xdr:rowOff>
    </xdr:from>
    <xdr:to>
      <xdr:col>9</xdr:col>
      <xdr:colOff>628650</xdr:colOff>
      <xdr:row>14</xdr:row>
      <xdr:rowOff>18133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4700" y="1167413"/>
          <a:ext cx="3219450" cy="1538130"/>
        </a:xfrm>
        <a:prstGeom prst="rect">
          <a:avLst/>
        </a:prstGeom>
      </xdr:spPr>
    </xdr:pic>
    <xdr:clientData/>
  </xdr:twoCellAnchor>
  <xdr:twoCellAnchor editAs="oneCell">
    <xdr:from>
      <xdr:col>0</xdr:col>
      <xdr:colOff>462643</xdr:colOff>
      <xdr:row>24</xdr:row>
      <xdr:rowOff>76199</xdr:rowOff>
    </xdr:from>
    <xdr:to>
      <xdr:col>8</xdr:col>
      <xdr:colOff>173700</xdr:colOff>
      <xdr:row>51</xdr:row>
      <xdr:rowOff>36088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86500" y="4797878"/>
          <a:ext cx="6378557" cy="51033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22</xdr:row>
      <xdr:rowOff>57149</xdr:rowOff>
    </xdr:from>
    <xdr:to>
      <xdr:col>19</xdr:col>
      <xdr:colOff>670716</xdr:colOff>
      <xdr:row>38</xdr:row>
      <xdr:rowOff>180974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70" t="2376" r="36635" b="1784"/>
        <a:stretch>
          <a:fillRect/>
        </a:stretch>
      </xdr:blipFill>
      <xdr:spPr bwMode="auto">
        <a:xfrm>
          <a:off x="10877550" y="4467224"/>
          <a:ext cx="4271166" cy="31718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257176</xdr:colOff>
      <xdr:row>28</xdr:row>
      <xdr:rowOff>28575</xdr:rowOff>
    </xdr:from>
    <xdr:to>
      <xdr:col>8</xdr:col>
      <xdr:colOff>123826</xdr:colOff>
      <xdr:row>45</xdr:row>
      <xdr:rowOff>142251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31351" r="48752"/>
        <a:stretch>
          <a:fillRect/>
        </a:stretch>
      </xdr:blipFill>
      <xdr:spPr>
        <a:xfrm>
          <a:off x="1019176" y="5581650"/>
          <a:ext cx="5200650" cy="3352176"/>
        </a:xfrm>
        <a:prstGeom prst="rect">
          <a:avLst/>
        </a:prstGeom>
      </xdr:spPr>
    </xdr:pic>
    <xdr:clientData/>
  </xdr:twoCellAnchor>
  <xdr:twoCellAnchor editAs="oneCell">
    <xdr:from>
      <xdr:col>14</xdr:col>
      <xdr:colOff>180975</xdr:colOff>
      <xdr:row>11</xdr:row>
      <xdr:rowOff>200025</xdr:rowOff>
    </xdr:from>
    <xdr:to>
      <xdr:col>19</xdr:col>
      <xdr:colOff>650240</xdr:colOff>
      <xdr:row>21</xdr:row>
      <xdr:rowOff>62865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06" t="51109" r="49840" b="2093"/>
        <a:stretch>
          <a:fillRect/>
        </a:stretch>
      </xdr:blipFill>
      <xdr:spPr bwMode="auto">
        <a:xfrm>
          <a:off x="10848975" y="2295525"/>
          <a:ext cx="4279265" cy="199644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14</xdr:col>
      <xdr:colOff>180975</xdr:colOff>
      <xdr:row>1</xdr:row>
      <xdr:rowOff>9525</xdr:rowOff>
    </xdr:from>
    <xdr:to>
      <xdr:col>19</xdr:col>
      <xdr:colOff>613410</xdr:colOff>
      <xdr:row>11</xdr:row>
      <xdr:rowOff>84455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906" t="1200" r="49840" b="51770"/>
        <a:stretch>
          <a:fillRect/>
        </a:stretch>
      </xdr:blipFill>
      <xdr:spPr bwMode="auto">
        <a:xfrm>
          <a:off x="10848975" y="200025"/>
          <a:ext cx="4242435" cy="19894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161925</xdr:colOff>
      <xdr:row>12</xdr:row>
      <xdr:rowOff>180975</xdr:rowOff>
    </xdr:from>
    <xdr:to>
      <xdr:col>11</xdr:col>
      <xdr:colOff>323850</xdr:colOff>
      <xdr:row>27</xdr:row>
      <xdr:rowOff>90487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605118</xdr:colOff>
      <xdr:row>26</xdr:row>
      <xdr:rowOff>43823</xdr:rowOff>
    </xdr:from>
    <xdr:to>
      <xdr:col>3</xdr:col>
      <xdr:colOff>1274748</xdr:colOff>
      <xdr:row>40</xdr:row>
      <xdr:rowOff>70520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8" y="5052852"/>
          <a:ext cx="3571954" cy="2704903"/>
        </a:xfrm>
        <a:prstGeom prst="rect">
          <a:avLst/>
        </a:prstGeom>
      </xdr:spPr>
    </xdr:pic>
    <xdr:clientData/>
  </xdr:twoCellAnchor>
  <xdr:twoCellAnchor editAs="oneCell">
    <xdr:from>
      <xdr:col>4</xdr:col>
      <xdr:colOff>537882</xdr:colOff>
      <xdr:row>26</xdr:row>
      <xdr:rowOff>56029</xdr:rowOff>
    </xdr:from>
    <xdr:to>
      <xdr:col>10</xdr:col>
      <xdr:colOff>643310</xdr:colOff>
      <xdr:row>40</xdr:row>
      <xdr:rowOff>16616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6617" y="5065058"/>
          <a:ext cx="4677428" cy="2638793"/>
        </a:xfrm>
        <a:prstGeom prst="rect">
          <a:avLst/>
        </a:prstGeom>
      </xdr:spPr>
    </xdr:pic>
    <xdr:clientData/>
  </xdr:twoCellAnchor>
  <xdr:twoCellAnchor>
    <xdr:from>
      <xdr:col>5</xdr:col>
      <xdr:colOff>549089</xdr:colOff>
      <xdr:row>13</xdr:row>
      <xdr:rowOff>190499</xdr:rowOff>
    </xdr:from>
    <xdr:to>
      <xdr:col>7</xdr:col>
      <xdr:colOff>593912</xdr:colOff>
      <xdr:row>20</xdr:row>
      <xdr:rowOff>100852</xdr:rowOff>
    </xdr:to>
    <xdr:sp macro="" textlink="">
      <xdr:nvSpPr>
        <xdr:cNvPr id="5" name="Triangle 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6006354" y="2700617"/>
          <a:ext cx="1568823" cy="1255059"/>
        </a:xfrm>
        <a:prstGeom prst="rtTriangl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 kern="1200"/>
        </a:p>
      </xdr:txBody>
    </xdr:sp>
    <xdr:clientData/>
  </xdr:twoCellAnchor>
  <xdr:oneCellAnchor>
    <xdr:from>
      <xdr:col>4</xdr:col>
      <xdr:colOff>167204</xdr:colOff>
      <xdr:row>15</xdr:row>
      <xdr:rowOff>5509</xdr:rowOff>
    </xdr:from>
    <xdr:ext cx="465769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𝑥</m:t>
                    </m:r>
                    <m:r>
                      <a:rPr lang="fr-FR" sz="1100" i="1" kern="1200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fr-F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fr-F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6" name="ZoneTexte 5">
              <a:extLst>
                <a:ext uri="{FF2B5EF4-FFF2-40B4-BE49-F238E27FC236}">
                  <a16:creationId xmlns:a16="http://schemas.microsoft.com/office/drawing/2014/main" id="{9D4F5E12-10CD-DA6D-2BEC-01E1E3796CE5}"/>
                </a:ext>
              </a:extLst>
            </xdr:cNvPr>
            <xdr:cNvSpPr txBox="1"/>
          </xdr:nvSpPr>
          <xdr:spPr>
            <a:xfrm>
              <a:off x="4615939" y="2907833"/>
              <a:ext cx="465769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𝑥=</a:t>
              </a:r>
              <a:r>
                <a:rPr lang="fr-F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</a:t>
              </a:r>
              <a:r>
                <a:rPr lang="fr-F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fr-FR" sz="1100" kern="1200"/>
            </a:p>
          </xdr:txBody>
        </xdr:sp>
      </mc:Fallback>
    </mc:AlternateContent>
    <xdr:clientData/>
  </xdr:oneCellAnchor>
  <xdr:twoCellAnchor>
    <xdr:from>
      <xdr:col>5</xdr:col>
      <xdr:colOff>582706</xdr:colOff>
      <xdr:row>21</xdr:row>
      <xdr:rowOff>67235</xdr:rowOff>
    </xdr:from>
    <xdr:to>
      <xdr:col>7</xdr:col>
      <xdr:colOff>560294</xdr:colOff>
      <xdr:row>21</xdr:row>
      <xdr:rowOff>67235</xdr:rowOff>
    </xdr:to>
    <xdr:cxnSp macro="">
      <xdr:nvCxnSpPr>
        <xdr:cNvPr id="8" name="Connecteur droit avec flèch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CxnSpPr/>
      </xdr:nvCxnSpPr>
      <xdr:spPr>
        <a:xfrm>
          <a:off x="6039971" y="4112559"/>
          <a:ext cx="15015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403411</xdr:colOff>
      <xdr:row>14</xdr:row>
      <xdr:rowOff>33617</xdr:rowOff>
    </xdr:from>
    <xdr:to>
      <xdr:col>5</xdr:col>
      <xdr:colOff>403411</xdr:colOff>
      <xdr:row>20</xdr:row>
      <xdr:rowOff>89647</xdr:rowOff>
    </xdr:to>
    <xdr:cxnSp macro="">
      <xdr:nvCxnSpPr>
        <xdr:cNvPr id="9" name="Connecteur droit avec flèch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CxnSpPr/>
      </xdr:nvCxnSpPr>
      <xdr:spPr>
        <a:xfrm flipV="1">
          <a:off x="5860676" y="2745441"/>
          <a:ext cx="0" cy="119903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683559</xdr:colOff>
      <xdr:row>13</xdr:row>
      <xdr:rowOff>156882</xdr:rowOff>
    </xdr:from>
    <xdr:to>
      <xdr:col>7</xdr:col>
      <xdr:colOff>694764</xdr:colOff>
      <xdr:row>20</xdr:row>
      <xdr:rowOff>44823</xdr:rowOff>
    </xdr:to>
    <xdr:cxnSp macro="">
      <xdr:nvCxnSpPr>
        <xdr:cNvPr id="12" name="Connecteur droit avec flèche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CxnSpPr/>
      </xdr:nvCxnSpPr>
      <xdr:spPr>
        <a:xfrm flipH="1" flipV="1">
          <a:off x="6140824" y="2667000"/>
          <a:ext cx="1535205" cy="123264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705086</xdr:colOff>
      <xdr:row>21</xdr:row>
      <xdr:rowOff>117568</xdr:rowOff>
    </xdr:from>
    <xdr:ext cx="135351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00000000-0008-0000-0800-00000F000000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fr-FR" sz="1100" i="1" kern="1200">
                        <a:latin typeface="Cambria Math" panose="02040503050406030204" pitchFamily="18" charset="0"/>
                      </a:rPr>
                      <m:t>𝑑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𝑖𝑠𝑡𝑎𝑛𝑐𝑒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𝑠𝑞𝑢𝑎𝑟𝑒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 </m:t>
                    </m:r>
                    <m:r>
                      <a:rPr lang="fr-FR" sz="1100" b="0" i="1" kern="1200">
                        <a:latin typeface="Cambria Math" panose="02040503050406030204" pitchFamily="18" charset="0"/>
                      </a:rPr>
                      <m:t>𝑑</m:t>
                    </m:r>
                  </m:oMath>
                </m:oMathPara>
              </a14:m>
              <a:endParaRPr lang="fr-FR" sz="1100" kern="1200"/>
            </a:p>
          </xdr:txBody>
        </xdr:sp>
      </mc:Choice>
      <mc:Fallback xmlns="">
        <xdr:sp macro="" textlink="">
          <xdr:nvSpPr>
            <xdr:cNvPr id="15" name="ZoneTexte 14">
              <a:extLst>
                <a:ext uri="{FF2B5EF4-FFF2-40B4-BE49-F238E27FC236}">
                  <a16:creationId xmlns:a16="http://schemas.microsoft.com/office/drawing/2014/main" id="{88702A2C-9501-4CEA-9706-90CA356C41FF}"/>
                </a:ext>
              </a:extLst>
            </xdr:cNvPr>
            <xdr:cNvSpPr txBox="1"/>
          </xdr:nvSpPr>
          <xdr:spPr>
            <a:xfrm>
              <a:off x="6162351" y="4174097"/>
              <a:ext cx="135351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FR" sz="1100" i="0" kern="1200">
                  <a:latin typeface="Cambria Math" panose="02040503050406030204" pitchFamily="18" charset="0"/>
                </a:rPr>
                <a:t>𝑑</a:t>
              </a:r>
              <a:r>
                <a:rPr lang="fr-FR" sz="1100" b="0" i="0" kern="1200">
                  <a:latin typeface="Cambria Math" panose="02040503050406030204" pitchFamily="18" charset="0"/>
                </a:rPr>
                <a:t>𝑖𝑠𝑡𝑎𝑛𝑐𝑒 𝑜𝑓 𝑠𝑞𝑢𝑎𝑟𝑒 𝑑</a:t>
              </a:r>
              <a:endParaRPr lang="fr-FR" sz="1100" kern="1200"/>
            </a:p>
          </xdr:txBody>
        </xdr:sp>
      </mc:Fallback>
    </mc:AlternateContent>
    <xdr:clientData/>
  </xdr:oneCellAnchor>
  <xdr:oneCellAnchor>
    <xdr:from>
      <xdr:col>6</xdr:col>
      <xdr:colOff>684915</xdr:colOff>
      <xdr:row>15</xdr:row>
      <xdr:rowOff>153427</xdr:rowOff>
    </xdr:from>
    <xdr:ext cx="862480" cy="172227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6904180" y="3055751"/>
          <a:ext cx="86248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lang="fr-FR" sz="1100" kern="1200"/>
            <a:t>Diagonal Move</a:t>
          </a:r>
        </a:p>
      </xdr:txBody>
    </xdr:sp>
    <xdr:clientData/>
  </xdr:oneCellAnchor>
  <xdr:twoCellAnchor editAs="oneCell">
    <xdr:from>
      <xdr:col>1</xdr:col>
      <xdr:colOff>1322293</xdr:colOff>
      <xdr:row>22</xdr:row>
      <xdr:rowOff>89648</xdr:rowOff>
    </xdr:from>
    <xdr:to>
      <xdr:col>3</xdr:col>
      <xdr:colOff>734867</xdr:colOff>
      <xdr:row>26</xdr:row>
      <xdr:rowOff>107127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84293" y="4359089"/>
          <a:ext cx="2314898" cy="790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hyperlink" Target="https://www.production-solution.com/coil-calculator.htm" TargetMode="External"/><Relationship Id="rId1" Type="http://schemas.openxmlformats.org/officeDocument/2006/relationships/hyperlink" Target="https://www.kjmagnetics.com/magnetic-field-calculator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youtube.com/watch?v=vHP-zq23uvE&amp;t=15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ocs.arduino.cc/resources/datasheets/A000067-datasheet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Visio_Drawing.vsdx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femm.info/wiki/HomePag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norwegiancreations.com/2015/07/tutorial-calibrating-stepper-motor-machines-with-belts-and-pulle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EB5C-3D7B-4C5E-B30D-15B7CDC7460B}">
  <dimension ref="B1:F102"/>
  <sheetViews>
    <sheetView showGridLines="0" tabSelected="1" topLeftCell="A7" workbookViewId="0">
      <selection activeCell="F25" sqref="F25"/>
    </sheetView>
  </sheetViews>
  <sheetFormatPr baseColWidth="10" defaultRowHeight="15"/>
  <cols>
    <col min="2" max="2" width="14.28515625" bestFit="1" customWidth="1"/>
    <col min="3" max="3" width="26.5703125" customWidth="1"/>
    <col min="4" max="4" width="21.28515625" bestFit="1" customWidth="1"/>
    <col min="5" max="5" width="18.5703125" bestFit="1" customWidth="1"/>
    <col min="6" max="6" width="38" bestFit="1" customWidth="1"/>
  </cols>
  <sheetData>
    <row r="1" spans="2:6" ht="19.5" thickBot="1">
      <c r="B1" s="393" t="s">
        <v>351</v>
      </c>
      <c r="C1" s="394"/>
      <c r="D1" s="395"/>
    </row>
    <row r="2" spans="2:6" ht="15.75" thickBot="1">
      <c r="B2" s="217" t="s">
        <v>154</v>
      </c>
      <c r="C2" s="218" t="s">
        <v>155</v>
      </c>
      <c r="D2" s="219" t="s">
        <v>156</v>
      </c>
      <c r="E2" s="220" t="s">
        <v>1</v>
      </c>
      <c r="F2" s="219" t="s">
        <v>155</v>
      </c>
    </row>
    <row r="3" spans="2:6">
      <c r="B3" s="259">
        <v>1</v>
      </c>
      <c r="C3" s="260" t="s">
        <v>157</v>
      </c>
      <c r="D3" s="261" t="s">
        <v>158</v>
      </c>
      <c r="E3" s="262" t="s">
        <v>420</v>
      </c>
      <c r="F3" s="263" t="s">
        <v>419</v>
      </c>
    </row>
    <row r="4" spans="2:6">
      <c r="B4" s="159">
        <v>2</v>
      </c>
      <c r="C4" s="215" t="s">
        <v>161</v>
      </c>
      <c r="D4" s="216" t="s">
        <v>162</v>
      </c>
      <c r="E4" s="137"/>
      <c r="F4" s="138"/>
    </row>
    <row r="5" spans="2:6">
      <c r="B5" s="159">
        <v>3</v>
      </c>
      <c r="C5" s="215" t="s">
        <v>163</v>
      </c>
      <c r="D5" s="216" t="s">
        <v>164</v>
      </c>
      <c r="E5" s="137"/>
      <c r="F5" s="138"/>
    </row>
    <row r="6" spans="2:6">
      <c r="B6" s="159">
        <v>4</v>
      </c>
      <c r="C6" s="215" t="s">
        <v>165</v>
      </c>
      <c r="D6" s="216"/>
      <c r="E6" s="137"/>
      <c r="F6" s="138"/>
    </row>
    <row r="7" spans="2:6">
      <c r="B7" s="254">
        <v>5</v>
      </c>
      <c r="C7" s="255" t="s">
        <v>166</v>
      </c>
      <c r="D7" s="256" t="s">
        <v>167</v>
      </c>
      <c r="E7" s="257" t="s">
        <v>420</v>
      </c>
      <c r="F7" s="258" t="s">
        <v>419</v>
      </c>
    </row>
    <row r="8" spans="2:6">
      <c r="B8" s="159">
        <v>6</v>
      </c>
      <c r="C8" s="215" t="s">
        <v>169</v>
      </c>
      <c r="D8" s="216" t="s">
        <v>170</v>
      </c>
      <c r="E8" s="137"/>
      <c r="F8" s="138"/>
    </row>
    <row r="9" spans="2:6">
      <c r="B9" s="172">
        <v>7</v>
      </c>
      <c r="C9" s="173" t="s">
        <v>173</v>
      </c>
      <c r="D9" s="174" t="s">
        <v>174</v>
      </c>
      <c r="E9" s="149" t="s">
        <v>123</v>
      </c>
      <c r="F9" s="150" t="s">
        <v>350</v>
      </c>
    </row>
    <row r="10" spans="2:6">
      <c r="B10" s="153">
        <v>8</v>
      </c>
      <c r="C10" s="154" t="s">
        <v>176</v>
      </c>
      <c r="D10" s="155"/>
      <c r="E10" s="137"/>
      <c r="F10" s="138"/>
    </row>
    <row r="11" spans="2:6">
      <c r="B11" s="153">
        <v>9</v>
      </c>
      <c r="C11" s="154" t="s">
        <v>177</v>
      </c>
      <c r="D11" s="155"/>
      <c r="E11" s="137"/>
      <c r="F11" s="138"/>
    </row>
    <row r="12" spans="2:6">
      <c r="B12" s="153">
        <v>10</v>
      </c>
      <c r="C12" s="154" t="s">
        <v>178</v>
      </c>
      <c r="D12" s="155" t="s">
        <v>178</v>
      </c>
      <c r="E12" s="137"/>
      <c r="F12" s="138"/>
    </row>
    <row r="13" spans="2:6">
      <c r="B13" s="153">
        <v>11</v>
      </c>
      <c r="C13" s="154" t="s">
        <v>179</v>
      </c>
      <c r="D13" s="155" t="s">
        <v>179</v>
      </c>
      <c r="E13" s="137"/>
      <c r="F13" s="138"/>
    </row>
    <row r="14" spans="2:6">
      <c r="B14" s="153">
        <v>12</v>
      </c>
      <c r="C14" s="154" t="s">
        <v>180</v>
      </c>
      <c r="D14" s="155" t="s">
        <v>181</v>
      </c>
      <c r="E14" s="137"/>
      <c r="F14" s="138"/>
    </row>
    <row r="15" spans="2:6">
      <c r="B15" s="153">
        <v>13</v>
      </c>
      <c r="C15" s="154" t="s">
        <v>182</v>
      </c>
      <c r="D15" s="155" t="s">
        <v>183</v>
      </c>
      <c r="E15" s="137"/>
      <c r="F15" s="138"/>
    </row>
    <row r="16" spans="2:6">
      <c r="B16" s="159">
        <v>14</v>
      </c>
      <c r="C16" s="154" t="s">
        <v>184</v>
      </c>
      <c r="D16" s="155"/>
      <c r="E16" s="137"/>
      <c r="F16" s="138"/>
    </row>
    <row r="17" spans="2:6">
      <c r="B17" s="159">
        <v>15</v>
      </c>
      <c r="C17" s="215" t="s">
        <v>185</v>
      </c>
      <c r="D17" s="216" t="s">
        <v>186</v>
      </c>
      <c r="E17" s="137"/>
      <c r="F17" s="138"/>
    </row>
    <row r="18" spans="2:6">
      <c r="B18" s="153">
        <v>16</v>
      </c>
      <c r="C18" s="154" t="s">
        <v>189</v>
      </c>
      <c r="D18" s="155" t="s">
        <v>190</v>
      </c>
      <c r="E18" s="137"/>
      <c r="F18" s="138"/>
    </row>
    <row r="19" spans="2:6">
      <c r="B19" s="153">
        <v>17</v>
      </c>
      <c r="C19" s="154" t="s">
        <v>191</v>
      </c>
      <c r="D19" s="155" t="s">
        <v>192</v>
      </c>
      <c r="E19" s="137"/>
      <c r="F19" s="138"/>
    </row>
    <row r="20" spans="2:6">
      <c r="B20" s="153">
        <v>18</v>
      </c>
      <c r="C20" s="154" t="s">
        <v>193</v>
      </c>
      <c r="D20" s="155" t="s">
        <v>194</v>
      </c>
      <c r="E20" s="137"/>
      <c r="F20" s="138"/>
    </row>
    <row r="21" spans="2:6">
      <c r="B21" s="163">
        <v>19</v>
      </c>
      <c r="C21" s="164" t="s">
        <v>195</v>
      </c>
      <c r="D21" s="165" t="s">
        <v>196</v>
      </c>
      <c r="E21" s="143" t="s">
        <v>197</v>
      </c>
      <c r="F21" s="144" t="s">
        <v>198</v>
      </c>
    </row>
    <row r="22" spans="2:6">
      <c r="B22" s="163">
        <v>20</v>
      </c>
      <c r="C22" s="164" t="s">
        <v>199</v>
      </c>
      <c r="D22" s="165" t="s">
        <v>200</v>
      </c>
      <c r="E22" s="143" t="s">
        <v>197</v>
      </c>
      <c r="F22" s="144" t="s">
        <v>201</v>
      </c>
    </row>
    <row r="23" spans="2:6">
      <c r="B23" s="163">
        <v>21</v>
      </c>
      <c r="C23" s="164" t="s">
        <v>202</v>
      </c>
      <c r="D23" s="165" t="s">
        <v>203</v>
      </c>
      <c r="E23" s="143" t="s">
        <v>197</v>
      </c>
      <c r="F23" s="144" t="s">
        <v>204</v>
      </c>
    </row>
    <row r="24" spans="2:6">
      <c r="B24" s="153">
        <v>22</v>
      </c>
      <c r="C24" s="154" t="s">
        <v>205</v>
      </c>
      <c r="D24" s="155" t="s">
        <v>206</v>
      </c>
      <c r="E24" s="137" t="s">
        <v>602</v>
      </c>
      <c r="F24" s="138" t="s">
        <v>602</v>
      </c>
    </row>
    <row r="25" spans="2:6">
      <c r="B25" s="159">
        <v>23</v>
      </c>
      <c r="C25" s="215" t="s">
        <v>207</v>
      </c>
      <c r="D25" s="216" t="s">
        <v>208</v>
      </c>
      <c r="E25" s="137"/>
      <c r="F25" s="138"/>
    </row>
    <row r="26" spans="2:6">
      <c r="B26" s="166">
        <v>24</v>
      </c>
      <c r="C26" s="167" t="s">
        <v>211</v>
      </c>
      <c r="D26" s="168" t="s">
        <v>212</v>
      </c>
      <c r="E26" s="145" t="s">
        <v>213</v>
      </c>
      <c r="F26" s="146" t="s">
        <v>214</v>
      </c>
    </row>
    <row r="27" spans="2:6">
      <c r="B27" s="153">
        <v>25</v>
      </c>
      <c r="C27" s="154" t="s">
        <v>215</v>
      </c>
      <c r="D27" s="155" t="s">
        <v>216</v>
      </c>
      <c r="E27" s="137"/>
      <c r="F27" s="138"/>
    </row>
    <row r="28" spans="2:6">
      <c r="B28" s="153">
        <v>26</v>
      </c>
      <c r="C28" s="154" t="s">
        <v>217</v>
      </c>
      <c r="D28" s="155" t="s">
        <v>218</v>
      </c>
      <c r="E28" s="137"/>
      <c r="F28" s="138"/>
    </row>
    <row r="29" spans="2:6">
      <c r="B29" s="153">
        <v>27</v>
      </c>
      <c r="C29" s="154" t="s">
        <v>219</v>
      </c>
      <c r="D29" s="155"/>
      <c r="E29" s="137"/>
      <c r="F29" s="138"/>
    </row>
    <row r="30" spans="2:6">
      <c r="B30" s="153">
        <v>28</v>
      </c>
      <c r="C30" s="154" t="s">
        <v>220</v>
      </c>
      <c r="D30" s="155"/>
      <c r="E30" s="137"/>
      <c r="F30" s="138"/>
    </row>
    <row r="31" spans="2:6">
      <c r="B31" s="153">
        <v>29</v>
      </c>
      <c r="C31" s="154" t="s">
        <v>221</v>
      </c>
      <c r="D31" s="155"/>
      <c r="E31" s="137"/>
      <c r="F31" s="138"/>
    </row>
    <row r="32" spans="2:6">
      <c r="B32" s="153">
        <v>30</v>
      </c>
      <c r="C32" s="154" t="s">
        <v>222</v>
      </c>
      <c r="D32" s="155" t="s">
        <v>222</v>
      </c>
      <c r="E32" s="137"/>
      <c r="F32" s="138"/>
    </row>
    <row r="33" spans="2:6">
      <c r="B33" s="153">
        <v>31</v>
      </c>
      <c r="C33" s="154" t="s">
        <v>178</v>
      </c>
      <c r="D33" s="155" t="s">
        <v>178</v>
      </c>
      <c r="E33" s="137"/>
      <c r="F33" s="138"/>
    </row>
    <row r="34" spans="2:6">
      <c r="B34" s="153">
        <v>32</v>
      </c>
      <c r="C34" s="154" t="s">
        <v>179</v>
      </c>
      <c r="D34" s="155" t="s">
        <v>179</v>
      </c>
      <c r="E34" s="137"/>
      <c r="F34" s="138"/>
    </row>
    <row r="35" spans="2:6">
      <c r="B35" s="153">
        <v>33</v>
      </c>
      <c r="C35" s="154" t="s">
        <v>223</v>
      </c>
      <c r="D35" s="155" t="s">
        <v>223</v>
      </c>
      <c r="E35" s="137"/>
      <c r="F35" s="138"/>
    </row>
    <row r="36" spans="2:6">
      <c r="B36" s="153">
        <v>34</v>
      </c>
      <c r="C36" s="154" t="s">
        <v>224</v>
      </c>
      <c r="D36" s="155" t="s">
        <v>224</v>
      </c>
      <c r="E36" s="137"/>
      <c r="F36" s="138"/>
    </row>
    <row r="37" spans="2:6">
      <c r="B37" s="153">
        <v>35</v>
      </c>
      <c r="C37" s="154" t="s">
        <v>225</v>
      </c>
      <c r="D37" s="155" t="s">
        <v>226</v>
      </c>
      <c r="E37" s="137"/>
      <c r="F37" s="138"/>
    </row>
    <row r="38" spans="2:6">
      <c r="B38" s="153">
        <v>36</v>
      </c>
      <c r="C38" s="154" t="s">
        <v>227</v>
      </c>
      <c r="D38" s="155" t="s">
        <v>228</v>
      </c>
      <c r="E38" s="137"/>
      <c r="F38" s="138"/>
    </row>
    <row r="39" spans="2:6">
      <c r="B39" s="153">
        <v>37</v>
      </c>
      <c r="C39" s="154" t="s">
        <v>229</v>
      </c>
      <c r="D39" s="155" t="s">
        <v>230</v>
      </c>
      <c r="E39" s="137"/>
      <c r="F39" s="138"/>
    </row>
    <row r="40" spans="2:6">
      <c r="B40" s="153">
        <v>38</v>
      </c>
      <c r="C40" s="154" t="s">
        <v>231</v>
      </c>
      <c r="D40" s="155" t="s">
        <v>232</v>
      </c>
      <c r="E40" s="137"/>
      <c r="F40" s="138"/>
    </row>
    <row r="41" spans="2:6">
      <c r="B41" s="153">
        <v>39</v>
      </c>
      <c r="C41" s="154" t="s">
        <v>233</v>
      </c>
      <c r="D41" s="155" t="s">
        <v>234</v>
      </c>
      <c r="E41" s="137"/>
      <c r="F41" s="138"/>
    </row>
    <row r="42" spans="2:6">
      <c r="B42" s="172">
        <v>40</v>
      </c>
      <c r="C42" s="173" t="s">
        <v>235</v>
      </c>
      <c r="D42" s="174" t="s">
        <v>236</v>
      </c>
      <c r="E42" s="149" t="s">
        <v>123</v>
      </c>
      <c r="F42" s="150" t="s">
        <v>348</v>
      </c>
    </row>
    <row r="43" spans="2:6">
      <c r="B43" s="153">
        <v>41</v>
      </c>
      <c r="C43" s="154" t="s">
        <v>237</v>
      </c>
      <c r="D43" s="155" t="s">
        <v>238</v>
      </c>
      <c r="E43" s="137"/>
      <c r="F43" s="138"/>
    </row>
    <row r="44" spans="2:6">
      <c r="B44" s="172">
        <v>42</v>
      </c>
      <c r="C44" s="173" t="s">
        <v>239</v>
      </c>
      <c r="D44" s="174" t="s">
        <v>240</v>
      </c>
      <c r="E44" s="149" t="s">
        <v>123</v>
      </c>
      <c r="F44" s="150" t="s">
        <v>349</v>
      </c>
    </row>
    <row r="45" spans="2:6">
      <c r="B45" s="169">
        <v>43</v>
      </c>
      <c r="C45" s="170" t="s">
        <v>241</v>
      </c>
      <c r="D45" s="171" t="s">
        <v>242</v>
      </c>
      <c r="E45" s="147" t="s">
        <v>345</v>
      </c>
      <c r="F45" s="148" t="s">
        <v>347</v>
      </c>
    </row>
    <row r="46" spans="2:6">
      <c r="B46" s="169">
        <v>44</v>
      </c>
      <c r="C46" s="170" t="s">
        <v>243</v>
      </c>
      <c r="D46" s="171" t="s">
        <v>244</v>
      </c>
      <c r="E46" s="147" t="s">
        <v>345</v>
      </c>
      <c r="F46" s="148" t="s">
        <v>346</v>
      </c>
    </row>
    <row r="47" spans="2:6">
      <c r="B47" s="160">
        <v>45</v>
      </c>
      <c r="C47" s="161" t="s">
        <v>245</v>
      </c>
      <c r="D47" s="162" t="s">
        <v>246</v>
      </c>
      <c r="E47" s="141" t="s">
        <v>187</v>
      </c>
      <c r="F47" s="142" t="s">
        <v>188</v>
      </c>
    </row>
    <row r="48" spans="2:6">
      <c r="B48" s="160">
        <v>46</v>
      </c>
      <c r="C48" s="161" t="s">
        <v>247</v>
      </c>
      <c r="D48" s="162" t="s">
        <v>248</v>
      </c>
      <c r="E48" s="141" t="s">
        <v>187</v>
      </c>
      <c r="F48" s="142" t="s">
        <v>276</v>
      </c>
    </row>
    <row r="49" spans="2:6">
      <c r="B49" s="153">
        <v>47</v>
      </c>
      <c r="C49" s="154" t="s">
        <v>249</v>
      </c>
      <c r="D49" s="155"/>
      <c r="E49" s="137"/>
      <c r="F49" s="138"/>
    </row>
    <row r="50" spans="2:6">
      <c r="B50" s="153">
        <v>48</v>
      </c>
      <c r="C50" s="154" t="s">
        <v>250</v>
      </c>
      <c r="D50" s="155"/>
      <c r="E50" s="137"/>
      <c r="F50" s="138"/>
    </row>
    <row r="51" spans="2:6">
      <c r="B51" s="153">
        <v>49</v>
      </c>
      <c r="C51" s="154" t="s">
        <v>251</v>
      </c>
      <c r="D51" s="155"/>
      <c r="E51" s="137"/>
      <c r="F51" s="138"/>
    </row>
    <row r="52" spans="2:6">
      <c r="B52" s="153">
        <v>50</v>
      </c>
      <c r="C52" s="154" t="s">
        <v>252</v>
      </c>
      <c r="D52" s="155" t="s">
        <v>253</v>
      </c>
      <c r="E52" s="137"/>
      <c r="F52" s="138"/>
    </row>
    <row r="53" spans="2:6">
      <c r="B53" s="153">
        <v>51</v>
      </c>
      <c r="C53" s="154" t="s">
        <v>254</v>
      </c>
      <c r="D53" s="155" t="s">
        <v>255</v>
      </c>
      <c r="E53" s="137"/>
      <c r="F53" s="138"/>
    </row>
    <row r="54" spans="2:6">
      <c r="B54" s="172">
        <v>52</v>
      </c>
      <c r="C54" s="173" t="s">
        <v>256</v>
      </c>
      <c r="D54" s="174" t="s">
        <v>257</v>
      </c>
      <c r="E54" s="149" t="s">
        <v>123</v>
      </c>
      <c r="F54" s="150" t="s">
        <v>350</v>
      </c>
    </row>
    <row r="55" spans="2:6">
      <c r="B55" s="153">
        <v>53</v>
      </c>
      <c r="C55" s="154" t="s">
        <v>258</v>
      </c>
      <c r="D55" s="155" t="s">
        <v>259</v>
      </c>
      <c r="E55" s="137"/>
      <c r="F55" s="138"/>
    </row>
    <row r="56" spans="2:6">
      <c r="B56" s="156">
        <v>54</v>
      </c>
      <c r="C56" s="157" t="s">
        <v>260</v>
      </c>
      <c r="D56" s="158" t="s">
        <v>261</v>
      </c>
      <c r="E56" s="139" t="s">
        <v>159</v>
      </c>
      <c r="F56" s="140" t="s">
        <v>160</v>
      </c>
    </row>
    <row r="57" spans="2:6">
      <c r="B57" s="153">
        <v>55</v>
      </c>
      <c r="C57" s="154" t="s">
        <v>262</v>
      </c>
      <c r="D57" s="155" t="s">
        <v>263</v>
      </c>
      <c r="E57" s="137"/>
      <c r="F57" s="138"/>
    </row>
    <row r="58" spans="2:6">
      <c r="B58" s="156">
        <v>56</v>
      </c>
      <c r="C58" s="157" t="s">
        <v>264</v>
      </c>
      <c r="D58" s="158" t="s">
        <v>265</v>
      </c>
      <c r="E58" s="139" t="s">
        <v>159</v>
      </c>
      <c r="F58" s="140" t="s">
        <v>168</v>
      </c>
    </row>
    <row r="59" spans="2:6">
      <c r="B59" s="153">
        <v>57</v>
      </c>
      <c r="C59" s="154" t="s">
        <v>266</v>
      </c>
      <c r="D59" s="155" t="s">
        <v>267</v>
      </c>
      <c r="E59" s="137"/>
      <c r="F59" s="138"/>
    </row>
    <row r="60" spans="2:6">
      <c r="B60" s="153">
        <v>58</v>
      </c>
      <c r="C60" s="154" t="s">
        <v>268</v>
      </c>
      <c r="D60" s="155" t="s">
        <v>269</v>
      </c>
      <c r="E60" s="137"/>
      <c r="F60" s="138"/>
    </row>
    <row r="61" spans="2:6">
      <c r="B61" s="153">
        <v>59</v>
      </c>
      <c r="C61" s="154" t="s">
        <v>270</v>
      </c>
      <c r="D61" s="155" t="s">
        <v>271</v>
      </c>
      <c r="E61" s="137"/>
      <c r="F61" s="138"/>
    </row>
    <row r="62" spans="2:6">
      <c r="B62" s="156">
        <v>60</v>
      </c>
      <c r="C62" s="157" t="s">
        <v>272</v>
      </c>
      <c r="D62" s="158" t="s">
        <v>273</v>
      </c>
      <c r="E62" s="139" t="s">
        <v>159</v>
      </c>
      <c r="F62" s="140" t="s">
        <v>389</v>
      </c>
    </row>
    <row r="63" spans="2:6">
      <c r="B63" s="153">
        <v>61</v>
      </c>
      <c r="C63" s="154" t="s">
        <v>178</v>
      </c>
      <c r="D63" s="155" t="s">
        <v>178</v>
      </c>
      <c r="E63" s="137"/>
      <c r="F63" s="138"/>
    </row>
    <row r="64" spans="2:6">
      <c r="B64" s="153">
        <v>62</v>
      </c>
      <c r="C64" s="154" t="s">
        <v>179</v>
      </c>
      <c r="D64" s="155" t="s">
        <v>179</v>
      </c>
      <c r="E64" s="137"/>
      <c r="F64" s="138"/>
    </row>
    <row r="65" spans="2:6">
      <c r="B65" s="159">
        <v>63</v>
      </c>
      <c r="C65" s="215" t="s">
        <v>274</v>
      </c>
      <c r="D65" s="216" t="s">
        <v>275</v>
      </c>
      <c r="E65" s="137"/>
      <c r="F65" s="138"/>
    </row>
    <row r="66" spans="2:6">
      <c r="B66" s="172">
        <v>64</v>
      </c>
      <c r="C66" s="173" t="s">
        <v>277</v>
      </c>
      <c r="D66" s="174" t="s">
        <v>278</v>
      </c>
      <c r="E66" s="149" t="s">
        <v>123</v>
      </c>
      <c r="F66" s="150" t="s">
        <v>350</v>
      </c>
    </row>
    <row r="67" spans="2:6">
      <c r="B67" s="153">
        <v>65</v>
      </c>
      <c r="C67" s="154" t="s">
        <v>280</v>
      </c>
      <c r="D67" s="155"/>
      <c r="E67" s="137"/>
      <c r="F67" s="138"/>
    </row>
    <row r="68" spans="2:6">
      <c r="B68" s="153">
        <v>66</v>
      </c>
      <c r="C68" s="154" t="s">
        <v>281</v>
      </c>
      <c r="D68" s="155"/>
      <c r="E68" s="137"/>
      <c r="F68" s="138"/>
    </row>
    <row r="69" spans="2:6">
      <c r="B69" s="153">
        <v>67</v>
      </c>
      <c r="C69" s="154" t="s">
        <v>282</v>
      </c>
      <c r="D69" s="155"/>
      <c r="E69" s="137"/>
      <c r="F69" s="138"/>
    </row>
    <row r="70" spans="2:6">
      <c r="B70" s="153">
        <v>68</v>
      </c>
      <c r="C70" s="154" t="s">
        <v>283</v>
      </c>
      <c r="D70" s="155"/>
      <c r="E70" s="137"/>
      <c r="F70" s="138"/>
    </row>
    <row r="71" spans="2:6">
      <c r="B71" s="153">
        <v>69</v>
      </c>
      <c r="C71" s="154" t="s">
        <v>284</v>
      </c>
      <c r="D71" s="155"/>
      <c r="E71" s="137"/>
      <c r="F71" s="138"/>
    </row>
    <row r="72" spans="2:6">
      <c r="B72" s="153">
        <v>70</v>
      </c>
      <c r="C72" s="154" t="s">
        <v>285</v>
      </c>
      <c r="D72" s="155" t="s">
        <v>286</v>
      </c>
      <c r="E72" s="137"/>
      <c r="F72" s="138"/>
    </row>
    <row r="73" spans="2:6">
      <c r="B73" s="153">
        <v>71</v>
      </c>
      <c r="C73" s="154" t="s">
        <v>287</v>
      </c>
      <c r="D73" s="155" t="s">
        <v>288</v>
      </c>
      <c r="E73" s="137"/>
      <c r="F73" s="138"/>
    </row>
    <row r="74" spans="2:6">
      <c r="B74" s="156">
        <v>72</v>
      </c>
      <c r="C74" s="157" t="s">
        <v>289</v>
      </c>
      <c r="D74" s="158" t="s">
        <v>290</v>
      </c>
      <c r="E74" s="139" t="s">
        <v>171</v>
      </c>
      <c r="F74" s="140" t="s">
        <v>175</v>
      </c>
    </row>
    <row r="75" spans="2:6">
      <c r="B75" s="153">
        <v>73</v>
      </c>
      <c r="C75" s="154" t="s">
        <v>291</v>
      </c>
      <c r="D75" s="155" t="s">
        <v>292</v>
      </c>
      <c r="E75" s="137"/>
      <c r="F75" s="138"/>
    </row>
    <row r="76" spans="2:6">
      <c r="B76" s="156">
        <v>74</v>
      </c>
      <c r="C76" s="157" t="s">
        <v>293</v>
      </c>
      <c r="D76" s="158" t="s">
        <v>294</v>
      </c>
      <c r="E76" s="139" t="s">
        <v>171</v>
      </c>
      <c r="F76" s="140" t="s">
        <v>172</v>
      </c>
    </row>
    <row r="77" spans="2:6">
      <c r="B77" s="159">
        <v>75</v>
      </c>
      <c r="C77" s="215" t="s">
        <v>295</v>
      </c>
      <c r="D77" s="216" t="s">
        <v>296</v>
      </c>
      <c r="E77" s="137" t="s">
        <v>123</v>
      </c>
      <c r="F77" s="138" t="s">
        <v>350</v>
      </c>
    </row>
    <row r="78" spans="2:6">
      <c r="B78" s="159">
        <v>76</v>
      </c>
      <c r="C78" s="215" t="s">
        <v>297</v>
      </c>
      <c r="D78" s="216" t="s">
        <v>298</v>
      </c>
      <c r="E78" s="137"/>
      <c r="F78" s="138"/>
    </row>
    <row r="79" spans="2:6">
      <c r="B79" s="156">
        <v>77</v>
      </c>
      <c r="C79" s="157" t="s">
        <v>299</v>
      </c>
      <c r="D79" s="158" t="s">
        <v>300</v>
      </c>
      <c r="E79" s="139" t="s">
        <v>387</v>
      </c>
      <c r="F79" s="140" t="s">
        <v>388</v>
      </c>
    </row>
    <row r="80" spans="2:6">
      <c r="B80" s="159">
        <v>78</v>
      </c>
      <c r="C80" s="215" t="s">
        <v>301</v>
      </c>
      <c r="D80" s="216" t="s">
        <v>302</v>
      </c>
      <c r="E80" s="137"/>
      <c r="F80" s="138"/>
    </row>
    <row r="81" spans="2:6">
      <c r="B81" s="153">
        <v>79</v>
      </c>
      <c r="C81" s="154" t="s">
        <v>303</v>
      </c>
      <c r="D81" s="155"/>
      <c r="E81" s="137"/>
      <c r="F81" s="138"/>
    </row>
    <row r="82" spans="2:6">
      <c r="B82" s="153">
        <v>80</v>
      </c>
      <c r="C82" s="154" t="s">
        <v>178</v>
      </c>
      <c r="D82" s="155" t="s">
        <v>178</v>
      </c>
      <c r="E82" s="137"/>
      <c r="F82" s="138"/>
    </row>
    <row r="83" spans="2:6">
      <c r="B83" s="153">
        <v>81</v>
      </c>
      <c r="C83" s="154" t="s">
        <v>179</v>
      </c>
      <c r="D83" s="155" t="s">
        <v>179</v>
      </c>
      <c r="E83" s="137"/>
      <c r="F83" s="138"/>
    </row>
    <row r="84" spans="2:6">
      <c r="B84" s="160">
        <v>82</v>
      </c>
      <c r="C84" s="161" t="s">
        <v>304</v>
      </c>
      <c r="D84" s="162" t="s">
        <v>305</v>
      </c>
      <c r="E84" s="141" t="s">
        <v>187</v>
      </c>
      <c r="F84" s="142" t="s">
        <v>279</v>
      </c>
    </row>
    <row r="85" spans="2:6">
      <c r="B85" s="153">
        <v>83</v>
      </c>
      <c r="C85" s="154" t="s">
        <v>306</v>
      </c>
      <c r="D85" s="155" t="s">
        <v>307</v>
      </c>
      <c r="E85" s="137"/>
      <c r="F85" s="138"/>
    </row>
    <row r="86" spans="2:6">
      <c r="B86" s="153">
        <v>84</v>
      </c>
      <c r="C86" s="154" t="s">
        <v>308</v>
      </c>
      <c r="D86" s="155" t="s">
        <v>309</v>
      </c>
      <c r="E86" s="137"/>
      <c r="F86" s="138"/>
    </row>
    <row r="87" spans="2:6">
      <c r="B87" s="172">
        <v>85</v>
      </c>
      <c r="C87" s="173" t="s">
        <v>310</v>
      </c>
      <c r="D87" s="174" t="s">
        <v>311</v>
      </c>
      <c r="E87" s="149" t="s">
        <v>331</v>
      </c>
      <c r="F87" s="150" t="s">
        <v>341</v>
      </c>
    </row>
    <row r="88" spans="2:6">
      <c r="B88" s="172">
        <v>86</v>
      </c>
      <c r="C88" s="173" t="s">
        <v>312</v>
      </c>
      <c r="D88" s="174" t="s">
        <v>313</v>
      </c>
      <c r="E88" s="149" t="s">
        <v>331</v>
      </c>
      <c r="F88" s="150" t="s">
        <v>338</v>
      </c>
    </row>
    <row r="89" spans="2:6">
      <c r="B89" s="159">
        <v>87</v>
      </c>
      <c r="C89" s="215" t="s">
        <v>314</v>
      </c>
      <c r="D89" s="216" t="s">
        <v>315</v>
      </c>
      <c r="E89" s="137"/>
      <c r="F89" s="138"/>
    </row>
    <row r="90" spans="2:6">
      <c r="B90" s="172">
        <v>88</v>
      </c>
      <c r="C90" s="173" t="s">
        <v>316</v>
      </c>
      <c r="D90" s="174" t="s">
        <v>317</v>
      </c>
      <c r="E90" s="149" t="s">
        <v>331</v>
      </c>
      <c r="F90" s="150" t="s">
        <v>335</v>
      </c>
    </row>
    <row r="91" spans="2:6">
      <c r="B91" s="159">
        <v>89</v>
      </c>
      <c r="C91" s="215" t="s">
        <v>318</v>
      </c>
      <c r="D91" s="216" t="s">
        <v>319</v>
      </c>
      <c r="E91" s="137"/>
      <c r="F91" s="138"/>
    </row>
    <row r="92" spans="2:6">
      <c r="B92" s="153">
        <v>90</v>
      </c>
      <c r="C92" s="154" t="s">
        <v>321</v>
      </c>
      <c r="D92" s="155" t="s">
        <v>322</v>
      </c>
      <c r="E92" s="137"/>
      <c r="F92" s="138"/>
    </row>
    <row r="93" spans="2:6">
      <c r="B93" s="166">
        <v>91</v>
      </c>
      <c r="C93" s="167" t="s">
        <v>323</v>
      </c>
      <c r="D93" s="168" t="s">
        <v>324</v>
      </c>
      <c r="E93" s="145" t="s">
        <v>209</v>
      </c>
      <c r="F93" s="146" t="s">
        <v>210</v>
      </c>
    </row>
    <row r="94" spans="2:6">
      <c r="B94" s="172">
        <v>92</v>
      </c>
      <c r="C94" s="173" t="s">
        <v>325</v>
      </c>
      <c r="D94" s="174" t="s">
        <v>326</v>
      </c>
      <c r="E94" s="149" t="s">
        <v>331</v>
      </c>
      <c r="F94" s="150" t="s">
        <v>332</v>
      </c>
    </row>
    <row r="95" spans="2:6">
      <c r="B95" s="172">
        <v>93</v>
      </c>
      <c r="C95" s="173" t="s">
        <v>327</v>
      </c>
      <c r="D95" s="174" t="s">
        <v>328</v>
      </c>
      <c r="E95" s="149" t="s">
        <v>123</v>
      </c>
      <c r="F95" s="150" t="s">
        <v>320</v>
      </c>
    </row>
    <row r="96" spans="2:6">
      <c r="B96" s="159">
        <v>94</v>
      </c>
      <c r="C96" s="215" t="s">
        <v>329</v>
      </c>
      <c r="D96" s="216" t="s">
        <v>330</v>
      </c>
      <c r="E96" s="137" t="s">
        <v>481</v>
      </c>
      <c r="F96" s="138" t="s">
        <v>482</v>
      </c>
    </row>
    <row r="97" spans="2:6">
      <c r="B97" s="159">
        <v>95</v>
      </c>
      <c r="C97" s="215" t="s">
        <v>333</v>
      </c>
      <c r="D97" s="216" t="s">
        <v>334</v>
      </c>
      <c r="E97" s="137"/>
      <c r="F97" s="138"/>
    </row>
    <row r="98" spans="2:6">
      <c r="B98" s="159">
        <v>96</v>
      </c>
      <c r="C98" s="215" t="s">
        <v>336</v>
      </c>
      <c r="D98" s="216" t="s">
        <v>337</v>
      </c>
      <c r="E98" s="137"/>
      <c r="F98" s="138"/>
    </row>
    <row r="99" spans="2:6">
      <c r="B99" s="159">
        <v>97</v>
      </c>
      <c r="C99" s="215" t="s">
        <v>339</v>
      </c>
      <c r="D99" s="216" t="s">
        <v>340</v>
      </c>
      <c r="E99" s="137"/>
      <c r="F99" s="138"/>
    </row>
    <row r="100" spans="2:6">
      <c r="B100" s="153">
        <v>98</v>
      </c>
      <c r="C100" s="154" t="s">
        <v>342</v>
      </c>
      <c r="D100" s="155" t="s">
        <v>343</v>
      </c>
      <c r="E100" s="137"/>
      <c r="F100" s="138"/>
    </row>
    <row r="101" spans="2:6">
      <c r="B101" s="153">
        <v>99</v>
      </c>
      <c r="C101" s="154" t="s">
        <v>179</v>
      </c>
      <c r="D101" s="155" t="s">
        <v>179</v>
      </c>
      <c r="E101" s="137"/>
      <c r="F101" s="138"/>
    </row>
    <row r="102" spans="2:6" ht="15.75" thickBot="1">
      <c r="B102" s="175">
        <v>100</v>
      </c>
      <c r="C102" s="176" t="s">
        <v>344</v>
      </c>
      <c r="D102" s="177" t="s">
        <v>178</v>
      </c>
      <c r="E102" s="151"/>
      <c r="F102" s="152"/>
    </row>
  </sheetData>
  <autoFilter ref="B2:F2" xr:uid="{D3E4EB5C-3D7B-4C5E-B30D-15B7CDC7460B}"/>
  <mergeCells count="1">
    <mergeCell ref="B1:D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0370-AFDC-4F0A-A5E0-EF69E9052E44}">
  <dimension ref="A1:H27"/>
  <sheetViews>
    <sheetView showGridLines="0" zoomScaleNormal="100" workbookViewId="0">
      <selection activeCell="G25" sqref="G25"/>
    </sheetView>
  </sheetViews>
  <sheetFormatPr baseColWidth="10" defaultRowHeight="15"/>
  <cols>
    <col min="1" max="1" width="30" bestFit="1" customWidth="1"/>
    <col min="2" max="2" width="12" bestFit="1" customWidth="1"/>
    <col min="4" max="4" width="12" bestFit="1" customWidth="1"/>
    <col min="5" max="5" width="5" bestFit="1" customWidth="1"/>
    <col min="6" max="6" width="33" bestFit="1" customWidth="1"/>
    <col min="7" max="7" width="14.42578125" bestFit="1" customWidth="1"/>
    <col min="8" max="8" width="48.28515625" bestFit="1" customWidth="1"/>
  </cols>
  <sheetData>
    <row r="1" spans="1:8">
      <c r="A1" s="4" t="s">
        <v>508</v>
      </c>
    </row>
    <row r="2" spans="1:8">
      <c r="A2" s="4" t="s">
        <v>522</v>
      </c>
    </row>
    <row r="3" spans="1:8" ht="15.75" thickBot="1">
      <c r="A3" s="4"/>
    </row>
    <row r="4" spans="1:8" ht="15.75" thickBot="1">
      <c r="A4" s="413" t="s">
        <v>504</v>
      </c>
      <c r="B4" s="414"/>
      <c r="E4" s="413" t="s">
        <v>573</v>
      </c>
      <c r="F4" s="430"/>
      <c r="G4" s="430"/>
      <c r="H4" s="430"/>
    </row>
    <row r="5" spans="1:8">
      <c r="A5" s="1" t="s">
        <v>521</v>
      </c>
      <c r="B5" s="337">
        <v>7.0000000000000001E-3</v>
      </c>
      <c r="E5" s="1" t="s">
        <v>523</v>
      </c>
      <c r="F5" s="1" t="s">
        <v>524</v>
      </c>
      <c r="G5" s="241">
        <v>0.45</v>
      </c>
      <c r="H5" s="1"/>
    </row>
    <row r="6" spans="1:8">
      <c r="A6" s="1" t="s">
        <v>496</v>
      </c>
      <c r="B6" s="242">
        <v>8.0000000000000002E-3</v>
      </c>
      <c r="E6" s="1" t="s">
        <v>25</v>
      </c>
      <c r="F6" s="1" t="s">
        <v>525</v>
      </c>
      <c r="G6" s="314">
        <v>840</v>
      </c>
      <c r="H6" s="1"/>
    </row>
    <row r="7" spans="1:8">
      <c r="A7" s="1" t="s">
        <v>495</v>
      </c>
      <c r="B7" s="242">
        <v>3.0000000000000001E-3</v>
      </c>
      <c r="E7" s="1" t="s">
        <v>526</v>
      </c>
      <c r="F7" s="1" t="s">
        <v>527</v>
      </c>
      <c r="G7" s="241">
        <v>22</v>
      </c>
      <c r="H7" s="1"/>
    </row>
    <row r="8" spans="1:8">
      <c r="A8" s="1" t="s">
        <v>507</v>
      </c>
      <c r="B8" s="333">
        <v>1.2</v>
      </c>
      <c r="C8" t="s">
        <v>506</v>
      </c>
      <c r="E8" s="1" t="s">
        <v>528</v>
      </c>
      <c r="F8" s="1" t="s">
        <v>529</v>
      </c>
      <c r="G8" s="241">
        <v>8</v>
      </c>
      <c r="H8" s="1"/>
    </row>
    <row r="9" spans="1:8">
      <c r="A9" s="1" t="s">
        <v>150</v>
      </c>
      <c r="B9" s="243">
        <v>1.2E-2</v>
      </c>
      <c r="E9" s="1" t="s">
        <v>33</v>
      </c>
      <c r="F9" s="1" t="s">
        <v>530</v>
      </c>
      <c r="G9" s="242">
        <f>4*PI()*10^-7</f>
        <v>1.2566370614359173E-6</v>
      </c>
      <c r="H9" s="1"/>
    </row>
    <row r="10" spans="1:8">
      <c r="A10" s="1" t="s">
        <v>598</v>
      </c>
      <c r="B10" s="325">
        <v>7500</v>
      </c>
      <c r="E10" s="1" t="s">
        <v>531</v>
      </c>
      <c r="F10" s="1" t="s">
        <v>532</v>
      </c>
      <c r="G10" s="230">
        <v>2</v>
      </c>
      <c r="H10" s="1"/>
    </row>
    <row r="11" spans="1:8" ht="15.75" thickBot="1">
      <c r="A11" s="1" t="s">
        <v>502</v>
      </c>
      <c r="B11" s="325">
        <v>0.2</v>
      </c>
      <c r="E11" s="1" t="s">
        <v>21</v>
      </c>
      <c r="F11" s="1" t="s">
        <v>533</v>
      </c>
      <c r="G11" s="241">
        <v>7</v>
      </c>
      <c r="H11" s="1"/>
    </row>
    <row r="12" spans="1:8" ht="15.75" thickBot="1">
      <c r="A12" s="181" t="s">
        <v>503</v>
      </c>
      <c r="B12" s="328">
        <v>1</v>
      </c>
      <c r="E12" s="182" t="s">
        <v>534</v>
      </c>
      <c r="F12" s="343" t="s">
        <v>535</v>
      </c>
      <c r="G12" s="344">
        <f>G7/G5</f>
        <v>48.888888888888886</v>
      </c>
      <c r="H12" s="345" t="s">
        <v>536</v>
      </c>
    </row>
    <row r="13" spans="1:8">
      <c r="A13" s="182" t="s">
        <v>497</v>
      </c>
      <c r="B13" s="329">
        <f>PI()*B7*(B6/2)^2</f>
        <v>1.5079644737231005E-7</v>
      </c>
      <c r="E13" s="137" t="s">
        <v>537</v>
      </c>
      <c r="F13" s="1" t="s">
        <v>538</v>
      </c>
      <c r="G13" s="340">
        <f>G6/G12</f>
        <v>17.181818181818183</v>
      </c>
      <c r="H13" s="138" t="s">
        <v>539</v>
      </c>
    </row>
    <row r="14" spans="1:8">
      <c r="A14" s="137" t="s">
        <v>498</v>
      </c>
      <c r="B14" s="330">
        <f>B13*B10</f>
        <v>1.1309733552923255E-3</v>
      </c>
      <c r="E14" s="137" t="s">
        <v>130</v>
      </c>
      <c r="F14" s="1" t="s">
        <v>540</v>
      </c>
      <c r="G14" s="339">
        <f>PI()*G15*G15</f>
        <v>194.37827259540839</v>
      </c>
      <c r="H14" s="138" t="s">
        <v>541</v>
      </c>
    </row>
    <row r="15" spans="1:8">
      <c r="A15" s="137" t="s">
        <v>499</v>
      </c>
      <c r="B15" s="331">
        <f>(B14+B9+B5)*9.81</f>
        <v>0.19748484861541774</v>
      </c>
      <c r="E15" s="137" t="s">
        <v>542</v>
      </c>
      <c r="F15" s="1" t="s">
        <v>543</v>
      </c>
      <c r="G15" s="338">
        <f>(G13*G5+G8)/2</f>
        <v>7.8659090909090912</v>
      </c>
      <c r="H15" s="138" t="s">
        <v>544</v>
      </c>
    </row>
    <row r="16" spans="1:8">
      <c r="A16" s="137" t="s">
        <v>500</v>
      </c>
      <c r="B16" s="331">
        <f>B15*B11</f>
        <v>3.9496969723083551E-2</v>
      </c>
      <c r="E16" s="137" t="s">
        <v>545</v>
      </c>
      <c r="F16" s="1" t="s">
        <v>546</v>
      </c>
      <c r="G16" s="338">
        <f>(2*G13*G5+G8)</f>
        <v>23.463636363636365</v>
      </c>
      <c r="H16" s="138" t="s">
        <v>547</v>
      </c>
    </row>
    <row r="17" spans="1:8" ht="15.75" thickBot="1">
      <c r="A17" s="151" t="s">
        <v>501</v>
      </c>
      <c r="B17" s="332">
        <f>(B14+B9+B5)*B12</f>
        <v>2.0130973355292327E-2</v>
      </c>
      <c r="E17" s="137" t="s">
        <v>548</v>
      </c>
      <c r="F17" s="1" t="s">
        <v>549</v>
      </c>
      <c r="G17" s="338">
        <f>(G16-G8)/2+G8</f>
        <v>15.731818181818182</v>
      </c>
      <c r="H17" s="138" t="s">
        <v>550</v>
      </c>
    </row>
    <row r="18" spans="1:8" ht="15.75" thickBot="1">
      <c r="E18" s="137" t="s">
        <v>551</v>
      </c>
      <c r="F18" s="1" t="s">
        <v>552</v>
      </c>
      <c r="G18" s="338">
        <f>2*PI()*G15</f>
        <v>49.422964427610339</v>
      </c>
      <c r="H18" s="138" t="s">
        <v>553</v>
      </c>
    </row>
    <row r="19" spans="1:8" ht="15.75" thickBot="1">
      <c r="A19" s="326" t="s">
        <v>505</v>
      </c>
      <c r="B19" s="327">
        <f>B15+B16+B17</f>
        <v>0.25711279169379364</v>
      </c>
      <c r="E19" s="137" t="s">
        <v>379</v>
      </c>
      <c r="F19" s="1" t="s">
        <v>554</v>
      </c>
      <c r="G19" s="341">
        <f>G18*G6/1000</f>
        <v>41.515290119192684</v>
      </c>
      <c r="H19" s="138" t="s">
        <v>555</v>
      </c>
    </row>
    <row r="20" spans="1:8">
      <c r="E20" s="137" t="s">
        <v>556</v>
      </c>
      <c r="F20" s="1" t="s">
        <v>557</v>
      </c>
      <c r="G20" s="347">
        <f>0.033*((0.812/2)*(0.812/2))/((G5/2)*(G5/2))</f>
        <v>0.10744865185185186</v>
      </c>
      <c r="H20" s="138" t="s">
        <v>558</v>
      </c>
    </row>
    <row r="21" spans="1:8">
      <c r="E21" s="137" t="s">
        <v>570</v>
      </c>
      <c r="F21" s="1" t="s">
        <v>571</v>
      </c>
      <c r="G21" s="339">
        <f>PI()*(G8/2)^2</f>
        <v>50.26548245743669</v>
      </c>
      <c r="H21" s="138" t="s">
        <v>572</v>
      </c>
    </row>
    <row r="22" spans="1:8" ht="15.75" thickBot="1">
      <c r="E22" s="37" t="s">
        <v>559</v>
      </c>
      <c r="F22" s="181" t="s">
        <v>560</v>
      </c>
      <c r="G22" s="349">
        <f>(G19/(51.05/(((G5/2)*(G5/2))*PI())))*0.45359237</f>
        <v>5.8666878370717726E-2</v>
      </c>
      <c r="H22" s="348" t="s">
        <v>561</v>
      </c>
    </row>
    <row r="23" spans="1:8">
      <c r="E23" s="182" t="s">
        <v>24</v>
      </c>
      <c r="F23" s="343" t="s">
        <v>562</v>
      </c>
      <c r="G23" s="350">
        <f>G20*G19</f>
        <v>4.4607619545457604</v>
      </c>
      <c r="H23" s="345" t="s">
        <v>563</v>
      </c>
    </row>
    <row r="24" spans="1:8">
      <c r="E24" s="137" t="s">
        <v>131</v>
      </c>
      <c r="F24" s="1" t="s">
        <v>564</v>
      </c>
      <c r="G24" s="342">
        <f>(G17*0.001*G17*0.001*G6*G6)/(G7*0.001+0.45*G17*0.001)</f>
        <v>6005.2651785263888</v>
      </c>
      <c r="H24" s="138" t="s">
        <v>565</v>
      </c>
    </row>
    <row r="25" spans="1:8">
      <c r="E25" s="137" t="s">
        <v>148</v>
      </c>
      <c r="F25" s="1" t="s">
        <v>566</v>
      </c>
      <c r="G25" s="235">
        <f>(G6*G10)*(G6*G10)*G9*G21/(2*G11*G11)</f>
        <v>1.8191654832087905</v>
      </c>
      <c r="H25" s="138" t="s">
        <v>567</v>
      </c>
    </row>
    <row r="26" spans="1:8">
      <c r="E26" s="137" t="s">
        <v>407</v>
      </c>
      <c r="F26" s="1" t="s">
        <v>405</v>
      </c>
      <c r="G26" s="236">
        <f>G10*G23</f>
        <v>8.9215239090915208</v>
      </c>
      <c r="H26" s="138" t="s">
        <v>568</v>
      </c>
    </row>
    <row r="27" spans="1:8" ht="15.75" thickBot="1">
      <c r="E27" s="151" t="s">
        <v>29</v>
      </c>
      <c r="F27" s="346" t="s">
        <v>3</v>
      </c>
      <c r="G27" s="392">
        <f>G26*G10</f>
        <v>17.843047818183042</v>
      </c>
      <c r="H27" s="152" t="s">
        <v>569</v>
      </c>
    </row>
  </sheetData>
  <mergeCells count="2">
    <mergeCell ref="A4:B4"/>
    <mergeCell ref="E4:H4"/>
  </mergeCells>
  <hyperlinks>
    <hyperlink ref="A1" r:id="rId1" xr:uid="{395EA896-34C1-46D6-B0C5-75846C026A39}"/>
    <hyperlink ref="A2" r:id="rId2" xr:uid="{AB7CD998-2E3D-4DBE-93EA-B7BEB273447C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8105-3E43-4ACD-89E2-0122864A7439}">
  <dimension ref="A1:S230"/>
  <sheetViews>
    <sheetView showGridLines="0" zoomScale="70" zoomScaleNormal="70" workbookViewId="0">
      <selection activeCell="T4" sqref="T4"/>
    </sheetView>
  </sheetViews>
  <sheetFormatPr baseColWidth="10" defaultColWidth="12.5703125" defaultRowHeight="15"/>
  <cols>
    <col min="10" max="10" width="22.28515625" bestFit="1" customWidth="1"/>
    <col min="11" max="12" width="17.85546875" bestFit="1" customWidth="1"/>
  </cols>
  <sheetData>
    <row r="1" spans="1:19">
      <c r="A1" s="4" t="s">
        <v>574</v>
      </c>
    </row>
    <row r="3" spans="1:19" ht="51.75" thickBot="1">
      <c r="D3" s="366" t="s">
        <v>575</v>
      </c>
      <c r="E3" s="367" t="s">
        <v>576</v>
      </c>
      <c r="F3" s="367" t="s">
        <v>577</v>
      </c>
      <c r="G3" s="366" t="s">
        <v>578</v>
      </c>
    </row>
    <row r="4" spans="1:19" ht="30.75" thickBot="1">
      <c r="A4" s="364" t="s">
        <v>579</v>
      </c>
      <c r="B4" s="365" t="s">
        <v>580</v>
      </c>
      <c r="C4" s="364" t="s">
        <v>581</v>
      </c>
      <c r="D4" s="364" t="s">
        <v>582</v>
      </c>
      <c r="E4" s="364" t="s">
        <v>583</v>
      </c>
      <c r="F4" s="364" t="s">
        <v>584</v>
      </c>
      <c r="G4" s="364" t="s">
        <v>585</v>
      </c>
      <c r="H4" s="364" t="s">
        <v>586</v>
      </c>
      <c r="J4" s="363" t="s">
        <v>589</v>
      </c>
      <c r="K4" s="363" t="s">
        <v>596</v>
      </c>
      <c r="L4" s="363" t="s">
        <v>597</v>
      </c>
      <c r="R4" s="391" t="s">
        <v>599</v>
      </c>
      <c r="S4" s="391" t="s">
        <v>600</v>
      </c>
    </row>
    <row r="5" spans="1:19" ht="15" customHeight="1">
      <c r="A5" s="369">
        <v>1</v>
      </c>
      <c r="B5" s="370">
        <f t="shared" ref="B5:B68" si="0">2*PI()*$K$11*A5/1000</f>
        <v>2.5132741228718346E-2</v>
      </c>
      <c r="C5" s="370">
        <f t="shared" ref="C5:C68" si="1">$L$8*B5/$J$14</f>
        <v>5.3096296296296286E-3</v>
      </c>
      <c r="D5" s="371">
        <f t="shared" ref="D5:D68" si="2">MIN($K$8,$J$8/C5)</f>
        <v>0.8</v>
      </c>
      <c r="E5" s="372">
        <f t="shared" ref="E5:E68" si="3">MIN($L$5,A5*D5*$K$5*$J$5/($L$11*10^-3))</f>
        <v>1.1926628110355434E-4</v>
      </c>
      <c r="F5" s="372">
        <f t="shared" ref="F5:F68" si="4">E5^2*PI()*($K$11/1000)^2/(2*$K$5)</f>
        <v>2.8448891616544079E-7</v>
      </c>
      <c r="G5" s="372">
        <f t="shared" ref="G5:G54" si="5">D5^2*C5</f>
        <v>3.398162962962963E-3</v>
      </c>
      <c r="H5" s="371">
        <f t="shared" ref="H5:H54" si="6">F5/10*1000</f>
        <v>2.8448891616544081E-5</v>
      </c>
      <c r="J5" s="368">
        <v>2.61</v>
      </c>
      <c r="K5" s="368">
        <f>4*PI()*10^-7</f>
        <v>1.2566370614359173E-6</v>
      </c>
      <c r="L5" s="387">
        <v>2</v>
      </c>
      <c r="R5" s="369">
        <v>0</v>
      </c>
      <c r="S5" s="370">
        <f>R5/$K$14</f>
        <v>0</v>
      </c>
    </row>
    <row r="6" spans="1:19" ht="15" customHeight="1" thickBot="1">
      <c r="A6" s="369">
        <v>5</v>
      </c>
      <c r="B6" s="370">
        <f t="shared" si="0"/>
        <v>0.12566370614359174</v>
      </c>
      <c r="C6" s="370">
        <f t="shared" si="1"/>
        <v>2.6548148148148144E-2</v>
      </c>
      <c r="D6" s="371">
        <f t="shared" si="2"/>
        <v>0.8</v>
      </c>
      <c r="E6" s="372">
        <f t="shared" si="3"/>
        <v>5.9633140551777167E-4</v>
      </c>
      <c r="F6" s="372">
        <f t="shared" si="4"/>
        <v>7.1122229041360203E-6</v>
      </c>
      <c r="G6" s="372">
        <f t="shared" si="5"/>
        <v>1.6990814814814816E-2</v>
      </c>
      <c r="H6" s="371">
        <f t="shared" si="6"/>
        <v>7.1122229041360198E-4</v>
      </c>
      <c r="R6" s="369">
        <v>0.1</v>
      </c>
      <c r="S6" s="370">
        <f t="shared" ref="S6:S45" si="7">R6/$K$14</f>
        <v>0.05</v>
      </c>
    </row>
    <row r="7" spans="1:19" ht="15" customHeight="1" thickBot="1">
      <c r="A7" s="369">
        <v>10</v>
      </c>
      <c r="B7" s="370">
        <f t="shared" si="0"/>
        <v>0.25132741228718347</v>
      </c>
      <c r="C7" s="370">
        <f t="shared" si="1"/>
        <v>5.3096296296296287E-2</v>
      </c>
      <c r="D7" s="371">
        <f t="shared" si="2"/>
        <v>0.8</v>
      </c>
      <c r="E7" s="372">
        <f t="shared" si="3"/>
        <v>1.1926628110355433E-3</v>
      </c>
      <c r="F7" s="372">
        <f t="shared" si="4"/>
        <v>2.8448891616544081E-5</v>
      </c>
      <c r="G7" s="372">
        <f t="shared" si="5"/>
        <v>3.3981629629629632E-2</v>
      </c>
      <c r="H7" s="371">
        <f t="shared" si="6"/>
        <v>2.8448891616544079E-3</v>
      </c>
      <c r="J7" s="361" t="s">
        <v>405</v>
      </c>
      <c r="K7" s="362" t="s">
        <v>595</v>
      </c>
      <c r="L7" s="334" t="s">
        <v>590</v>
      </c>
      <c r="R7" s="369">
        <v>0.2</v>
      </c>
      <c r="S7" s="370">
        <f t="shared" si="7"/>
        <v>0.1</v>
      </c>
    </row>
    <row r="8" spans="1:19" ht="15" customHeight="1">
      <c r="A8" s="369">
        <v>20</v>
      </c>
      <c r="B8" s="370">
        <f t="shared" si="0"/>
        <v>0.50265482457436694</v>
      </c>
      <c r="C8" s="370">
        <f t="shared" si="1"/>
        <v>0.10619259259259257</v>
      </c>
      <c r="D8" s="371">
        <f t="shared" si="2"/>
        <v>0.8</v>
      </c>
      <c r="E8" s="372">
        <f t="shared" si="3"/>
        <v>2.3853256220710867E-3</v>
      </c>
      <c r="F8" s="372">
        <f t="shared" si="4"/>
        <v>1.1379556646617632E-4</v>
      </c>
      <c r="G8" s="372">
        <f t="shared" si="5"/>
        <v>6.7963259259259265E-2</v>
      </c>
      <c r="H8" s="371">
        <f t="shared" si="6"/>
        <v>1.1379556646617632E-2</v>
      </c>
      <c r="J8" s="355">
        <v>20</v>
      </c>
      <c r="K8" s="353">
        <v>0.8</v>
      </c>
      <c r="L8" s="388">
        <v>3.3599999999999998E-2</v>
      </c>
      <c r="R8" s="369">
        <v>0.3</v>
      </c>
      <c r="S8" s="370">
        <f t="shared" si="7"/>
        <v>0.15</v>
      </c>
    </row>
    <row r="9" spans="1:19" ht="15" customHeight="1" thickBot="1">
      <c r="A9" s="369">
        <v>30</v>
      </c>
      <c r="B9" s="370">
        <f t="shared" si="0"/>
        <v>0.7539822368615503</v>
      </c>
      <c r="C9" s="370">
        <f t="shared" si="1"/>
        <v>0.15928888888888887</v>
      </c>
      <c r="D9" s="371">
        <f t="shared" si="2"/>
        <v>0.8</v>
      </c>
      <c r="E9" s="372">
        <f t="shared" si="3"/>
        <v>3.5779884331066298E-3</v>
      </c>
      <c r="F9" s="372">
        <f t="shared" si="4"/>
        <v>2.5604002454889668E-4</v>
      </c>
      <c r="G9" s="372">
        <f t="shared" si="5"/>
        <v>0.10194488888888889</v>
      </c>
      <c r="H9" s="371">
        <f t="shared" si="6"/>
        <v>2.5604002454889668E-2</v>
      </c>
      <c r="M9" t="s">
        <v>591</v>
      </c>
      <c r="R9" s="369">
        <v>0.4</v>
      </c>
      <c r="S9" s="370">
        <f t="shared" si="7"/>
        <v>0.2</v>
      </c>
    </row>
    <row r="10" spans="1:19" ht="15" customHeight="1" thickBot="1">
      <c r="A10" s="369">
        <v>40</v>
      </c>
      <c r="B10" s="370">
        <f t="shared" si="0"/>
        <v>1.0053096491487339</v>
      </c>
      <c r="C10" s="370">
        <f t="shared" si="1"/>
        <v>0.21238518518518515</v>
      </c>
      <c r="D10" s="371">
        <f t="shared" si="2"/>
        <v>0.8</v>
      </c>
      <c r="E10" s="372">
        <f t="shared" si="3"/>
        <v>4.7706512441421734E-3</v>
      </c>
      <c r="F10" s="372">
        <f t="shared" si="4"/>
        <v>4.551822658647053E-4</v>
      </c>
      <c r="G10" s="372">
        <f t="shared" si="5"/>
        <v>0.13592651851851853</v>
      </c>
      <c r="H10" s="371">
        <f t="shared" si="6"/>
        <v>4.5518226586470527E-2</v>
      </c>
      <c r="J10" s="358" t="s">
        <v>592</v>
      </c>
      <c r="K10" s="359" t="s">
        <v>593</v>
      </c>
      <c r="L10" s="360" t="s">
        <v>594</v>
      </c>
      <c r="R10" s="369">
        <v>0.5</v>
      </c>
      <c r="S10" s="370">
        <f t="shared" si="7"/>
        <v>0.25</v>
      </c>
    </row>
    <row r="11" spans="1:19" ht="15" customHeight="1">
      <c r="A11" s="369">
        <v>50</v>
      </c>
      <c r="B11" s="370">
        <f t="shared" si="0"/>
        <v>1.2566370614359172</v>
      </c>
      <c r="C11" s="370">
        <f t="shared" si="1"/>
        <v>0.26548148148148143</v>
      </c>
      <c r="D11" s="371">
        <f t="shared" si="2"/>
        <v>0.8</v>
      </c>
      <c r="E11" s="372">
        <f t="shared" si="3"/>
        <v>5.9633140551777165E-3</v>
      </c>
      <c r="F11" s="372">
        <f t="shared" si="4"/>
        <v>7.1122229041360198E-4</v>
      </c>
      <c r="G11" s="372">
        <f t="shared" si="5"/>
        <v>0.16990814814814814</v>
      </c>
      <c r="H11" s="371">
        <f t="shared" si="6"/>
        <v>7.1122229041360188E-2</v>
      </c>
      <c r="J11" s="354">
        <f>0.45/2</f>
        <v>0.22500000000000001</v>
      </c>
      <c r="K11" s="354">
        <f>8/2</f>
        <v>4</v>
      </c>
      <c r="L11" s="354">
        <v>22</v>
      </c>
      <c r="R11" s="369">
        <v>0.6</v>
      </c>
      <c r="S11" s="370">
        <f t="shared" si="7"/>
        <v>0.3</v>
      </c>
    </row>
    <row r="12" spans="1:19" ht="15" customHeight="1" thickBot="1">
      <c r="A12" s="369">
        <v>60</v>
      </c>
      <c r="B12" s="370">
        <f t="shared" si="0"/>
        <v>1.5079644737231006</v>
      </c>
      <c r="C12" s="370">
        <f t="shared" si="1"/>
        <v>0.31857777777777774</v>
      </c>
      <c r="D12" s="371">
        <f t="shared" si="2"/>
        <v>0.8</v>
      </c>
      <c r="E12" s="372">
        <f t="shared" si="3"/>
        <v>7.1559768662132596E-3</v>
      </c>
      <c r="F12" s="372">
        <f t="shared" si="4"/>
        <v>1.0241600981955867E-3</v>
      </c>
      <c r="G12" s="372">
        <f t="shared" si="5"/>
        <v>0.20388977777777778</v>
      </c>
      <c r="H12" s="371">
        <f t="shared" si="6"/>
        <v>0.10241600981955867</v>
      </c>
      <c r="R12" s="369">
        <v>0.7</v>
      </c>
      <c r="S12" s="370">
        <f t="shared" si="7"/>
        <v>0.35</v>
      </c>
    </row>
    <row r="13" spans="1:19" ht="15" customHeight="1" thickBot="1">
      <c r="A13" s="369">
        <v>70</v>
      </c>
      <c r="B13" s="370">
        <f t="shared" si="0"/>
        <v>1.7592918860102842</v>
      </c>
      <c r="C13" s="370">
        <f t="shared" si="1"/>
        <v>0.37167407407407405</v>
      </c>
      <c r="D13" s="371">
        <f t="shared" si="2"/>
        <v>0.8</v>
      </c>
      <c r="E13" s="372">
        <f t="shared" si="3"/>
        <v>8.3486396772488036E-3</v>
      </c>
      <c r="F13" s="372">
        <f t="shared" si="4"/>
        <v>1.3939956892106598E-3</v>
      </c>
      <c r="G13" s="372">
        <f t="shared" si="5"/>
        <v>0.23787140740740745</v>
      </c>
      <c r="H13" s="371">
        <f t="shared" si="6"/>
        <v>0.13939956892106597</v>
      </c>
      <c r="J13" s="356" t="s">
        <v>587</v>
      </c>
      <c r="K13" s="390" t="s">
        <v>601</v>
      </c>
      <c r="L13" s="357" t="s">
        <v>588</v>
      </c>
      <c r="R13" s="369">
        <v>0.8</v>
      </c>
      <c r="S13" s="370">
        <f t="shared" si="7"/>
        <v>0.4</v>
      </c>
    </row>
    <row r="14" spans="1:19" ht="15" customHeight="1">
      <c r="A14" s="369">
        <v>80</v>
      </c>
      <c r="B14" s="370">
        <f t="shared" si="0"/>
        <v>2.0106192982974678</v>
      </c>
      <c r="C14" s="370">
        <f t="shared" si="1"/>
        <v>0.4247703703703703</v>
      </c>
      <c r="D14" s="371">
        <f t="shared" si="2"/>
        <v>0.8</v>
      </c>
      <c r="E14" s="372">
        <f t="shared" si="3"/>
        <v>9.5413024882843468E-3</v>
      </c>
      <c r="F14" s="372">
        <f t="shared" si="4"/>
        <v>1.8207290634588212E-3</v>
      </c>
      <c r="G14" s="372">
        <f t="shared" si="5"/>
        <v>0.27185303703703706</v>
      </c>
      <c r="H14" s="371">
        <f t="shared" si="6"/>
        <v>0.18207290634588211</v>
      </c>
      <c r="J14" s="351">
        <f>PI()*J11^2</f>
        <v>0.15904312808798329</v>
      </c>
      <c r="K14" s="352">
        <v>2</v>
      </c>
      <c r="L14" s="353">
        <f>J14*K14</f>
        <v>0.31808625617596659</v>
      </c>
      <c r="R14" s="369">
        <v>0.9</v>
      </c>
      <c r="S14" s="370">
        <f t="shared" si="7"/>
        <v>0.45</v>
      </c>
    </row>
    <row r="15" spans="1:19" ht="15" customHeight="1">
      <c r="A15" s="369">
        <v>90</v>
      </c>
      <c r="B15" s="370">
        <f t="shared" si="0"/>
        <v>2.2619467105846511</v>
      </c>
      <c r="C15" s="370">
        <f t="shared" si="1"/>
        <v>0.47786666666666666</v>
      </c>
      <c r="D15" s="371">
        <f t="shared" si="2"/>
        <v>0.8</v>
      </c>
      <c r="E15" s="372">
        <f t="shared" si="3"/>
        <v>1.073396529931989E-2</v>
      </c>
      <c r="F15" s="372">
        <f t="shared" si="4"/>
        <v>2.3043602209400706E-3</v>
      </c>
      <c r="G15" s="372">
        <f t="shared" si="5"/>
        <v>0.3058346666666667</v>
      </c>
      <c r="H15" s="371">
        <f t="shared" si="6"/>
        <v>0.23043602209400707</v>
      </c>
      <c r="R15" s="369">
        <v>1</v>
      </c>
      <c r="S15" s="370">
        <f t="shared" si="7"/>
        <v>0.5</v>
      </c>
    </row>
    <row r="16" spans="1:19" ht="15" customHeight="1">
      <c r="A16" s="369">
        <v>100</v>
      </c>
      <c r="B16" s="370">
        <f t="shared" si="0"/>
        <v>2.5132741228718345</v>
      </c>
      <c r="C16" s="370">
        <f t="shared" si="1"/>
        <v>0.53096296296296286</v>
      </c>
      <c r="D16" s="371">
        <f t="shared" si="2"/>
        <v>0.8</v>
      </c>
      <c r="E16" s="372">
        <f t="shared" si="3"/>
        <v>1.1926628110355433E-2</v>
      </c>
      <c r="F16" s="372">
        <f t="shared" si="4"/>
        <v>2.8448891616544079E-3</v>
      </c>
      <c r="G16" s="372">
        <f t="shared" si="5"/>
        <v>0.33981629629629628</v>
      </c>
      <c r="H16" s="371">
        <f t="shared" si="6"/>
        <v>0.28448891616544075</v>
      </c>
      <c r="R16" s="369">
        <v>1.1000000000000001</v>
      </c>
      <c r="S16" s="370">
        <f t="shared" si="7"/>
        <v>0.55000000000000004</v>
      </c>
    </row>
    <row r="17" spans="1:19" ht="15" customHeight="1">
      <c r="A17" s="369">
        <v>150</v>
      </c>
      <c r="B17" s="370">
        <f t="shared" si="0"/>
        <v>3.7699111843077517</v>
      </c>
      <c r="C17" s="370">
        <f t="shared" si="1"/>
        <v>0.79644444444444429</v>
      </c>
      <c r="D17" s="371">
        <f t="shared" si="2"/>
        <v>0.8</v>
      </c>
      <c r="E17" s="372">
        <f t="shared" si="3"/>
        <v>1.7889942165533149E-2</v>
      </c>
      <c r="F17" s="372">
        <f t="shared" si="4"/>
        <v>6.4010006137224171E-3</v>
      </c>
      <c r="G17" s="372">
        <f t="shared" si="5"/>
        <v>0.50972444444444442</v>
      </c>
      <c r="H17" s="371">
        <f t="shared" si="6"/>
        <v>0.64010006137224174</v>
      </c>
      <c r="L17" s="334"/>
      <c r="R17" s="369">
        <v>1.2</v>
      </c>
      <c r="S17" s="370">
        <f t="shared" si="7"/>
        <v>0.6</v>
      </c>
    </row>
    <row r="18" spans="1:19" ht="15" customHeight="1">
      <c r="A18" s="369">
        <v>200</v>
      </c>
      <c r="B18" s="370">
        <f t="shared" si="0"/>
        <v>5.026548245743669</v>
      </c>
      <c r="C18" s="370">
        <f t="shared" si="1"/>
        <v>1.0619259259259257</v>
      </c>
      <c r="D18" s="371">
        <f t="shared" si="2"/>
        <v>0.8</v>
      </c>
      <c r="E18" s="372">
        <f t="shared" si="3"/>
        <v>2.3853256220710866E-2</v>
      </c>
      <c r="F18" s="372">
        <f t="shared" si="4"/>
        <v>1.1379556646617632E-2</v>
      </c>
      <c r="G18" s="372">
        <f t="shared" si="5"/>
        <v>0.67963259259259257</v>
      </c>
      <c r="H18" s="371">
        <f t="shared" si="6"/>
        <v>1.137955664661763</v>
      </c>
      <c r="J18" s="334"/>
      <c r="K18" s="334"/>
      <c r="L18" s="334"/>
      <c r="R18" s="369">
        <v>1.3</v>
      </c>
      <c r="S18" s="370">
        <f t="shared" si="7"/>
        <v>0.65</v>
      </c>
    </row>
    <row r="19" spans="1:19" ht="15" customHeight="1">
      <c r="A19" s="369">
        <v>250</v>
      </c>
      <c r="B19" s="370">
        <f t="shared" si="0"/>
        <v>6.2831853071795862</v>
      </c>
      <c r="C19" s="370">
        <f t="shared" si="1"/>
        <v>1.3274074074074071</v>
      </c>
      <c r="D19" s="371">
        <f t="shared" si="2"/>
        <v>0.8</v>
      </c>
      <c r="E19" s="372">
        <f t="shared" si="3"/>
        <v>2.9816570275888583E-2</v>
      </c>
      <c r="F19" s="372">
        <f t="shared" si="4"/>
        <v>1.7780557260340051E-2</v>
      </c>
      <c r="G19" s="372">
        <f t="shared" si="5"/>
        <v>0.84954074074074071</v>
      </c>
      <c r="H19" s="371">
        <f t="shared" si="6"/>
        <v>1.7780557260340051</v>
      </c>
      <c r="R19" s="369">
        <v>1.4</v>
      </c>
      <c r="S19" s="370">
        <f t="shared" si="7"/>
        <v>0.7</v>
      </c>
    </row>
    <row r="20" spans="1:19" ht="15" customHeight="1">
      <c r="A20" s="369">
        <v>300</v>
      </c>
      <c r="B20" s="370">
        <f t="shared" si="0"/>
        <v>7.5398223686155035</v>
      </c>
      <c r="C20" s="370">
        <f t="shared" si="1"/>
        <v>1.5928888888888886</v>
      </c>
      <c r="D20" s="371">
        <f t="shared" si="2"/>
        <v>0.8</v>
      </c>
      <c r="E20" s="372">
        <f t="shared" si="3"/>
        <v>3.5779884331066297E-2</v>
      </c>
      <c r="F20" s="372">
        <f t="shared" si="4"/>
        <v>2.5604002454889668E-2</v>
      </c>
      <c r="G20" s="372">
        <f t="shared" si="5"/>
        <v>1.0194488888888888</v>
      </c>
      <c r="H20" s="371">
        <f t="shared" si="6"/>
        <v>2.5604002454889669</v>
      </c>
      <c r="R20" s="369">
        <v>1.5</v>
      </c>
      <c r="S20" s="370">
        <f t="shared" si="7"/>
        <v>0.75</v>
      </c>
    </row>
    <row r="21" spans="1:19" ht="15" customHeight="1">
      <c r="A21" s="369">
        <v>350</v>
      </c>
      <c r="B21" s="370">
        <f t="shared" si="0"/>
        <v>8.7964594300514207</v>
      </c>
      <c r="C21" s="370">
        <f t="shared" si="1"/>
        <v>1.8583703703703702</v>
      </c>
      <c r="D21" s="371">
        <f t="shared" si="2"/>
        <v>0.8</v>
      </c>
      <c r="E21" s="372">
        <f t="shared" si="3"/>
        <v>4.1743198386244018E-2</v>
      </c>
      <c r="F21" s="372">
        <f t="shared" si="4"/>
        <v>3.4849892230266501E-2</v>
      </c>
      <c r="G21" s="372">
        <f t="shared" si="5"/>
        <v>1.1893570370370372</v>
      </c>
      <c r="H21" s="371">
        <f t="shared" si="6"/>
        <v>3.4849892230266502</v>
      </c>
      <c r="R21" s="369">
        <v>1.6</v>
      </c>
      <c r="S21" s="370">
        <f t="shared" si="7"/>
        <v>0.8</v>
      </c>
    </row>
    <row r="22" spans="1:19" ht="15" customHeight="1">
      <c r="A22" s="369">
        <v>400</v>
      </c>
      <c r="B22" s="370">
        <f t="shared" si="0"/>
        <v>10.053096491487338</v>
      </c>
      <c r="C22" s="370">
        <f t="shared" si="1"/>
        <v>2.1238518518518514</v>
      </c>
      <c r="D22" s="371">
        <f t="shared" si="2"/>
        <v>0.8</v>
      </c>
      <c r="E22" s="372">
        <f t="shared" si="3"/>
        <v>4.7706512441421732E-2</v>
      </c>
      <c r="F22" s="372">
        <f t="shared" si="4"/>
        <v>4.5518226586470527E-2</v>
      </c>
      <c r="G22" s="372">
        <f t="shared" si="5"/>
        <v>1.3592651851851851</v>
      </c>
      <c r="H22" s="371">
        <f t="shared" si="6"/>
        <v>4.551822658647052</v>
      </c>
      <c r="R22" s="369">
        <v>1.7</v>
      </c>
      <c r="S22" s="370">
        <f t="shared" si="7"/>
        <v>0.85</v>
      </c>
    </row>
    <row r="23" spans="1:19" ht="15" customHeight="1">
      <c r="A23" s="369">
        <v>450</v>
      </c>
      <c r="B23" s="370">
        <f t="shared" si="0"/>
        <v>11.309733552923255</v>
      </c>
      <c r="C23" s="370">
        <f t="shared" si="1"/>
        <v>2.3893333333333326</v>
      </c>
      <c r="D23" s="371">
        <f t="shared" si="2"/>
        <v>0.8</v>
      </c>
      <c r="E23" s="372">
        <f t="shared" si="3"/>
        <v>5.3669826496599446E-2</v>
      </c>
      <c r="F23" s="372">
        <f t="shared" si="4"/>
        <v>5.7609005523501761E-2</v>
      </c>
      <c r="G23" s="372">
        <f t="shared" si="5"/>
        <v>1.5291733333333333</v>
      </c>
      <c r="H23" s="371">
        <f t="shared" si="6"/>
        <v>5.7609005523501766</v>
      </c>
      <c r="R23" s="369">
        <v>1.8</v>
      </c>
      <c r="S23" s="370">
        <f t="shared" si="7"/>
        <v>0.9</v>
      </c>
    </row>
    <row r="24" spans="1:19" ht="15" customHeight="1">
      <c r="A24" s="369">
        <v>500</v>
      </c>
      <c r="B24" s="370">
        <f t="shared" si="0"/>
        <v>12.566370614359172</v>
      </c>
      <c r="C24" s="370">
        <f t="shared" si="1"/>
        <v>2.6548148148148143</v>
      </c>
      <c r="D24" s="371">
        <f t="shared" si="2"/>
        <v>0.8</v>
      </c>
      <c r="E24" s="372">
        <f t="shared" si="3"/>
        <v>5.9633140551777167E-2</v>
      </c>
      <c r="F24" s="372">
        <f t="shared" si="4"/>
        <v>7.1122229041360202E-2</v>
      </c>
      <c r="G24" s="372">
        <f t="shared" si="5"/>
        <v>1.6990814814814814</v>
      </c>
      <c r="H24" s="371">
        <f t="shared" si="6"/>
        <v>7.1122229041360203</v>
      </c>
      <c r="R24" s="369">
        <v>1.9</v>
      </c>
      <c r="S24" s="370">
        <f t="shared" si="7"/>
        <v>0.95</v>
      </c>
    </row>
    <row r="25" spans="1:19">
      <c r="A25" s="369">
        <v>600</v>
      </c>
      <c r="B25" s="370">
        <f t="shared" si="0"/>
        <v>15.079644737231007</v>
      </c>
      <c r="C25" s="370">
        <f t="shared" si="1"/>
        <v>3.1857777777777772</v>
      </c>
      <c r="D25" s="371">
        <f t="shared" si="2"/>
        <v>0.8</v>
      </c>
      <c r="E25" s="372">
        <f t="shared" si="3"/>
        <v>7.1559768662132595E-2</v>
      </c>
      <c r="F25" s="372">
        <f t="shared" si="4"/>
        <v>0.10241600981955867</v>
      </c>
      <c r="G25" s="372">
        <f t="shared" si="5"/>
        <v>2.0388977777777777</v>
      </c>
      <c r="H25" s="371">
        <f t="shared" si="6"/>
        <v>10.241600981955868</v>
      </c>
      <c r="R25" s="369">
        <v>2</v>
      </c>
      <c r="S25" s="370">
        <f t="shared" si="7"/>
        <v>1</v>
      </c>
    </row>
    <row r="26" spans="1:19" ht="15.75" thickBot="1">
      <c r="A26" s="373">
        <v>700</v>
      </c>
      <c r="B26" s="374">
        <f t="shared" si="0"/>
        <v>17.592918860102841</v>
      </c>
      <c r="C26" s="374">
        <f t="shared" si="1"/>
        <v>3.7167407407407405</v>
      </c>
      <c r="D26" s="375">
        <f t="shared" si="2"/>
        <v>0.8</v>
      </c>
      <c r="E26" s="376">
        <f t="shared" si="3"/>
        <v>8.3486396772488036E-2</v>
      </c>
      <c r="F26" s="376">
        <f t="shared" si="4"/>
        <v>0.139399568921066</v>
      </c>
      <c r="G26" s="376">
        <f t="shared" si="5"/>
        <v>2.3787140740740744</v>
      </c>
      <c r="H26" s="375">
        <f t="shared" si="6"/>
        <v>13.939956892106601</v>
      </c>
      <c r="R26" s="369">
        <v>2.1</v>
      </c>
      <c r="S26" s="370">
        <f t="shared" si="7"/>
        <v>1.05</v>
      </c>
    </row>
    <row r="27" spans="1:19" ht="15.75" thickBot="1">
      <c r="A27" s="385">
        <v>840</v>
      </c>
      <c r="B27" s="386">
        <f t="shared" si="0"/>
        <v>21.111502632123411</v>
      </c>
      <c r="C27" s="381">
        <f t="shared" si="1"/>
        <v>4.4600888888888885</v>
      </c>
      <c r="D27" s="382">
        <f t="shared" si="2"/>
        <v>0.8</v>
      </c>
      <c r="E27" s="383">
        <f t="shared" si="3"/>
        <v>0.10018367612698563</v>
      </c>
      <c r="F27" s="383">
        <f t="shared" si="4"/>
        <v>0.200735379246335</v>
      </c>
      <c r="G27" s="383">
        <f t="shared" si="5"/>
        <v>2.854456888888889</v>
      </c>
      <c r="H27" s="384">
        <f t="shared" si="6"/>
        <v>20.073537924633502</v>
      </c>
      <c r="R27" s="369">
        <v>2.2000000000000002</v>
      </c>
      <c r="S27" s="370">
        <f t="shared" si="7"/>
        <v>1.1000000000000001</v>
      </c>
    </row>
    <row r="28" spans="1:19">
      <c r="A28" s="377">
        <v>900</v>
      </c>
      <c r="B28" s="378">
        <f t="shared" si="0"/>
        <v>22.61946710584651</v>
      </c>
      <c r="C28" s="378">
        <f t="shared" si="1"/>
        <v>4.7786666666666653</v>
      </c>
      <c r="D28" s="379">
        <f t="shared" si="2"/>
        <v>0.8</v>
      </c>
      <c r="E28" s="380">
        <f t="shared" si="3"/>
        <v>0.10733965299319889</v>
      </c>
      <c r="F28" s="380">
        <f t="shared" si="4"/>
        <v>0.23043602209400704</v>
      </c>
      <c r="G28" s="380">
        <f t="shared" si="5"/>
        <v>3.0583466666666665</v>
      </c>
      <c r="H28" s="379">
        <f t="shared" si="6"/>
        <v>23.043602209400706</v>
      </c>
      <c r="R28" s="369">
        <v>2.2999999999999998</v>
      </c>
      <c r="S28" s="370">
        <f t="shared" si="7"/>
        <v>1.1499999999999999</v>
      </c>
    </row>
    <row r="29" spans="1:19">
      <c r="A29" s="369">
        <v>1000</v>
      </c>
      <c r="B29" s="370">
        <f t="shared" si="0"/>
        <v>25.132741228718345</v>
      </c>
      <c r="C29" s="370">
        <f t="shared" si="1"/>
        <v>5.3096296296296286</v>
      </c>
      <c r="D29" s="371">
        <f t="shared" si="2"/>
        <v>0.8</v>
      </c>
      <c r="E29" s="372">
        <f t="shared" si="3"/>
        <v>0.11926628110355433</v>
      </c>
      <c r="F29" s="372">
        <f t="shared" si="4"/>
        <v>0.28448891616544081</v>
      </c>
      <c r="G29" s="372">
        <f t="shared" si="5"/>
        <v>3.3981629629629628</v>
      </c>
      <c r="H29" s="371">
        <f t="shared" si="6"/>
        <v>28.448891616544081</v>
      </c>
      <c r="R29" s="369">
        <v>2.4</v>
      </c>
      <c r="S29" s="370">
        <f t="shared" si="7"/>
        <v>1.2</v>
      </c>
    </row>
    <row r="30" spans="1:19">
      <c r="A30" s="369">
        <v>1100</v>
      </c>
      <c r="B30" s="370">
        <f t="shared" si="0"/>
        <v>27.646015351590179</v>
      </c>
      <c r="C30" s="370">
        <f t="shared" si="1"/>
        <v>5.8405925925925919</v>
      </c>
      <c r="D30" s="371">
        <f t="shared" si="2"/>
        <v>0.8</v>
      </c>
      <c r="E30" s="372">
        <f t="shared" si="3"/>
        <v>0.13119290921390975</v>
      </c>
      <c r="F30" s="372">
        <f t="shared" si="4"/>
        <v>0.34423158856018321</v>
      </c>
      <c r="G30" s="372">
        <f t="shared" si="5"/>
        <v>3.7379792592592596</v>
      </c>
      <c r="H30" s="371">
        <f t="shared" si="6"/>
        <v>34.423158856018318</v>
      </c>
      <c r="R30" s="369">
        <v>2.5</v>
      </c>
      <c r="S30" s="370">
        <f t="shared" si="7"/>
        <v>1.25</v>
      </c>
    </row>
    <row r="31" spans="1:19">
      <c r="A31" s="369">
        <v>1200</v>
      </c>
      <c r="B31" s="370">
        <f t="shared" si="0"/>
        <v>30.159289474462014</v>
      </c>
      <c r="C31" s="370">
        <f t="shared" si="1"/>
        <v>6.3715555555555543</v>
      </c>
      <c r="D31" s="371">
        <f t="shared" si="2"/>
        <v>0.8</v>
      </c>
      <c r="E31" s="372">
        <f t="shared" si="3"/>
        <v>0.14311953732426519</v>
      </c>
      <c r="F31" s="372">
        <f t="shared" si="4"/>
        <v>0.40966403927823469</v>
      </c>
      <c r="G31" s="372">
        <f t="shared" si="5"/>
        <v>4.0777955555555554</v>
      </c>
      <c r="H31" s="371">
        <f t="shared" si="6"/>
        <v>40.966403927823471</v>
      </c>
      <c r="R31" s="369">
        <v>2.6</v>
      </c>
      <c r="S31" s="370">
        <f t="shared" si="7"/>
        <v>1.3</v>
      </c>
    </row>
    <row r="32" spans="1:19">
      <c r="A32" s="369">
        <v>1300</v>
      </c>
      <c r="B32" s="370">
        <f t="shared" si="0"/>
        <v>32.672563597333848</v>
      </c>
      <c r="C32" s="370">
        <f t="shared" si="1"/>
        <v>6.9025185185185176</v>
      </c>
      <c r="D32" s="371">
        <f t="shared" si="2"/>
        <v>0.8</v>
      </c>
      <c r="E32" s="372">
        <f t="shared" si="3"/>
        <v>0.15504616543462063</v>
      </c>
      <c r="F32" s="372">
        <f t="shared" si="4"/>
        <v>0.48078626831959498</v>
      </c>
      <c r="G32" s="372">
        <f t="shared" si="5"/>
        <v>4.4176118518518521</v>
      </c>
      <c r="H32" s="371">
        <f t="shared" si="6"/>
        <v>48.078626831959504</v>
      </c>
      <c r="R32" s="369">
        <v>2.7</v>
      </c>
      <c r="S32" s="370">
        <f t="shared" si="7"/>
        <v>1.35</v>
      </c>
    </row>
    <row r="33" spans="1:19">
      <c r="A33" s="369">
        <v>1400</v>
      </c>
      <c r="B33" s="370">
        <f t="shared" si="0"/>
        <v>35.185837720205683</v>
      </c>
      <c r="C33" s="370">
        <f t="shared" si="1"/>
        <v>7.4334814814814809</v>
      </c>
      <c r="D33" s="371">
        <f t="shared" si="2"/>
        <v>0.8</v>
      </c>
      <c r="E33" s="372">
        <f t="shared" si="3"/>
        <v>0.16697279354497607</v>
      </c>
      <c r="F33" s="372">
        <f t="shared" si="4"/>
        <v>0.55759827568426401</v>
      </c>
      <c r="G33" s="372">
        <f t="shared" si="5"/>
        <v>4.7574281481481488</v>
      </c>
      <c r="H33" s="371">
        <f t="shared" si="6"/>
        <v>55.759827568426402</v>
      </c>
      <c r="R33" s="369">
        <v>2.8</v>
      </c>
      <c r="S33" s="370">
        <f t="shared" si="7"/>
        <v>1.4</v>
      </c>
    </row>
    <row r="34" spans="1:19">
      <c r="A34" s="369">
        <v>1500</v>
      </c>
      <c r="B34" s="370">
        <f t="shared" si="0"/>
        <v>37.699111843077517</v>
      </c>
      <c r="C34" s="370">
        <f t="shared" si="1"/>
        <v>7.9644444444444433</v>
      </c>
      <c r="D34" s="371">
        <f t="shared" si="2"/>
        <v>0.8</v>
      </c>
      <c r="E34" s="372">
        <f t="shared" si="3"/>
        <v>0.17889942165533151</v>
      </c>
      <c r="F34" s="372">
        <f t="shared" si="4"/>
        <v>0.64010006137224196</v>
      </c>
      <c r="G34" s="372">
        <f t="shared" si="5"/>
        <v>5.0972444444444447</v>
      </c>
      <c r="H34" s="371">
        <f t="shared" si="6"/>
        <v>64.010006137224195</v>
      </c>
      <c r="R34" s="369">
        <v>2.9</v>
      </c>
      <c r="S34" s="370">
        <f t="shared" si="7"/>
        <v>1.45</v>
      </c>
    </row>
    <row r="35" spans="1:19">
      <c r="A35" s="369">
        <v>1600</v>
      </c>
      <c r="B35" s="370">
        <f t="shared" si="0"/>
        <v>40.212385965949352</v>
      </c>
      <c r="C35" s="370">
        <f t="shared" si="1"/>
        <v>8.4954074074074057</v>
      </c>
      <c r="D35" s="371">
        <f t="shared" si="2"/>
        <v>0.8</v>
      </c>
      <c r="E35" s="372">
        <f t="shared" si="3"/>
        <v>0.19082604976568693</v>
      </c>
      <c r="F35" s="372">
        <f t="shared" si="4"/>
        <v>0.72829162538352843</v>
      </c>
      <c r="G35" s="372">
        <f t="shared" si="5"/>
        <v>5.4370607407407405</v>
      </c>
      <c r="H35" s="371">
        <f t="shared" si="6"/>
        <v>72.829162538352833</v>
      </c>
      <c r="R35" s="369">
        <v>3</v>
      </c>
      <c r="S35" s="370">
        <f t="shared" si="7"/>
        <v>1.5</v>
      </c>
    </row>
    <row r="36" spans="1:19">
      <c r="A36" s="369">
        <v>1700</v>
      </c>
      <c r="B36" s="370">
        <f t="shared" si="0"/>
        <v>42.725660088821186</v>
      </c>
      <c r="C36" s="370">
        <f t="shared" si="1"/>
        <v>9.026370370370369</v>
      </c>
      <c r="D36" s="371">
        <f t="shared" si="2"/>
        <v>0.8</v>
      </c>
      <c r="E36" s="372">
        <f t="shared" si="3"/>
        <v>0.20275267787604237</v>
      </c>
      <c r="F36" s="372">
        <f t="shared" si="4"/>
        <v>0.82217296771812387</v>
      </c>
      <c r="G36" s="372">
        <f t="shared" si="5"/>
        <v>5.7768770370370373</v>
      </c>
      <c r="H36" s="371">
        <f t="shared" si="6"/>
        <v>82.217296771812386</v>
      </c>
      <c r="R36" s="369">
        <v>3.1</v>
      </c>
      <c r="S36" s="370">
        <f t="shared" si="7"/>
        <v>1.55</v>
      </c>
    </row>
    <row r="37" spans="1:19">
      <c r="A37" s="369">
        <v>1800</v>
      </c>
      <c r="B37" s="370">
        <f t="shared" si="0"/>
        <v>45.238934211693021</v>
      </c>
      <c r="C37" s="370">
        <f t="shared" si="1"/>
        <v>9.5573333333333306</v>
      </c>
      <c r="D37" s="371">
        <f t="shared" si="2"/>
        <v>0.8</v>
      </c>
      <c r="E37" s="372">
        <f t="shared" si="3"/>
        <v>0.21467930598639778</v>
      </c>
      <c r="F37" s="372">
        <f t="shared" si="4"/>
        <v>0.92174408837602817</v>
      </c>
      <c r="G37" s="372">
        <f t="shared" si="5"/>
        <v>6.1166933333333331</v>
      </c>
      <c r="H37" s="371">
        <f t="shared" si="6"/>
        <v>92.174408837602826</v>
      </c>
      <c r="R37" s="369">
        <v>3.2</v>
      </c>
      <c r="S37" s="370">
        <f t="shared" si="7"/>
        <v>1.6</v>
      </c>
    </row>
    <row r="38" spans="1:19">
      <c r="A38" s="369">
        <v>1900</v>
      </c>
      <c r="B38" s="370">
        <f t="shared" si="0"/>
        <v>47.752208334564855</v>
      </c>
      <c r="C38" s="370">
        <f t="shared" si="1"/>
        <v>10.088296296296294</v>
      </c>
      <c r="D38" s="371">
        <f t="shared" si="2"/>
        <v>0.8</v>
      </c>
      <c r="E38" s="372">
        <f t="shared" si="3"/>
        <v>0.22660593409675323</v>
      </c>
      <c r="F38" s="372">
        <f t="shared" si="4"/>
        <v>1.0270049873572413</v>
      </c>
      <c r="G38" s="372">
        <f t="shared" si="5"/>
        <v>6.4565096296296289</v>
      </c>
      <c r="H38" s="371">
        <f t="shared" si="6"/>
        <v>102.70049873572414</v>
      </c>
      <c r="R38" s="369">
        <v>3.3</v>
      </c>
      <c r="S38" s="370">
        <f t="shared" si="7"/>
        <v>1.65</v>
      </c>
    </row>
    <row r="39" spans="1:19">
      <c r="A39" s="369">
        <v>2000</v>
      </c>
      <c r="B39" s="370">
        <f t="shared" si="0"/>
        <v>50.26548245743669</v>
      </c>
      <c r="C39" s="370">
        <f t="shared" si="1"/>
        <v>10.619259259259257</v>
      </c>
      <c r="D39" s="371">
        <f t="shared" si="2"/>
        <v>0.8</v>
      </c>
      <c r="E39" s="372">
        <f t="shared" si="3"/>
        <v>0.23853256220710867</v>
      </c>
      <c r="F39" s="372">
        <f t="shared" si="4"/>
        <v>1.1379556646617632</v>
      </c>
      <c r="G39" s="372">
        <f t="shared" si="5"/>
        <v>6.7963259259259257</v>
      </c>
      <c r="H39" s="371">
        <f t="shared" si="6"/>
        <v>113.79556646617633</v>
      </c>
      <c r="R39" s="369">
        <v>3.4</v>
      </c>
      <c r="S39" s="370">
        <f t="shared" si="7"/>
        <v>1.7</v>
      </c>
    </row>
    <row r="40" spans="1:19">
      <c r="A40" s="369">
        <v>2100</v>
      </c>
      <c r="B40" s="370">
        <f t="shared" si="0"/>
        <v>52.778756580308524</v>
      </c>
      <c r="C40" s="370">
        <f t="shared" si="1"/>
        <v>11.15022222222222</v>
      </c>
      <c r="D40" s="371">
        <f t="shared" si="2"/>
        <v>0.8</v>
      </c>
      <c r="E40" s="372">
        <f t="shared" si="3"/>
        <v>0.25045919031746411</v>
      </c>
      <c r="F40" s="372">
        <f t="shared" si="4"/>
        <v>1.2545961202895941</v>
      </c>
      <c r="G40" s="372">
        <f t="shared" si="5"/>
        <v>7.1361422222222224</v>
      </c>
      <c r="H40" s="371">
        <f t="shared" si="6"/>
        <v>125.45961202895941</v>
      </c>
      <c r="R40" s="369">
        <v>3.5</v>
      </c>
      <c r="S40" s="370">
        <f t="shared" si="7"/>
        <v>1.75</v>
      </c>
    </row>
    <row r="41" spans="1:19">
      <c r="A41" s="369">
        <v>2200</v>
      </c>
      <c r="B41" s="370">
        <f t="shared" si="0"/>
        <v>55.292030703180359</v>
      </c>
      <c r="C41" s="370">
        <f t="shared" si="1"/>
        <v>11.681185185185184</v>
      </c>
      <c r="D41" s="371">
        <f t="shared" si="2"/>
        <v>0.8</v>
      </c>
      <c r="E41" s="372">
        <f t="shared" si="3"/>
        <v>0.26238581842781949</v>
      </c>
      <c r="F41" s="372">
        <f t="shared" si="4"/>
        <v>1.3769263542407328</v>
      </c>
      <c r="G41" s="372">
        <f t="shared" si="5"/>
        <v>7.4759585185185191</v>
      </c>
      <c r="H41" s="371">
        <f t="shared" si="6"/>
        <v>137.69263542407327</v>
      </c>
      <c r="R41" s="369">
        <v>3.6</v>
      </c>
      <c r="S41" s="370">
        <f t="shared" si="7"/>
        <v>1.8</v>
      </c>
    </row>
    <row r="42" spans="1:19">
      <c r="A42" s="369">
        <v>2300</v>
      </c>
      <c r="B42" s="370">
        <f t="shared" si="0"/>
        <v>57.805304826052193</v>
      </c>
      <c r="C42" s="370">
        <f t="shared" si="1"/>
        <v>12.212148148148145</v>
      </c>
      <c r="D42" s="371">
        <f t="shared" si="2"/>
        <v>0.8</v>
      </c>
      <c r="E42" s="372">
        <f t="shared" si="3"/>
        <v>0.27431244653817494</v>
      </c>
      <c r="F42" s="372">
        <f t="shared" si="4"/>
        <v>1.5049463665151814</v>
      </c>
      <c r="G42" s="372">
        <f t="shared" si="5"/>
        <v>7.815774814814815</v>
      </c>
      <c r="H42" s="371">
        <f t="shared" si="6"/>
        <v>150.49463665151814</v>
      </c>
      <c r="R42" s="369">
        <v>3.7</v>
      </c>
      <c r="S42" s="370">
        <f t="shared" si="7"/>
        <v>1.85</v>
      </c>
    </row>
    <row r="43" spans="1:19">
      <c r="A43" s="369">
        <v>2400</v>
      </c>
      <c r="B43" s="370">
        <f t="shared" si="0"/>
        <v>60.318578948924028</v>
      </c>
      <c r="C43" s="370">
        <f t="shared" si="1"/>
        <v>12.743111111111109</v>
      </c>
      <c r="D43" s="371">
        <f t="shared" si="2"/>
        <v>0.8</v>
      </c>
      <c r="E43" s="372">
        <f t="shared" si="3"/>
        <v>0.28623907464853038</v>
      </c>
      <c r="F43" s="372">
        <f t="shared" si="4"/>
        <v>1.6386561571129388</v>
      </c>
      <c r="G43" s="372">
        <f t="shared" si="5"/>
        <v>8.1555911111111108</v>
      </c>
      <c r="H43" s="371">
        <f t="shared" si="6"/>
        <v>163.86561571129388</v>
      </c>
      <c r="R43" s="369">
        <v>3.8</v>
      </c>
      <c r="S43" s="370">
        <f t="shared" si="7"/>
        <v>1.9</v>
      </c>
    </row>
    <row r="44" spans="1:19">
      <c r="A44" s="369">
        <v>2500</v>
      </c>
      <c r="B44" s="370">
        <f t="shared" si="0"/>
        <v>62.831853071795862</v>
      </c>
      <c r="C44" s="370">
        <f t="shared" si="1"/>
        <v>13.27407407407407</v>
      </c>
      <c r="D44" s="371">
        <f t="shared" si="2"/>
        <v>0.8</v>
      </c>
      <c r="E44" s="372">
        <f t="shared" si="3"/>
        <v>0.29816570275888582</v>
      </c>
      <c r="F44" s="372">
        <f t="shared" si="4"/>
        <v>1.7780557260340049</v>
      </c>
      <c r="G44" s="372">
        <f t="shared" si="5"/>
        <v>8.4954074074074057</v>
      </c>
      <c r="H44" s="371">
        <f t="shared" si="6"/>
        <v>177.80557260340049</v>
      </c>
      <c r="R44" s="369">
        <v>3.9</v>
      </c>
      <c r="S44" s="370">
        <f t="shared" si="7"/>
        <v>1.95</v>
      </c>
    </row>
    <row r="45" spans="1:19">
      <c r="A45" s="369">
        <v>2600</v>
      </c>
      <c r="B45" s="370">
        <f t="shared" si="0"/>
        <v>65.345127194667697</v>
      </c>
      <c r="C45" s="370">
        <f t="shared" si="1"/>
        <v>13.805037037037035</v>
      </c>
      <c r="D45" s="371">
        <f t="shared" si="2"/>
        <v>0.8</v>
      </c>
      <c r="E45" s="372">
        <f t="shared" si="3"/>
        <v>0.31009233086924126</v>
      </c>
      <c r="F45" s="372">
        <f t="shared" si="4"/>
        <v>1.9231450732783799</v>
      </c>
      <c r="G45" s="372">
        <f t="shared" si="5"/>
        <v>8.8352237037037042</v>
      </c>
      <c r="H45" s="371">
        <f t="shared" si="6"/>
        <v>192.31450732783802</v>
      </c>
      <c r="R45" s="369">
        <v>4</v>
      </c>
      <c r="S45" s="370">
        <f t="shared" si="7"/>
        <v>2</v>
      </c>
    </row>
    <row r="46" spans="1:19">
      <c r="A46" s="369">
        <v>2700</v>
      </c>
      <c r="B46" s="370">
        <f t="shared" si="0"/>
        <v>67.858401317539531</v>
      </c>
      <c r="C46" s="370">
        <f t="shared" si="1"/>
        <v>14.335999999999997</v>
      </c>
      <c r="D46" s="371">
        <f t="shared" si="2"/>
        <v>0.8</v>
      </c>
      <c r="E46" s="372">
        <f t="shared" si="3"/>
        <v>0.3220189589795967</v>
      </c>
      <c r="F46" s="372">
        <f t="shared" si="4"/>
        <v>2.0739241988460635</v>
      </c>
      <c r="G46" s="372">
        <f t="shared" si="5"/>
        <v>9.1750399999999992</v>
      </c>
      <c r="H46" s="371">
        <f t="shared" si="6"/>
        <v>207.39241988460637</v>
      </c>
    </row>
    <row r="47" spans="1:19">
      <c r="A47" s="369">
        <v>2800</v>
      </c>
      <c r="B47" s="370">
        <f t="shared" si="0"/>
        <v>70.371675440411366</v>
      </c>
      <c r="C47" s="370">
        <f t="shared" si="1"/>
        <v>14.866962962962962</v>
      </c>
      <c r="D47" s="371">
        <f t="shared" si="2"/>
        <v>0.8</v>
      </c>
      <c r="E47" s="372">
        <f t="shared" si="3"/>
        <v>0.33394558708995215</v>
      </c>
      <c r="F47" s="372">
        <f t="shared" si="4"/>
        <v>2.230393102737056</v>
      </c>
      <c r="G47" s="372">
        <f t="shared" si="5"/>
        <v>9.5148562962962977</v>
      </c>
      <c r="H47" s="371">
        <f t="shared" si="6"/>
        <v>223.03931027370561</v>
      </c>
    </row>
    <row r="48" spans="1:19">
      <c r="A48" s="369">
        <v>2900</v>
      </c>
      <c r="B48" s="370">
        <f t="shared" si="0"/>
        <v>72.8849495632832</v>
      </c>
      <c r="C48" s="370">
        <f t="shared" si="1"/>
        <v>15.397925925925923</v>
      </c>
      <c r="D48" s="371">
        <f t="shared" si="2"/>
        <v>0.8</v>
      </c>
      <c r="E48" s="372">
        <f t="shared" si="3"/>
        <v>0.34587221520030753</v>
      </c>
      <c r="F48" s="372">
        <f t="shared" si="4"/>
        <v>2.3925517849513569</v>
      </c>
      <c r="G48" s="372">
        <f t="shared" si="5"/>
        <v>9.8546725925925927</v>
      </c>
      <c r="H48" s="371">
        <f t="shared" si="6"/>
        <v>239.25517849513571</v>
      </c>
    </row>
    <row r="49" spans="1:8">
      <c r="A49" s="369">
        <v>3000</v>
      </c>
      <c r="B49" s="370">
        <f t="shared" si="0"/>
        <v>75.398223686155035</v>
      </c>
      <c r="C49" s="370">
        <f t="shared" si="1"/>
        <v>15.928888888888887</v>
      </c>
      <c r="D49" s="371">
        <f t="shared" si="2"/>
        <v>0.8</v>
      </c>
      <c r="E49" s="372">
        <f t="shared" si="3"/>
        <v>0.35779884331066303</v>
      </c>
      <c r="F49" s="372">
        <f t="shared" si="4"/>
        <v>2.5604002454889678</v>
      </c>
      <c r="G49" s="372">
        <f t="shared" si="5"/>
        <v>10.194488888888889</v>
      </c>
      <c r="H49" s="371">
        <f t="shared" si="6"/>
        <v>256.04002454889678</v>
      </c>
    </row>
    <row r="50" spans="1:8">
      <c r="A50" s="369">
        <v>3100</v>
      </c>
      <c r="B50" s="370">
        <f t="shared" si="0"/>
        <v>77.911497809026869</v>
      </c>
      <c r="C50" s="370">
        <f t="shared" si="1"/>
        <v>16.459851851851848</v>
      </c>
      <c r="D50" s="371">
        <f t="shared" si="2"/>
        <v>0.8</v>
      </c>
      <c r="E50" s="372">
        <f t="shared" si="3"/>
        <v>0.36972547142101847</v>
      </c>
      <c r="F50" s="372">
        <f t="shared" si="4"/>
        <v>2.7339384843498866</v>
      </c>
      <c r="G50" s="372">
        <f t="shared" si="5"/>
        <v>10.534305185185184</v>
      </c>
      <c r="H50" s="371">
        <f t="shared" si="6"/>
        <v>273.39384843498863</v>
      </c>
    </row>
    <row r="51" spans="1:8">
      <c r="A51" s="369">
        <v>3200</v>
      </c>
      <c r="B51" s="370">
        <f t="shared" si="0"/>
        <v>80.424771931898704</v>
      </c>
      <c r="C51" s="370">
        <f t="shared" si="1"/>
        <v>16.990814814814811</v>
      </c>
      <c r="D51" s="371">
        <f t="shared" si="2"/>
        <v>0.8</v>
      </c>
      <c r="E51" s="372">
        <f t="shared" si="3"/>
        <v>0.38165209953137386</v>
      </c>
      <c r="F51" s="372">
        <f t="shared" si="4"/>
        <v>2.9131665015341137</v>
      </c>
      <c r="G51" s="372">
        <f t="shared" si="5"/>
        <v>10.874121481481481</v>
      </c>
      <c r="H51" s="371">
        <f t="shared" si="6"/>
        <v>291.31665015341133</v>
      </c>
    </row>
    <row r="52" spans="1:8">
      <c r="A52" s="369">
        <v>3300</v>
      </c>
      <c r="B52" s="370">
        <f t="shared" si="0"/>
        <v>82.938046054770538</v>
      </c>
      <c r="C52" s="370">
        <f t="shared" si="1"/>
        <v>17.521777777777775</v>
      </c>
      <c r="D52" s="371">
        <f t="shared" si="2"/>
        <v>0.8</v>
      </c>
      <c r="E52" s="372">
        <f t="shared" si="3"/>
        <v>0.39357872764172935</v>
      </c>
      <c r="F52" s="372">
        <f t="shared" si="4"/>
        <v>3.0980842970416509</v>
      </c>
      <c r="G52" s="372">
        <f t="shared" si="5"/>
        <v>11.213937777777778</v>
      </c>
      <c r="H52" s="371">
        <f t="shared" si="6"/>
        <v>309.80842970416512</v>
      </c>
    </row>
    <row r="53" spans="1:8">
      <c r="A53" s="369">
        <v>3400</v>
      </c>
      <c r="B53" s="370">
        <f t="shared" si="0"/>
        <v>85.451320177642373</v>
      </c>
      <c r="C53" s="370">
        <f t="shared" si="1"/>
        <v>18.052740740740738</v>
      </c>
      <c r="D53" s="371">
        <f t="shared" si="2"/>
        <v>0.8</v>
      </c>
      <c r="E53" s="372">
        <f t="shared" si="3"/>
        <v>0.40550535575208474</v>
      </c>
      <c r="F53" s="372">
        <f t="shared" si="4"/>
        <v>3.2886918708724955</v>
      </c>
      <c r="G53" s="372">
        <f t="shared" si="5"/>
        <v>11.553754074074075</v>
      </c>
      <c r="H53" s="371">
        <f t="shared" si="6"/>
        <v>328.86918708724954</v>
      </c>
    </row>
    <row r="54" spans="1:8">
      <c r="A54" s="369">
        <v>3500</v>
      </c>
      <c r="B54" s="370">
        <f t="shared" si="0"/>
        <v>87.964594300514207</v>
      </c>
      <c r="C54" s="370">
        <f t="shared" si="1"/>
        <v>18.583703703703701</v>
      </c>
      <c r="D54" s="371">
        <f t="shared" si="2"/>
        <v>0.8</v>
      </c>
      <c r="E54" s="372">
        <f t="shared" si="3"/>
        <v>0.41743198386244018</v>
      </c>
      <c r="F54" s="372">
        <f t="shared" si="4"/>
        <v>3.4849892230266502</v>
      </c>
      <c r="G54" s="372">
        <f t="shared" si="5"/>
        <v>11.893570370370371</v>
      </c>
      <c r="H54" s="371">
        <f t="shared" si="6"/>
        <v>348.49892230266499</v>
      </c>
    </row>
    <row r="55" spans="1:8">
      <c r="A55" s="369">
        <v>3600</v>
      </c>
      <c r="B55" s="370">
        <f t="shared" si="0"/>
        <v>90.477868423386042</v>
      </c>
      <c r="C55" s="370">
        <f t="shared" si="1"/>
        <v>19.114666666666661</v>
      </c>
      <c r="D55" s="371">
        <f t="shared" si="2"/>
        <v>0.8</v>
      </c>
      <c r="E55" s="372">
        <f t="shared" si="3"/>
        <v>0.42935861197279557</v>
      </c>
      <c r="F55" s="372">
        <f t="shared" si="4"/>
        <v>3.6869763535041127</v>
      </c>
      <c r="G55" s="372">
        <f t="shared" ref="G55:G118" si="8">D55^2*C55</f>
        <v>12.233386666666666</v>
      </c>
      <c r="H55" s="371">
        <f t="shared" ref="H55:H118" si="9">F55/10*1000</f>
        <v>368.6976353504113</v>
      </c>
    </row>
    <row r="56" spans="1:8">
      <c r="A56" s="369">
        <v>3700</v>
      </c>
      <c r="B56" s="370">
        <f t="shared" si="0"/>
        <v>92.991142546257876</v>
      </c>
      <c r="C56" s="370">
        <f t="shared" si="1"/>
        <v>19.645629629629628</v>
      </c>
      <c r="D56" s="371">
        <f t="shared" si="2"/>
        <v>0.8</v>
      </c>
      <c r="E56" s="372">
        <f t="shared" si="3"/>
        <v>0.44128524008315095</v>
      </c>
      <c r="F56" s="372">
        <f t="shared" si="4"/>
        <v>3.8946532623048831</v>
      </c>
      <c r="G56" s="372">
        <f t="shared" si="8"/>
        <v>12.573202962962965</v>
      </c>
      <c r="H56" s="371">
        <f t="shared" si="9"/>
        <v>389.4653262304883</v>
      </c>
    </row>
    <row r="57" spans="1:8">
      <c r="A57" s="369">
        <v>3800</v>
      </c>
      <c r="B57" s="370">
        <f t="shared" si="0"/>
        <v>95.504416669129711</v>
      </c>
      <c r="C57" s="370">
        <f t="shared" si="1"/>
        <v>20.176592592592588</v>
      </c>
      <c r="D57" s="371">
        <f t="shared" si="2"/>
        <v>0.8</v>
      </c>
      <c r="E57" s="372">
        <f t="shared" si="3"/>
        <v>0.45321186819350645</v>
      </c>
      <c r="F57" s="372">
        <f t="shared" si="4"/>
        <v>4.1080199494289653</v>
      </c>
      <c r="G57" s="372">
        <f t="shared" si="8"/>
        <v>12.913019259259258</v>
      </c>
      <c r="H57" s="371">
        <f t="shared" si="9"/>
        <v>410.80199494289656</v>
      </c>
    </row>
    <row r="58" spans="1:8">
      <c r="A58" s="369">
        <v>3900</v>
      </c>
      <c r="B58" s="370">
        <f t="shared" si="0"/>
        <v>98.017690792001545</v>
      </c>
      <c r="C58" s="370">
        <f t="shared" si="1"/>
        <v>20.707555555555551</v>
      </c>
      <c r="D58" s="371">
        <f t="shared" si="2"/>
        <v>0.8</v>
      </c>
      <c r="E58" s="372">
        <f t="shared" si="3"/>
        <v>0.46513849630386195</v>
      </c>
      <c r="F58" s="372">
        <f t="shared" si="4"/>
        <v>4.3270764148763554</v>
      </c>
      <c r="G58" s="372">
        <f t="shared" si="8"/>
        <v>13.252835555555555</v>
      </c>
      <c r="H58" s="371">
        <f t="shared" si="9"/>
        <v>432.7076414876355</v>
      </c>
    </row>
    <row r="59" spans="1:8">
      <c r="A59" s="369">
        <v>4000</v>
      </c>
      <c r="B59" s="370">
        <f t="shared" si="0"/>
        <v>100.53096491487338</v>
      </c>
      <c r="C59" s="370">
        <f t="shared" si="1"/>
        <v>21.238518518518514</v>
      </c>
      <c r="D59" s="371">
        <f t="shared" si="2"/>
        <v>0.8</v>
      </c>
      <c r="E59" s="372">
        <f t="shared" si="3"/>
        <v>0.47706512441421733</v>
      </c>
      <c r="F59" s="372">
        <f t="shared" si="4"/>
        <v>4.5518226586470529</v>
      </c>
      <c r="G59" s="372">
        <f t="shared" si="8"/>
        <v>13.592651851851851</v>
      </c>
      <c r="H59" s="371">
        <f t="shared" si="9"/>
        <v>455.1822658647053</v>
      </c>
    </row>
    <row r="60" spans="1:8">
      <c r="A60" s="369">
        <v>4100</v>
      </c>
      <c r="B60" s="370">
        <f t="shared" si="0"/>
        <v>103.04423903774521</v>
      </c>
      <c r="C60" s="370">
        <f t="shared" si="1"/>
        <v>21.769481481481478</v>
      </c>
      <c r="D60" s="371">
        <f t="shared" si="2"/>
        <v>0.8</v>
      </c>
      <c r="E60" s="372">
        <f t="shared" si="3"/>
        <v>0.48899175252457283</v>
      </c>
      <c r="F60" s="372">
        <f t="shared" si="4"/>
        <v>4.7822586807410614</v>
      </c>
      <c r="G60" s="372">
        <f t="shared" si="8"/>
        <v>13.932468148148148</v>
      </c>
      <c r="H60" s="371">
        <f t="shared" si="9"/>
        <v>478.22586807410619</v>
      </c>
    </row>
    <row r="61" spans="1:8">
      <c r="A61" s="369">
        <v>4200</v>
      </c>
      <c r="B61" s="370">
        <f t="shared" si="0"/>
        <v>105.55751316061705</v>
      </c>
      <c r="C61" s="370">
        <f t="shared" si="1"/>
        <v>22.300444444444441</v>
      </c>
      <c r="D61" s="371">
        <f t="shared" si="2"/>
        <v>0.8</v>
      </c>
      <c r="E61" s="372">
        <f t="shared" si="3"/>
        <v>0.50091838063492822</v>
      </c>
      <c r="F61" s="372">
        <f t="shared" si="4"/>
        <v>5.0183844811583764</v>
      </c>
      <c r="G61" s="372">
        <f t="shared" si="8"/>
        <v>14.272284444444445</v>
      </c>
      <c r="H61" s="371">
        <f t="shared" si="9"/>
        <v>501.83844811583765</v>
      </c>
    </row>
    <row r="62" spans="1:8">
      <c r="A62" s="369">
        <v>4300</v>
      </c>
      <c r="B62" s="370">
        <f t="shared" si="0"/>
        <v>108.07078728348888</v>
      </c>
      <c r="C62" s="370">
        <f t="shared" si="1"/>
        <v>22.831407407407404</v>
      </c>
      <c r="D62" s="371">
        <f t="shared" si="2"/>
        <v>0.8</v>
      </c>
      <c r="E62" s="372">
        <f t="shared" si="3"/>
        <v>0.5128450087452836</v>
      </c>
      <c r="F62" s="372">
        <f t="shared" si="4"/>
        <v>5.2602000598989997</v>
      </c>
      <c r="G62" s="372">
        <f t="shared" si="8"/>
        <v>14.612100740740742</v>
      </c>
      <c r="H62" s="371">
        <f t="shared" si="9"/>
        <v>526.02000598989991</v>
      </c>
    </row>
    <row r="63" spans="1:8">
      <c r="A63" s="369">
        <v>4400</v>
      </c>
      <c r="B63" s="370">
        <f t="shared" si="0"/>
        <v>110.58406140636072</v>
      </c>
      <c r="C63" s="370">
        <f t="shared" si="1"/>
        <v>23.362370370370368</v>
      </c>
      <c r="D63" s="371">
        <f t="shared" si="2"/>
        <v>0.8</v>
      </c>
      <c r="E63" s="372">
        <f t="shared" si="3"/>
        <v>0.52477163685563899</v>
      </c>
      <c r="F63" s="372">
        <f t="shared" si="4"/>
        <v>5.5077054169629314</v>
      </c>
      <c r="G63" s="372">
        <f t="shared" si="8"/>
        <v>14.951917037037038</v>
      </c>
      <c r="H63" s="371">
        <f t="shared" si="9"/>
        <v>550.77054169629309</v>
      </c>
    </row>
    <row r="64" spans="1:8">
      <c r="A64" s="369">
        <v>4500</v>
      </c>
      <c r="B64" s="370">
        <f t="shared" si="0"/>
        <v>113.09733552923255</v>
      </c>
      <c r="C64" s="370">
        <f t="shared" si="1"/>
        <v>23.893333333333327</v>
      </c>
      <c r="D64" s="371">
        <f t="shared" si="2"/>
        <v>0.8</v>
      </c>
      <c r="E64" s="372">
        <f t="shared" si="3"/>
        <v>0.53669826496599449</v>
      </c>
      <c r="F64" s="372">
        <f t="shared" si="4"/>
        <v>5.7609005523501757</v>
      </c>
      <c r="G64" s="372">
        <f t="shared" si="8"/>
        <v>15.291733333333333</v>
      </c>
      <c r="H64" s="371">
        <f t="shared" si="9"/>
        <v>576.09005523501753</v>
      </c>
    </row>
    <row r="65" spans="1:8">
      <c r="A65" s="369">
        <v>4600</v>
      </c>
      <c r="B65" s="370">
        <f t="shared" si="0"/>
        <v>115.61060965210439</v>
      </c>
      <c r="C65" s="370">
        <f t="shared" si="1"/>
        <v>24.424296296296291</v>
      </c>
      <c r="D65" s="371">
        <f t="shared" si="2"/>
        <v>0.8</v>
      </c>
      <c r="E65" s="372">
        <f t="shared" si="3"/>
        <v>0.54862489307634987</v>
      </c>
      <c r="F65" s="372">
        <f t="shared" si="4"/>
        <v>6.0197854660607257</v>
      </c>
      <c r="G65" s="372">
        <f t="shared" si="8"/>
        <v>15.63154962962963</v>
      </c>
      <c r="H65" s="371">
        <f t="shared" si="9"/>
        <v>601.97854660607254</v>
      </c>
    </row>
    <row r="66" spans="1:8">
      <c r="A66" s="369">
        <v>4700</v>
      </c>
      <c r="B66" s="370">
        <f t="shared" si="0"/>
        <v>118.12388377497622</v>
      </c>
      <c r="C66" s="370">
        <f t="shared" si="1"/>
        <v>24.955259259259254</v>
      </c>
      <c r="D66" s="371">
        <f t="shared" si="2"/>
        <v>0.8</v>
      </c>
      <c r="E66" s="372">
        <f t="shared" si="3"/>
        <v>0.56055152118670526</v>
      </c>
      <c r="F66" s="372">
        <f t="shared" si="4"/>
        <v>6.2843601580945849</v>
      </c>
      <c r="G66" s="372">
        <f t="shared" si="8"/>
        <v>15.971365925925925</v>
      </c>
      <c r="H66" s="371">
        <f t="shared" si="9"/>
        <v>628.43601580945847</v>
      </c>
    </row>
    <row r="67" spans="1:8">
      <c r="A67" s="369">
        <v>4800</v>
      </c>
      <c r="B67" s="370">
        <f t="shared" si="0"/>
        <v>120.63715789784806</v>
      </c>
      <c r="C67" s="370">
        <f t="shared" si="1"/>
        <v>25.486222222222217</v>
      </c>
      <c r="D67" s="371">
        <f t="shared" si="2"/>
        <v>0.78473772321428592</v>
      </c>
      <c r="E67" s="372">
        <f t="shared" si="3"/>
        <v>0.56155649933662954</v>
      </c>
      <c r="F67" s="372">
        <f t="shared" si="4"/>
        <v>6.3069140389441998</v>
      </c>
      <c r="G67" s="372">
        <f t="shared" si="8"/>
        <v>15.694754464285719</v>
      </c>
      <c r="H67" s="371">
        <f t="shared" si="9"/>
        <v>630.69140389441998</v>
      </c>
    </row>
    <row r="68" spans="1:8">
      <c r="A68" s="369">
        <v>4900</v>
      </c>
      <c r="B68" s="370">
        <f t="shared" si="0"/>
        <v>123.15043202071989</v>
      </c>
      <c r="C68" s="370">
        <f t="shared" si="1"/>
        <v>26.017185185185181</v>
      </c>
      <c r="D68" s="371">
        <f t="shared" si="2"/>
        <v>0.76872266763848407</v>
      </c>
      <c r="E68" s="372">
        <f t="shared" si="3"/>
        <v>0.56155649933662932</v>
      </c>
      <c r="F68" s="372">
        <f t="shared" si="4"/>
        <v>6.3069140389441944</v>
      </c>
      <c r="G68" s="372">
        <f t="shared" si="8"/>
        <v>15.374453352769681</v>
      </c>
      <c r="H68" s="371">
        <f t="shared" si="9"/>
        <v>630.69140389441952</v>
      </c>
    </row>
    <row r="69" spans="1:8">
      <c r="A69" s="369">
        <v>5000</v>
      </c>
      <c r="B69" s="370">
        <f t="shared" ref="B69:B132" si="10">2*PI()*$K$11*A69/1000</f>
        <v>125.66370614359172</v>
      </c>
      <c r="C69" s="370">
        <f t="shared" ref="C69:C132" si="11">$L$8*B69/$J$14</f>
        <v>26.54814814814814</v>
      </c>
      <c r="D69" s="371">
        <f t="shared" ref="D69:D132" si="12">MIN($K$8,$J$8/C69)</f>
        <v>0.75334821428571452</v>
      </c>
      <c r="E69" s="372">
        <f t="shared" ref="E69:E132" si="13">MIN($L$5,A69*D69*$K$5*$J$5/($L$11*10^-3))</f>
        <v>0.56155649933662954</v>
      </c>
      <c r="F69" s="372">
        <f t="shared" ref="F69:F132" si="14">E69^2*PI()*($K$11/1000)^2/(2*$K$5)</f>
        <v>6.3069140389441998</v>
      </c>
      <c r="G69" s="372">
        <f t="shared" si="8"/>
        <v>15.06696428571429</v>
      </c>
      <c r="H69" s="371">
        <f t="shared" si="9"/>
        <v>630.69140389441998</v>
      </c>
    </row>
    <row r="70" spans="1:8">
      <c r="A70" s="369">
        <v>5100</v>
      </c>
      <c r="B70" s="370">
        <f t="shared" si="10"/>
        <v>128.17698026646357</v>
      </c>
      <c r="C70" s="370">
        <f t="shared" si="11"/>
        <v>27.079111111111107</v>
      </c>
      <c r="D70" s="371">
        <f t="shared" si="12"/>
        <v>0.738576680672269</v>
      </c>
      <c r="E70" s="372">
        <f t="shared" si="13"/>
        <v>0.56155649933662932</v>
      </c>
      <c r="F70" s="372">
        <f t="shared" si="14"/>
        <v>6.3069140389441944</v>
      </c>
      <c r="G70" s="372">
        <f t="shared" si="8"/>
        <v>14.77153361344538</v>
      </c>
      <c r="H70" s="371">
        <f t="shared" si="9"/>
        <v>630.69140389441952</v>
      </c>
    </row>
    <row r="71" spans="1:8">
      <c r="A71" s="369">
        <v>5200</v>
      </c>
      <c r="B71" s="370">
        <f t="shared" si="10"/>
        <v>130.69025438933539</v>
      </c>
      <c r="C71" s="370">
        <f t="shared" si="11"/>
        <v>27.61007407407407</v>
      </c>
      <c r="D71" s="371">
        <f t="shared" si="12"/>
        <v>0.72437328296703307</v>
      </c>
      <c r="E71" s="372">
        <f t="shared" si="13"/>
        <v>0.56155649933662932</v>
      </c>
      <c r="F71" s="372">
        <f t="shared" si="14"/>
        <v>6.3069140389441944</v>
      </c>
      <c r="G71" s="372">
        <f t="shared" si="8"/>
        <v>14.487465659340661</v>
      </c>
      <c r="H71" s="371">
        <f t="shared" si="9"/>
        <v>630.69140389441952</v>
      </c>
    </row>
    <row r="72" spans="1:8">
      <c r="A72" s="369">
        <v>5300</v>
      </c>
      <c r="B72" s="370">
        <f t="shared" si="10"/>
        <v>133.20352851220724</v>
      </c>
      <c r="C72" s="370">
        <f t="shared" si="11"/>
        <v>28.141037037037037</v>
      </c>
      <c r="D72" s="371">
        <f t="shared" si="12"/>
        <v>0.71070586253369272</v>
      </c>
      <c r="E72" s="372">
        <f t="shared" si="13"/>
        <v>0.56155649933662932</v>
      </c>
      <c r="F72" s="372">
        <f t="shared" si="14"/>
        <v>6.3069140389441944</v>
      </c>
      <c r="G72" s="372">
        <f t="shared" si="8"/>
        <v>14.214117250673855</v>
      </c>
      <c r="H72" s="371">
        <f t="shared" si="9"/>
        <v>630.69140389441952</v>
      </c>
    </row>
    <row r="73" spans="1:8">
      <c r="A73" s="369">
        <v>5400</v>
      </c>
      <c r="B73" s="370">
        <f t="shared" si="10"/>
        <v>135.71680263507906</v>
      </c>
      <c r="C73" s="370">
        <f t="shared" si="11"/>
        <v>28.671999999999993</v>
      </c>
      <c r="D73" s="371">
        <f t="shared" si="12"/>
        <v>0.69754464285714302</v>
      </c>
      <c r="E73" s="372">
        <f t="shared" si="13"/>
        <v>0.56155649933662954</v>
      </c>
      <c r="F73" s="372">
        <f t="shared" si="14"/>
        <v>6.3069140389441998</v>
      </c>
      <c r="G73" s="372">
        <f t="shared" si="8"/>
        <v>13.950892857142861</v>
      </c>
      <c r="H73" s="371">
        <f t="shared" si="9"/>
        <v>630.69140389441998</v>
      </c>
    </row>
    <row r="74" spans="1:8">
      <c r="A74" s="369">
        <v>5500</v>
      </c>
      <c r="B74" s="370">
        <f t="shared" si="10"/>
        <v>138.23007675795088</v>
      </c>
      <c r="C74" s="370">
        <f t="shared" si="11"/>
        <v>29.202962962962957</v>
      </c>
      <c r="D74" s="371">
        <f t="shared" si="12"/>
        <v>0.6848620129870131</v>
      </c>
      <c r="E74" s="372">
        <f t="shared" si="13"/>
        <v>0.56155649933662932</v>
      </c>
      <c r="F74" s="372">
        <f t="shared" si="14"/>
        <v>6.3069140389441944</v>
      </c>
      <c r="G74" s="372">
        <f t="shared" si="8"/>
        <v>13.697240259740262</v>
      </c>
      <c r="H74" s="371">
        <f t="shared" si="9"/>
        <v>630.69140389441952</v>
      </c>
    </row>
    <row r="75" spans="1:8">
      <c r="A75" s="369">
        <v>5600</v>
      </c>
      <c r="B75" s="370">
        <f t="shared" si="10"/>
        <v>140.74335088082273</v>
      </c>
      <c r="C75" s="370">
        <f t="shared" si="11"/>
        <v>29.733925925925924</v>
      </c>
      <c r="D75" s="371">
        <f t="shared" si="12"/>
        <v>0.67263233418367352</v>
      </c>
      <c r="E75" s="372">
        <f t="shared" si="13"/>
        <v>0.56155649933662932</v>
      </c>
      <c r="F75" s="372">
        <f t="shared" si="14"/>
        <v>6.3069140389441944</v>
      </c>
      <c r="G75" s="372">
        <f t="shared" si="8"/>
        <v>13.452646683673471</v>
      </c>
      <c r="H75" s="371">
        <f t="shared" si="9"/>
        <v>630.69140389441952</v>
      </c>
    </row>
    <row r="76" spans="1:8">
      <c r="A76" s="369">
        <v>5700</v>
      </c>
      <c r="B76" s="370">
        <f t="shared" si="10"/>
        <v>143.25662500369455</v>
      </c>
      <c r="C76" s="370">
        <f t="shared" si="11"/>
        <v>30.26488888888888</v>
      </c>
      <c r="D76" s="371">
        <f t="shared" si="12"/>
        <v>0.6608317669172934</v>
      </c>
      <c r="E76" s="372">
        <f t="shared" si="13"/>
        <v>0.56155649933662954</v>
      </c>
      <c r="F76" s="372">
        <f t="shared" si="14"/>
        <v>6.3069140389441998</v>
      </c>
      <c r="G76" s="372">
        <f t="shared" si="8"/>
        <v>13.216635338345867</v>
      </c>
      <c r="H76" s="371">
        <f t="shared" si="9"/>
        <v>630.69140389441998</v>
      </c>
    </row>
    <row r="77" spans="1:8">
      <c r="A77" s="369">
        <v>5800</v>
      </c>
      <c r="B77" s="370">
        <f t="shared" si="10"/>
        <v>145.7698991265664</v>
      </c>
      <c r="C77" s="370">
        <f t="shared" si="11"/>
        <v>30.795851851851847</v>
      </c>
      <c r="D77" s="371">
        <f t="shared" si="12"/>
        <v>0.64943811576354693</v>
      </c>
      <c r="E77" s="372">
        <f t="shared" si="13"/>
        <v>0.56155649933662932</v>
      </c>
      <c r="F77" s="372">
        <f t="shared" si="14"/>
        <v>6.3069140389441944</v>
      </c>
      <c r="G77" s="372">
        <f t="shared" si="8"/>
        <v>12.988762315270939</v>
      </c>
      <c r="H77" s="371">
        <f t="shared" si="9"/>
        <v>630.69140389441952</v>
      </c>
    </row>
    <row r="78" spans="1:8">
      <c r="A78" s="369">
        <v>5900</v>
      </c>
      <c r="B78" s="370">
        <f t="shared" si="10"/>
        <v>148.28317324943822</v>
      </c>
      <c r="C78" s="370">
        <f t="shared" si="11"/>
        <v>31.326814814814806</v>
      </c>
      <c r="D78" s="371">
        <f t="shared" si="12"/>
        <v>0.63843069007263942</v>
      </c>
      <c r="E78" s="372">
        <f t="shared" si="13"/>
        <v>0.56155649933662954</v>
      </c>
      <c r="F78" s="372">
        <f t="shared" si="14"/>
        <v>6.3069140389441998</v>
      </c>
      <c r="G78" s="372">
        <f t="shared" si="8"/>
        <v>12.768613801452789</v>
      </c>
      <c r="H78" s="371">
        <f t="shared" si="9"/>
        <v>630.69140389441998</v>
      </c>
    </row>
    <row r="79" spans="1:8">
      <c r="A79" s="369">
        <v>6000</v>
      </c>
      <c r="B79" s="370">
        <f t="shared" si="10"/>
        <v>150.79644737231007</v>
      </c>
      <c r="C79" s="370">
        <f t="shared" si="11"/>
        <v>31.857777777777773</v>
      </c>
      <c r="D79" s="371">
        <f t="shared" si="12"/>
        <v>0.62779017857142871</v>
      </c>
      <c r="E79" s="372">
        <f t="shared" si="13"/>
        <v>0.56155649933662954</v>
      </c>
      <c r="F79" s="372">
        <f t="shared" si="14"/>
        <v>6.3069140389441998</v>
      </c>
      <c r="G79" s="372">
        <f t="shared" si="8"/>
        <v>12.555803571428575</v>
      </c>
      <c r="H79" s="371">
        <f t="shared" si="9"/>
        <v>630.69140389441998</v>
      </c>
    </row>
    <row r="80" spans="1:8">
      <c r="A80" s="369">
        <v>6100</v>
      </c>
      <c r="B80" s="370">
        <f t="shared" si="10"/>
        <v>153.30972149518192</v>
      </c>
      <c r="C80" s="370">
        <f t="shared" si="11"/>
        <v>32.388740740740737</v>
      </c>
      <c r="D80" s="371">
        <f t="shared" si="12"/>
        <v>0.61749853629976592</v>
      </c>
      <c r="E80" s="372">
        <f t="shared" si="13"/>
        <v>0.56155649933662932</v>
      </c>
      <c r="F80" s="372">
        <f t="shared" si="14"/>
        <v>6.3069140389441944</v>
      </c>
      <c r="G80" s="372">
        <f t="shared" si="8"/>
        <v>12.34997072599532</v>
      </c>
      <c r="H80" s="371">
        <f t="shared" si="9"/>
        <v>630.69140389441952</v>
      </c>
    </row>
    <row r="81" spans="1:8">
      <c r="A81" s="369">
        <v>6200</v>
      </c>
      <c r="B81" s="370">
        <f t="shared" si="10"/>
        <v>155.82299561805374</v>
      </c>
      <c r="C81" s="370">
        <f t="shared" si="11"/>
        <v>32.919703703703696</v>
      </c>
      <c r="D81" s="371">
        <f t="shared" si="12"/>
        <v>0.60753888248847943</v>
      </c>
      <c r="E81" s="372">
        <f t="shared" si="13"/>
        <v>0.56155649933662954</v>
      </c>
      <c r="F81" s="372">
        <f t="shared" si="14"/>
        <v>6.3069140389441998</v>
      </c>
      <c r="G81" s="372">
        <f t="shared" si="8"/>
        <v>12.150777649769589</v>
      </c>
      <c r="H81" s="371">
        <f t="shared" si="9"/>
        <v>630.69140389441998</v>
      </c>
    </row>
    <row r="82" spans="1:8">
      <c r="A82" s="369">
        <v>6300</v>
      </c>
      <c r="B82" s="370">
        <f t="shared" si="10"/>
        <v>158.33626974092559</v>
      </c>
      <c r="C82" s="370">
        <f t="shared" si="11"/>
        <v>33.450666666666663</v>
      </c>
      <c r="D82" s="371">
        <f t="shared" si="12"/>
        <v>0.59789540816326536</v>
      </c>
      <c r="E82" s="372">
        <f t="shared" si="13"/>
        <v>0.56155649933662932</v>
      </c>
      <c r="F82" s="372">
        <f t="shared" si="14"/>
        <v>6.3069140389441944</v>
      </c>
      <c r="G82" s="372">
        <f t="shared" si="8"/>
        <v>11.957908163265307</v>
      </c>
      <c r="H82" s="371">
        <f t="shared" si="9"/>
        <v>630.69140389441952</v>
      </c>
    </row>
    <row r="83" spans="1:8">
      <c r="A83" s="369">
        <v>6400</v>
      </c>
      <c r="B83" s="370">
        <f t="shared" si="10"/>
        <v>160.84954386379741</v>
      </c>
      <c r="C83" s="370">
        <f t="shared" si="11"/>
        <v>33.981629629629623</v>
      </c>
      <c r="D83" s="371">
        <f t="shared" si="12"/>
        <v>0.58855329241071441</v>
      </c>
      <c r="E83" s="372">
        <f t="shared" si="13"/>
        <v>0.56155649933662954</v>
      </c>
      <c r="F83" s="372">
        <f t="shared" si="14"/>
        <v>6.3069140389441998</v>
      </c>
      <c r="G83" s="372">
        <f t="shared" si="8"/>
        <v>11.771065848214288</v>
      </c>
      <c r="H83" s="371">
        <f t="shared" si="9"/>
        <v>630.69140389441998</v>
      </c>
    </row>
    <row r="84" spans="1:8">
      <c r="A84" s="369">
        <v>6500</v>
      </c>
      <c r="B84" s="370">
        <f t="shared" si="10"/>
        <v>163.36281798666926</v>
      </c>
      <c r="C84" s="370">
        <f t="shared" si="11"/>
        <v>34.51259259259259</v>
      </c>
      <c r="D84" s="371">
        <f t="shared" si="12"/>
        <v>0.57949862637362637</v>
      </c>
      <c r="E84" s="372">
        <f t="shared" si="13"/>
        <v>0.56155649933662932</v>
      </c>
      <c r="F84" s="372">
        <f t="shared" si="14"/>
        <v>6.3069140389441944</v>
      </c>
      <c r="G84" s="372">
        <f t="shared" si="8"/>
        <v>11.589972527472526</v>
      </c>
      <c r="H84" s="371">
        <f t="shared" si="9"/>
        <v>630.69140389441952</v>
      </c>
    </row>
    <row r="85" spans="1:8">
      <c r="A85" s="369">
        <v>6600</v>
      </c>
      <c r="B85" s="370">
        <f t="shared" si="10"/>
        <v>165.87609210954108</v>
      </c>
      <c r="C85" s="370">
        <f t="shared" si="11"/>
        <v>35.04355555555555</v>
      </c>
      <c r="D85" s="371">
        <f t="shared" si="12"/>
        <v>0.57071834415584421</v>
      </c>
      <c r="E85" s="372">
        <f t="shared" si="13"/>
        <v>0.56155649933662932</v>
      </c>
      <c r="F85" s="372">
        <f t="shared" si="14"/>
        <v>6.3069140389441944</v>
      </c>
      <c r="G85" s="372">
        <f t="shared" si="8"/>
        <v>11.414366883116884</v>
      </c>
      <c r="H85" s="371">
        <f t="shared" si="9"/>
        <v>630.69140389441952</v>
      </c>
    </row>
    <row r="86" spans="1:8">
      <c r="A86" s="369">
        <v>6700</v>
      </c>
      <c r="B86" s="370">
        <f t="shared" si="10"/>
        <v>168.38936623241293</v>
      </c>
      <c r="C86" s="370">
        <f t="shared" si="11"/>
        <v>35.574518518518516</v>
      </c>
      <c r="D86" s="371">
        <f t="shared" si="12"/>
        <v>0.56220015991471217</v>
      </c>
      <c r="E86" s="372">
        <f t="shared" si="13"/>
        <v>0.56155649933662932</v>
      </c>
      <c r="F86" s="372">
        <f t="shared" si="14"/>
        <v>6.3069140389441944</v>
      </c>
      <c r="G86" s="372">
        <f t="shared" si="8"/>
        <v>11.244003198294244</v>
      </c>
      <c r="H86" s="371">
        <f t="shared" si="9"/>
        <v>630.69140389441952</v>
      </c>
    </row>
    <row r="87" spans="1:8">
      <c r="A87" s="369">
        <v>6800</v>
      </c>
      <c r="B87" s="370">
        <f t="shared" si="10"/>
        <v>170.90264035528475</v>
      </c>
      <c r="C87" s="370">
        <f t="shared" si="11"/>
        <v>36.105481481481476</v>
      </c>
      <c r="D87" s="371">
        <f t="shared" si="12"/>
        <v>0.55393251050420178</v>
      </c>
      <c r="E87" s="372">
        <f t="shared" si="13"/>
        <v>0.56155649933662932</v>
      </c>
      <c r="F87" s="372">
        <f t="shared" si="14"/>
        <v>6.3069140389441944</v>
      </c>
      <c r="G87" s="372">
        <f t="shared" si="8"/>
        <v>11.078650210084037</v>
      </c>
      <c r="H87" s="371">
        <f t="shared" si="9"/>
        <v>630.69140389441952</v>
      </c>
    </row>
    <row r="88" spans="1:8">
      <c r="A88" s="369">
        <v>6900</v>
      </c>
      <c r="B88" s="370">
        <f t="shared" si="10"/>
        <v>173.41591447815657</v>
      </c>
      <c r="C88" s="370">
        <f t="shared" si="11"/>
        <v>36.636444444444436</v>
      </c>
      <c r="D88" s="371">
        <f t="shared" si="12"/>
        <v>0.54590450310559024</v>
      </c>
      <c r="E88" s="372">
        <f t="shared" si="13"/>
        <v>0.56155649933662954</v>
      </c>
      <c r="F88" s="372">
        <f t="shared" si="14"/>
        <v>6.3069140389441998</v>
      </c>
      <c r="G88" s="372">
        <f t="shared" si="8"/>
        <v>10.918090062111805</v>
      </c>
      <c r="H88" s="371">
        <f t="shared" si="9"/>
        <v>630.69140389441998</v>
      </c>
    </row>
    <row r="89" spans="1:8">
      <c r="A89" s="369">
        <v>7000</v>
      </c>
      <c r="B89" s="370">
        <f t="shared" si="10"/>
        <v>175.92918860102841</v>
      </c>
      <c r="C89" s="370">
        <f t="shared" si="11"/>
        <v>37.167407407407403</v>
      </c>
      <c r="D89" s="371">
        <f t="shared" si="12"/>
        <v>0.53810586734693888</v>
      </c>
      <c r="E89" s="372">
        <f t="shared" si="13"/>
        <v>0.56155649933662932</v>
      </c>
      <c r="F89" s="372">
        <f t="shared" si="14"/>
        <v>6.3069140389441944</v>
      </c>
      <c r="G89" s="372">
        <f t="shared" si="8"/>
        <v>10.762117346938778</v>
      </c>
      <c r="H89" s="371">
        <f t="shared" si="9"/>
        <v>630.69140389441952</v>
      </c>
    </row>
    <row r="90" spans="1:8">
      <c r="A90" s="369">
        <v>7100</v>
      </c>
      <c r="B90" s="370">
        <f t="shared" si="10"/>
        <v>178.44246272390023</v>
      </c>
      <c r="C90" s="370">
        <f t="shared" si="11"/>
        <v>37.698370370370363</v>
      </c>
      <c r="D90" s="371">
        <f t="shared" si="12"/>
        <v>0.53052691146881303</v>
      </c>
      <c r="E90" s="372">
        <f t="shared" si="13"/>
        <v>0.56155649933662954</v>
      </c>
      <c r="F90" s="372">
        <f t="shared" si="14"/>
        <v>6.3069140389441998</v>
      </c>
      <c r="G90" s="372">
        <f t="shared" si="8"/>
        <v>10.61053822937626</v>
      </c>
      <c r="H90" s="371">
        <f t="shared" si="9"/>
        <v>630.69140389441998</v>
      </c>
    </row>
    <row r="91" spans="1:8">
      <c r="A91" s="369">
        <v>7200</v>
      </c>
      <c r="B91" s="370">
        <f t="shared" si="10"/>
        <v>180.95573684677208</v>
      </c>
      <c r="C91" s="370">
        <f t="shared" si="11"/>
        <v>38.229333333333322</v>
      </c>
      <c r="D91" s="371">
        <f t="shared" si="12"/>
        <v>0.52315848214285732</v>
      </c>
      <c r="E91" s="372">
        <f t="shared" si="13"/>
        <v>0.56155649933662954</v>
      </c>
      <c r="F91" s="372">
        <f t="shared" si="14"/>
        <v>6.3069140389441998</v>
      </c>
      <c r="G91" s="372">
        <f t="shared" si="8"/>
        <v>10.463169642857146</v>
      </c>
      <c r="H91" s="371">
        <f t="shared" si="9"/>
        <v>630.69140389441998</v>
      </c>
    </row>
    <row r="92" spans="1:8">
      <c r="A92" s="369">
        <v>7300</v>
      </c>
      <c r="B92" s="370">
        <f t="shared" si="10"/>
        <v>183.4690109696439</v>
      </c>
      <c r="C92" s="370">
        <f t="shared" si="11"/>
        <v>38.760296296296289</v>
      </c>
      <c r="D92" s="371">
        <f t="shared" si="12"/>
        <v>0.51599192759295509</v>
      </c>
      <c r="E92" s="372">
        <f t="shared" si="13"/>
        <v>0.56155649933662932</v>
      </c>
      <c r="F92" s="372">
        <f t="shared" si="14"/>
        <v>6.3069140389441944</v>
      </c>
      <c r="G92" s="372">
        <f t="shared" si="8"/>
        <v>10.319838551859101</v>
      </c>
      <c r="H92" s="371">
        <f t="shared" si="9"/>
        <v>630.69140389441952</v>
      </c>
    </row>
    <row r="93" spans="1:8">
      <c r="A93" s="369">
        <v>7400</v>
      </c>
      <c r="B93" s="370">
        <f t="shared" si="10"/>
        <v>185.98228509251575</v>
      </c>
      <c r="C93" s="370">
        <f t="shared" si="11"/>
        <v>39.291259259259256</v>
      </c>
      <c r="D93" s="371">
        <f t="shared" si="12"/>
        <v>0.5090190637065638</v>
      </c>
      <c r="E93" s="372">
        <f t="shared" si="13"/>
        <v>0.56155649933662932</v>
      </c>
      <c r="F93" s="372">
        <f t="shared" si="14"/>
        <v>6.3069140389441944</v>
      </c>
      <c r="G93" s="372">
        <f t="shared" si="8"/>
        <v>10.180381274131276</v>
      </c>
      <c r="H93" s="371">
        <f t="shared" si="9"/>
        <v>630.69140389441952</v>
      </c>
    </row>
    <row r="94" spans="1:8">
      <c r="A94" s="369">
        <v>7500</v>
      </c>
      <c r="B94" s="370">
        <f t="shared" si="10"/>
        <v>188.4955592153876</v>
      </c>
      <c r="C94" s="370">
        <f t="shared" si="11"/>
        <v>39.822222222222223</v>
      </c>
      <c r="D94" s="371">
        <f t="shared" si="12"/>
        <v>0.50223214285714279</v>
      </c>
      <c r="E94" s="372">
        <f t="shared" si="13"/>
        <v>0.56155649933662932</v>
      </c>
      <c r="F94" s="372">
        <f t="shared" si="14"/>
        <v>6.3069140389441944</v>
      </c>
      <c r="G94" s="372">
        <f t="shared" si="8"/>
        <v>10.044642857142854</v>
      </c>
      <c r="H94" s="371">
        <f t="shared" si="9"/>
        <v>630.69140389441952</v>
      </c>
    </row>
    <row r="95" spans="1:8">
      <c r="A95" s="369">
        <v>7600</v>
      </c>
      <c r="B95" s="370">
        <f t="shared" si="10"/>
        <v>191.00883333825942</v>
      </c>
      <c r="C95" s="370">
        <f t="shared" si="11"/>
        <v>40.353185185185175</v>
      </c>
      <c r="D95" s="371">
        <f t="shared" si="12"/>
        <v>0.49562382518797005</v>
      </c>
      <c r="E95" s="372">
        <f t="shared" si="13"/>
        <v>0.56155649933662954</v>
      </c>
      <c r="F95" s="372">
        <f t="shared" si="14"/>
        <v>6.3069140389441998</v>
      </c>
      <c r="G95" s="372">
        <f t="shared" si="8"/>
        <v>9.9124765037594003</v>
      </c>
      <c r="H95" s="371">
        <f t="shared" si="9"/>
        <v>630.69140389441998</v>
      </c>
    </row>
    <row r="96" spans="1:8">
      <c r="A96" s="369">
        <v>7700</v>
      </c>
      <c r="B96" s="370">
        <f t="shared" si="10"/>
        <v>193.52210746113127</v>
      </c>
      <c r="C96" s="370">
        <f t="shared" si="11"/>
        <v>40.884148148148142</v>
      </c>
      <c r="D96" s="371">
        <f t="shared" si="12"/>
        <v>0.48918715213358077</v>
      </c>
      <c r="E96" s="372">
        <f t="shared" si="13"/>
        <v>0.56155649933662932</v>
      </c>
      <c r="F96" s="372">
        <f t="shared" si="14"/>
        <v>6.3069140389441944</v>
      </c>
      <c r="G96" s="372">
        <f t="shared" si="8"/>
        <v>9.783743042671615</v>
      </c>
      <c r="H96" s="371">
        <f t="shared" si="9"/>
        <v>630.69140389441952</v>
      </c>
    </row>
    <row r="97" spans="1:8">
      <c r="A97" s="369">
        <v>7800</v>
      </c>
      <c r="B97" s="370">
        <f t="shared" si="10"/>
        <v>196.03538158400309</v>
      </c>
      <c r="C97" s="370">
        <f t="shared" si="11"/>
        <v>41.415111111111102</v>
      </c>
      <c r="D97" s="371">
        <f t="shared" si="12"/>
        <v>0.48291552197802207</v>
      </c>
      <c r="E97" s="372">
        <f t="shared" si="13"/>
        <v>0.56155649933662932</v>
      </c>
      <c r="F97" s="372">
        <f t="shared" si="14"/>
        <v>6.3069140389441944</v>
      </c>
      <c r="G97" s="372">
        <f t="shared" si="8"/>
        <v>9.6583104395604398</v>
      </c>
      <c r="H97" s="371">
        <f t="shared" si="9"/>
        <v>630.69140389441952</v>
      </c>
    </row>
    <row r="98" spans="1:8">
      <c r="A98" s="369">
        <v>7900</v>
      </c>
      <c r="B98" s="370">
        <f t="shared" si="10"/>
        <v>198.54865570687494</v>
      </c>
      <c r="C98" s="370">
        <f t="shared" si="11"/>
        <v>41.946074074074076</v>
      </c>
      <c r="D98" s="371">
        <f t="shared" si="12"/>
        <v>0.47680266726943937</v>
      </c>
      <c r="E98" s="372">
        <f t="shared" si="13"/>
        <v>0.56155649933662932</v>
      </c>
      <c r="F98" s="372">
        <f t="shared" si="14"/>
        <v>6.3069140389441944</v>
      </c>
      <c r="G98" s="372">
        <f t="shared" si="8"/>
        <v>9.5360533453887868</v>
      </c>
      <c r="H98" s="371">
        <f t="shared" si="9"/>
        <v>630.69140389441952</v>
      </c>
    </row>
    <row r="99" spans="1:8">
      <c r="A99" s="369">
        <v>8000</v>
      </c>
      <c r="B99" s="370">
        <f t="shared" si="10"/>
        <v>201.06192982974676</v>
      </c>
      <c r="C99" s="370">
        <f t="shared" si="11"/>
        <v>42.477037037037029</v>
      </c>
      <c r="D99" s="371">
        <f t="shared" si="12"/>
        <v>0.47084263392857151</v>
      </c>
      <c r="E99" s="372">
        <f t="shared" si="13"/>
        <v>0.56155649933662932</v>
      </c>
      <c r="F99" s="372">
        <f t="shared" si="14"/>
        <v>6.3069140389441944</v>
      </c>
      <c r="G99" s="372">
        <f t="shared" si="8"/>
        <v>9.4168526785714306</v>
      </c>
      <c r="H99" s="371">
        <f t="shared" si="9"/>
        <v>630.69140389441952</v>
      </c>
    </row>
    <row r="100" spans="1:8">
      <c r="A100" s="369">
        <v>8100</v>
      </c>
      <c r="B100" s="370">
        <f t="shared" si="10"/>
        <v>203.57520395261858</v>
      </c>
      <c r="C100" s="370">
        <f t="shared" si="11"/>
        <v>43.007999999999988</v>
      </c>
      <c r="D100" s="371">
        <f t="shared" si="12"/>
        <v>0.46502976190476203</v>
      </c>
      <c r="E100" s="372">
        <f t="shared" si="13"/>
        <v>0.56155649933662954</v>
      </c>
      <c r="F100" s="372">
        <f t="shared" si="14"/>
        <v>6.3069140389441998</v>
      </c>
      <c r="G100" s="372">
        <f t="shared" si="8"/>
        <v>9.3005952380952408</v>
      </c>
      <c r="H100" s="371">
        <f t="shared" si="9"/>
        <v>630.69140389441998</v>
      </c>
    </row>
    <row r="101" spans="1:8">
      <c r="A101" s="369">
        <v>8200</v>
      </c>
      <c r="B101" s="370">
        <f t="shared" si="10"/>
        <v>206.08847807549043</v>
      </c>
      <c r="C101" s="370">
        <f t="shared" si="11"/>
        <v>43.538962962962955</v>
      </c>
      <c r="D101" s="371">
        <f t="shared" si="12"/>
        <v>0.45935866724738683</v>
      </c>
      <c r="E101" s="372">
        <f t="shared" si="13"/>
        <v>0.56155649933662932</v>
      </c>
      <c r="F101" s="372">
        <f t="shared" si="14"/>
        <v>6.3069140389441944</v>
      </c>
      <c r="G101" s="372">
        <f t="shared" si="8"/>
        <v>9.1871733449477375</v>
      </c>
      <c r="H101" s="371">
        <f t="shared" si="9"/>
        <v>630.69140389441952</v>
      </c>
    </row>
    <row r="102" spans="1:8">
      <c r="A102" s="369">
        <v>8300</v>
      </c>
      <c r="B102" s="370">
        <f t="shared" si="10"/>
        <v>208.60175219836225</v>
      </c>
      <c r="C102" s="370">
        <f t="shared" si="11"/>
        <v>44.069925925925915</v>
      </c>
      <c r="D102" s="371">
        <f t="shared" si="12"/>
        <v>0.45382422547332196</v>
      </c>
      <c r="E102" s="372">
        <f t="shared" si="13"/>
        <v>0.56155649933662954</v>
      </c>
      <c r="F102" s="372">
        <f t="shared" si="14"/>
        <v>6.3069140389441998</v>
      </c>
      <c r="G102" s="372">
        <f t="shared" si="8"/>
        <v>9.0764845094664395</v>
      </c>
      <c r="H102" s="371">
        <f t="shared" si="9"/>
        <v>630.69140389441998</v>
      </c>
    </row>
    <row r="103" spans="1:8">
      <c r="A103" s="369">
        <v>8400</v>
      </c>
      <c r="B103" s="370">
        <f t="shared" si="10"/>
        <v>211.1150263212341</v>
      </c>
      <c r="C103" s="370">
        <f t="shared" si="11"/>
        <v>44.600888888888882</v>
      </c>
      <c r="D103" s="371">
        <f t="shared" si="12"/>
        <v>0.44842155612244905</v>
      </c>
      <c r="E103" s="372">
        <f t="shared" si="13"/>
        <v>0.56155649933662932</v>
      </c>
      <c r="F103" s="372">
        <f t="shared" si="14"/>
        <v>6.3069140389441944</v>
      </c>
      <c r="G103" s="372">
        <f t="shared" si="8"/>
        <v>8.9684311224489814</v>
      </c>
      <c r="H103" s="371">
        <f t="shared" si="9"/>
        <v>630.69140389441952</v>
      </c>
    </row>
    <row r="104" spans="1:8">
      <c r="A104" s="369">
        <v>8500</v>
      </c>
      <c r="B104" s="370">
        <f t="shared" si="10"/>
        <v>213.62830044410592</v>
      </c>
      <c r="C104" s="370">
        <f t="shared" si="11"/>
        <v>45.131851851851842</v>
      </c>
      <c r="D104" s="371">
        <f t="shared" si="12"/>
        <v>0.44314600840336144</v>
      </c>
      <c r="E104" s="372">
        <f t="shared" si="13"/>
        <v>0.56155649933662932</v>
      </c>
      <c r="F104" s="372">
        <f t="shared" si="14"/>
        <v>6.3069140389441944</v>
      </c>
      <c r="G104" s="372">
        <f t="shared" si="8"/>
        <v>8.8629201680672285</v>
      </c>
      <c r="H104" s="371">
        <f t="shared" si="9"/>
        <v>630.69140389441952</v>
      </c>
    </row>
    <row r="105" spans="1:8">
      <c r="A105" s="369">
        <v>8600</v>
      </c>
      <c r="B105" s="370">
        <f t="shared" si="10"/>
        <v>216.14157456697777</v>
      </c>
      <c r="C105" s="370">
        <f t="shared" si="11"/>
        <v>45.662814814814809</v>
      </c>
      <c r="D105" s="371">
        <f t="shared" si="12"/>
        <v>0.43799314784053162</v>
      </c>
      <c r="E105" s="372">
        <f t="shared" si="13"/>
        <v>0.56155649933662932</v>
      </c>
      <c r="F105" s="372">
        <f t="shared" si="14"/>
        <v>6.3069140389441944</v>
      </c>
      <c r="G105" s="372">
        <f t="shared" si="8"/>
        <v>8.7598629568106325</v>
      </c>
      <c r="H105" s="371">
        <f t="shared" si="9"/>
        <v>630.69140389441952</v>
      </c>
    </row>
    <row r="106" spans="1:8">
      <c r="A106" s="369">
        <v>8700</v>
      </c>
      <c r="B106" s="370">
        <f t="shared" si="10"/>
        <v>218.65484868984962</v>
      </c>
      <c r="C106" s="370">
        <f t="shared" si="11"/>
        <v>46.193777777777768</v>
      </c>
      <c r="D106" s="371">
        <f t="shared" si="12"/>
        <v>0.4329587438423646</v>
      </c>
      <c r="E106" s="372">
        <f t="shared" si="13"/>
        <v>0.56155649933662932</v>
      </c>
      <c r="F106" s="372">
        <f t="shared" si="14"/>
        <v>6.3069140389441944</v>
      </c>
      <c r="G106" s="372">
        <f t="shared" si="8"/>
        <v>8.6591748768472918</v>
      </c>
      <c r="H106" s="371">
        <f t="shared" si="9"/>
        <v>630.69140389441952</v>
      </c>
    </row>
    <row r="107" spans="1:8">
      <c r="A107" s="369">
        <v>8800</v>
      </c>
      <c r="B107" s="370">
        <f t="shared" si="10"/>
        <v>221.16812281272144</v>
      </c>
      <c r="C107" s="370">
        <f t="shared" si="11"/>
        <v>46.724740740740735</v>
      </c>
      <c r="D107" s="371">
        <f t="shared" si="12"/>
        <v>0.42803875811688319</v>
      </c>
      <c r="E107" s="372">
        <f t="shared" si="13"/>
        <v>0.56155649933662932</v>
      </c>
      <c r="F107" s="372">
        <f t="shared" si="14"/>
        <v>6.3069140389441944</v>
      </c>
      <c r="G107" s="372">
        <f t="shared" si="8"/>
        <v>8.5607751623376647</v>
      </c>
      <c r="H107" s="371">
        <f t="shared" si="9"/>
        <v>630.69140389441952</v>
      </c>
    </row>
    <row r="108" spans="1:8">
      <c r="A108" s="369">
        <v>8900</v>
      </c>
      <c r="B108" s="370">
        <f t="shared" si="10"/>
        <v>223.68139693559328</v>
      </c>
      <c r="C108" s="370">
        <f t="shared" si="11"/>
        <v>47.255703703703702</v>
      </c>
      <c r="D108" s="371">
        <f t="shared" si="12"/>
        <v>0.42322933386837885</v>
      </c>
      <c r="E108" s="372">
        <f t="shared" si="13"/>
        <v>0.56155649933662932</v>
      </c>
      <c r="F108" s="372">
        <f t="shared" si="14"/>
        <v>6.3069140389441944</v>
      </c>
      <c r="G108" s="372">
        <f t="shared" si="8"/>
        <v>8.4645866773675777</v>
      </c>
      <c r="H108" s="371">
        <f t="shared" si="9"/>
        <v>630.69140389441952</v>
      </c>
    </row>
    <row r="109" spans="1:8">
      <c r="A109" s="369">
        <v>9000</v>
      </c>
      <c r="B109" s="370">
        <f t="shared" si="10"/>
        <v>226.1946710584651</v>
      </c>
      <c r="C109" s="370">
        <f t="shared" si="11"/>
        <v>47.786666666666655</v>
      </c>
      <c r="D109" s="371">
        <f t="shared" si="12"/>
        <v>0.41852678571428581</v>
      </c>
      <c r="E109" s="372">
        <f t="shared" si="13"/>
        <v>0.56155649933662954</v>
      </c>
      <c r="F109" s="372">
        <f t="shared" si="14"/>
        <v>6.3069140389441998</v>
      </c>
      <c r="G109" s="372">
        <f t="shared" si="8"/>
        <v>8.3705357142857153</v>
      </c>
      <c r="H109" s="371">
        <f t="shared" si="9"/>
        <v>630.69140389441998</v>
      </c>
    </row>
    <row r="110" spans="1:8">
      <c r="A110" s="369">
        <v>9100</v>
      </c>
      <c r="B110" s="370">
        <f t="shared" si="10"/>
        <v>228.70794518133695</v>
      </c>
      <c r="C110" s="370">
        <f t="shared" si="11"/>
        <v>48.317629629629621</v>
      </c>
      <c r="D110" s="371">
        <f t="shared" si="12"/>
        <v>0.41392759026687603</v>
      </c>
      <c r="E110" s="372">
        <f t="shared" si="13"/>
        <v>0.56155649933662932</v>
      </c>
      <c r="F110" s="372">
        <f t="shared" si="14"/>
        <v>6.3069140389441944</v>
      </c>
      <c r="G110" s="372">
        <f t="shared" si="8"/>
        <v>8.2785518053375213</v>
      </c>
      <c r="H110" s="371">
        <f t="shared" si="9"/>
        <v>630.69140389441952</v>
      </c>
    </row>
    <row r="111" spans="1:8">
      <c r="A111" s="369">
        <v>9200</v>
      </c>
      <c r="B111" s="370">
        <f t="shared" si="10"/>
        <v>231.22121930420877</v>
      </c>
      <c r="C111" s="370">
        <f t="shared" si="11"/>
        <v>48.848592592592581</v>
      </c>
      <c r="D111" s="371">
        <f t="shared" si="12"/>
        <v>0.40942837732919263</v>
      </c>
      <c r="E111" s="372">
        <f t="shared" si="13"/>
        <v>0.56155649933662932</v>
      </c>
      <c r="F111" s="372">
        <f t="shared" si="14"/>
        <v>6.3069140389441944</v>
      </c>
      <c r="G111" s="372">
        <f t="shared" si="8"/>
        <v>8.1885675465838528</v>
      </c>
      <c r="H111" s="371">
        <f t="shared" si="9"/>
        <v>630.69140389441952</v>
      </c>
    </row>
    <row r="112" spans="1:8">
      <c r="A112" s="369">
        <v>9300</v>
      </c>
      <c r="B112" s="370">
        <f t="shared" si="10"/>
        <v>233.73449342708059</v>
      </c>
      <c r="C112" s="370">
        <f t="shared" si="11"/>
        <v>49.379555555555548</v>
      </c>
      <c r="D112" s="371">
        <f t="shared" si="12"/>
        <v>0.40502592165898621</v>
      </c>
      <c r="E112" s="372">
        <f t="shared" si="13"/>
        <v>0.56155649933662932</v>
      </c>
      <c r="F112" s="372">
        <f t="shared" si="14"/>
        <v>6.3069140389441944</v>
      </c>
      <c r="G112" s="372">
        <f t="shared" si="8"/>
        <v>8.1005184331797224</v>
      </c>
      <c r="H112" s="371">
        <f t="shared" si="9"/>
        <v>630.69140389441952</v>
      </c>
    </row>
    <row r="113" spans="1:8">
      <c r="A113" s="369">
        <v>9400</v>
      </c>
      <c r="B113" s="370">
        <f t="shared" si="10"/>
        <v>236.24776754995244</v>
      </c>
      <c r="C113" s="370">
        <f t="shared" si="11"/>
        <v>49.910518518518508</v>
      </c>
      <c r="D113" s="371">
        <f t="shared" si="12"/>
        <v>0.40071713525835873</v>
      </c>
      <c r="E113" s="372">
        <f t="shared" si="13"/>
        <v>0.56155649933662932</v>
      </c>
      <c r="F113" s="372">
        <f t="shared" si="14"/>
        <v>6.3069140389441944</v>
      </c>
      <c r="G113" s="372">
        <f t="shared" si="8"/>
        <v>8.0143427051671736</v>
      </c>
      <c r="H113" s="371">
        <f t="shared" si="9"/>
        <v>630.69140389441952</v>
      </c>
    </row>
    <row r="114" spans="1:8">
      <c r="A114" s="369">
        <v>9500</v>
      </c>
      <c r="B114" s="370">
        <f t="shared" si="10"/>
        <v>238.76104167282426</v>
      </c>
      <c r="C114" s="370">
        <f t="shared" si="11"/>
        <v>50.441481481481475</v>
      </c>
      <c r="D114" s="371">
        <f t="shared" si="12"/>
        <v>0.396499060150376</v>
      </c>
      <c r="E114" s="372">
        <f t="shared" si="13"/>
        <v>0.56155649933662932</v>
      </c>
      <c r="F114" s="372">
        <f t="shared" si="14"/>
        <v>6.3069140389441944</v>
      </c>
      <c r="G114" s="372">
        <f t="shared" si="8"/>
        <v>7.9299812030075199</v>
      </c>
      <c r="H114" s="371">
        <f t="shared" si="9"/>
        <v>630.69140389441952</v>
      </c>
    </row>
    <row r="115" spans="1:8">
      <c r="A115" s="369">
        <v>9600</v>
      </c>
      <c r="B115" s="370">
        <f t="shared" si="10"/>
        <v>241.27431579569611</v>
      </c>
      <c r="C115" s="370">
        <f t="shared" si="11"/>
        <v>50.972444444444434</v>
      </c>
      <c r="D115" s="371">
        <f t="shared" si="12"/>
        <v>0.39236886160714296</v>
      </c>
      <c r="E115" s="372">
        <f t="shared" si="13"/>
        <v>0.56155649933662954</v>
      </c>
      <c r="F115" s="372">
        <f t="shared" si="14"/>
        <v>6.3069140389441998</v>
      </c>
      <c r="G115" s="372">
        <f t="shared" si="8"/>
        <v>7.8473772321428594</v>
      </c>
      <c r="H115" s="371">
        <f t="shared" si="9"/>
        <v>630.69140389441998</v>
      </c>
    </row>
    <row r="116" spans="1:8">
      <c r="A116" s="369">
        <v>9700</v>
      </c>
      <c r="B116" s="370">
        <f t="shared" si="10"/>
        <v>243.78758991856793</v>
      </c>
      <c r="C116" s="370">
        <f t="shared" si="11"/>
        <v>51.503407407407401</v>
      </c>
      <c r="D116" s="371">
        <f t="shared" si="12"/>
        <v>0.38832382179676</v>
      </c>
      <c r="E116" s="372">
        <f t="shared" si="13"/>
        <v>0.56155649933662932</v>
      </c>
      <c r="F116" s="372">
        <f t="shared" si="14"/>
        <v>6.3069140389441944</v>
      </c>
      <c r="G116" s="372">
        <f t="shared" si="8"/>
        <v>7.7664764359351999</v>
      </c>
      <c r="H116" s="371">
        <f t="shared" si="9"/>
        <v>630.69140389441952</v>
      </c>
    </row>
    <row r="117" spans="1:8">
      <c r="A117" s="369">
        <v>9800</v>
      </c>
      <c r="B117" s="370">
        <f t="shared" si="10"/>
        <v>246.30086404143978</v>
      </c>
      <c r="C117" s="370">
        <f t="shared" si="11"/>
        <v>52.034370370370361</v>
      </c>
      <c r="D117" s="371">
        <f t="shared" si="12"/>
        <v>0.38436133381924203</v>
      </c>
      <c r="E117" s="372">
        <f t="shared" si="13"/>
        <v>0.56155649933662932</v>
      </c>
      <c r="F117" s="372">
        <f t="shared" si="14"/>
        <v>6.3069140389441944</v>
      </c>
      <c r="G117" s="372">
        <f t="shared" si="8"/>
        <v>7.6872266763848405</v>
      </c>
      <c r="H117" s="371">
        <f t="shared" si="9"/>
        <v>630.69140389441952</v>
      </c>
    </row>
    <row r="118" spans="1:8">
      <c r="A118" s="369">
        <v>9900</v>
      </c>
      <c r="B118" s="370">
        <f t="shared" si="10"/>
        <v>248.81413816431163</v>
      </c>
      <c r="C118" s="370">
        <f t="shared" si="11"/>
        <v>52.565333333333335</v>
      </c>
      <c r="D118" s="371">
        <f t="shared" si="12"/>
        <v>0.38047889610389607</v>
      </c>
      <c r="E118" s="372">
        <f t="shared" si="13"/>
        <v>0.56155649933662932</v>
      </c>
      <c r="F118" s="372">
        <f t="shared" si="14"/>
        <v>6.3069140389441944</v>
      </c>
      <c r="G118" s="372">
        <f t="shared" si="8"/>
        <v>7.6095779220779205</v>
      </c>
      <c r="H118" s="371">
        <f t="shared" si="9"/>
        <v>630.69140389441952</v>
      </c>
    </row>
    <row r="119" spans="1:8">
      <c r="A119" s="369">
        <v>10000</v>
      </c>
      <c r="B119" s="370">
        <f t="shared" si="10"/>
        <v>251.32741228718345</v>
      </c>
      <c r="C119" s="370">
        <f t="shared" si="11"/>
        <v>53.096296296296281</v>
      </c>
      <c r="D119" s="371">
        <f t="shared" si="12"/>
        <v>0.37667410714285726</v>
      </c>
      <c r="E119" s="372">
        <f t="shared" si="13"/>
        <v>0.56155649933662954</v>
      </c>
      <c r="F119" s="372">
        <f t="shared" si="14"/>
        <v>6.3069140389441998</v>
      </c>
      <c r="G119" s="372">
        <f t="shared" ref="G119:G182" si="15">D119^2*C119</f>
        <v>7.533482142857145</v>
      </c>
      <c r="H119" s="371">
        <f t="shared" ref="H119:H182" si="16">F119/10*1000</f>
        <v>630.69140389441998</v>
      </c>
    </row>
    <row r="120" spans="1:8">
      <c r="A120" s="369">
        <v>10100</v>
      </c>
      <c r="B120" s="370">
        <f t="shared" si="10"/>
        <v>253.8406864100553</v>
      </c>
      <c r="C120" s="370">
        <f t="shared" si="11"/>
        <v>53.627259259259255</v>
      </c>
      <c r="D120" s="371">
        <f t="shared" si="12"/>
        <v>0.37294466053748238</v>
      </c>
      <c r="E120" s="372">
        <f t="shared" si="13"/>
        <v>0.56155649933662932</v>
      </c>
      <c r="F120" s="372">
        <f t="shared" si="14"/>
        <v>6.3069140389441944</v>
      </c>
      <c r="G120" s="372">
        <f t="shared" si="15"/>
        <v>7.4588932107496486</v>
      </c>
      <c r="H120" s="371">
        <f t="shared" si="16"/>
        <v>630.69140389441952</v>
      </c>
    </row>
    <row r="121" spans="1:8">
      <c r="A121" s="369">
        <v>10200</v>
      </c>
      <c r="B121" s="370">
        <f t="shared" si="10"/>
        <v>256.35396053292715</v>
      </c>
      <c r="C121" s="370">
        <f t="shared" si="11"/>
        <v>54.158222222222214</v>
      </c>
      <c r="D121" s="371">
        <f t="shared" si="12"/>
        <v>0.3692883403361345</v>
      </c>
      <c r="E121" s="372">
        <f t="shared" si="13"/>
        <v>0.56155649933662932</v>
      </c>
      <c r="F121" s="372">
        <f t="shared" si="14"/>
        <v>6.3069140389441944</v>
      </c>
      <c r="G121" s="372">
        <f t="shared" si="15"/>
        <v>7.3857668067226898</v>
      </c>
      <c r="H121" s="371">
        <f t="shared" si="16"/>
        <v>630.69140389441952</v>
      </c>
    </row>
    <row r="122" spans="1:8">
      <c r="A122" s="369">
        <v>10300</v>
      </c>
      <c r="B122" s="370">
        <f t="shared" si="10"/>
        <v>258.86723465579894</v>
      </c>
      <c r="C122" s="370">
        <f t="shared" si="11"/>
        <v>54.689185185185167</v>
      </c>
      <c r="D122" s="371">
        <f t="shared" si="12"/>
        <v>0.36570301664355076</v>
      </c>
      <c r="E122" s="372">
        <f t="shared" si="13"/>
        <v>0.56155649933662954</v>
      </c>
      <c r="F122" s="372">
        <f t="shared" si="14"/>
        <v>6.3069140389441998</v>
      </c>
      <c r="G122" s="372">
        <f t="shared" si="15"/>
        <v>7.3140603328710148</v>
      </c>
      <c r="H122" s="371">
        <f t="shared" si="16"/>
        <v>630.69140389441998</v>
      </c>
    </row>
    <row r="123" spans="1:8">
      <c r="A123" s="369">
        <v>10400</v>
      </c>
      <c r="B123" s="370">
        <f t="shared" si="10"/>
        <v>261.38050877867079</v>
      </c>
      <c r="C123" s="370">
        <f t="shared" si="11"/>
        <v>55.220148148148141</v>
      </c>
      <c r="D123" s="371">
        <f t="shared" si="12"/>
        <v>0.36218664148351654</v>
      </c>
      <c r="E123" s="372">
        <f t="shared" si="13"/>
        <v>0.56155649933662932</v>
      </c>
      <c r="F123" s="372">
        <f t="shared" si="14"/>
        <v>6.3069140389441944</v>
      </c>
      <c r="G123" s="372">
        <f t="shared" si="15"/>
        <v>7.2437328296703303</v>
      </c>
      <c r="H123" s="371">
        <f t="shared" si="16"/>
        <v>630.69140389441952</v>
      </c>
    </row>
    <row r="124" spans="1:8">
      <c r="A124" s="369">
        <v>10500</v>
      </c>
      <c r="B124" s="370">
        <f t="shared" si="10"/>
        <v>263.89378290154264</v>
      </c>
      <c r="C124" s="370">
        <f t="shared" si="11"/>
        <v>55.751111111111101</v>
      </c>
      <c r="D124" s="371">
        <f t="shared" si="12"/>
        <v>0.35873724489795927</v>
      </c>
      <c r="E124" s="372">
        <f t="shared" si="13"/>
        <v>0.56155649933662954</v>
      </c>
      <c r="F124" s="372">
        <f t="shared" si="14"/>
        <v>6.3069140389441998</v>
      </c>
      <c r="G124" s="372">
        <f t="shared" si="15"/>
        <v>7.1747448979591866</v>
      </c>
      <c r="H124" s="371">
        <f t="shared" si="16"/>
        <v>630.69140389441998</v>
      </c>
    </row>
    <row r="125" spans="1:8">
      <c r="A125" s="369">
        <v>10600</v>
      </c>
      <c r="B125" s="370">
        <f t="shared" si="10"/>
        <v>266.40705702441448</v>
      </c>
      <c r="C125" s="370">
        <f t="shared" si="11"/>
        <v>56.282074074074075</v>
      </c>
      <c r="D125" s="371">
        <f t="shared" si="12"/>
        <v>0.35535293126684636</v>
      </c>
      <c r="E125" s="372">
        <f t="shared" si="13"/>
        <v>0.56155649933662932</v>
      </c>
      <c r="F125" s="372">
        <f t="shared" si="14"/>
        <v>6.3069140389441944</v>
      </c>
      <c r="G125" s="372">
        <f t="shared" si="15"/>
        <v>7.1070586253369274</v>
      </c>
      <c r="H125" s="371">
        <f t="shared" si="16"/>
        <v>630.69140389441952</v>
      </c>
    </row>
    <row r="126" spans="1:8">
      <c r="A126" s="369">
        <v>10700</v>
      </c>
      <c r="B126" s="370">
        <f t="shared" si="10"/>
        <v>268.92033114728628</v>
      </c>
      <c r="C126" s="370">
        <f t="shared" si="11"/>
        <v>56.813037037037027</v>
      </c>
      <c r="D126" s="371">
        <f t="shared" si="12"/>
        <v>0.35203187583444601</v>
      </c>
      <c r="E126" s="372">
        <f t="shared" si="13"/>
        <v>0.56155649933662954</v>
      </c>
      <c r="F126" s="372">
        <f t="shared" si="14"/>
        <v>6.3069140389441998</v>
      </c>
      <c r="G126" s="372">
        <f t="shared" si="15"/>
        <v>7.0406375166889212</v>
      </c>
      <c r="H126" s="371">
        <f t="shared" si="16"/>
        <v>630.69140389441998</v>
      </c>
    </row>
    <row r="127" spans="1:8">
      <c r="A127" s="369">
        <v>10800</v>
      </c>
      <c r="B127" s="370">
        <f t="shared" si="10"/>
        <v>271.43360527015813</v>
      </c>
      <c r="C127" s="370">
        <f t="shared" si="11"/>
        <v>57.343999999999987</v>
      </c>
      <c r="D127" s="371">
        <f t="shared" si="12"/>
        <v>0.34877232142857151</v>
      </c>
      <c r="E127" s="372">
        <f t="shared" si="13"/>
        <v>0.56155649933662954</v>
      </c>
      <c r="F127" s="372">
        <f t="shared" si="14"/>
        <v>6.3069140389441998</v>
      </c>
      <c r="G127" s="372">
        <f t="shared" si="15"/>
        <v>6.9754464285714306</v>
      </c>
      <c r="H127" s="371">
        <f t="shared" si="16"/>
        <v>630.69140389441998</v>
      </c>
    </row>
    <row r="128" spans="1:8">
      <c r="A128" s="369">
        <v>10900</v>
      </c>
      <c r="B128" s="370">
        <f t="shared" si="10"/>
        <v>273.94687939302997</v>
      </c>
      <c r="C128" s="370">
        <f t="shared" si="11"/>
        <v>57.874962962962961</v>
      </c>
      <c r="D128" s="371">
        <f t="shared" si="12"/>
        <v>0.34557257536041941</v>
      </c>
      <c r="E128" s="372">
        <f t="shared" si="13"/>
        <v>0.56155649933662932</v>
      </c>
      <c r="F128" s="372">
        <f t="shared" si="14"/>
        <v>6.3069140389441944</v>
      </c>
      <c r="G128" s="372">
        <f t="shared" si="15"/>
        <v>6.9114515072083886</v>
      </c>
      <c r="H128" s="371">
        <f t="shared" si="16"/>
        <v>630.69140389441952</v>
      </c>
    </row>
    <row r="129" spans="1:8">
      <c r="A129" s="369">
        <v>11000</v>
      </c>
      <c r="B129" s="370">
        <f t="shared" si="10"/>
        <v>276.46015351590177</v>
      </c>
      <c r="C129" s="370">
        <f t="shared" si="11"/>
        <v>58.405925925925914</v>
      </c>
      <c r="D129" s="371">
        <f t="shared" si="12"/>
        <v>0.34243100649350655</v>
      </c>
      <c r="E129" s="372">
        <f t="shared" si="13"/>
        <v>0.56155649933662932</v>
      </c>
      <c r="F129" s="372">
        <f t="shared" si="14"/>
        <v>6.3069140389441944</v>
      </c>
      <c r="G129" s="372">
        <f t="shared" si="15"/>
        <v>6.848620129870131</v>
      </c>
      <c r="H129" s="371">
        <f t="shared" si="16"/>
        <v>630.69140389441952</v>
      </c>
    </row>
    <row r="130" spans="1:8">
      <c r="A130" s="369">
        <v>11100</v>
      </c>
      <c r="B130" s="370">
        <f t="shared" si="10"/>
        <v>278.97342763877361</v>
      </c>
      <c r="C130" s="370">
        <f t="shared" si="11"/>
        <v>58.936888888888873</v>
      </c>
      <c r="D130" s="371">
        <f t="shared" si="12"/>
        <v>0.33934604247104255</v>
      </c>
      <c r="E130" s="372">
        <f t="shared" si="13"/>
        <v>0.56155649933662954</v>
      </c>
      <c r="F130" s="372">
        <f t="shared" si="14"/>
        <v>6.3069140389441998</v>
      </c>
      <c r="G130" s="372">
        <f t="shared" si="15"/>
        <v>6.7869208494208504</v>
      </c>
      <c r="H130" s="371">
        <f t="shared" si="16"/>
        <v>630.69140389441998</v>
      </c>
    </row>
    <row r="131" spans="1:8">
      <c r="A131" s="369">
        <v>11200</v>
      </c>
      <c r="B131" s="370">
        <f t="shared" si="10"/>
        <v>281.48670176164546</v>
      </c>
      <c r="C131" s="370">
        <f t="shared" si="11"/>
        <v>59.467851851851847</v>
      </c>
      <c r="D131" s="371">
        <f t="shared" si="12"/>
        <v>0.33631616709183676</v>
      </c>
      <c r="E131" s="372">
        <f t="shared" si="13"/>
        <v>0.56155649933662932</v>
      </c>
      <c r="F131" s="372">
        <f t="shared" si="14"/>
        <v>6.3069140389441944</v>
      </c>
      <c r="G131" s="372">
        <f t="shared" si="15"/>
        <v>6.7263233418367356</v>
      </c>
      <c r="H131" s="371">
        <f t="shared" si="16"/>
        <v>630.69140389441952</v>
      </c>
    </row>
    <row r="132" spans="1:8">
      <c r="A132" s="369">
        <v>11300</v>
      </c>
      <c r="B132" s="370">
        <f t="shared" si="10"/>
        <v>283.99997588451731</v>
      </c>
      <c r="C132" s="370">
        <f t="shared" si="11"/>
        <v>59.998814814814807</v>
      </c>
      <c r="D132" s="371">
        <f t="shared" si="12"/>
        <v>0.33333991782553735</v>
      </c>
      <c r="E132" s="372">
        <f t="shared" si="13"/>
        <v>0.56155649933662932</v>
      </c>
      <c r="F132" s="372">
        <f t="shared" si="14"/>
        <v>6.3069140389441944</v>
      </c>
      <c r="G132" s="372">
        <f t="shared" si="15"/>
        <v>6.6667983565107471</v>
      </c>
      <c r="H132" s="371">
        <f t="shared" si="16"/>
        <v>630.69140389441952</v>
      </c>
    </row>
    <row r="133" spans="1:8">
      <c r="A133" s="369">
        <v>11400</v>
      </c>
      <c r="B133" s="370">
        <f t="shared" ref="B133:B196" si="17">2*PI()*$K$11*A133/1000</f>
        <v>286.5132500073891</v>
      </c>
      <c r="C133" s="370">
        <f t="shared" ref="C133:C196" si="18">$L$8*B133/$J$14</f>
        <v>60.52977777777776</v>
      </c>
      <c r="D133" s="371">
        <f t="shared" ref="D133:D196" si="19">MIN($K$8,$J$8/C133)</f>
        <v>0.3304158834586467</v>
      </c>
      <c r="E133" s="372">
        <f t="shared" ref="E133:E196" si="20">MIN($L$5,A133*D133*$K$5*$J$5/($L$11*10^-3))</f>
        <v>0.56155649933662954</v>
      </c>
      <c r="F133" s="372">
        <f t="shared" ref="F133:F196" si="21">E133^2*PI()*($K$11/1000)^2/(2*$K$5)</f>
        <v>6.3069140389441998</v>
      </c>
      <c r="G133" s="372">
        <f t="shared" si="15"/>
        <v>6.6083176691729335</v>
      </c>
      <c r="H133" s="371">
        <f t="shared" si="16"/>
        <v>630.69140389441998</v>
      </c>
    </row>
    <row r="134" spans="1:8">
      <c r="A134" s="369">
        <v>11500</v>
      </c>
      <c r="B134" s="370">
        <f t="shared" si="17"/>
        <v>289.02652413026095</v>
      </c>
      <c r="C134" s="370">
        <f t="shared" si="18"/>
        <v>61.060740740740727</v>
      </c>
      <c r="D134" s="371">
        <f t="shared" si="19"/>
        <v>0.3275427018633541</v>
      </c>
      <c r="E134" s="372">
        <f t="shared" si="20"/>
        <v>0.56155649933662932</v>
      </c>
      <c r="F134" s="372">
        <f t="shared" si="21"/>
        <v>6.3069140389441944</v>
      </c>
      <c r="G134" s="372">
        <f t="shared" si="15"/>
        <v>6.550854037267082</v>
      </c>
      <c r="H134" s="371">
        <f t="shared" si="16"/>
        <v>630.69140389441952</v>
      </c>
    </row>
    <row r="135" spans="1:8">
      <c r="A135" s="369">
        <v>11600</v>
      </c>
      <c r="B135" s="370">
        <f t="shared" si="17"/>
        <v>291.5397982531328</v>
      </c>
      <c r="C135" s="370">
        <f t="shared" si="18"/>
        <v>61.591703703703693</v>
      </c>
      <c r="D135" s="371">
        <f t="shared" si="19"/>
        <v>0.32471905788177347</v>
      </c>
      <c r="E135" s="372">
        <f t="shared" si="20"/>
        <v>0.56155649933662932</v>
      </c>
      <c r="F135" s="372">
        <f t="shared" si="21"/>
        <v>6.3069140389441944</v>
      </c>
      <c r="G135" s="372">
        <f t="shared" si="15"/>
        <v>6.4943811576354697</v>
      </c>
      <c r="H135" s="371">
        <f t="shared" si="16"/>
        <v>630.69140389441952</v>
      </c>
    </row>
    <row r="136" spans="1:8">
      <c r="A136" s="369">
        <v>11700</v>
      </c>
      <c r="B136" s="370">
        <f t="shared" si="17"/>
        <v>294.05307237600465</v>
      </c>
      <c r="C136" s="370">
        <f t="shared" si="18"/>
        <v>62.122666666666667</v>
      </c>
      <c r="D136" s="371">
        <f t="shared" si="19"/>
        <v>0.32194368131868134</v>
      </c>
      <c r="E136" s="372">
        <f t="shared" si="20"/>
        <v>0.56155649933662932</v>
      </c>
      <c r="F136" s="372">
        <f t="shared" si="21"/>
        <v>6.3069140389441944</v>
      </c>
      <c r="G136" s="372">
        <f t="shared" si="15"/>
        <v>6.4388736263736277</v>
      </c>
      <c r="H136" s="371">
        <f t="shared" si="16"/>
        <v>630.69140389441952</v>
      </c>
    </row>
    <row r="137" spans="1:8">
      <c r="A137" s="369">
        <v>11800</v>
      </c>
      <c r="B137" s="370">
        <f t="shared" si="17"/>
        <v>296.56634649887644</v>
      </c>
      <c r="C137" s="370">
        <f t="shared" si="18"/>
        <v>62.653629629629613</v>
      </c>
      <c r="D137" s="371">
        <f t="shared" si="19"/>
        <v>0.31921534503631971</v>
      </c>
      <c r="E137" s="372">
        <f t="shared" si="20"/>
        <v>0.56155649933662954</v>
      </c>
      <c r="F137" s="372">
        <f t="shared" si="21"/>
        <v>6.3069140389441998</v>
      </c>
      <c r="G137" s="372">
        <f t="shared" si="15"/>
        <v>6.3843069007263944</v>
      </c>
      <c r="H137" s="371">
        <f t="shared" si="16"/>
        <v>630.69140389441998</v>
      </c>
    </row>
    <row r="138" spans="1:8">
      <c r="A138" s="369">
        <v>11900</v>
      </c>
      <c r="B138" s="370">
        <f t="shared" si="17"/>
        <v>299.07962062174835</v>
      </c>
      <c r="C138" s="370">
        <f t="shared" si="18"/>
        <v>63.184592592592587</v>
      </c>
      <c r="D138" s="371">
        <f t="shared" si="19"/>
        <v>0.31653286314525814</v>
      </c>
      <c r="E138" s="372">
        <f t="shared" si="20"/>
        <v>0.56155649933662932</v>
      </c>
      <c r="F138" s="372">
        <f t="shared" si="21"/>
        <v>6.3069140389441944</v>
      </c>
      <c r="G138" s="372">
        <f t="shared" si="15"/>
        <v>6.3306572629051621</v>
      </c>
      <c r="H138" s="371">
        <f t="shared" si="16"/>
        <v>630.69140389441952</v>
      </c>
    </row>
    <row r="139" spans="1:8">
      <c r="A139" s="369">
        <v>12000</v>
      </c>
      <c r="B139" s="370">
        <f t="shared" si="17"/>
        <v>301.59289474462014</v>
      </c>
      <c r="C139" s="370">
        <f t="shared" si="18"/>
        <v>63.715555555555547</v>
      </c>
      <c r="D139" s="371">
        <f t="shared" si="19"/>
        <v>0.31389508928571436</v>
      </c>
      <c r="E139" s="372">
        <f t="shared" si="20"/>
        <v>0.56155649933662954</v>
      </c>
      <c r="F139" s="372">
        <f t="shared" si="21"/>
        <v>6.3069140389441998</v>
      </c>
      <c r="G139" s="372">
        <f t="shared" si="15"/>
        <v>6.2779017857142874</v>
      </c>
      <c r="H139" s="371">
        <f t="shared" si="16"/>
        <v>630.69140389441998</v>
      </c>
    </row>
    <row r="140" spans="1:8">
      <c r="A140" s="369">
        <v>12100</v>
      </c>
      <c r="B140" s="370">
        <f t="shared" si="17"/>
        <v>304.10616886749199</v>
      </c>
      <c r="C140" s="370">
        <f t="shared" si="18"/>
        <v>64.246518518518513</v>
      </c>
      <c r="D140" s="371">
        <f t="shared" si="19"/>
        <v>0.31130091499409684</v>
      </c>
      <c r="E140" s="372">
        <f t="shared" si="20"/>
        <v>0.56155649933662932</v>
      </c>
      <c r="F140" s="372">
        <f t="shared" si="21"/>
        <v>6.3069140389441944</v>
      </c>
      <c r="G140" s="372">
        <f t="shared" si="15"/>
        <v>6.2260182998819378</v>
      </c>
      <c r="H140" s="371">
        <f t="shared" si="16"/>
        <v>630.69140389441952</v>
      </c>
    </row>
    <row r="141" spans="1:8">
      <c r="A141" s="369">
        <v>12200</v>
      </c>
      <c r="B141" s="370">
        <f t="shared" si="17"/>
        <v>306.61944299036384</v>
      </c>
      <c r="C141" s="370">
        <f t="shared" si="18"/>
        <v>64.777481481481473</v>
      </c>
      <c r="D141" s="371">
        <f t="shared" si="19"/>
        <v>0.30874926814988296</v>
      </c>
      <c r="E141" s="372">
        <f t="shared" si="20"/>
        <v>0.56155649933662932</v>
      </c>
      <c r="F141" s="372">
        <f t="shared" si="21"/>
        <v>6.3069140389441944</v>
      </c>
      <c r="G141" s="372">
        <f t="shared" si="15"/>
        <v>6.1749853629976599</v>
      </c>
      <c r="H141" s="371">
        <f t="shared" si="16"/>
        <v>630.69140389441952</v>
      </c>
    </row>
    <row r="142" spans="1:8">
      <c r="A142" s="369">
        <v>12300</v>
      </c>
      <c r="B142" s="370">
        <f t="shared" si="17"/>
        <v>309.13271711323563</v>
      </c>
      <c r="C142" s="370">
        <f t="shared" si="18"/>
        <v>65.308444444444433</v>
      </c>
      <c r="D142" s="371">
        <f t="shared" si="19"/>
        <v>0.30623911149825789</v>
      </c>
      <c r="E142" s="372">
        <f t="shared" si="20"/>
        <v>0.56155649933662932</v>
      </c>
      <c r="F142" s="372">
        <f t="shared" si="21"/>
        <v>6.3069140389441944</v>
      </c>
      <c r="G142" s="372">
        <f t="shared" si="15"/>
        <v>6.1247822299651569</v>
      </c>
      <c r="H142" s="371">
        <f t="shared" si="16"/>
        <v>630.69140389441952</v>
      </c>
    </row>
    <row r="143" spans="1:8">
      <c r="A143" s="369">
        <v>12400</v>
      </c>
      <c r="B143" s="370">
        <f t="shared" si="17"/>
        <v>311.64599123610748</v>
      </c>
      <c r="C143" s="370">
        <f t="shared" si="18"/>
        <v>65.839407407407393</v>
      </c>
      <c r="D143" s="371">
        <f t="shared" si="19"/>
        <v>0.30376944124423971</v>
      </c>
      <c r="E143" s="372">
        <f t="shared" si="20"/>
        <v>0.56155649933662954</v>
      </c>
      <c r="F143" s="372">
        <f t="shared" si="21"/>
        <v>6.3069140389441998</v>
      </c>
      <c r="G143" s="372">
        <f t="shared" si="15"/>
        <v>6.0753888248847945</v>
      </c>
      <c r="H143" s="371">
        <f t="shared" si="16"/>
        <v>630.69140389441998</v>
      </c>
    </row>
    <row r="144" spans="1:8">
      <c r="A144" s="369">
        <v>12500</v>
      </c>
      <c r="B144" s="370">
        <f t="shared" si="17"/>
        <v>314.15926535897927</v>
      </c>
      <c r="C144" s="370">
        <f t="shared" si="18"/>
        <v>66.370370370370352</v>
      </c>
      <c r="D144" s="371">
        <f t="shared" si="19"/>
        <v>0.30133928571428581</v>
      </c>
      <c r="E144" s="372">
        <f t="shared" si="20"/>
        <v>0.56155649933662954</v>
      </c>
      <c r="F144" s="372">
        <f t="shared" si="21"/>
        <v>6.3069140389441998</v>
      </c>
      <c r="G144" s="372">
        <f t="shared" si="15"/>
        <v>6.0267857142857162</v>
      </c>
      <c r="H144" s="371">
        <f t="shared" si="16"/>
        <v>630.69140389441998</v>
      </c>
    </row>
    <row r="145" spans="1:8">
      <c r="A145" s="369">
        <v>12600</v>
      </c>
      <c r="B145" s="370">
        <f t="shared" si="17"/>
        <v>316.67253948185117</v>
      </c>
      <c r="C145" s="370">
        <f t="shared" si="18"/>
        <v>66.901333333333326</v>
      </c>
      <c r="D145" s="371">
        <f t="shared" si="19"/>
        <v>0.29894770408163268</v>
      </c>
      <c r="E145" s="372">
        <f t="shared" si="20"/>
        <v>0.56155649933662932</v>
      </c>
      <c r="F145" s="372">
        <f t="shared" si="21"/>
        <v>6.3069140389441944</v>
      </c>
      <c r="G145" s="372">
        <f t="shared" si="15"/>
        <v>5.9789540816326534</v>
      </c>
      <c r="H145" s="371">
        <f t="shared" si="16"/>
        <v>630.69140389441952</v>
      </c>
    </row>
    <row r="146" spans="1:8">
      <c r="A146" s="369">
        <v>12700</v>
      </c>
      <c r="B146" s="370">
        <f t="shared" si="17"/>
        <v>319.18581360472297</v>
      </c>
      <c r="C146" s="370">
        <f t="shared" si="18"/>
        <v>67.432296296296286</v>
      </c>
      <c r="D146" s="371">
        <f t="shared" si="19"/>
        <v>0.29659378515185608</v>
      </c>
      <c r="E146" s="372">
        <f t="shared" si="20"/>
        <v>0.56155649933662954</v>
      </c>
      <c r="F146" s="372">
        <f t="shared" si="21"/>
        <v>6.3069140389441998</v>
      </c>
      <c r="G146" s="372">
        <f t="shared" si="15"/>
        <v>5.9318757030371216</v>
      </c>
      <c r="H146" s="371">
        <f t="shared" si="16"/>
        <v>630.69140389441998</v>
      </c>
    </row>
    <row r="147" spans="1:8">
      <c r="A147" s="369">
        <v>12800</v>
      </c>
      <c r="B147" s="370">
        <f t="shared" si="17"/>
        <v>321.69908772759482</v>
      </c>
      <c r="C147" s="370">
        <f t="shared" si="18"/>
        <v>67.963259259259246</v>
      </c>
      <c r="D147" s="371">
        <f t="shared" si="19"/>
        <v>0.29427664620535721</v>
      </c>
      <c r="E147" s="372">
        <f t="shared" si="20"/>
        <v>0.56155649933662954</v>
      </c>
      <c r="F147" s="372">
        <f t="shared" si="21"/>
        <v>6.3069140389441998</v>
      </c>
      <c r="G147" s="372">
        <f t="shared" si="15"/>
        <v>5.8855329241071441</v>
      </c>
      <c r="H147" s="371">
        <f t="shared" si="16"/>
        <v>630.69140389441998</v>
      </c>
    </row>
    <row r="148" spans="1:8">
      <c r="A148" s="369">
        <v>12900</v>
      </c>
      <c r="B148" s="370">
        <f t="shared" si="17"/>
        <v>324.21236185046666</v>
      </c>
      <c r="C148" s="370">
        <f t="shared" si="18"/>
        <v>68.49422222222222</v>
      </c>
      <c r="D148" s="371">
        <f t="shared" si="19"/>
        <v>0.29199543189368771</v>
      </c>
      <c r="E148" s="372">
        <f t="shared" si="20"/>
        <v>0.56155649933662932</v>
      </c>
      <c r="F148" s="372">
        <f t="shared" si="21"/>
        <v>6.3069140389441944</v>
      </c>
      <c r="G148" s="372">
        <f t="shared" si="15"/>
        <v>5.8399086378737541</v>
      </c>
      <c r="H148" s="371">
        <f t="shared" si="16"/>
        <v>630.69140389441952</v>
      </c>
    </row>
    <row r="149" spans="1:8">
      <c r="A149" s="369">
        <v>13000</v>
      </c>
      <c r="B149" s="370">
        <f t="shared" si="17"/>
        <v>326.72563597333851</v>
      </c>
      <c r="C149" s="370">
        <f t="shared" si="18"/>
        <v>69.02518518518518</v>
      </c>
      <c r="D149" s="371">
        <f t="shared" si="19"/>
        <v>0.28974931318681318</v>
      </c>
      <c r="E149" s="372">
        <f t="shared" si="20"/>
        <v>0.56155649933662932</v>
      </c>
      <c r="F149" s="372">
        <f t="shared" si="21"/>
        <v>6.3069140389441944</v>
      </c>
      <c r="G149" s="372">
        <f t="shared" si="15"/>
        <v>5.7949862637362628</v>
      </c>
      <c r="H149" s="371">
        <f t="shared" si="16"/>
        <v>630.69140389441952</v>
      </c>
    </row>
    <row r="150" spans="1:8">
      <c r="A150" s="369">
        <v>13100</v>
      </c>
      <c r="B150" s="370">
        <f t="shared" si="17"/>
        <v>329.2389100962103</v>
      </c>
      <c r="C150" s="370">
        <f t="shared" si="18"/>
        <v>69.556148148148139</v>
      </c>
      <c r="D150" s="371">
        <f t="shared" si="19"/>
        <v>0.28753748636859328</v>
      </c>
      <c r="E150" s="372">
        <f t="shared" si="20"/>
        <v>0.56155649933662932</v>
      </c>
      <c r="F150" s="372">
        <f t="shared" si="21"/>
        <v>6.3069140389441944</v>
      </c>
      <c r="G150" s="372">
        <f t="shared" si="15"/>
        <v>5.7507497273718649</v>
      </c>
      <c r="H150" s="371">
        <f t="shared" si="16"/>
        <v>630.69140389441952</v>
      </c>
    </row>
    <row r="151" spans="1:8">
      <c r="A151" s="369">
        <v>13200</v>
      </c>
      <c r="B151" s="370">
        <f t="shared" si="17"/>
        <v>331.75218421908215</v>
      </c>
      <c r="C151" s="370">
        <f t="shared" si="18"/>
        <v>70.087111111111099</v>
      </c>
      <c r="D151" s="371">
        <f t="shared" si="19"/>
        <v>0.28535917207792211</v>
      </c>
      <c r="E151" s="372">
        <f t="shared" si="20"/>
        <v>0.56155649933662932</v>
      </c>
      <c r="F151" s="372">
        <f t="shared" si="21"/>
        <v>6.3069140389441944</v>
      </c>
      <c r="G151" s="372">
        <f t="shared" si="15"/>
        <v>5.7071834415584419</v>
      </c>
      <c r="H151" s="371">
        <f t="shared" si="16"/>
        <v>630.69140389441952</v>
      </c>
    </row>
    <row r="152" spans="1:8">
      <c r="A152" s="369">
        <v>13300</v>
      </c>
      <c r="B152" s="370">
        <f t="shared" si="17"/>
        <v>334.265458341954</v>
      </c>
      <c r="C152" s="370">
        <f t="shared" si="18"/>
        <v>70.618074074074059</v>
      </c>
      <c r="D152" s="371">
        <f t="shared" si="19"/>
        <v>0.28321361439312576</v>
      </c>
      <c r="E152" s="372">
        <f t="shared" si="20"/>
        <v>0.56155649933662954</v>
      </c>
      <c r="F152" s="372">
        <f t="shared" si="21"/>
        <v>6.3069140389441998</v>
      </c>
      <c r="G152" s="372">
        <f t="shared" si="15"/>
        <v>5.6642722878625156</v>
      </c>
      <c r="H152" s="371">
        <f t="shared" si="16"/>
        <v>630.69140389441998</v>
      </c>
    </row>
    <row r="153" spans="1:8">
      <c r="A153" s="369">
        <v>13400</v>
      </c>
      <c r="B153" s="370">
        <f t="shared" si="17"/>
        <v>336.77873246482585</v>
      </c>
      <c r="C153" s="370">
        <f t="shared" si="18"/>
        <v>71.149037037037033</v>
      </c>
      <c r="D153" s="371">
        <f t="shared" si="19"/>
        <v>0.28110007995735609</v>
      </c>
      <c r="E153" s="372">
        <f t="shared" si="20"/>
        <v>0.56155649933662932</v>
      </c>
      <c r="F153" s="372">
        <f t="shared" si="21"/>
        <v>6.3069140389441944</v>
      </c>
      <c r="G153" s="372">
        <f t="shared" si="15"/>
        <v>5.6220015991471222</v>
      </c>
      <c r="H153" s="371">
        <f t="shared" si="16"/>
        <v>630.69140389441952</v>
      </c>
    </row>
    <row r="154" spans="1:8">
      <c r="A154" s="369">
        <v>13500</v>
      </c>
      <c r="B154" s="370">
        <f t="shared" si="17"/>
        <v>339.29200658769764</v>
      </c>
      <c r="C154" s="370">
        <f t="shared" si="18"/>
        <v>71.679999999999978</v>
      </c>
      <c r="D154" s="371">
        <f t="shared" si="19"/>
        <v>0.27901785714285721</v>
      </c>
      <c r="E154" s="372">
        <f t="shared" si="20"/>
        <v>0.56155649933662954</v>
      </c>
      <c r="F154" s="372">
        <f t="shared" si="21"/>
        <v>6.3069140389441998</v>
      </c>
      <c r="G154" s="372">
        <f t="shared" si="15"/>
        <v>5.5803571428571432</v>
      </c>
      <c r="H154" s="371">
        <f t="shared" si="16"/>
        <v>630.69140389441998</v>
      </c>
    </row>
    <row r="155" spans="1:8">
      <c r="A155" s="369">
        <v>13600</v>
      </c>
      <c r="B155" s="370">
        <f t="shared" si="17"/>
        <v>341.80528071056949</v>
      </c>
      <c r="C155" s="370">
        <f t="shared" si="18"/>
        <v>72.210962962962952</v>
      </c>
      <c r="D155" s="371">
        <f t="shared" si="19"/>
        <v>0.27696625525210089</v>
      </c>
      <c r="E155" s="372">
        <f t="shared" si="20"/>
        <v>0.56155649933662932</v>
      </c>
      <c r="F155" s="372">
        <f t="shared" si="21"/>
        <v>6.3069140389441944</v>
      </c>
      <c r="G155" s="372">
        <f t="shared" si="15"/>
        <v>5.5393251050420185</v>
      </c>
      <c r="H155" s="371">
        <f t="shared" si="16"/>
        <v>630.69140389441952</v>
      </c>
    </row>
    <row r="156" spans="1:8">
      <c r="A156" s="369">
        <v>13700</v>
      </c>
      <c r="B156" s="370">
        <f t="shared" si="17"/>
        <v>344.31855483344134</v>
      </c>
      <c r="C156" s="370">
        <f t="shared" si="18"/>
        <v>72.741925925925912</v>
      </c>
      <c r="D156" s="371">
        <f t="shared" si="19"/>
        <v>0.27494460375391039</v>
      </c>
      <c r="E156" s="372">
        <f t="shared" si="20"/>
        <v>0.56155649933662954</v>
      </c>
      <c r="F156" s="372">
        <f t="shared" si="21"/>
        <v>6.3069140389441998</v>
      </c>
      <c r="G156" s="372">
        <f t="shared" si="15"/>
        <v>5.4988920750782082</v>
      </c>
      <c r="H156" s="371">
        <f t="shared" si="16"/>
        <v>630.69140389441998</v>
      </c>
    </row>
    <row r="157" spans="1:8">
      <c r="A157" s="369">
        <v>13800</v>
      </c>
      <c r="B157" s="370">
        <f t="shared" si="17"/>
        <v>346.83182895631313</v>
      </c>
      <c r="C157" s="370">
        <f t="shared" si="18"/>
        <v>73.272888888888872</v>
      </c>
      <c r="D157" s="371">
        <f t="shared" si="19"/>
        <v>0.27295225155279512</v>
      </c>
      <c r="E157" s="372">
        <f t="shared" si="20"/>
        <v>0.56155649933662954</v>
      </c>
      <c r="F157" s="372">
        <f t="shared" si="21"/>
        <v>6.3069140389441998</v>
      </c>
      <c r="G157" s="372">
        <f t="shared" si="15"/>
        <v>5.4590450310559024</v>
      </c>
      <c r="H157" s="371">
        <f t="shared" si="16"/>
        <v>630.69140389441998</v>
      </c>
    </row>
    <row r="158" spans="1:8">
      <c r="A158" s="369">
        <v>13900</v>
      </c>
      <c r="B158" s="370">
        <f t="shared" si="17"/>
        <v>349.34510307918498</v>
      </c>
      <c r="C158" s="370">
        <f t="shared" si="18"/>
        <v>73.803851851851846</v>
      </c>
      <c r="D158" s="371">
        <f t="shared" si="19"/>
        <v>0.27098856628982532</v>
      </c>
      <c r="E158" s="372">
        <f t="shared" si="20"/>
        <v>0.56155649933662932</v>
      </c>
      <c r="F158" s="372">
        <f t="shared" si="21"/>
        <v>6.3069140389441944</v>
      </c>
      <c r="G158" s="372">
        <f t="shared" si="15"/>
        <v>5.4197713257965061</v>
      </c>
      <c r="H158" s="371">
        <f t="shared" si="16"/>
        <v>630.69140389441952</v>
      </c>
    </row>
    <row r="159" spans="1:8">
      <c r="A159" s="369">
        <v>14000</v>
      </c>
      <c r="B159" s="370">
        <f t="shared" si="17"/>
        <v>351.85837720205683</v>
      </c>
      <c r="C159" s="370">
        <f t="shared" si="18"/>
        <v>74.334814814814806</v>
      </c>
      <c r="D159" s="371">
        <f t="shared" si="19"/>
        <v>0.26905293367346944</v>
      </c>
      <c r="E159" s="372">
        <f t="shared" si="20"/>
        <v>0.56155649933662932</v>
      </c>
      <c r="F159" s="372">
        <f t="shared" si="21"/>
        <v>6.3069140389441944</v>
      </c>
      <c r="G159" s="372">
        <f t="shared" si="15"/>
        <v>5.381058673469389</v>
      </c>
      <c r="H159" s="371">
        <f t="shared" si="16"/>
        <v>630.69140389441952</v>
      </c>
    </row>
    <row r="160" spans="1:8">
      <c r="A160" s="369">
        <v>14100</v>
      </c>
      <c r="B160" s="370">
        <f t="shared" si="17"/>
        <v>354.37165132492868</v>
      </c>
      <c r="C160" s="370">
        <f t="shared" si="18"/>
        <v>74.865777777777765</v>
      </c>
      <c r="D160" s="371">
        <f t="shared" si="19"/>
        <v>0.26714475683890582</v>
      </c>
      <c r="E160" s="372">
        <f t="shared" si="20"/>
        <v>0.56155649933662932</v>
      </c>
      <c r="F160" s="372">
        <f t="shared" si="21"/>
        <v>6.3069140389441944</v>
      </c>
      <c r="G160" s="372">
        <f t="shared" si="15"/>
        <v>5.3428951367781155</v>
      </c>
      <c r="H160" s="371">
        <f t="shared" si="16"/>
        <v>630.69140389441952</v>
      </c>
    </row>
    <row r="161" spans="1:8">
      <c r="A161" s="369">
        <v>14200</v>
      </c>
      <c r="B161" s="370">
        <f t="shared" si="17"/>
        <v>356.88492544780047</v>
      </c>
      <c r="C161" s="370">
        <f t="shared" si="18"/>
        <v>75.396740740740725</v>
      </c>
      <c r="D161" s="371">
        <f t="shared" si="19"/>
        <v>0.26526345573440652</v>
      </c>
      <c r="E161" s="372">
        <f t="shared" si="20"/>
        <v>0.56155649933662954</v>
      </c>
      <c r="F161" s="372">
        <f t="shared" si="21"/>
        <v>6.3069140389441998</v>
      </c>
      <c r="G161" s="372">
        <f t="shared" si="15"/>
        <v>5.3052691146881301</v>
      </c>
      <c r="H161" s="371">
        <f t="shared" si="16"/>
        <v>630.69140389441998</v>
      </c>
    </row>
    <row r="162" spans="1:8">
      <c r="A162" s="369">
        <v>14300</v>
      </c>
      <c r="B162" s="370">
        <f t="shared" si="17"/>
        <v>359.39819957067238</v>
      </c>
      <c r="C162" s="370">
        <f t="shared" si="18"/>
        <v>75.927703703703699</v>
      </c>
      <c r="D162" s="371">
        <f t="shared" si="19"/>
        <v>0.26340846653346656</v>
      </c>
      <c r="E162" s="372">
        <f t="shared" si="20"/>
        <v>0.56155649933662932</v>
      </c>
      <c r="F162" s="372">
        <f t="shared" si="21"/>
        <v>6.3069140389441944</v>
      </c>
      <c r="G162" s="372">
        <f t="shared" si="15"/>
        <v>5.2681693306693314</v>
      </c>
      <c r="H162" s="371">
        <f t="shared" si="16"/>
        <v>630.69140389441952</v>
      </c>
    </row>
    <row r="163" spans="1:8">
      <c r="A163" s="369">
        <v>14400</v>
      </c>
      <c r="B163" s="370">
        <f t="shared" si="17"/>
        <v>361.91147369354417</v>
      </c>
      <c r="C163" s="370">
        <f t="shared" si="18"/>
        <v>76.458666666666645</v>
      </c>
      <c r="D163" s="371">
        <f t="shared" si="19"/>
        <v>0.26157924107142866</v>
      </c>
      <c r="E163" s="372">
        <f t="shared" si="20"/>
        <v>0.56155649933662954</v>
      </c>
      <c r="F163" s="372">
        <f t="shared" si="21"/>
        <v>6.3069140389441998</v>
      </c>
      <c r="G163" s="372">
        <f t="shared" si="15"/>
        <v>5.231584821428573</v>
      </c>
      <c r="H163" s="371">
        <f t="shared" si="16"/>
        <v>630.69140389441998</v>
      </c>
    </row>
    <row r="164" spans="1:8">
      <c r="A164" s="369">
        <v>14500</v>
      </c>
      <c r="B164" s="370">
        <f t="shared" si="17"/>
        <v>364.42474781641602</v>
      </c>
      <c r="C164" s="370">
        <f t="shared" si="18"/>
        <v>76.989629629629619</v>
      </c>
      <c r="D164" s="371">
        <f t="shared" si="19"/>
        <v>0.25977524630541876</v>
      </c>
      <c r="E164" s="372">
        <f t="shared" si="20"/>
        <v>0.56155649933662932</v>
      </c>
      <c r="F164" s="372">
        <f t="shared" si="21"/>
        <v>6.3069140389441944</v>
      </c>
      <c r="G164" s="372">
        <f t="shared" si="15"/>
        <v>5.1955049261083754</v>
      </c>
      <c r="H164" s="371">
        <f t="shared" si="16"/>
        <v>630.69140389441952</v>
      </c>
    </row>
    <row r="165" spans="1:8">
      <c r="A165" s="369">
        <v>14600</v>
      </c>
      <c r="B165" s="370">
        <f t="shared" si="17"/>
        <v>366.93802193928781</v>
      </c>
      <c r="C165" s="370">
        <f t="shared" si="18"/>
        <v>77.520592592592578</v>
      </c>
      <c r="D165" s="371">
        <f t="shared" si="19"/>
        <v>0.25799596379647755</v>
      </c>
      <c r="E165" s="372">
        <f t="shared" si="20"/>
        <v>0.56155649933662932</v>
      </c>
      <c r="F165" s="372">
        <f t="shared" si="21"/>
        <v>6.3069140389441944</v>
      </c>
      <c r="G165" s="372">
        <f t="shared" si="15"/>
        <v>5.1599192759295507</v>
      </c>
      <c r="H165" s="371">
        <f t="shared" si="16"/>
        <v>630.69140389441952</v>
      </c>
    </row>
    <row r="166" spans="1:8">
      <c r="A166" s="369">
        <v>14700</v>
      </c>
      <c r="B166" s="370">
        <f t="shared" si="17"/>
        <v>369.45129606215966</v>
      </c>
      <c r="C166" s="370">
        <f t="shared" si="18"/>
        <v>78.051555555555538</v>
      </c>
      <c r="D166" s="371">
        <f t="shared" si="19"/>
        <v>0.25624088921282806</v>
      </c>
      <c r="E166" s="372">
        <f t="shared" si="20"/>
        <v>0.56155649933662954</v>
      </c>
      <c r="F166" s="372">
        <f t="shared" si="21"/>
        <v>6.3069140389441998</v>
      </c>
      <c r="G166" s="372">
        <f t="shared" si="15"/>
        <v>5.1248177842565621</v>
      </c>
      <c r="H166" s="371">
        <f t="shared" si="16"/>
        <v>630.69140389441998</v>
      </c>
    </row>
    <row r="167" spans="1:8">
      <c r="A167" s="369">
        <v>14800</v>
      </c>
      <c r="B167" s="370">
        <f t="shared" si="17"/>
        <v>371.9645701850315</v>
      </c>
      <c r="C167" s="370">
        <f t="shared" si="18"/>
        <v>78.582518518518512</v>
      </c>
      <c r="D167" s="371">
        <f t="shared" si="19"/>
        <v>0.2545095318532819</v>
      </c>
      <c r="E167" s="372">
        <f t="shared" si="20"/>
        <v>0.56155649933662932</v>
      </c>
      <c r="F167" s="372">
        <f t="shared" si="21"/>
        <v>6.3069140389441944</v>
      </c>
      <c r="G167" s="372">
        <f t="shared" si="15"/>
        <v>5.0901906370656382</v>
      </c>
      <c r="H167" s="371">
        <f t="shared" si="16"/>
        <v>630.69140389441952</v>
      </c>
    </row>
    <row r="168" spans="1:8">
      <c r="A168" s="369">
        <v>14900</v>
      </c>
      <c r="B168" s="370">
        <f t="shared" si="17"/>
        <v>374.4778443079033</v>
      </c>
      <c r="C168" s="370">
        <f t="shared" si="18"/>
        <v>79.113481481481458</v>
      </c>
      <c r="D168" s="371">
        <f t="shared" si="19"/>
        <v>0.25280141418983709</v>
      </c>
      <c r="E168" s="372">
        <f t="shared" si="20"/>
        <v>0.56155649933662954</v>
      </c>
      <c r="F168" s="372">
        <f t="shared" si="21"/>
        <v>6.3069140389441998</v>
      </c>
      <c r="G168" s="372">
        <f t="shared" si="15"/>
        <v>5.0560282837967421</v>
      </c>
      <c r="H168" s="371">
        <f t="shared" si="16"/>
        <v>630.69140389441998</v>
      </c>
    </row>
    <row r="169" spans="1:8">
      <c r="A169" s="369">
        <v>15000</v>
      </c>
      <c r="B169" s="370">
        <f t="shared" si="17"/>
        <v>376.9911184307752</v>
      </c>
      <c r="C169" s="370">
        <f t="shared" si="18"/>
        <v>79.644444444444446</v>
      </c>
      <c r="D169" s="371">
        <f t="shared" si="19"/>
        <v>0.2511160714285714</v>
      </c>
      <c r="E169" s="372">
        <f t="shared" si="20"/>
        <v>0.56155649933662932</v>
      </c>
      <c r="F169" s="372">
        <f t="shared" si="21"/>
        <v>6.3069140389441944</v>
      </c>
      <c r="G169" s="372">
        <f t="shared" si="15"/>
        <v>5.022321428571427</v>
      </c>
      <c r="H169" s="371">
        <f t="shared" si="16"/>
        <v>630.69140389441952</v>
      </c>
    </row>
    <row r="170" spans="1:8">
      <c r="A170" s="369">
        <v>15100</v>
      </c>
      <c r="B170" s="370">
        <f t="shared" si="17"/>
        <v>379.50439255364699</v>
      </c>
      <c r="C170" s="370">
        <f t="shared" si="18"/>
        <v>80.175407407407391</v>
      </c>
      <c r="D170" s="371">
        <f t="shared" si="19"/>
        <v>0.24945305108798491</v>
      </c>
      <c r="E170" s="372">
        <f t="shared" si="20"/>
        <v>0.56155649933662932</v>
      </c>
      <c r="F170" s="372">
        <f t="shared" si="21"/>
        <v>6.3069140389441944</v>
      </c>
      <c r="G170" s="372">
        <f t="shared" si="15"/>
        <v>4.9890610217596976</v>
      </c>
      <c r="H170" s="371">
        <f t="shared" si="16"/>
        <v>630.69140389441952</v>
      </c>
    </row>
    <row r="171" spans="1:8">
      <c r="A171" s="369">
        <v>15200</v>
      </c>
      <c r="B171" s="370">
        <f t="shared" si="17"/>
        <v>382.01766667651884</v>
      </c>
      <c r="C171" s="370">
        <f t="shared" si="18"/>
        <v>80.706370370370351</v>
      </c>
      <c r="D171" s="371">
        <f t="shared" si="19"/>
        <v>0.24781191259398502</v>
      </c>
      <c r="E171" s="372">
        <f t="shared" si="20"/>
        <v>0.56155649933662954</v>
      </c>
      <c r="F171" s="372">
        <f t="shared" si="21"/>
        <v>6.3069140389441998</v>
      </c>
      <c r="G171" s="372">
        <f t="shared" si="15"/>
        <v>4.9562382518797001</v>
      </c>
      <c r="H171" s="371">
        <f t="shared" si="16"/>
        <v>630.69140389441998</v>
      </c>
    </row>
    <row r="172" spans="1:8">
      <c r="A172" s="369">
        <v>15300</v>
      </c>
      <c r="B172" s="370">
        <f t="shared" si="17"/>
        <v>384.53094079939069</v>
      </c>
      <c r="C172" s="370">
        <f t="shared" si="18"/>
        <v>81.237333333333325</v>
      </c>
      <c r="D172" s="371">
        <f t="shared" si="19"/>
        <v>0.24619222689075632</v>
      </c>
      <c r="E172" s="372">
        <f t="shared" si="20"/>
        <v>0.56155649933662932</v>
      </c>
      <c r="F172" s="372">
        <f t="shared" si="21"/>
        <v>6.3069140389441944</v>
      </c>
      <c r="G172" s="372">
        <f t="shared" si="15"/>
        <v>4.9238445378151257</v>
      </c>
      <c r="H172" s="371">
        <f t="shared" si="16"/>
        <v>630.69140389441952</v>
      </c>
    </row>
    <row r="173" spans="1:8">
      <c r="A173" s="369">
        <v>15400</v>
      </c>
      <c r="B173" s="370">
        <f t="shared" si="17"/>
        <v>387.04421492226254</v>
      </c>
      <c r="C173" s="370">
        <f t="shared" si="18"/>
        <v>81.768296296296285</v>
      </c>
      <c r="D173" s="371">
        <f t="shared" si="19"/>
        <v>0.24459357606679039</v>
      </c>
      <c r="E173" s="372">
        <f t="shared" si="20"/>
        <v>0.56155649933662932</v>
      </c>
      <c r="F173" s="372">
        <f t="shared" si="21"/>
        <v>6.3069140389441944</v>
      </c>
      <c r="G173" s="372">
        <f t="shared" si="15"/>
        <v>4.8918715213358075</v>
      </c>
      <c r="H173" s="371">
        <f t="shared" si="16"/>
        <v>630.69140389441952</v>
      </c>
    </row>
    <row r="174" spans="1:8">
      <c r="A174" s="369">
        <v>15500</v>
      </c>
      <c r="B174" s="370">
        <f t="shared" si="17"/>
        <v>389.55748904513433</v>
      </c>
      <c r="C174" s="370">
        <f t="shared" si="18"/>
        <v>82.299259259259244</v>
      </c>
      <c r="D174" s="371">
        <f t="shared" si="19"/>
        <v>0.24301555299539174</v>
      </c>
      <c r="E174" s="372">
        <f t="shared" si="20"/>
        <v>0.56155649933662932</v>
      </c>
      <c r="F174" s="372">
        <f t="shared" si="21"/>
        <v>6.3069140389441944</v>
      </c>
      <c r="G174" s="372">
        <f t="shared" si="15"/>
        <v>4.8603110599078345</v>
      </c>
      <c r="H174" s="371">
        <f t="shared" si="16"/>
        <v>630.69140389441952</v>
      </c>
    </row>
    <row r="175" spans="1:8">
      <c r="A175" s="369">
        <v>15600</v>
      </c>
      <c r="B175" s="370">
        <f t="shared" si="17"/>
        <v>392.07076316800618</v>
      </c>
      <c r="C175" s="370">
        <f t="shared" si="18"/>
        <v>82.830222222222204</v>
      </c>
      <c r="D175" s="371">
        <f t="shared" si="19"/>
        <v>0.24145776098901103</v>
      </c>
      <c r="E175" s="372">
        <f t="shared" si="20"/>
        <v>0.56155649933662932</v>
      </c>
      <c r="F175" s="372">
        <f t="shared" si="21"/>
        <v>6.3069140389441944</v>
      </c>
      <c r="G175" s="372">
        <f t="shared" si="15"/>
        <v>4.8291552197802199</v>
      </c>
      <c r="H175" s="371">
        <f t="shared" si="16"/>
        <v>630.69140389441952</v>
      </c>
    </row>
    <row r="176" spans="1:8">
      <c r="A176" s="369">
        <v>15700</v>
      </c>
      <c r="B176" s="370">
        <f t="shared" si="17"/>
        <v>394.58403729087803</v>
      </c>
      <c r="C176" s="370">
        <f t="shared" si="18"/>
        <v>83.361185185185178</v>
      </c>
      <c r="D176" s="371">
        <f t="shared" si="19"/>
        <v>0.23991981346678801</v>
      </c>
      <c r="E176" s="372">
        <f t="shared" si="20"/>
        <v>0.56155649933662932</v>
      </c>
      <c r="F176" s="372">
        <f t="shared" si="21"/>
        <v>6.3069140389441944</v>
      </c>
      <c r="G176" s="372">
        <f t="shared" si="15"/>
        <v>4.7983962693357602</v>
      </c>
      <c r="H176" s="371">
        <f t="shared" si="16"/>
        <v>630.69140389441952</v>
      </c>
    </row>
    <row r="177" spans="1:8">
      <c r="A177" s="369">
        <v>15800</v>
      </c>
      <c r="B177" s="370">
        <f t="shared" si="17"/>
        <v>397.09731141374988</v>
      </c>
      <c r="C177" s="370">
        <f t="shared" si="18"/>
        <v>83.892148148148152</v>
      </c>
      <c r="D177" s="371">
        <f t="shared" si="19"/>
        <v>0.23840133363471969</v>
      </c>
      <c r="E177" s="372">
        <f t="shared" si="20"/>
        <v>0.56155649933662932</v>
      </c>
      <c r="F177" s="372">
        <f t="shared" si="21"/>
        <v>6.3069140389441944</v>
      </c>
      <c r="G177" s="372">
        <f t="shared" si="15"/>
        <v>4.7680266726943934</v>
      </c>
      <c r="H177" s="371">
        <f t="shared" si="16"/>
        <v>630.69140389441952</v>
      </c>
    </row>
    <row r="178" spans="1:8">
      <c r="A178" s="369">
        <v>15900</v>
      </c>
      <c r="B178" s="370">
        <f t="shared" si="17"/>
        <v>399.61058553662167</v>
      </c>
      <c r="C178" s="370">
        <f t="shared" si="18"/>
        <v>84.423111111111098</v>
      </c>
      <c r="D178" s="371">
        <f t="shared" si="19"/>
        <v>0.23690195417789761</v>
      </c>
      <c r="E178" s="372">
        <f t="shared" si="20"/>
        <v>0.56155649933662932</v>
      </c>
      <c r="F178" s="372">
        <f t="shared" si="21"/>
        <v>6.3069140389441944</v>
      </c>
      <c r="G178" s="372">
        <f t="shared" si="15"/>
        <v>4.7380390835579522</v>
      </c>
      <c r="H178" s="371">
        <f t="shared" si="16"/>
        <v>630.69140389441952</v>
      </c>
    </row>
    <row r="179" spans="1:8">
      <c r="A179" s="369">
        <v>16000</v>
      </c>
      <c r="B179" s="370">
        <f t="shared" si="17"/>
        <v>402.12385965949352</v>
      </c>
      <c r="C179" s="370">
        <f t="shared" si="18"/>
        <v>84.954074074074057</v>
      </c>
      <c r="D179" s="371">
        <f t="shared" si="19"/>
        <v>0.23542131696428575</v>
      </c>
      <c r="E179" s="372">
        <f t="shared" si="20"/>
        <v>0.56155649933662932</v>
      </c>
      <c r="F179" s="372">
        <f t="shared" si="21"/>
        <v>6.3069140389441944</v>
      </c>
      <c r="G179" s="372">
        <f t="shared" si="15"/>
        <v>4.7084263392857153</v>
      </c>
      <c r="H179" s="371">
        <f t="shared" si="16"/>
        <v>630.69140389441952</v>
      </c>
    </row>
    <row r="180" spans="1:8">
      <c r="A180" s="369">
        <v>16100</v>
      </c>
      <c r="B180" s="370">
        <f t="shared" si="17"/>
        <v>404.63713378236537</v>
      </c>
      <c r="C180" s="370">
        <f t="shared" si="18"/>
        <v>85.485037037037031</v>
      </c>
      <c r="D180" s="371">
        <f t="shared" si="19"/>
        <v>0.23395907275953862</v>
      </c>
      <c r="E180" s="372">
        <f t="shared" si="20"/>
        <v>0.56155649933662932</v>
      </c>
      <c r="F180" s="372">
        <f t="shared" si="21"/>
        <v>6.3069140389441944</v>
      </c>
      <c r="G180" s="372">
        <f t="shared" si="15"/>
        <v>4.6791814551907729</v>
      </c>
      <c r="H180" s="371">
        <f t="shared" si="16"/>
        <v>630.69140389441952</v>
      </c>
    </row>
    <row r="181" spans="1:8">
      <c r="A181" s="369">
        <v>16200</v>
      </c>
      <c r="B181" s="370">
        <f t="shared" si="17"/>
        <v>407.15040790523716</v>
      </c>
      <c r="C181" s="370">
        <f t="shared" si="18"/>
        <v>86.015999999999977</v>
      </c>
      <c r="D181" s="371">
        <f t="shared" si="19"/>
        <v>0.23251488095238101</v>
      </c>
      <c r="E181" s="372">
        <f t="shared" si="20"/>
        <v>0.56155649933662954</v>
      </c>
      <c r="F181" s="372">
        <f t="shared" si="21"/>
        <v>6.3069140389441998</v>
      </c>
      <c r="G181" s="372">
        <f t="shared" si="15"/>
        <v>4.6502976190476204</v>
      </c>
      <c r="H181" s="371">
        <f t="shared" si="16"/>
        <v>630.69140389441998</v>
      </c>
    </row>
    <row r="182" spans="1:8">
      <c r="A182" s="369">
        <v>16300</v>
      </c>
      <c r="B182" s="370">
        <f t="shared" si="17"/>
        <v>409.66368202810901</v>
      </c>
      <c r="C182" s="370">
        <f t="shared" si="18"/>
        <v>86.546962962962937</v>
      </c>
      <c r="D182" s="371">
        <f t="shared" si="19"/>
        <v>0.23108840929009647</v>
      </c>
      <c r="E182" s="372">
        <f t="shared" si="20"/>
        <v>0.56155649933662954</v>
      </c>
      <c r="F182" s="372">
        <f t="shared" si="21"/>
        <v>6.3069140389441998</v>
      </c>
      <c r="G182" s="372">
        <f t="shared" si="15"/>
        <v>4.6217681858019297</v>
      </c>
      <c r="H182" s="371">
        <f t="shared" si="16"/>
        <v>630.69140389441998</v>
      </c>
    </row>
    <row r="183" spans="1:8">
      <c r="A183" s="369">
        <v>16400</v>
      </c>
      <c r="B183" s="370">
        <f t="shared" si="17"/>
        <v>412.17695615098086</v>
      </c>
      <c r="C183" s="370">
        <f t="shared" si="18"/>
        <v>87.077925925925911</v>
      </c>
      <c r="D183" s="371">
        <f t="shared" si="19"/>
        <v>0.22967933362369342</v>
      </c>
      <c r="E183" s="372">
        <f t="shared" si="20"/>
        <v>0.56155649933662932</v>
      </c>
      <c r="F183" s="372">
        <f t="shared" si="21"/>
        <v>6.3069140389441944</v>
      </c>
      <c r="G183" s="372">
        <f t="shared" ref="G183:G230" si="22">D183^2*C183</f>
        <v>4.5935866724738688</v>
      </c>
      <c r="H183" s="371">
        <f t="shared" ref="H183:H230" si="23">F183/10*1000</f>
        <v>630.69140389441952</v>
      </c>
    </row>
    <row r="184" spans="1:8">
      <c r="A184" s="369">
        <v>16500</v>
      </c>
      <c r="B184" s="370">
        <f t="shared" si="17"/>
        <v>414.69023027385271</v>
      </c>
      <c r="C184" s="370">
        <f t="shared" si="18"/>
        <v>87.60888888888887</v>
      </c>
      <c r="D184" s="371">
        <f t="shared" si="19"/>
        <v>0.22828733766233772</v>
      </c>
      <c r="E184" s="372">
        <f t="shared" si="20"/>
        <v>0.56155649933662954</v>
      </c>
      <c r="F184" s="372">
        <f t="shared" si="21"/>
        <v>6.3069140389441998</v>
      </c>
      <c r="G184" s="372">
        <f t="shared" si="22"/>
        <v>4.5657467532467546</v>
      </c>
      <c r="H184" s="371">
        <f t="shared" si="23"/>
        <v>630.69140389441998</v>
      </c>
    </row>
    <row r="185" spans="1:8">
      <c r="A185" s="369">
        <v>16600</v>
      </c>
      <c r="B185" s="370">
        <f t="shared" si="17"/>
        <v>417.2035043967245</v>
      </c>
      <c r="C185" s="370">
        <f t="shared" si="18"/>
        <v>88.13985185185183</v>
      </c>
      <c r="D185" s="371">
        <f t="shared" si="19"/>
        <v>0.22691211273666098</v>
      </c>
      <c r="E185" s="372">
        <f t="shared" si="20"/>
        <v>0.56155649933662954</v>
      </c>
      <c r="F185" s="372">
        <f t="shared" si="21"/>
        <v>6.3069140389441998</v>
      </c>
      <c r="G185" s="372">
        <f t="shared" si="22"/>
        <v>4.5382422547332197</v>
      </c>
      <c r="H185" s="371">
        <f t="shared" si="23"/>
        <v>630.69140389441998</v>
      </c>
    </row>
    <row r="186" spans="1:8">
      <c r="A186" s="369">
        <v>16700</v>
      </c>
      <c r="B186" s="370">
        <f t="shared" si="17"/>
        <v>419.7167785195964</v>
      </c>
      <c r="C186" s="370">
        <f t="shared" si="18"/>
        <v>88.670814814814804</v>
      </c>
      <c r="D186" s="371">
        <f t="shared" si="19"/>
        <v>0.22555335757057315</v>
      </c>
      <c r="E186" s="372">
        <f t="shared" si="20"/>
        <v>0.56155649933662932</v>
      </c>
      <c r="F186" s="372">
        <f t="shared" si="21"/>
        <v>6.3069140389441944</v>
      </c>
      <c r="G186" s="372">
        <f t="shared" si="22"/>
        <v>4.5110671514114626</v>
      </c>
      <c r="H186" s="371">
        <f t="shared" si="23"/>
        <v>630.69140389441952</v>
      </c>
    </row>
    <row r="187" spans="1:8">
      <c r="A187" s="369">
        <v>16800</v>
      </c>
      <c r="B187" s="370">
        <f t="shared" si="17"/>
        <v>422.23005264246819</v>
      </c>
      <c r="C187" s="370">
        <f t="shared" si="18"/>
        <v>89.201777777777764</v>
      </c>
      <c r="D187" s="371">
        <f t="shared" si="19"/>
        <v>0.22421077806122452</v>
      </c>
      <c r="E187" s="372">
        <f t="shared" si="20"/>
        <v>0.56155649933662932</v>
      </c>
      <c r="F187" s="372">
        <f t="shared" si="21"/>
        <v>6.3069140389441944</v>
      </c>
      <c r="G187" s="372">
        <f t="shared" si="22"/>
        <v>4.4842155612244907</v>
      </c>
      <c r="H187" s="371">
        <f t="shared" si="23"/>
        <v>630.69140389441952</v>
      </c>
    </row>
    <row r="188" spans="1:8">
      <c r="A188" s="369">
        <v>16900</v>
      </c>
      <c r="B188" s="370">
        <f t="shared" si="17"/>
        <v>424.74332676534004</v>
      </c>
      <c r="C188" s="370">
        <f t="shared" si="18"/>
        <v>89.732740740740738</v>
      </c>
      <c r="D188" s="371">
        <f t="shared" si="19"/>
        <v>0.22288408706677937</v>
      </c>
      <c r="E188" s="372">
        <f t="shared" si="20"/>
        <v>0.56155649933662932</v>
      </c>
      <c r="F188" s="372">
        <f t="shared" si="21"/>
        <v>6.3069140389441944</v>
      </c>
      <c r="G188" s="372">
        <f t="shared" si="22"/>
        <v>4.4576817413355867</v>
      </c>
      <c r="H188" s="371">
        <f t="shared" si="23"/>
        <v>630.69140389441952</v>
      </c>
    </row>
    <row r="189" spans="1:8">
      <c r="A189" s="369">
        <v>17000</v>
      </c>
      <c r="B189" s="370">
        <f t="shared" si="17"/>
        <v>427.25660088821184</v>
      </c>
      <c r="C189" s="370">
        <f t="shared" si="18"/>
        <v>90.263703703703683</v>
      </c>
      <c r="D189" s="371">
        <f t="shared" si="19"/>
        <v>0.22157300420168072</v>
      </c>
      <c r="E189" s="372">
        <f t="shared" si="20"/>
        <v>0.56155649933662932</v>
      </c>
      <c r="F189" s="372">
        <f t="shared" si="21"/>
        <v>6.3069140389441944</v>
      </c>
      <c r="G189" s="372">
        <f t="shared" si="22"/>
        <v>4.4314600840336142</v>
      </c>
      <c r="H189" s="371">
        <f t="shared" si="23"/>
        <v>630.69140389441952</v>
      </c>
    </row>
    <row r="190" spans="1:8">
      <c r="A190" s="369">
        <v>17100</v>
      </c>
      <c r="B190" s="370">
        <f t="shared" si="17"/>
        <v>429.76987501108368</v>
      </c>
      <c r="C190" s="370">
        <f t="shared" si="18"/>
        <v>90.794666666666643</v>
      </c>
      <c r="D190" s="371">
        <f t="shared" si="19"/>
        <v>0.22027725563909781</v>
      </c>
      <c r="E190" s="372">
        <f t="shared" si="20"/>
        <v>0.56155649933662954</v>
      </c>
      <c r="F190" s="372">
        <f t="shared" si="21"/>
        <v>6.3069140389441998</v>
      </c>
      <c r="G190" s="372">
        <f t="shared" si="22"/>
        <v>4.4055451127819563</v>
      </c>
      <c r="H190" s="371">
        <f t="shared" si="23"/>
        <v>630.69140389441998</v>
      </c>
    </row>
    <row r="191" spans="1:8">
      <c r="A191" s="369">
        <v>17200</v>
      </c>
      <c r="B191" s="370">
        <f t="shared" si="17"/>
        <v>432.28314913395553</v>
      </c>
      <c r="C191" s="370">
        <f t="shared" si="18"/>
        <v>91.325629629629617</v>
      </c>
      <c r="D191" s="371">
        <f t="shared" si="19"/>
        <v>0.21899657392026581</v>
      </c>
      <c r="E191" s="372">
        <f t="shared" si="20"/>
        <v>0.56155649933662932</v>
      </c>
      <c r="F191" s="372">
        <f t="shared" si="21"/>
        <v>6.3069140389441944</v>
      </c>
      <c r="G191" s="372">
        <f t="shared" si="22"/>
        <v>4.3799314784053163</v>
      </c>
      <c r="H191" s="371">
        <f t="shared" si="23"/>
        <v>630.69140389441952</v>
      </c>
    </row>
    <row r="192" spans="1:8">
      <c r="A192" s="369">
        <v>17300</v>
      </c>
      <c r="B192" s="370">
        <f t="shared" si="17"/>
        <v>434.79642325682732</v>
      </c>
      <c r="C192" s="370">
        <f t="shared" si="18"/>
        <v>91.856592592592563</v>
      </c>
      <c r="D192" s="371">
        <f t="shared" si="19"/>
        <v>0.21773069777043771</v>
      </c>
      <c r="E192" s="372">
        <f t="shared" si="20"/>
        <v>0.56155649933662954</v>
      </c>
      <c r="F192" s="372">
        <f t="shared" si="21"/>
        <v>6.3069140389441998</v>
      </c>
      <c r="G192" s="372">
        <f t="shared" si="22"/>
        <v>4.3546139554087535</v>
      </c>
      <c r="H192" s="371">
        <f t="shared" si="23"/>
        <v>630.69140389441998</v>
      </c>
    </row>
    <row r="193" spans="1:8">
      <c r="A193" s="369">
        <v>17400</v>
      </c>
      <c r="B193" s="370">
        <f t="shared" si="17"/>
        <v>437.30969737969923</v>
      </c>
      <c r="C193" s="370">
        <f t="shared" si="18"/>
        <v>92.387555555555537</v>
      </c>
      <c r="D193" s="371">
        <f t="shared" si="19"/>
        <v>0.2164793719211823</v>
      </c>
      <c r="E193" s="372">
        <f t="shared" si="20"/>
        <v>0.56155649933662932</v>
      </c>
      <c r="F193" s="372">
        <f t="shared" si="21"/>
        <v>6.3069140389441944</v>
      </c>
      <c r="G193" s="372">
        <f t="shared" si="22"/>
        <v>4.3295874384236459</v>
      </c>
      <c r="H193" s="371">
        <f t="shared" si="23"/>
        <v>630.69140389441952</v>
      </c>
    </row>
    <row r="194" spans="1:8">
      <c r="A194" s="369">
        <v>17500</v>
      </c>
      <c r="B194" s="370">
        <f t="shared" si="17"/>
        <v>439.82297150257102</v>
      </c>
      <c r="C194" s="370">
        <f t="shared" si="18"/>
        <v>92.918518518518511</v>
      </c>
      <c r="D194" s="371">
        <f t="shared" si="19"/>
        <v>0.21524234693877553</v>
      </c>
      <c r="E194" s="372">
        <f t="shared" si="20"/>
        <v>0.56155649933662932</v>
      </c>
      <c r="F194" s="372">
        <f t="shared" si="21"/>
        <v>6.3069140389441944</v>
      </c>
      <c r="G194" s="372">
        <f t="shared" si="22"/>
        <v>4.3048469387755111</v>
      </c>
      <c r="H194" s="371">
        <f t="shared" si="23"/>
        <v>630.69140389441952</v>
      </c>
    </row>
    <row r="195" spans="1:8">
      <c r="A195" s="369">
        <v>17600</v>
      </c>
      <c r="B195" s="370">
        <f t="shared" si="17"/>
        <v>442.33624562544287</v>
      </c>
      <c r="C195" s="370">
        <f t="shared" si="18"/>
        <v>93.44948148148147</v>
      </c>
      <c r="D195" s="371">
        <f t="shared" si="19"/>
        <v>0.21401937905844159</v>
      </c>
      <c r="E195" s="372">
        <f t="shared" si="20"/>
        <v>0.56155649933662932</v>
      </c>
      <c r="F195" s="372">
        <f t="shared" si="21"/>
        <v>6.3069140389441944</v>
      </c>
      <c r="G195" s="372">
        <f t="shared" si="22"/>
        <v>4.2803875811688323</v>
      </c>
      <c r="H195" s="371">
        <f t="shared" si="23"/>
        <v>630.69140389441952</v>
      </c>
    </row>
    <row r="196" spans="1:8">
      <c r="A196" s="369">
        <v>17700</v>
      </c>
      <c r="B196" s="370">
        <f t="shared" si="17"/>
        <v>444.84951974831472</v>
      </c>
      <c r="C196" s="370">
        <f t="shared" si="18"/>
        <v>93.98044444444443</v>
      </c>
      <c r="D196" s="371">
        <f t="shared" si="19"/>
        <v>0.21281023002421312</v>
      </c>
      <c r="E196" s="372">
        <f t="shared" si="20"/>
        <v>0.56155649933662932</v>
      </c>
      <c r="F196" s="372">
        <f t="shared" si="21"/>
        <v>6.3069140389441944</v>
      </c>
      <c r="G196" s="372">
        <f t="shared" si="22"/>
        <v>4.2562046004842626</v>
      </c>
      <c r="H196" s="371">
        <f t="shared" si="23"/>
        <v>630.69140389441952</v>
      </c>
    </row>
    <row r="197" spans="1:8">
      <c r="A197" s="369">
        <v>17800</v>
      </c>
      <c r="B197" s="370">
        <f t="shared" ref="B197:B230" si="24">2*PI()*$K$11*A197/1000</f>
        <v>447.36279387118657</v>
      </c>
      <c r="C197" s="370">
        <f t="shared" ref="C197:C230" si="25">$L$8*B197/$J$14</f>
        <v>94.511407407407404</v>
      </c>
      <c r="D197" s="371">
        <f t="shared" ref="D197:D230" si="26">MIN($K$8,$J$8/C197)</f>
        <v>0.21161466693418943</v>
      </c>
      <c r="E197" s="372">
        <f t="shared" ref="E197:E230" si="27">MIN($L$5,A197*D197*$K$5*$J$5/($L$11*10^-3))</f>
        <v>0.56155649933662932</v>
      </c>
      <c r="F197" s="372">
        <f t="shared" ref="F197:F230" si="28">E197^2*PI()*($K$11/1000)^2/(2*$K$5)</f>
        <v>6.3069140389441944</v>
      </c>
      <c r="G197" s="372">
        <f t="shared" si="22"/>
        <v>4.2322933386837889</v>
      </c>
      <c r="H197" s="371">
        <f t="shared" si="23"/>
        <v>630.69140389441952</v>
      </c>
    </row>
    <row r="198" spans="1:8">
      <c r="A198" s="369">
        <v>17900</v>
      </c>
      <c r="B198" s="370">
        <f t="shared" si="24"/>
        <v>449.87606799405836</v>
      </c>
      <c r="C198" s="370">
        <f t="shared" si="25"/>
        <v>95.04237037037035</v>
      </c>
      <c r="D198" s="371">
        <f t="shared" si="26"/>
        <v>0.21043246209098168</v>
      </c>
      <c r="E198" s="372">
        <f t="shared" si="27"/>
        <v>0.56155649933662932</v>
      </c>
      <c r="F198" s="372">
        <f t="shared" si="28"/>
        <v>6.3069140389441944</v>
      </c>
      <c r="G198" s="372">
        <f t="shared" si="22"/>
        <v>4.2086492418196331</v>
      </c>
      <c r="H198" s="371">
        <f t="shared" si="23"/>
        <v>630.69140389441952</v>
      </c>
    </row>
    <row r="199" spans="1:8">
      <c r="A199" s="369">
        <v>18000</v>
      </c>
      <c r="B199" s="370">
        <f t="shared" si="24"/>
        <v>452.38934211693021</v>
      </c>
      <c r="C199" s="370">
        <f t="shared" si="25"/>
        <v>95.573333333333309</v>
      </c>
      <c r="D199" s="371">
        <f t="shared" si="26"/>
        <v>0.2092633928571429</v>
      </c>
      <c r="E199" s="372">
        <f t="shared" si="27"/>
        <v>0.56155649933662954</v>
      </c>
      <c r="F199" s="372">
        <f t="shared" si="28"/>
        <v>6.3069140389441998</v>
      </c>
      <c r="G199" s="372">
        <f t="shared" si="22"/>
        <v>4.1852678571428577</v>
      </c>
      <c r="H199" s="371">
        <f t="shared" si="23"/>
        <v>630.69140389441998</v>
      </c>
    </row>
    <row r="200" spans="1:8">
      <c r="A200" s="369">
        <v>18100</v>
      </c>
      <c r="B200" s="370">
        <f t="shared" si="24"/>
        <v>454.90261623980206</v>
      </c>
      <c r="C200" s="370">
        <f t="shared" si="25"/>
        <v>96.104296296296283</v>
      </c>
      <c r="D200" s="371">
        <f t="shared" si="26"/>
        <v>0.20810724151539073</v>
      </c>
      <c r="E200" s="372">
        <f t="shared" si="27"/>
        <v>0.56155649933662932</v>
      </c>
      <c r="F200" s="372">
        <f t="shared" si="28"/>
        <v>6.3069140389441944</v>
      </c>
      <c r="G200" s="372">
        <f t="shared" si="22"/>
        <v>4.162144830307815</v>
      </c>
      <c r="H200" s="371">
        <f t="shared" si="23"/>
        <v>630.69140389441952</v>
      </c>
    </row>
    <row r="201" spans="1:8">
      <c r="A201" s="369">
        <v>18200</v>
      </c>
      <c r="B201" s="370">
        <f t="shared" si="24"/>
        <v>457.41589036267391</v>
      </c>
      <c r="C201" s="370">
        <f t="shared" si="25"/>
        <v>96.635259259259243</v>
      </c>
      <c r="D201" s="371">
        <f t="shared" si="26"/>
        <v>0.20696379513343802</v>
      </c>
      <c r="E201" s="372">
        <f t="shared" si="27"/>
        <v>0.56155649933662932</v>
      </c>
      <c r="F201" s="372">
        <f t="shared" si="28"/>
        <v>6.3069140389441944</v>
      </c>
      <c r="G201" s="372">
        <f t="shared" si="22"/>
        <v>4.1392759026687607</v>
      </c>
      <c r="H201" s="371">
        <f t="shared" si="23"/>
        <v>630.69140389441952</v>
      </c>
    </row>
    <row r="202" spans="1:8">
      <c r="A202" s="369">
        <v>18300</v>
      </c>
      <c r="B202" s="370">
        <f t="shared" si="24"/>
        <v>459.9291644855457</v>
      </c>
      <c r="C202" s="370">
        <f t="shared" si="25"/>
        <v>97.166222222222203</v>
      </c>
      <c r="D202" s="371">
        <f t="shared" si="26"/>
        <v>0.20583284543325531</v>
      </c>
      <c r="E202" s="372">
        <f t="shared" si="27"/>
        <v>0.56155649933662932</v>
      </c>
      <c r="F202" s="372">
        <f t="shared" si="28"/>
        <v>6.3069140389441944</v>
      </c>
      <c r="G202" s="372">
        <f t="shared" si="22"/>
        <v>4.1166569086651057</v>
      </c>
      <c r="H202" s="371">
        <f t="shared" si="23"/>
        <v>630.69140389441952</v>
      </c>
    </row>
    <row r="203" spans="1:8">
      <c r="A203" s="369">
        <v>18400</v>
      </c>
      <c r="B203" s="370">
        <f t="shared" si="24"/>
        <v>462.44243860841755</v>
      </c>
      <c r="C203" s="370">
        <f t="shared" si="25"/>
        <v>97.697185185185162</v>
      </c>
      <c r="D203" s="371">
        <f t="shared" si="26"/>
        <v>0.20471418866459631</v>
      </c>
      <c r="E203" s="372">
        <f t="shared" si="27"/>
        <v>0.56155649933662932</v>
      </c>
      <c r="F203" s="372">
        <f t="shared" si="28"/>
        <v>6.3069140389441944</v>
      </c>
      <c r="G203" s="372">
        <f t="shared" si="22"/>
        <v>4.0942837732919264</v>
      </c>
      <c r="H203" s="371">
        <f t="shared" si="23"/>
        <v>630.69140389441952</v>
      </c>
    </row>
    <row r="204" spans="1:8">
      <c r="A204" s="369">
        <v>18500</v>
      </c>
      <c r="B204" s="370">
        <f t="shared" si="24"/>
        <v>464.9557127312894</v>
      </c>
      <c r="C204" s="370">
        <f t="shared" si="25"/>
        <v>98.228148148148136</v>
      </c>
      <c r="D204" s="371">
        <f t="shared" si="26"/>
        <v>0.20360762548262551</v>
      </c>
      <c r="E204" s="372">
        <f t="shared" si="27"/>
        <v>0.56155649933662932</v>
      </c>
      <c r="F204" s="372">
        <f t="shared" si="28"/>
        <v>6.3069140389441944</v>
      </c>
      <c r="G204" s="372">
        <f t="shared" si="22"/>
        <v>4.0721525096525104</v>
      </c>
      <c r="H204" s="371">
        <f t="shared" si="23"/>
        <v>630.69140389441952</v>
      </c>
    </row>
    <row r="205" spans="1:8">
      <c r="A205" s="369">
        <v>18600</v>
      </c>
      <c r="B205" s="370">
        <f t="shared" si="24"/>
        <v>467.46898685416119</v>
      </c>
      <c r="C205" s="370">
        <f t="shared" si="25"/>
        <v>98.759111111111096</v>
      </c>
      <c r="D205" s="371">
        <f t="shared" si="26"/>
        <v>0.2025129608294931</v>
      </c>
      <c r="E205" s="372">
        <f t="shared" si="27"/>
        <v>0.56155649933662932</v>
      </c>
      <c r="F205" s="372">
        <f t="shared" si="28"/>
        <v>6.3069140389441944</v>
      </c>
      <c r="G205" s="372">
        <f t="shared" si="22"/>
        <v>4.0502592165898612</v>
      </c>
      <c r="H205" s="371">
        <f t="shared" si="23"/>
        <v>630.69140389441952</v>
      </c>
    </row>
    <row r="206" spans="1:8">
      <c r="A206" s="369">
        <v>18700</v>
      </c>
      <c r="B206" s="370">
        <f t="shared" si="24"/>
        <v>469.98226097703304</v>
      </c>
      <c r="C206" s="370">
        <f t="shared" si="25"/>
        <v>99.290074074074056</v>
      </c>
      <c r="D206" s="371">
        <f t="shared" si="26"/>
        <v>0.20143000381970974</v>
      </c>
      <c r="E206" s="372">
        <f t="shared" si="27"/>
        <v>0.56155649933662932</v>
      </c>
      <c r="F206" s="372">
        <f t="shared" si="28"/>
        <v>6.3069140389441944</v>
      </c>
      <c r="G206" s="372">
        <f t="shared" si="22"/>
        <v>4.0286000763941949</v>
      </c>
      <c r="H206" s="371">
        <f t="shared" si="23"/>
        <v>630.69140389441952</v>
      </c>
    </row>
    <row r="207" spans="1:8">
      <c r="A207" s="369">
        <v>18800</v>
      </c>
      <c r="B207" s="370">
        <f t="shared" si="24"/>
        <v>472.49553509990488</v>
      </c>
      <c r="C207" s="370">
        <f t="shared" si="25"/>
        <v>99.821037037037016</v>
      </c>
      <c r="D207" s="371">
        <f t="shared" si="26"/>
        <v>0.20035856762917936</v>
      </c>
      <c r="E207" s="372">
        <f t="shared" si="27"/>
        <v>0.56155649933662932</v>
      </c>
      <c r="F207" s="372">
        <f t="shared" si="28"/>
        <v>6.3069140389441944</v>
      </c>
      <c r="G207" s="372">
        <f t="shared" si="22"/>
        <v>4.0071713525835868</v>
      </c>
      <c r="H207" s="371">
        <f t="shared" si="23"/>
        <v>630.69140389441952</v>
      </c>
    </row>
    <row r="208" spans="1:8">
      <c r="A208" s="369">
        <v>18900</v>
      </c>
      <c r="B208" s="370">
        <f t="shared" si="24"/>
        <v>475.00880922277673</v>
      </c>
      <c r="C208" s="370">
        <f t="shared" si="25"/>
        <v>100.35199999999999</v>
      </c>
      <c r="D208" s="371">
        <f t="shared" si="26"/>
        <v>0.19929846938775511</v>
      </c>
      <c r="E208" s="372">
        <f t="shared" si="27"/>
        <v>0.56155649933662932</v>
      </c>
      <c r="F208" s="372">
        <f t="shared" si="28"/>
        <v>6.3069140389441944</v>
      </c>
      <c r="G208" s="372">
        <f t="shared" si="22"/>
        <v>3.9859693877551021</v>
      </c>
      <c r="H208" s="371">
        <f t="shared" si="23"/>
        <v>630.69140389441952</v>
      </c>
    </row>
    <row r="209" spans="1:8">
      <c r="A209" s="369">
        <v>19000</v>
      </c>
      <c r="B209" s="370">
        <f t="shared" si="24"/>
        <v>477.52208334564853</v>
      </c>
      <c r="C209" s="370">
        <f t="shared" si="25"/>
        <v>100.88296296296295</v>
      </c>
      <c r="D209" s="371">
        <f t="shared" si="26"/>
        <v>0.198249530075188</v>
      </c>
      <c r="E209" s="372">
        <f t="shared" si="27"/>
        <v>0.56155649933662932</v>
      </c>
      <c r="F209" s="372">
        <f t="shared" si="28"/>
        <v>6.3069140389441944</v>
      </c>
      <c r="G209" s="372">
        <f t="shared" si="22"/>
        <v>3.9649906015037599</v>
      </c>
      <c r="H209" s="371">
        <f t="shared" si="23"/>
        <v>630.69140389441952</v>
      </c>
    </row>
    <row r="210" spans="1:8">
      <c r="A210" s="369">
        <v>19100</v>
      </c>
      <c r="B210" s="370">
        <f t="shared" si="24"/>
        <v>480.03535746852043</v>
      </c>
      <c r="C210" s="370">
        <f t="shared" si="25"/>
        <v>101.41392592592592</v>
      </c>
      <c r="D210" s="371">
        <f t="shared" si="26"/>
        <v>0.19721157442034407</v>
      </c>
      <c r="E210" s="372">
        <f t="shared" si="27"/>
        <v>0.56155649933662932</v>
      </c>
      <c r="F210" s="372">
        <f t="shared" si="28"/>
        <v>6.3069140389441944</v>
      </c>
      <c r="G210" s="372">
        <f t="shared" si="22"/>
        <v>3.9442314884068814</v>
      </c>
      <c r="H210" s="371">
        <f t="shared" si="23"/>
        <v>630.69140389441952</v>
      </c>
    </row>
    <row r="211" spans="1:8">
      <c r="A211" s="369">
        <v>19200</v>
      </c>
      <c r="B211" s="370">
        <f t="shared" si="24"/>
        <v>482.54863159139222</v>
      </c>
      <c r="C211" s="370">
        <f t="shared" si="25"/>
        <v>101.94488888888887</v>
      </c>
      <c r="D211" s="371">
        <f t="shared" si="26"/>
        <v>0.19618443080357148</v>
      </c>
      <c r="E211" s="372">
        <f t="shared" si="27"/>
        <v>0.56155649933662954</v>
      </c>
      <c r="F211" s="372">
        <f t="shared" si="28"/>
        <v>6.3069140389441998</v>
      </c>
      <c r="G211" s="372">
        <f t="shared" si="22"/>
        <v>3.9236886160714297</v>
      </c>
      <c r="H211" s="371">
        <f t="shared" si="23"/>
        <v>630.69140389441998</v>
      </c>
    </row>
    <row r="212" spans="1:8">
      <c r="A212" s="369">
        <v>19300</v>
      </c>
      <c r="B212" s="370">
        <f t="shared" si="24"/>
        <v>485.06190571426407</v>
      </c>
      <c r="C212" s="370">
        <f t="shared" si="25"/>
        <v>102.47585185185184</v>
      </c>
      <c r="D212" s="371">
        <f t="shared" si="26"/>
        <v>0.19516793116210215</v>
      </c>
      <c r="E212" s="372">
        <f t="shared" si="27"/>
        <v>0.56155649933662932</v>
      </c>
      <c r="F212" s="372">
        <f t="shared" si="28"/>
        <v>6.3069140389441944</v>
      </c>
      <c r="G212" s="372">
        <f t="shared" si="22"/>
        <v>3.9033586232420432</v>
      </c>
      <c r="H212" s="371">
        <f t="shared" si="23"/>
        <v>630.69140389441952</v>
      </c>
    </row>
    <row r="213" spans="1:8">
      <c r="A213" s="369">
        <v>19400</v>
      </c>
      <c r="B213" s="370">
        <f t="shared" si="24"/>
        <v>487.57517983713586</v>
      </c>
      <c r="C213" s="370">
        <f t="shared" si="25"/>
        <v>103.0068148148148</v>
      </c>
      <c r="D213" s="371">
        <f t="shared" si="26"/>
        <v>0.19416191089838</v>
      </c>
      <c r="E213" s="372">
        <f t="shared" si="27"/>
        <v>0.56155649933662932</v>
      </c>
      <c r="F213" s="372">
        <f t="shared" si="28"/>
        <v>6.3069140389441944</v>
      </c>
      <c r="G213" s="372">
        <f t="shared" si="22"/>
        <v>3.8832382179675999</v>
      </c>
      <c r="H213" s="371">
        <f t="shared" si="23"/>
        <v>630.69140389441952</v>
      </c>
    </row>
    <row r="214" spans="1:8">
      <c r="A214" s="369">
        <v>19500</v>
      </c>
      <c r="B214" s="370">
        <f t="shared" si="24"/>
        <v>490.08845396000777</v>
      </c>
      <c r="C214" s="370">
        <f t="shared" si="25"/>
        <v>103.53777777777776</v>
      </c>
      <c r="D214" s="371">
        <f t="shared" si="26"/>
        <v>0.19316620879120883</v>
      </c>
      <c r="E214" s="372">
        <f t="shared" si="27"/>
        <v>0.56155649933662932</v>
      </c>
      <c r="F214" s="372">
        <f t="shared" si="28"/>
        <v>6.3069140389441944</v>
      </c>
      <c r="G214" s="372">
        <f t="shared" si="22"/>
        <v>3.863324175824177</v>
      </c>
      <c r="H214" s="371">
        <f t="shared" si="23"/>
        <v>630.69140389441952</v>
      </c>
    </row>
    <row r="215" spans="1:8">
      <c r="A215" s="369">
        <v>19600</v>
      </c>
      <c r="B215" s="370">
        <f t="shared" si="24"/>
        <v>492.60172808287956</v>
      </c>
      <c r="C215" s="370">
        <f t="shared" si="25"/>
        <v>104.06874074074072</v>
      </c>
      <c r="D215" s="371">
        <f t="shared" si="26"/>
        <v>0.19218066690962102</v>
      </c>
      <c r="E215" s="372">
        <f t="shared" si="27"/>
        <v>0.56155649933662932</v>
      </c>
      <c r="F215" s="372">
        <f t="shared" si="28"/>
        <v>6.3069140389441944</v>
      </c>
      <c r="G215" s="372">
        <f t="shared" si="22"/>
        <v>3.8436133381924202</v>
      </c>
      <c r="H215" s="371">
        <f t="shared" si="23"/>
        <v>630.69140389441952</v>
      </c>
    </row>
    <row r="216" spans="1:8">
      <c r="A216" s="369">
        <v>19700</v>
      </c>
      <c r="B216" s="370">
        <f t="shared" si="24"/>
        <v>495.11500220575135</v>
      </c>
      <c r="C216" s="370">
        <f t="shared" si="25"/>
        <v>104.59970370370367</v>
      </c>
      <c r="D216" s="371">
        <f t="shared" si="26"/>
        <v>0.19120513052936916</v>
      </c>
      <c r="E216" s="372">
        <f t="shared" si="27"/>
        <v>0.56155649933662954</v>
      </c>
      <c r="F216" s="372">
        <f t="shared" si="28"/>
        <v>6.3069140389441998</v>
      </c>
      <c r="G216" s="372">
        <f t="shared" si="22"/>
        <v>3.8241026105873828</v>
      </c>
      <c r="H216" s="371">
        <f t="shared" si="23"/>
        <v>630.69140389441998</v>
      </c>
    </row>
    <row r="217" spans="1:8">
      <c r="A217" s="369">
        <v>19800</v>
      </c>
      <c r="B217" s="370">
        <f t="shared" si="24"/>
        <v>497.62827632862326</v>
      </c>
      <c r="C217" s="370">
        <f t="shared" si="25"/>
        <v>105.13066666666667</v>
      </c>
      <c r="D217" s="371">
        <f t="shared" si="26"/>
        <v>0.19023944805194803</v>
      </c>
      <c r="E217" s="372">
        <f t="shared" si="27"/>
        <v>0.56155649933662932</v>
      </c>
      <c r="F217" s="372">
        <f t="shared" si="28"/>
        <v>6.3069140389441944</v>
      </c>
      <c r="G217" s="372">
        <f t="shared" si="22"/>
        <v>3.8047889610389602</v>
      </c>
      <c r="H217" s="371">
        <f t="shared" si="23"/>
        <v>630.69140389441952</v>
      </c>
    </row>
    <row r="218" spans="1:8">
      <c r="A218" s="369">
        <v>19900</v>
      </c>
      <c r="B218" s="370">
        <f t="shared" si="24"/>
        <v>500.14155045149505</v>
      </c>
      <c r="C218" s="370">
        <f t="shared" si="25"/>
        <v>105.66162962962962</v>
      </c>
      <c r="D218" s="371">
        <f t="shared" si="26"/>
        <v>0.18928347092605888</v>
      </c>
      <c r="E218" s="372">
        <f t="shared" si="27"/>
        <v>0.56155649933662932</v>
      </c>
      <c r="F218" s="372">
        <f t="shared" si="28"/>
        <v>6.3069140389441944</v>
      </c>
      <c r="G218" s="372">
        <f t="shared" si="22"/>
        <v>3.7856694185211772</v>
      </c>
      <c r="H218" s="371">
        <f t="shared" si="23"/>
        <v>630.69140389441952</v>
      </c>
    </row>
    <row r="219" spans="1:8">
      <c r="A219" s="369">
        <v>20000</v>
      </c>
      <c r="B219" s="370">
        <f t="shared" si="24"/>
        <v>502.6548245743669</v>
      </c>
      <c r="C219" s="370">
        <f t="shared" si="25"/>
        <v>106.19259259259256</v>
      </c>
      <c r="D219" s="371">
        <f t="shared" si="26"/>
        <v>0.18833705357142863</v>
      </c>
      <c r="E219" s="372">
        <f t="shared" si="27"/>
        <v>0.56155649933662954</v>
      </c>
      <c r="F219" s="372">
        <f t="shared" si="28"/>
        <v>6.3069140389441998</v>
      </c>
      <c r="G219" s="372">
        <f t="shared" si="22"/>
        <v>3.7667410714285725</v>
      </c>
      <c r="H219" s="371">
        <f t="shared" si="23"/>
        <v>630.69140389441998</v>
      </c>
    </row>
    <row r="220" spans="1:8">
      <c r="A220" s="369">
        <v>20100</v>
      </c>
      <c r="B220" s="370">
        <f t="shared" si="24"/>
        <v>505.16809869723869</v>
      </c>
      <c r="C220" s="370">
        <f t="shared" si="25"/>
        <v>106.72355555555554</v>
      </c>
      <c r="D220" s="371">
        <f t="shared" si="26"/>
        <v>0.18740005330490409</v>
      </c>
      <c r="E220" s="372">
        <f t="shared" si="27"/>
        <v>0.56155649933662932</v>
      </c>
      <c r="F220" s="372">
        <f t="shared" si="28"/>
        <v>6.3069140389441944</v>
      </c>
      <c r="G220" s="372">
        <f t="shared" si="22"/>
        <v>3.7480010660980811</v>
      </c>
      <c r="H220" s="371">
        <f t="shared" si="23"/>
        <v>630.69140389441952</v>
      </c>
    </row>
    <row r="221" spans="1:8">
      <c r="A221" s="369">
        <v>20200</v>
      </c>
      <c r="B221" s="370">
        <f t="shared" si="24"/>
        <v>507.6813728201106</v>
      </c>
      <c r="C221" s="370">
        <f t="shared" si="25"/>
        <v>107.25451851851851</v>
      </c>
      <c r="D221" s="371">
        <f t="shared" si="26"/>
        <v>0.18647233026874119</v>
      </c>
      <c r="E221" s="372">
        <f t="shared" si="27"/>
        <v>0.56155649933662932</v>
      </c>
      <c r="F221" s="372">
        <f t="shared" si="28"/>
        <v>6.3069140389441944</v>
      </c>
      <c r="G221" s="372">
        <f t="shared" si="22"/>
        <v>3.7294466053748243</v>
      </c>
      <c r="H221" s="371">
        <f t="shared" si="23"/>
        <v>630.69140389441952</v>
      </c>
    </row>
    <row r="222" spans="1:8">
      <c r="A222" s="369">
        <v>20300</v>
      </c>
      <c r="B222" s="370">
        <f t="shared" si="24"/>
        <v>510.19464694298239</v>
      </c>
      <c r="C222" s="370">
        <f t="shared" si="25"/>
        <v>107.78548148148147</v>
      </c>
      <c r="D222" s="371">
        <f t="shared" si="26"/>
        <v>0.1855537473610134</v>
      </c>
      <c r="E222" s="372">
        <f t="shared" si="27"/>
        <v>0.56155649933662932</v>
      </c>
      <c r="F222" s="372">
        <f t="shared" si="28"/>
        <v>6.3069140389441944</v>
      </c>
      <c r="G222" s="372">
        <f t="shared" si="22"/>
        <v>3.711074947220268</v>
      </c>
      <c r="H222" s="371">
        <f t="shared" si="23"/>
        <v>630.69140389441952</v>
      </c>
    </row>
    <row r="223" spans="1:8">
      <c r="A223" s="369">
        <v>20400</v>
      </c>
      <c r="B223" s="370">
        <f t="shared" si="24"/>
        <v>512.70792106585429</v>
      </c>
      <c r="C223" s="370">
        <f t="shared" si="25"/>
        <v>108.31644444444443</v>
      </c>
      <c r="D223" s="371">
        <f t="shared" si="26"/>
        <v>0.18464417016806725</v>
      </c>
      <c r="E223" s="372">
        <f t="shared" si="27"/>
        <v>0.56155649933662932</v>
      </c>
      <c r="F223" s="372">
        <f t="shared" si="28"/>
        <v>6.3069140389441944</v>
      </c>
      <c r="G223" s="372">
        <f t="shared" si="22"/>
        <v>3.6928834033613449</v>
      </c>
      <c r="H223" s="371">
        <f t="shared" si="23"/>
        <v>630.69140389441952</v>
      </c>
    </row>
    <row r="224" spans="1:8">
      <c r="A224" s="369">
        <v>20500</v>
      </c>
      <c r="B224" s="370">
        <f t="shared" si="24"/>
        <v>515.22119518872603</v>
      </c>
      <c r="C224" s="370">
        <f t="shared" si="25"/>
        <v>108.84740740740739</v>
      </c>
      <c r="D224" s="371">
        <f t="shared" si="26"/>
        <v>0.18374346689895474</v>
      </c>
      <c r="E224" s="372">
        <f t="shared" si="27"/>
        <v>0.56155649933662932</v>
      </c>
      <c r="F224" s="372">
        <f t="shared" si="28"/>
        <v>6.3069140389441944</v>
      </c>
      <c r="G224" s="372">
        <f t="shared" si="22"/>
        <v>3.6748693379790947</v>
      </c>
      <c r="H224" s="371">
        <f t="shared" si="23"/>
        <v>630.69140389441952</v>
      </c>
    </row>
    <row r="225" spans="1:8">
      <c r="A225" s="369">
        <v>20600</v>
      </c>
      <c r="B225" s="370">
        <f t="shared" si="24"/>
        <v>517.73446931159788</v>
      </c>
      <c r="C225" s="370">
        <f t="shared" si="25"/>
        <v>109.37837037037033</v>
      </c>
      <c r="D225" s="371">
        <f t="shared" si="26"/>
        <v>0.18285150832177538</v>
      </c>
      <c r="E225" s="372">
        <f t="shared" si="27"/>
        <v>0.56155649933662954</v>
      </c>
      <c r="F225" s="372">
        <f t="shared" si="28"/>
        <v>6.3069140389441998</v>
      </c>
      <c r="G225" s="372">
        <f t="shared" si="22"/>
        <v>3.6570301664355074</v>
      </c>
      <c r="H225" s="371">
        <f t="shared" si="23"/>
        <v>630.69140389441998</v>
      </c>
    </row>
    <row r="226" spans="1:8">
      <c r="A226" s="369">
        <v>20700</v>
      </c>
      <c r="B226" s="370">
        <f t="shared" si="24"/>
        <v>520.24774343446973</v>
      </c>
      <c r="C226" s="370">
        <f t="shared" si="25"/>
        <v>109.90933333333331</v>
      </c>
      <c r="D226" s="371">
        <f t="shared" si="26"/>
        <v>0.18196816770186339</v>
      </c>
      <c r="E226" s="372">
        <f t="shared" si="27"/>
        <v>0.56155649933662932</v>
      </c>
      <c r="F226" s="372">
        <f t="shared" si="28"/>
        <v>6.3069140389441944</v>
      </c>
      <c r="G226" s="372">
        <f t="shared" si="22"/>
        <v>3.6393633540372674</v>
      </c>
      <c r="H226" s="371">
        <f t="shared" si="23"/>
        <v>630.69140389441952</v>
      </c>
    </row>
    <row r="227" spans="1:8">
      <c r="A227" s="369">
        <v>20800</v>
      </c>
      <c r="B227" s="370">
        <f t="shared" si="24"/>
        <v>522.76101755734157</v>
      </c>
      <c r="C227" s="370">
        <f t="shared" si="25"/>
        <v>110.44029629629628</v>
      </c>
      <c r="D227" s="371">
        <f t="shared" si="26"/>
        <v>0.18109332074175827</v>
      </c>
      <c r="E227" s="372">
        <f t="shared" si="27"/>
        <v>0.56155649933662932</v>
      </c>
      <c r="F227" s="372">
        <f t="shared" si="28"/>
        <v>6.3069140389441944</v>
      </c>
      <c r="G227" s="372">
        <f t="shared" si="22"/>
        <v>3.6218664148351651</v>
      </c>
      <c r="H227" s="371">
        <f t="shared" si="23"/>
        <v>630.69140389441952</v>
      </c>
    </row>
    <row r="228" spans="1:8">
      <c r="A228" s="369">
        <v>20900</v>
      </c>
      <c r="B228" s="370">
        <f t="shared" si="24"/>
        <v>525.27429168021342</v>
      </c>
      <c r="C228" s="370">
        <f t="shared" si="25"/>
        <v>110.97125925925926</v>
      </c>
      <c r="D228" s="371">
        <f t="shared" si="26"/>
        <v>0.18022684552289817</v>
      </c>
      <c r="E228" s="372">
        <f t="shared" si="27"/>
        <v>0.56155649933662932</v>
      </c>
      <c r="F228" s="372">
        <f t="shared" si="28"/>
        <v>6.3069140389441944</v>
      </c>
      <c r="G228" s="372">
        <f t="shared" si="22"/>
        <v>3.6045369104579636</v>
      </c>
      <c r="H228" s="371">
        <f t="shared" si="23"/>
        <v>630.69140389441952</v>
      </c>
    </row>
    <row r="229" spans="1:8">
      <c r="A229" s="369">
        <v>21000</v>
      </c>
      <c r="B229" s="370">
        <f t="shared" si="24"/>
        <v>527.78756580308527</v>
      </c>
      <c r="C229" s="370">
        <f t="shared" si="25"/>
        <v>111.5022222222222</v>
      </c>
      <c r="D229" s="371">
        <f t="shared" si="26"/>
        <v>0.17936862244897964</v>
      </c>
      <c r="E229" s="372">
        <f t="shared" si="27"/>
        <v>0.56155649933662954</v>
      </c>
      <c r="F229" s="372">
        <f t="shared" si="28"/>
        <v>6.3069140389441998</v>
      </c>
      <c r="G229" s="372">
        <f t="shared" si="22"/>
        <v>3.5873724489795933</v>
      </c>
      <c r="H229" s="371">
        <f t="shared" si="23"/>
        <v>630.69140389441998</v>
      </c>
    </row>
    <row r="230" spans="1:8">
      <c r="A230" s="369">
        <v>21100</v>
      </c>
      <c r="B230" s="370">
        <f t="shared" si="24"/>
        <v>530.30083992595701</v>
      </c>
      <c r="C230" s="370">
        <f t="shared" si="25"/>
        <v>112.03318518518516</v>
      </c>
      <c r="D230" s="371">
        <f t="shared" si="26"/>
        <v>0.17851853419092759</v>
      </c>
      <c r="E230" s="372">
        <f t="shared" si="27"/>
        <v>0.56155649933662932</v>
      </c>
      <c r="F230" s="372">
        <f t="shared" si="28"/>
        <v>6.3069140389441944</v>
      </c>
      <c r="G230" s="372">
        <f t="shared" si="22"/>
        <v>3.5703706838185516</v>
      </c>
      <c r="H230" s="371">
        <f t="shared" si="23"/>
        <v>630.69140389441952</v>
      </c>
    </row>
  </sheetData>
  <hyperlinks>
    <hyperlink ref="A1" r:id="rId1" xr:uid="{8FB68A96-2A94-4470-9E13-B566AC878B0B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64D2-D59F-42E2-8FD1-59FDDCE49A1F}">
  <dimension ref="B1:I7"/>
  <sheetViews>
    <sheetView showGridLines="0" workbookViewId="0">
      <selection activeCell="I3" sqref="I3"/>
    </sheetView>
  </sheetViews>
  <sheetFormatPr baseColWidth="10" defaultRowHeight="15"/>
  <cols>
    <col min="2" max="2" width="11.42578125" customWidth="1"/>
    <col min="5" max="5" width="43" customWidth="1"/>
  </cols>
  <sheetData>
    <row r="1" spans="2:9" ht="15.75" thickBot="1">
      <c r="B1" s="433" t="s">
        <v>9</v>
      </c>
      <c r="C1" s="434"/>
      <c r="D1" s="434"/>
      <c r="E1" s="435"/>
    </row>
    <row r="2" spans="2:9" ht="15.75" thickBot="1">
      <c r="B2" s="223" t="s">
        <v>378</v>
      </c>
      <c r="C2" s="224" t="s">
        <v>279</v>
      </c>
      <c r="D2" s="224" t="s">
        <v>276</v>
      </c>
      <c r="E2" s="225" t="s">
        <v>380</v>
      </c>
      <c r="G2" s="1"/>
      <c r="H2" s="1" t="s">
        <v>376</v>
      </c>
      <c r="I2" s="1" t="s">
        <v>377</v>
      </c>
    </row>
    <row r="3" spans="2:9">
      <c r="B3" s="115" t="s">
        <v>379</v>
      </c>
      <c r="C3" s="66" t="s">
        <v>138</v>
      </c>
      <c r="D3" s="67" t="s">
        <v>138</v>
      </c>
      <c r="E3" s="211" t="s">
        <v>383</v>
      </c>
      <c r="G3" s="1" t="s">
        <v>375</v>
      </c>
      <c r="H3" s="209">
        <v>25</v>
      </c>
      <c r="I3" s="209">
        <v>40</v>
      </c>
    </row>
    <row r="4" spans="2:9">
      <c r="B4" s="431" t="s">
        <v>131</v>
      </c>
      <c r="C4" s="62" t="s">
        <v>379</v>
      </c>
      <c r="D4" s="24" t="s">
        <v>379</v>
      </c>
      <c r="E4" s="5" t="s">
        <v>384</v>
      </c>
    </row>
    <row r="5" spans="2:9">
      <c r="B5" s="431"/>
      <c r="C5" s="62" t="s">
        <v>379</v>
      </c>
      <c r="D5" s="24" t="s">
        <v>131</v>
      </c>
      <c r="E5" s="5" t="s">
        <v>381</v>
      </c>
      <c r="H5" s="212" t="s">
        <v>377</v>
      </c>
    </row>
    <row r="6" spans="2:9">
      <c r="B6" s="431"/>
      <c r="C6" s="62" t="s">
        <v>131</v>
      </c>
      <c r="D6" s="24" t="s">
        <v>379</v>
      </c>
      <c r="E6" s="5" t="s">
        <v>382</v>
      </c>
      <c r="G6" s="212" t="s">
        <v>386</v>
      </c>
      <c r="H6" s="213">
        <v>2</v>
      </c>
    </row>
    <row r="7" spans="2:9" ht="15.75" thickBot="1">
      <c r="B7" s="432"/>
      <c r="C7" s="73" t="s">
        <v>131</v>
      </c>
      <c r="D7" s="26" t="s">
        <v>131</v>
      </c>
      <c r="E7" s="5" t="s">
        <v>384</v>
      </c>
      <c r="G7" s="212" t="s">
        <v>385</v>
      </c>
      <c r="H7" s="213">
        <v>0.25</v>
      </c>
    </row>
  </sheetData>
  <mergeCells count="2">
    <mergeCell ref="B4:B7"/>
    <mergeCell ref="B1:E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6407-AE31-443E-A749-673C6E2952C8}">
  <dimension ref="A1"/>
  <sheetViews>
    <sheetView showGridLines="0" zoomScale="145" zoomScaleNormal="145" workbookViewId="0">
      <selection activeCell="J17" sqref="J17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J19" sqref="J19"/>
    </sheetView>
  </sheetViews>
  <sheetFormatPr baseColWidth="10" defaultColWidth="9.140625" defaultRowHeight="15"/>
  <cols>
    <col min="1" max="1" width="5.42578125" bestFit="1" customWidth="1"/>
    <col min="2" max="2" width="65.140625" bestFit="1" customWidth="1"/>
    <col min="4" max="7" width="9.28515625" customWidth="1"/>
  </cols>
  <sheetData>
    <row r="1" spans="1:9">
      <c r="B1" s="399" t="s">
        <v>0</v>
      </c>
      <c r="C1" s="399"/>
      <c r="D1" s="399"/>
      <c r="E1" s="399"/>
      <c r="F1" s="399"/>
      <c r="G1" s="399"/>
    </row>
    <row r="2" spans="1:9">
      <c r="B2" s="221" t="s">
        <v>1</v>
      </c>
      <c r="C2" s="221" t="s">
        <v>2</v>
      </c>
      <c r="D2" s="221" t="s">
        <v>3</v>
      </c>
      <c r="E2" s="221" t="s">
        <v>7</v>
      </c>
      <c r="F2" s="221" t="s">
        <v>2</v>
      </c>
      <c r="G2" s="221" t="s">
        <v>3</v>
      </c>
    </row>
    <row r="3" spans="1:9">
      <c r="A3">
        <v>12</v>
      </c>
      <c r="B3" s="1" t="s">
        <v>5</v>
      </c>
      <c r="C3" s="2">
        <v>0.8</v>
      </c>
      <c r="D3" s="3">
        <f>C3*$A$3</f>
        <v>9.6000000000000014</v>
      </c>
      <c r="E3" s="1">
        <v>2</v>
      </c>
      <c r="F3" s="2">
        <f>C3*E3</f>
        <v>1.6</v>
      </c>
      <c r="G3" s="3">
        <f>F3*$A$3</f>
        <v>19.200000000000003</v>
      </c>
    </row>
    <row r="4" spans="1:9">
      <c r="B4" s="1" t="s">
        <v>8</v>
      </c>
      <c r="C4" s="2">
        <v>0.25</v>
      </c>
      <c r="D4" s="3">
        <f>C4*$A$3</f>
        <v>3</v>
      </c>
      <c r="E4" s="1">
        <v>1</v>
      </c>
      <c r="F4" s="2">
        <f t="shared" ref="F4" si="0">C4*E4</f>
        <v>0.25</v>
      </c>
      <c r="G4" s="3">
        <f>F4*$A$3</f>
        <v>3</v>
      </c>
    </row>
    <row r="5" spans="1:9">
      <c r="B5" s="323" t="s">
        <v>6</v>
      </c>
      <c r="C5" s="2">
        <v>8.0000000000000002E-3</v>
      </c>
      <c r="D5" s="3">
        <f>C5*$A$10</f>
        <v>0.04</v>
      </c>
      <c r="E5" s="1">
        <v>2</v>
      </c>
      <c r="F5" s="2">
        <f>C5*E5</f>
        <v>1.6E-2</v>
      </c>
      <c r="G5" s="3">
        <f>F5*$A$10</f>
        <v>0.08</v>
      </c>
    </row>
    <row r="6" spans="1:9">
      <c r="B6" s="323" t="s">
        <v>9</v>
      </c>
      <c r="C6" s="2">
        <f>(70+36)/1000</f>
        <v>0.106</v>
      </c>
      <c r="D6" s="3">
        <f>C6*$A$10</f>
        <v>0.53</v>
      </c>
      <c r="E6" s="1">
        <v>1</v>
      </c>
      <c r="F6" s="2">
        <f>C6*E6</f>
        <v>0.106</v>
      </c>
      <c r="G6" s="3">
        <f>F6*$A$10</f>
        <v>0.53</v>
      </c>
    </row>
    <row r="7" spans="1:9">
      <c r="B7" s="396" t="s">
        <v>4</v>
      </c>
      <c r="C7" s="397"/>
      <c r="D7" s="397"/>
      <c r="E7" s="398"/>
      <c r="F7" s="2">
        <f>SUM(F3:F6)</f>
        <v>1.9720000000000002</v>
      </c>
      <c r="G7" s="3">
        <f>SUM(G3:G6)</f>
        <v>22.810000000000002</v>
      </c>
    </row>
    <row r="9" spans="1:9">
      <c r="B9" s="399" t="s">
        <v>492</v>
      </c>
      <c r="C9" s="399"/>
      <c r="D9" s="399"/>
      <c r="E9" s="399"/>
      <c r="F9" s="399"/>
      <c r="G9" s="399"/>
    </row>
    <row r="10" spans="1:9">
      <c r="A10">
        <v>5</v>
      </c>
      <c r="B10" s="221" t="s">
        <v>1</v>
      </c>
      <c r="C10" s="221" t="s">
        <v>2</v>
      </c>
      <c r="D10" s="221" t="s">
        <v>3</v>
      </c>
      <c r="E10" s="221" t="s">
        <v>7</v>
      </c>
      <c r="F10" s="221" t="s">
        <v>2</v>
      </c>
      <c r="G10" s="221" t="s">
        <v>3</v>
      </c>
      <c r="I10" s="183" t="s">
        <v>439</v>
      </c>
    </row>
    <row r="11" spans="1:9">
      <c r="B11" s="1" t="s">
        <v>10</v>
      </c>
      <c r="C11" s="2">
        <f>0.2+0.2+0.15+0.16</f>
        <v>0.71000000000000008</v>
      </c>
      <c r="D11" s="3">
        <f>C11*$A$10</f>
        <v>3.5500000000000003</v>
      </c>
      <c r="E11" s="1">
        <v>1</v>
      </c>
      <c r="F11" s="2">
        <f>C11*E11</f>
        <v>0.71000000000000008</v>
      </c>
      <c r="G11" s="3">
        <f>F11*$A$10</f>
        <v>3.5500000000000003</v>
      </c>
    </row>
    <row r="12" spans="1:9">
      <c r="B12" s="1" t="s">
        <v>11</v>
      </c>
      <c r="C12" s="2">
        <v>0.05</v>
      </c>
      <c r="D12" s="3">
        <f>C12*$A$10</f>
        <v>0.25</v>
      </c>
      <c r="E12" s="1">
        <v>1</v>
      </c>
      <c r="F12" s="2">
        <f t="shared" ref="F12" si="1">C12*E12</f>
        <v>0.05</v>
      </c>
      <c r="G12" s="3">
        <f>F12*$A$10</f>
        <v>0.25</v>
      </c>
      <c r="I12" s="4" t="s">
        <v>14</v>
      </c>
    </row>
    <row r="13" spans="1:9">
      <c r="B13" s="323" t="s">
        <v>494</v>
      </c>
      <c r="C13" s="2">
        <v>0.5</v>
      </c>
      <c r="D13" s="3">
        <f t="shared" ref="D13" si="2">C13*$A$10</f>
        <v>2.5</v>
      </c>
      <c r="E13" s="1">
        <v>1</v>
      </c>
      <c r="F13" s="2">
        <f t="shared" ref="F13" si="3">C13*E13</f>
        <v>0.5</v>
      </c>
      <c r="G13" s="3">
        <f t="shared" ref="G13" si="4">F13*$A$10</f>
        <v>2.5</v>
      </c>
    </row>
    <row r="14" spans="1:9">
      <c r="B14" s="396" t="s">
        <v>4</v>
      </c>
      <c r="C14" s="397"/>
      <c r="D14" s="397"/>
      <c r="E14" s="398"/>
      <c r="F14" s="2">
        <f>SUM(F11:F13)</f>
        <v>1.2600000000000002</v>
      </c>
      <c r="G14" s="3">
        <f>SUM(G11:G13)</f>
        <v>6.3000000000000007</v>
      </c>
    </row>
    <row r="16" spans="1:9">
      <c r="B16" s="399" t="s">
        <v>493</v>
      </c>
      <c r="C16" s="399"/>
      <c r="D16" s="399"/>
      <c r="E16" s="399"/>
      <c r="F16" s="399"/>
      <c r="G16" s="399"/>
    </row>
    <row r="17" spans="1:7">
      <c r="A17">
        <v>6</v>
      </c>
      <c r="B17" s="221" t="s">
        <v>1</v>
      </c>
      <c r="C17" s="221" t="s">
        <v>2</v>
      </c>
      <c r="D17" s="221" t="s">
        <v>3</v>
      </c>
      <c r="E17" s="221" t="s">
        <v>7</v>
      </c>
      <c r="F17" s="221" t="s">
        <v>2</v>
      </c>
      <c r="G17" s="221" t="s">
        <v>3</v>
      </c>
    </row>
    <row r="18" spans="1:7">
      <c r="B18" s="1" t="s">
        <v>13</v>
      </c>
      <c r="C18" s="2">
        <v>0.01</v>
      </c>
      <c r="D18" s="3">
        <f>C18*$A$17</f>
        <v>0.06</v>
      </c>
      <c r="E18" s="1">
        <v>64</v>
      </c>
      <c r="F18" s="2">
        <f>C18*E18</f>
        <v>0.64</v>
      </c>
      <c r="G18" s="3">
        <f>F18*$A$17</f>
        <v>3.84</v>
      </c>
    </row>
    <row r="19" spans="1:7">
      <c r="B19" s="1" t="s">
        <v>12</v>
      </c>
      <c r="C19" s="2">
        <v>0.05</v>
      </c>
      <c r="D19" s="3">
        <f>C19*$A$17</f>
        <v>0.30000000000000004</v>
      </c>
      <c r="E19" s="1">
        <v>4</v>
      </c>
      <c r="F19" s="2">
        <f t="shared" ref="F19" si="5">C19*E19</f>
        <v>0.2</v>
      </c>
      <c r="G19" s="3">
        <f>F19*$A$17</f>
        <v>1.2000000000000002</v>
      </c>
    </row>
    <row r="20" spans="1:7">
      <c r="B20" s="396" t="s">
        <v>4</v>
      </c>
      <c r="C20" s="397"/>
      <c r="D20" s="397"/>
      <c r="E20" s="398"/>
      <c r="F20" s="2">
        <f>SUM(F18:F19)</f>
        <v>0.84000000000000008</v>
      </c>
      <c r="G20" s="3">
        <f>F20*$A$17</f>
        <v>5.0400000000000009</v>
      </c>
    </row>
    <row r="22" spans="1:7">
      <c r="G22" s="324"/>
    </row>
  </sheetData>
  <mergeCells count="6">
    <mergeCell ref="B20:E20"/>
    <mergeCell ref="B1:G1"/>
    <mergeCell ref="B9:G9"/>
    <mergeCell ref="B14:E14"/>
    <mergeCell ref="B7:E7"/>
    <mergeCell ref="B16:G16"/>
  </mergeCells>
  <conditionalFormatting sqref="C18:C19 F20 E18:F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G11 G12:G13 G5:G6 D12:D13 D5:D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G7 C3:G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:G14 C12:C13 C5:C6 E12:F13 E5:F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:G20 D18: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I12" r:id="rId1" xr:uid="{0DCB8DAA-9457-4923-B254-31874B571C5C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E67A1-55EC-4C68-809A-B9217A08F679}">
  <dimension ref="A1:AD67"/>
  <sheetViews>
    <sheetView showGridLines="0" topLeftCell="A13" zoomScale="70" zoomScaleNormal="70" workbookViewId="0">
      <selection activeCell="Y12" sqref="Y12"/>
    </sheetView>
  </sheetViews>
  <sheetFormatPr baseColWidth="10" defaultRowHeight="15"/>
  <cols>
    <col min="3" max="15" width="5.7109375" customWidth="1"/>
  </cols>
  <sheetData>
    <row r="1" spans="3:30" ht="15.75" thickBot="1">
      <c r="V1" s="400" t="s">
        <v>402</v>
      </c>
      <c r="W1" s="401"/>
      <c r="X1" s="401"/>
      <c r="Y1" s="401"/>
      <c r="Z1" s="401"/>
      <c r="AA1" s="401"/>
      <c r="AB1" s="402"/>
      <c r="AD1" t="s">
        <v>403</v>
      </c>
    </row>
    <row r="2" spans="3:30" ht="30" customHeight="1" thickBot="1">
      <c r="C2" s="10"/>
      <c r="D2" s="403" t="s">
        <v>124</v>
      </c>
      <c r="E2" s="404"/>
      <c r="F2" s="404"/>
      <c r="G2" s="404"/>
      <c r="H2" s="404"/>
      <c r="I2" s="404"/>
      <c r="J2" s="404"/>
      <c r="K2" s="404"/>
      <c r="L2" s="404"/>
      <c r="M2" s="404"/>
      <c r="N2" s="405"/>
      <c r="O2" s="10"/>
      <c r="P2" s="19" t="s">
        <v>35</v>
      </c>
      <c r="V2" s="222" t="s">
        <v>44</v>
      </c>
      <c r="W2" s="223" t="s">
        <v>40</v>
      </c>
      <c r="X2" s="224" t="s">
        <v>41</v>
      </c>
      <c r="Y2" s="224" t="s">
        <v>42</v>
      </c>
      <c r="Z2" s="225" t="s">
        <v>43</v>
      </c>
      <c r="AA2" s="226" t="s">
        <v>120</v>
      </c>
      <c r="AB2" s="227" t="s">
        <v>118</v>
      </c>
    </row>
    <row r="3" spans="3:30" ht="30" customHeight="1" thickBot="1">
      <c r="C3" s="12"/>
      <c r="O3" s="12"/>
      <c r="P3" s="20" t="s">
        <v>38</v>
      </c>
      <c r="V3" s="30" t="s">
        <v>45</v>
      </c>
      <c r="W3" s="39" t="s">
        <v>67</v>
      </c>
      <c r="X3" s="42"/>
      <c r="Y3" s="45"/>
      <c r="Z3" s="48"/>
      <c r="AA3" s="27" t="s">
        <v>119</v>
      </c>
      <c r="AB3" s="28" t="s">
        <v>119</v>
      </c>
    </row>
    <row r="4" spans="3:30" ht="30" customHeight="1">
      <c r="C4" s="12"/>
      <c r="E4" s="13">
        <v>8</v>
      </c>
      <c r="F4" s="74" t="s">
        <v>23</v>
      </c>
      <c r="G4" s="75" t="s">
        <v>31</v>
      </c>
      <c r="H4" s="75" t="s">
        <v>16</v>
      </c>
      <c r="I4" s="75" t="s">
        <v>32</v>
      </c>
      <c r="J4" s="75" t="s">
        <v>33</v>
      </c>
      <c r="K4" s="75" t="s">
        <v>16</v>
      </c>
      <c r="L4" s="75" t="s">
        <v>31</v>
      </c>
      <c r="M4" s="76" t="s">
        <v>23</v>
      </c>
      <c r="O4" s="12"/>
      <c r="Q4" s="19" t="s">
        <v>112</v>
      </c>
      <c r="V4" s="31" t="s">
        <v>46</v>
      </c>
      <c r="W4" s="40" t="s">
        <v>117</v>
      </c>
      <c r="X4" s="43"/>
      <c r="Y4" s="46"/>
      <c r="Z4" s="49"/>
      <c r="AA4" s="23">
        <v>1</v>
      </c>
      <c r="AB4" s="24">
        <v>0</v>
      </c>
    </row>
    <row r="5" spans="3:30" ht="30" customHeight="1" thickBot="1">
      <c r="C5" s="12"/>
      <c r="E5" s="14">
        <v>7</v>
      </c>
      <c r="F5" s="77" t="s">
        <v>34</v>
      </c>
      <c r="G5" s="9" t="s">
        <v>34</v>
      </c>
      <c r="H5" s="9" t="s">
        <v>34</v>
      </c>
      <c r="I5" s="9" t="s">
        <v>34</v>
      </c>
      <c r="J5" s="9" t="s">
        <v>34</v>
      </c>
      <c r="K5" s="9" t="s">
        <v>34</v>
      </c>
      <c r="L5" s="9" t="s">
        <v>34</v>
      </c>
      <c r="M5" s="78" t="s">
        <v>34</v>
      </c>
      <c r="O5" s="12"/>
      <c r="Q5" s="20" t="s">
        <v>401</v>
      </c>
      <c r="V5" s="31" t="s">
        <v>47</v>
      </c>
      <c r="W5" s="40"/>
      <c r="X5" s="43" t="s">
        <v>67</v>
      </c>
      <c r="Y5" s="46"/>
      <c r="Z5" s="49"/>
      <c r="AA5" s="23">
        <v>2</v>
      </c>
      <c r="AB5" s="24">
        <v>0</v>
      </c>
    </row>
    <row r="6" spans="3:30" ht="30" customHeight="1">
      <c r="C6" s="12"/>
      <c r="E6" s="14">
        <v>6</v>
      </c>
      <c r="F6" s="23" t="s">
        <v>30</v>
      </c>
      <c r="G6" s="5" t="s">
        <v>30</v>
      </c>
      <c r="H6" s="5" t="s">
        <v>30</v>
      </c>
      <c r="I6" s="5" t="s">
        <v>30</v>
      </c>
      <c r="J6" s="5" t="s">
        <v>30</v>
      </c>
      <c r="K6" s="5" t="s">
        <v>30</v>
      </c>
      <c r="L6" s="5" t="s">
        <v>30</v>
      </c>
      <c r="M6" s="69" t="s">
        <v>30</v>
      </c>
      <c r="O6" s="12"/>
      <c r="V6" s="31" t="s">
        <v>48</v>
      </c>
      <c r="W6" s="40"/>
      <c r="X6" s="43" t="s">
        <v>117</v>
      </c>
      <c r="Y6" s="46"/>
      <c r="Z6" s="49"/>
      <c r="AA6" s="23">
        <v>3</v>
      </c>
      <c r="AB6" s="24">
        <v>0</v>
      </c>
    </row>
    <row r="7" spans="3:30" ht="30" customHeight="1">
      <c r="C7" s="12"/>
      <c r="E7" s="14">
        <v>5</v>
      </c>
      <c r="F7" s="23" t="s">
        <v>30</v>
      </c>
      <c r="G7" s="5" t="s">
        <v>30</v>
      </c>
      <c r="H7" s="5" t="s">
        <v>30</v>
      </c>
      <c r="I7" s="5" t="s">
        <v>30</v>
      </c>
      <c r="J7" s="5" t="s">
        <v>30</v>
      </c>
      <c r="K7" s="5" t="s">
        <v>30</v>
      </c>
      <c r="L7" s="5" t="s">
        <v>30</v>
      </c>
      <c r="M7" s="69" t="s">
        <v>30</v>
      </c>
      <c r="O7" s="12"/>
      <c r="V7" s="31" t="s">
        <v>49</v>
      </c>
      <c r="W7" s="40"/>
      <c r="X7" s="43"/>
      <c r="Y7" s="46" t="s">
        <v>67</v>
      </c>
      <c r="Z7" s="49"/>
      <c r="AA7" s="23">
        <v>4</v>
      </c>
      <c r="AB7" s="24">
        <v>0</v>
      </c>
    </row>
    <row r="8" spans="3:30" ht="30" customHeight="1">
      <c r="C8" s="12"/>
      <c r="E8" s="14">
        <v>4</v>
      </c>
      <c r="F8" s="23" t="s">
        <v>30</v>
      </c>
      <c r="G8" s="5" t="s">
        <v>30</v>
      </c>
      <c r="H8" s="5" t="s">
        <v>30</v>
      </c>
      <c r="I8" s="5" t="s">
        <v>30</v>
      </c>
      <c r="J8" s="5" t="s">
        <v>30</v>
      </c>
      <c r="K8" s="5" t="s">
        <v>30</v>
      </c>
      <c r="L8" s="5" t="s">
        <v>30</v>
      </c>
      <c r="M8" s="69" t="s">
        <v>30</v>
      </c>
      <c r="O8" s="12"/>
      <c r="V8" s="31" t="s">
        <v>50</v>
      </c>
      <c r="W8" s="40"/>
      <c r="X8" s="43"/>
      <c r="Y8" s="46" t="s">
        <v>117</v>
      </c>
      <c r="Z8" s="49"/>
      <c r="AA8" s="23">
        <v>5</v>
      </c>
      <c r="AB8" s="24">
        <v>0</v>
      </c>
    </row>
    <row r="9" spans="3:30" ht="30" customHeight="1" thickBot="1">
      <c r="C9" s="12"/>
      <c r="E9" s="14">
        <v>3</v>
      </c>
      <c r="F9" s="23" t="s">
        <v>30</v>
      </c>
      <c r="G9" s="5" t="s">
        <v>30</v>
      </c>
      <c r="H9" s="5" t="s">
        <v>30</v>
      </c>
      <c r="I9" s="5" t="s">
        <v>30</v>
      </c>
      <c r="J9" s="5" t="s">
        <v>30</v>
      </c>
      <c r="K9" s="5" t="s">
        <v>30</v>
      </c>
      <c r="L9" s="5" t="s">
        <v>30</v>
      </c>
      <c r="M9" s="69" t="s">
        <v>30</v>
      </c>
      <c r="O9" s="12"/>
      <c r="V9" s="31" t="s">
        <v>51</v>
      </c>
      <c r="W9" s="40"/>
      <c r="X9" s="43"/>
      <c r="Y9" s="46"/>
      <c r="Z9" s="49" t="s">
        <v>67</v>
      </c>
      <c r="AA9" s="23">
        <v>6</v>
      </c>
      <c r="AB9" s="24">
        <v>0</v>
      </c>
    </row>
    <row r="10" spans="3:30" ht="30" customHeight="1">
      <c r="C10" s="12"/>
      <c r="E10" s="14">
        <v>2</v>
      </c>
      <c r="F10" s="79" t="s">
        <v>29</v>
      </c>
      <c r="G10" s="7" t="s">
        <v>29</v>
      </c>
      <c r="H10" s="7" t="s">
        <v>29</v>
      </c>
      <c r="I10" s="7" t="s">
        <v>29</v>
      </c>
      <c r="J10" s="7" t="s">
        <v>29</v>
      </c>
      <c r="K10" s="7" t="s">
        <v>29</v>
      </c>
      <c r="L10" s="7" t="s">
        <v>29</v>
      </c>
      <c r="M10" s="80" t="s">
        <v>29</v>
      </c>
      <c r="O10" s="12"/>
      <c r="Q10" s="104" t="s">
        <v>111</v>
      </c>
      <c r="V10" s="31" t="s">
        <v>52</v>
      </c>
      <c r="W10" s="40"/>
      <c r="X10" s="43"/>
      <c r="Y10" s="46"/>
      <c r="Z10" s="49" t="s">
        <v>117</v>
      </c>
      <c r="AA10" s="23">
        <v>7</v>
      </c>
      <c r="AB10" s="24">
        <v>0</v>
      </c>
    </row>
    <row r="11" spans="3:30" ht="30" customHeight="1" thickBot="1">
      <c r="C11" s="12"/>
      <c r="E11" s="15">
        <v>1</v>
      </c>
      <c r="F11" s="81" t="s">
        <v>24</v>
      </c>
      <c r="G11" s="82" t="s">
        <v>25</v>
      </c>
      <c r="H11" s="82" t="s">
        <v>26</v>
      </c>
      <c r="I11" s="82" t="s">
        <v>27</v>
      </c>
      <c r="J11" s="82" t="s">
        <v>28</v>
      </c>
      <c r="K11" s="82" t="s">
        <v>26</v>
      </c>
      <c r="L11" s="82" t="s">
        <v>25</v>
      </c>
      <c r="M11" s="83" t="s">
        <v>24</v>
      </c>
      <c r="O11" s="12"/>
      <c r="Q11" s="106" t="s">
        <v>401</v>
      </c>
      <c r="V11" s="31" t="s">
        <v>53</v>
      </c>
      <c r="W11" s="40" t="s">
        <v>66</v>
      </c>
      <c r="X11" s="43"/>
      <c r="Y11" s="46"/>
      <c r="Z11" s="49"/>
      <c r="AA11" s="29" t="s">
        <v>119</v>
      </c>
      <c r="AB11" s="24">
        <v>1</v>
      </c>
    </row>
    <row r="12" spans="3:30" ht="30" customHeight="1" thickBot="1">
      <c r="C12" s="12"/>
      <c r="F12" s="16" t="s">
        <v>15</v>
      </c>
      <c r="G12" s="17" t="s">
        <v>16</v>
      </c>
      <c r="H12" s="17" t="s">
        <v>17</v>
      </c>
      <c r="I12" s="17" t="s">
        <v>18</v>
      </c>
      <c r="J12" s="17" t="s">
        <v>19</v>
      </c>
      <c r="K12" s="17" t="s">
        <v>20</v>
      </c>
      <c r="L12" s="17" t="s">
        <v>21</v>
      </c>
      <c r="M12" s="18" t="s">
        <v>22</v>
      </c>
      <c r="O12" s="12"/>
      <c r="P12" s="104" t="s">
        <v>37</v>
      </c>
      <c r="V12" s="31" t="s">
        <v>54</v>
      </c>
      <c r="W12" s="40" t="s">
        <v>117</v>
      </c>
      <c r="X12" s="43"/>
      <c r="Y12" s="46"/>
      <c r="Z12" s="49"/>
      <c r="AA12" s="23">
        <v>1</v>
      </c>
      <c r="AB12" s="24">
        <v>1</v>
      </c>
    </row>
    <row r="13" spans="3:30" ht="30" customHeight="1" thickBot="1"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/>
      <c r="P13" s="106" t="s">
        <v>36</v>
      </c>
      <c r="V13" s="31" t="s">
        <v>55</v>
      </c>
      <c r="W13" s="40"/>
      <c r="X13" s="43" t="s">
        <v>66</v>
      </c>
      <c r="Y13" s="46"/>
      <c r="Z13" s="49"/>
      <c r="AA13" s="23">
        <v>2</v>
      </c>
      <c r="AB13" s="24">
        <v>1</v>
      </c>
    </row>
    <row r="14" spans="3:30" ht="30" customHeight="1">
      <c r="V14" s="31" t="s">
        <v>56</v>
      </c>
      <c r="W14" s="40"/>
      <c r="X14" s="43" t="s">
        <v>117</v>
      </c>
      <c r="Y14" s="46"/>
      <c r="Z14" s="49"/>
      <c r="AA14" s="23">
        <v>3</v>
      </c>
      <c r="AB14" s="24">
        <v>1</v>
      </c>
    </row>
    <row r="15" spans="3:30" ht="30" customHeight="1">
      <c r="V15" s="31" t="s">
        <v>57</v>
      </c>
      <c r="W15" s="40"/>
      <c r="X15" s="43"/>
      <c r="Y15" s="46" t="s">
        <v>66</v>
      </c>
      <c r="Z15" s="49"/>
      <c r="AA15" s="23">
        <v>4</v>
      </c>
      <c r="AB15" s="24">
        <v>1</v>
      </c>
    </row>
    <row r="16" spans="3:30" ht="30" customHeight="1" thickBot="1">
      <c r="V16" s="31" t="s">
        <v>58</v>
      </c>
      <c r="W16" s="40"/>
      <c r="X16" s="43"/>
      <c r="Y16" s="46" t="s">
        <v>117</v>
      </c>
      <c r="Z16" s="49"/>
      <c r="AA16" s="23">
        <v>5</v>
      </c>
      <c r="AB16" s="24">
        <v>1</v>
      </c>
    </row>
    <row r="17" spans="1:28" ht="30" customHeight="1" thickBot="1">
      <c r="C17" s="10"/>
      <c r="D17" s="403" t="s">
        <v>39</v>
      </c>
      <c r="E17" s="404"/>
      <c r="F17" s="404"/>
      <c r="G17" s="404"/>
      <c r="H17" s="404"/>
      <c r="I17" s="404"/>
      <c r="J17" s="404"/>
      <c r="K17" s="404"/>
      <c r="L17" s="404"/>
      <c r="M17" s="404"/>
      <c r="N17" s="405"/>
      <c r="O17" s="10"/>
      <c r="V17" s="31" t="s">
        <v>59</v>
      </c>
      <c r="W17" s="40"/>
      <c r="X17" s="43"/>
      <c r="Y17" s="46"/>
      <c r="Z17" s="49" t="s">
        <v>66</v>
      </c>
      <c r="AA17" s="23">
        <v>6</v>
      </c>
      <c r="AB17" s="24">
        <v>1</v>
      </c>
    </row>
    <row r="18" spans="1:28" ht="30" customHeight="1" thickBot="1">
      <c r="A18" s="19" t="s">
        <v>35</v>
      </c>
      <c r="C18" s="12"/>
      <c r="F18" s="21">
        <v>0</v>
      </c>
      <c r="G18" s="21">
        <v>1</v>
      </c>
      <c r="H18" s="21">
        <v>2</v>
      </c>
      <c r="I18" s="21">
        <v>3</v>
      </c>
      <c r="J18" s="21">
        <v>4</v>
      </c>
      <c r="K18" s="21">
        <v>5</v>
      </c>
      <c r="L18" s="21">
        <v>6</v>
      </c>
      <c r="M18" s="21">
        <v>7</v>
      </c>
      <c r="O18" s="12"/>
      <c r="P18" s="22" t="s">
        <v>121</v>
      </c>
      <c r="V18" s="31" t="s">
        <v>60</v>
      </c>
      <c r="W18" s="40"/>
      <c r="X18" s="43"/>
      <c r="Y18" s="46"/>
      <c r="Z18" s="49" t="s">
        <v>117</v>
      </c>
      <c r="AA18" s="23">
        <v>7</v>
      </c>
      <c r="AB18" s="24">
        <v>1</v>
      </c>
    </row>
    <row r="19" spans="1:28" ht="30" customHeight="1" thickBot="1">
      <c r="A19" s="20">
        <v>-1</v>
      </c>
      <c r="C19" s="12"/>
      <c r="D19" s="21">
        <v>7</v>
      </c>
      <c r="E19" s="13">
        <v>8</v>
      </c>
      <c r="F19" s="74">
        <v>1</v>
      </c>
      <c r="G19" s="84">
        <v>1</v>
      </c>
      <c r="H19" s="84">
        <v>1</v>
      </c>
      <c r="I19" s="84">
        <v>1</v>
      </c>
      <c r="J19" s="84">
        <v>1</v>
      </c>
      <c r="K19" s="84">
        <v>1</v>
      </c>
      <c r="L19" s="84">
        <v>1</v>
      </c>
      <c r="M19" s="85">
        <v>1</v>
      </c>
      <c r="O19" s="12"/>
      <c r="V19" s="31" t="s">
        <v>61</v>
      </c>
      <c r="W19" s="40" t="s">
        <v>65</v>
      </c>
      <c r="X19" s="43"/>
      <c r="Y19" s="46"/>
      <c r="Z19" s="49"/>
      <c r="AA19" s="29" t="s">
        <v>119</v>
      </c>
      <c r="AB19" s="24">
        <v>2</v>
      </c>
    </row>
    <row r="20" spans="1:28" ht="30" customHeight="1">
      <c r="C20" s="12"/>
      <c r="D20" s="21">
        <v>6</v>
      </c>
      <c r="E20" s="14">
        <v>7</v>
      </c>
      <c r="F20" s="77">
        <v>1</v>
      </c>
      <c r="G20" s="8">
        <v>1</v>
      </c>
      <c r="H20" s="8">
        <v>1</v>
      </c>
      <c r="I20" s="8">
        <v>1</v>
      </c>
      <c r="J20" s="8">
        <v>1</v>
      </c>
      <c r="K20" s="8">
        <v>1</v>
      </c>
      <c r="L20" s="8">
        <v>1</v>
      </c>
      <c r="M20" s="86">
        <v>1</v>
      </c>
      <c r="O20" s="12"/>
      <c r="V20" s="31" t="s">
        <v>62</v>
      </c>
      <c r="W20" s="40" t="s">
        <v>116</v>
      </c>
      <c r="X20" s="43"/>
      <c r="Y20" s="46"/>
      <c r="Z20" s="49"/>
      <c r="AA20" s="23">
        <v>1</v>
      </c>
      <c r="AB20" s="24">
        <v>2</v>
      </c>
    </row>
    <row r="21" spans="1:28" ht="30" customHeight="1">
      <c r="C21" s="12"/>
      <c r="D21" s="21">
        <v>5</v>
      </c>
      <c r="E21" s="14">
        <v>6</v>
      </c>
      <c r="F21" s="23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69">
        <v>0</v>
      </c>
      <c r="O21" s="12"/>
      <c r="V21" s="31" t="s">
        <v>63</v>
      </c>
      <c r="W21" s="40"/>
      <c r="X21" s="43" t="s">
        <v>65</v>
      </c>
      <c r="Y21" s="46"/>
      <c r="Z21" s="49"/>
      <c r="AA21" s="23">
        <v>2</v>
      </c>
      <c r="AB21" s="24">
        <v>2</v>
      </c>
    </row>
    <row r="22" spans="1:28" ht="30" customHeight="1">
      <c r="C22" s="12"/>
      <c r="D22" s="21">
        <v>4</v>
      </c>
      <c r="E22" s="14">
        <v>5</v>
      </c>
      <c r="F22" s="23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69">
        <v>0</v>
      </c>
      <c r="O22" s="12"/>
      <c r="V22" s="31" t="s">
        <v>64</v>
      </c>
      <c r="W22" s="40"/>
      <c r="X22" s="43" t="s">
        <v>116</v>
      </c>
      <c r="Y22" s="46"/>
      <c r="Z22" s="49"/>
      <c r="AA22" s="23">
        <v>3</v>
      </c>
      <c r="AB22" s="24">
        <v>2</v>
      </c>
    </row>
    <row r="23" spans="1:28" ht="30" customHeight="1">
      <c r="C23" s="12"/>
      <c r="D23" s="21">
        <v>3</v>
      </c>
      <c r="E23" s="14">
        <v>4</v>
      </c>
      <c r="F23" s="23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69">
        <v>0</v>
      </c>
      <c r="O23" s="12"/>
      <c r="V23" s="31" t="s">
        <v>65</v>
      </c>
      <c r="W23" s="40"/>
      <c r="X23" s="43"/>
      <c r="Y23" s="46" t="s">
        <v>65</v>
      </c>
      <c r="Z23" s="49"/>
      <c r="AA23" s="23">
        <v>4</v>
      </c>
      <c r="AB23" s="24">
        <v>2</v>
      </c>
    </row>
    <row r="24" spans="1:28" ht="30" customHeight="1" thickBot="1">
      <c r="C24" s="12"/>
      <c r="D24" s="21">
        <v>2</v>
      </c>
      <c r="E24" s="14">
        <v>3</v>
      </c>
      <c r="F24" s="23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69">
        <v>0</v>
      </c>
      <c r="O24" s="12"/>
      <c r="V24" s="31" t="s">
        <v>66</v>
      </c>
      <c r="W24" s="40"/>
      <c r="X24" s="43"/>
      <c r="Y24" s="46" t="s">
        <v>116</v>
      </c>
      <c r="Z24" s="49"/>
      <c r="AA24" s="23">
        <v>5</v>
      </c>
      <c r="AB24" s="24">
        <v>2</v>
      </c>
    </row>
    <row r="25" spans="1:28" ht="30" customHeight="1">
      <c r="A25" s="104" t="s">
        <v>37</v>
      </c>
      <c r="C25" s="12"/>
      <c r="D25" s="21">
        <v>1</v>
      </c>
      <c r="E25" s="14">
        <v>2</v>
      </c>
      <c r="F25" s="79">
        <v>-1</v>
      </c>
      <c r="G25" s="6">
        <v>-1</v>
      </c>
      <c r="H25" s="6">
        <v>-1</v>
      </c>
      <c r="I25" s="6">
        <v>-1</v>
      </c>
      <c r="J25" s="6">
        <v>-1</v>
      </c>
      <c r="K25" s="6">
        <v>-1</v>
      </c>
      <c r="L25" s="6">
        <v>-1</v>
      </c>
      <c r="M25" s="87">
        <v>-1</v>
      </c>
      <c r="O25" s="12"/>
      <c r="V25" s="31" t="s">
        <v>67</v>
      </c>
      <c r="W25" s="40"/>
      <c r="X25" s="43"/>
      <c r="Y25" s="46"/>
      <c r="Z25" s="49" t="s">
        <v>65</v>
      </c>
      <c r="AA25" s="23">
        <v>6</v>
      </c>
      <c r="AB25" s="24">
        <v>2</v>
      </c>
    </row>
    <row r="26" spans="1:28" ht="30" customHeight="1" thickBot="1">
      <c r="A26" s="106">
        <v>1</v>
      </c>
      <c r="C26" s="12"/>
      <c r="D26" s="21">
        <v>0</v>
      </c>
      <c r="E26" s="15">
        <v>1</v>
      </c>
      <c r="F26" s="81">
        <v>-1</v>
      </c>
      <c r="G26" s="88">
        <v>-1</v>
      </c>
      <c r="H26" s="88">
        <v>-1</v>
      </c>
      <c r="I26" s="88">
        <v>-1</v>
      </c>
      <c r="J26" s="88">
        <v>-1</v>
      </c>
      <c r="K26" s="88">
        <v>-1</v>
      </c>
      <c r="L26" s="88">
        <v>-1</v>
      </c>
      <c r="M26" s="89">
        <v>-1</v>
      </c>
      <c r="O26" s="12"/>
      <c r="V26" s="31" t="s">
        <v>68</v>
      </c>
      <c r="W26" s="40"/>
      <c r="X26" s="43"/>
      <c r="Y26" s="46"/>
      <c r="Z26" s="49" t="s">
        <v>116</v>
      </c>
      <c r="AA26" s="23">
        <v>7</v>
      </c>
      <c r="AB26" s="24">
        <v>2</v>
      </c>
    </row>
    <row r="27" spans="1:28" ht="30" customHeight="1" thickBot="1">
      <c r="C27" s="12"/>
      <c r="F27" s="16" t="s">
        <v>15</v>
      </c>
      <c r="G27" s="17" t="s">
        <v>16</v>
      </c>
      <c r="H27" s="17" t="s">
        <v>17</v>
      </c>
      <c r="I27" s="17" t="s">
        <v>18</v>
      </c>
      <c r="J27" s="17" t="s">
        <v>19</v>
      </c>
      <c r="K27" s="17" t="s">
        <v>20</v>
      </c>
      <c r="L27" s="17" t="s">
        <v>21</v>
      </c>
      <c r="M27" s="18" t="s">
        <v>22</v>
      </c>
      <c r="O27" s="12"/>
      <c r="V27" s="31" t="s">
        <v>71</v>
      </c>
      <c r="W27" s="40" t="s">
        <v>64</v>
      </c>
      <c r="X27" s="43"/>
      <c r="Y27" s="46"/>
      <c r="Z27" s="49"/>
      <c r="AA27" s="29" t="s">
        <v>119</v>
      </c>
      <c r="AB27" s="24">
        <v>3</v>
      </c>
    </row>
    <row r="28" spans="1:28" ht="30" customHeight="1" thickBot="1"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0"/>
      <c r="V28" s="31" t="s">
        <v>72</v>
      </c>
      <c r="W28" s="40" t="s">
        <v>115</v>
      </c>
      <c r="X28" s="43"/>
      <c r="Y28" s="46"/>
      <c r="Z28" s="49"/>
      <c r="AA28" s="23">
        <v>1</v>
      </c>
      <c r="AB28" s="24">
        <v>3</v>
      </c>
    </row>
    <row r="29" spans="1:28" ht="30" customHeight="1">
      <c r="V29" s="31" t="s">
        <v>73</v>
      </c>
      <c r="W29" s="40"/>
      <c r="X29" s="43" t="s">
        <v>64</v>
      </c>
      <c r="Y29" s="46"/>
      <c r="Z29" s="49"/>
      <c r="AA29" s="23">
        <v>2</v>
      </c>
      <c r="AB29" s="24">
        <v>3</v>
      </c>
    </row>
    <row r="30" spans="1:28" ht="30" customHeight="1" thickBot="1">
      <c r="V30" s="31" t="s">
        <v>74</v>
      </c>
      <c r="W30" s="40"/>
      <c r="X30" s="43" t="s">
        <v>115</v>
      </c>
      <c r="Y30" s="46"/>
      <c r="Z30" s="49"/>
      <c r="AA30" s="23">
        <v>3</v>
      </c>
      <c r="AB30" s="24">
        <v>3</v>
      </c>
    </row>
    <row r="31" spans="1:28" ht="30" customHeight="1" thickBot="1">
      <c r="C31" s="10"/>
      <c r="D31" s="403" t="s">
        <v>123</v>
      </c>
      <c r="E31" s="404"/>
      <c r="F31" s="404"/>
      <c r="G31" s="404"/>
      <c r="H31" s="404"/>
      <c r="I31" s="404"/>
      <c r="J31" s="404"/>
      <c r="K31" s="404"/>
      <c r="L31" s="404"/>
      <c r="M31" s="404"/>
      <c r="N31" s="405"/>
      <c r="O31" s="10"/>
      <c r="V31" s="31" t="s">
        <v>75</v>
      </c>
      <c r="W31" s="40"/>
      <c r="X31" s="43"/>
      <c r="Y31" s="46" t="s">
        <v>64</v>
      </c>
      <c r="Z31" s="49"/>
      <c r="AA31" s="23">
        <v>4</v>
      </c>
      <c r="AB31" s="24">
        <v>3</v>
      </c>
    </row>
    <row r="32" spans="1:28" ht="30" customHeight="1" thickBot="1">
      <c r="C32" s="12"/>
      <c r="F32" s="21">
        <v>0</v>
      </c>
      <c r="G32" s="21">
        <v>1</v>
      </c>
      <c r="H32" s="21">
        <v>2</v>
      </c>
      <c r="I32" s="21">
        <v>3</v>
      </c>
      <c r="J32" s="21">
        <v>4</v>
      </c>
      <c r="K32" s="21">
        <v>5</v>
      </c>
      <c r="L32" s="21">
        <v>6</v>
      </c>
      <c r="M32" s="21">
        <v>7</v>
      </c>
      <c r="O32" s="12"/>
      <c r="V32" s="31" t="s">
        <v>76</v>
      </c>
      <c r="W32" s="40"/>
      <c r="X32" s="43"/>
      <c r="Y32" s="46" t="s">
        <v>115</v>
      </c>
      <c r="Z32" s="49"/>
      <c r="AA32" s="23">
        <v>5</v>
      </c>
      <c r="AB32" s="24">
        <v>3</v>
      </c>
    </row>
    <row r="33" spans="1:28" ht="30" customHeight="1">
      <c r="A33" s="19" t="s">
        <v>35</v>
      </c>
      <c r="C33" s="12"/>
      <c r="D33" s="21">
        <v>7</v>
      </c>
      <c r="E33" s="13">
        <v>8</v>
      </c>
      <c r="F33" s="90">
        <v>-1</v>
      </c>
      <c r="G33" s="91">
        <v>-1</v>
      </c>
      <c r="H33" s="91">
        <v>-1</v>
      </c>
      <c r="I33" s="91">
        <v>-1</v>
      </c>
      <c r="J33" s="91">
        <v>-1</v>
      </c>
      <c r="K33" s="91">
        <v>-1</v>
      </c>
      <c r="L33" s="91">
        <v>-1</v>
      </c>
      <c r="M33" s="92">
        <v>-1</v>
      </c>
      <c r="O33" s="12"/>
      <c r="Q33" s="407" t="s">
        <v>43</v>
      </c>
      <c r="V33" s="31" t="s">
        <v>77</v>
      </c>
      <c r="W33" s="40"/>
      <c r="X33" s="43"/>
      <c r="Y33" s="46"/>
      <c r="Z33" s="49" t="s">
        <v>64</v>
      </c>
      <c r="AA33" s="23">
        <v>6</v>
      </c>
      <c r="AB33" s="24">
        <v>3</v>
      </c>
    </row>
    <row r="34" spans="1:28" ht="30" customHeight="1" thickBot="1">
      <c r="A34" s="20">
        <v>-1</v>
      </c>
      <c r="C34" s="12"/>
      <c r="D34" s="21">
        <v>6</v>
      </c>
      <c r="E34" s="14">
        <v>7</v>
      </c>
      <c r="F34" s="93">
        <v>-1</v>
      </c>
      <c r="G34" s="36">
        <v>-1</v>
      </c>
      <c r="H34" s="36">
        <v>-1</v>
      </c>
      <c r="I34" s="36">
        <v>-1</v>
      </c>
      <c r="J34" s="36">
        <v>-1</v>
      </c>
      <c r="K34" s="36">
        <v>-1</v>
      </c>
      <c r="L34" s="36">
        <v>-1</v>
      </c>
      <c r="M34" s="94">
        <v>-1</v>
      </c>
      <c r="O34" s="12"/>
      <c r="P34" s="37"/>
      <c r="Q34" s="407"/>
      <c r="V34" s="31" t="s">
        <v>78</v>
      </c>
      <c r="W34" s="40"/>
      <c r="X34" s="43"/>
      <c r="Y34" s="46"/>
      <c r="Z34" s="49" t="s">
        <v>115</v>
      </c>
      <c r="AA34" s="23">
        <v>7</v>
      </c>
      <c r="AB34" s="24">
        <v>3</v>
      </c>
    </row>
    <row r="35" spans="1:28" ht="30" customHeight="1">
      <c r="C35" s="12"/>
      <c r="D35" s="21">
        <v>5</v>
      </c>
      <c r="E35" s="14">
        <v>6</v>
      </c>
      <c r="F35" s="95">
        <v>0</v>
      </c>
      <c r="G35" s="35">
        <v>0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96">
        <v>0</v>
      </c>
      <c r="O35" s="12"/>
      <c r="Q35" s="408" t="s">
        <v>42</v>
      </c>
      <c r="V35" s="31" t="s">
        <v>79</v>
      </c>
      <c r="W35" s="40" t="s">
        <v>63</v>
      </c>
      <c r="X35" s="43"/>
      <c r="Y35" s="46"/>
      <c r="Z35" s="49"/>
      <c r="AA35" s="29" t="s">
        <v>119</v>
      </c>
      <c r="AB35" s="24">
        <v>4</v>
      </c>
    </row>
    <row r="36" spans="1:28" ht="30" customHeight="1">
      <c r="C36" s="12"/>
      <c r="D36" s="21">
        <v>4</v>
      </c>
      <c r="E36" s="14">
        <v>5</v>
      </c>
      <c r="F36" s="9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96">
        <v>0</v>
      </c>
      <c r="O36" s="12"/>
      <c r="P36" s="37"/>
      <c r="Q36" s="408"/>
      <c r="V36" s="31" t="s">
        <v>80</v>
      </c>
      <c r="W36" s="40" t="s">
        <v>114</v>
      </c>
      <c r="X36" s="43"/>
      <c r="Y36" s="46"/>
      <c r="Z36" s="49"/>
      <c r="AA36" s="23">
        <v>1</v>
      </c>
      <c r="AB36" s="24">
        <v>4</v>
      </c>
    </row>
    <row r="37" spans="1:28" ht="30" customHeight="1">
      <c r="C37" s="12"/>
      <c r="D37" s="21">
        <v>3</v>
      </c>
      <c r="E37" s="14">
        <v>4</v>
      </c>
      <c r="F37" s="97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98">
        <v>0</v>
      </c>
      <c r="O37" s="12"/>
      <c r="Q37" s="409" t="s">
        <v>41</v>
      </c>
      <c r="V37" s="31" t="s">
        <v>81</v>
      </c>
      <c r="W37" s="40"/>
      <c r="X37" s="43" t="s">
        <v>63</v>
      </c>
      <c r="Y37" s="46"/>
      <c r="Z37" s="49"/>
      <c r="AA37" s="23">
        <v>2</v>
      </c>
      <c r="AB37" s="24">
        <v>4</v>
      </c>
    </row>
    <row r="38" spans="1:28" ht="30" customHeight="1" thickBot="1">
      <c r="C38" s="12"/>
      <c r="D38" s="21">
        <v>2</v>
      </c>
      <c r="E38" s="14">
        <v>3</v>
      </c>
      <c r="F38" s="97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98">
        <v>0</v>
      </c>
      <c r="O38" s="12"/>
      <c r="P38" s="37"/>
      <c r="Q38" s="409"/>
      <c r="V38" s="31" t="s">
        <v>82</v>
      </c>
      <c r="W38" s="40"/>
      <c r="X38" s="43" t="s">
        <v>114</v>
      </c>
      <c r="Y38" s="46"/>
      <c r="Z38" s="49"/>
      <c r="AA38" s="23">
        <v>3</v>
      </c>
      <c r="AB38" s="24">
        <v>4</v>
      </c>
    </row>
    <row r="39" spans="1:28" ht="30" customHeight="1">
      <c r="A39" s="104" t="s">
        <v>37</v>
      </c>
      <c r="B39" s="105"/>
      <c r="C39" s="12"/>
      <c r="D39" s="21">
        <v>1</v>
      </c>
      <c r="E39" s="14">
        <v>2</v>
      </c>
      <c r="F39" s="40">
        <v>1</v>
      </c>
      <c r="G39" s="33">
        <v>1</v>
      </c>
      <c r="H39" s="33">
        <v>1</v>
      </c>
      <c r="I39" s="33">
        <v>1</v>
      </c>
      <c r="J39" s="33">
        <v>1</v>
      </c>
      <c r="K39" s="33">
        <v>1</v>
      </c>
      <c r="L39" s="33">
        <v>1</v>
      </c>
      <c r="M39" s="99">
        <v>1</v>
      </c>
      <c r="O39" s="12"/>
      <c r="Q39" s="406" t="s">
        <v>122</v>
      </c>
      <c r="V39" s="31" t="s">
        <v>83</v>
      </c>
      <c r="W39" s="40"/>
      <c r="X39" s="43"/>
      <c r="Y39" s="46" t="s">
        <v>63</v>
      </c>
      <c r="Z39" s="49"/>
      <c r="AA39" s="23">
        <v>4</v>
      </c>
      <c r="AB39" s="24">
        <v>4</v>
      </c>
    </row>
    <row r="40" spans="1:28" ht="30" customHeight="1" thickBot="1">
      <c r="A40" s="106">
        <v>1</v>
      </c>
      <c r="B40" s="105"/>
      <c r="C40" s="12"/>
      <c r="D40" s="21">
        <v>0</v>
      </c>
      <c r="E40" s="15">
        <v>1</v>
      </c>
      <c r="F40" s="41">
        <v>1</v>
      </c>
      <c r="G40" s="100">
        <v>1</v>
      </c>
      <c r="H40" s="100">
        <v>1</v>
      </c>
      <c r="I40" s="100">
        <v>1</v>
      </c>
      <c r="J40" s="100">
        <v>1</v>
      </c>
      <c r="K40" s="100">
        <v>1</v>
      </c>
      <c r="L40" s="100">
        <v>1</v>
      </c>
      <c r="M40" s="101">
        <v>1</v>
      </c>
      <c r="O40" s="12"/>
      <c r="P40" s="38"/>
      <c r="Q40" s="406"/>
      <c r="V40" s="31" t="s">
        <v>84</v>
      </c>
      <c r="W40" s="40"/>
      <c r="X40" s="43"/>
      <c r="Y40" s="46" t="s">
        <v>114</v>
      </c>
      <c r="Z40" s="49"/>
      <c r="AA40" s="23">
        <v>5</v>
      </c>
      <c r="AB40" s="24">
        <v>4</v>
      </c>
    </row>
    <row r="41" spans="1:28" ht="30" customHeight="1" thickBot="1">
      <c r="C41" s="12"/>
      <c r="F41" s="16" t="s">
        <v>15</v>
      </c>
      <c r="G41" s="17" t="s">
        <v>16</v>
      </c>
      <c r="H41" s="17" t="s">
        <v>17</v>
      </c>
      <c r="I41" s="17" t="s">
        <v>18</v>
      </c>
      <c r="J41" s="17" t="s">
        <v>19</v>
      </c>
      <c r="K41" s="17" t="s">
        <v>20</v>
      </c>
      <c r="L41" s="17" t="s">
        <v>21</v>
      </c>
      <c r="M41" s="18" t="s">
        <v>22</v>
      </c>
      <c r="O41" s="12"/>
      <c r="V41" s="31" t="s">
        <v>85</v>
      </c>
      <c r="W41" s="40"/>
      <c r="X41" s="43"/>
      <c r="Y41" s="46"/>
      <c r="Z41" s="49" t="s">
        <v>63</v>
      </c>
      <c r="AA41" s="23">
        <v>6</v>
      </c>
      <c r="AB41" s="24">
        <v>4</v>
      </c>
    </row>
    <row r="42" spans="1:28" ht="30" customHeight="1" thickBot="1"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0"/>
      <c r="V42" s="31" t="s">
        <v>86</v>
      </c>
      <c r="W42" s="40"/>
      <c r="X42" s="43"/>
      <c r="Y42" s="46"/>
      <c r="Z42" s="49" t="s">
        <v>114</v>
      </c>
      <c r="AA42" s="23">
        <v>7</v>
      </c>
      <c r="AB42" s="24">
        <v>4</v>
      </c>
    </row>
    <row r="43" spans="1:28" ht="30" customHeight="1">
      <c r="V43" s="31" t="s">
        <v>87</v>
      </c>
      <c r="W43" s="40" t="s">
        <v>62</v>
      </c>
      <c r="X43" s="43"/>
      <c r="Y43" s="46"/>
      <c r="Z43" s="49"/>
      <c r="AA43" s="29" t="s">
        <v>119</v>
      </c>
      <c r="AB43" s="24">
        <v>5</v>
      </c>
    </row>
    <row r="44" spans="1:28" ht="30" customHeight="1" thickBot="1">
      <c r="V44" s="31" t="s">
        <v>88</v>
      </c>
      <c r="W44" s="40" t="s">
        <v>70</v>
      </c>
      <c r="X44" s="43"/>
      <c r="Y44" s="46"/>
      <c r="Z44" s="49"/>
      <c r="AA44" s="23">
        <v>1</v>
      </c>
      <c r="AB44" s="24">
        <v>5</v>
      </c>
    </row>
    <row r="45" spans="1:28" ht="30" customHeight="1" thickBot="1">
      <c r="C45" s="10"/>
      <c r="D45" s="403" t="s">
        <v>373</v>
      </c>
      <c r="E45" s="404"/>
      <c r="F45" s="404"/>
      <c r="G45" s="404"/>
      <c r="H45" s="404"/>
      <c r="I45" s="404"/>
      <c r="J45" s="404"/>
      <c r="K45" s="404"/>
      <c r="L45" s="404"/>
      <c r="M45" s="404"/>
      <c r="N45" s="405"/>
      <c r="O45" s="10"/>
      <c r="V45" s="31" t="s">
        <v>89</v>
      </c>
      <c r="W45" s="40"/>
      <c r="X45" s="43" t="s">
        <v>62</v>
      </c>
      <c r="Y45" s="46"/>
      <c r="Z45" s="49"/>
      <c r="AA45" s="23">
        <v>2</v>
      </c>
      <c r="AB45" s="24">
        <v>5</v>
      </c>
    </row>
    <row r="46" spans="1:28" ht="30" customHeight="1" thickBot="1">
      <c r="C46" s="12"/>
      <c r="F46" s="21">
        <v>0</v>
      </c>
      <c r="G46" s="21">
        <v>1</v>
      </c>
      <c r="H46" s="21">
        <v>2</v>
      </c>
      <c r="I46" s="21">
        <v>3</v>
      </c>
      <c r="J46" s="21">
        <v>4</v>
      </c>
      <c r="K46" s="21">
        <v>5</v>
      </c>
      <c r="L46" s="21">
        <v>6</v>
      </c>
      <c r="M46" s="21">
        <v>7</v>
      </c>
      <c r="O46" s="12"/>
      <c r="V46" s="31" t="s">
        <v>90</v>
      </c>
      <c r="W46" s="40"/>
      <c r="X46" s="43" t="s">
        <v>70</v>
      </c>
      <c r="Y46" s="46"/>
      <c r="Z46" s="49"/>
      <c r="AA46" s="23">
        <v>3</v>
      </c>
      <c r="AB46" s="24">
        <v>5</v>
      </c>
    </row>
    <row r="47" spans="1:28" ht="30" customHeight="1">
      <c r="A47" s="19" t="s">
        <v>35</v>
      </c>
      <c r="B47" s="253"/>
      <c r="C47" s="12"/>
      <c r="D47" s="21">
        <v>7</v>
      </c>
      <c r="E47" s="13">
        <v>8</v>
      </c>
      <c r="F47" s="195">
        <v>0</v>
      </c>
      <c r="G47" s="199">
        <v>0</v>
      </c>
      <c r="H47" s="199">
        <v>0</v>
      </c>
      <c r="I47" s="199">
        <v>0</v>
      </c>
      <c r="J47" s="202">
        <v>-1</v>
      </c>
      <c r="K47" s="199">
        <v>0</v>
      </c>
      <c r="L47" s="199">
        <v>0</v>
      </c>
      <c r="M47" s="208">
        <v>0</v>
      </c>
      <c r="O47" s="12"/>
      <c r="V47" s="31" t="s">
        <v>91</v>
      </c>
      <c r="W47" s="40"/>
      <c r="X47" s="43"/>
      <c r="Y47" s="46" t="s">
        <v>62</v>
      </c>
      <c r="Z47" s="49"/>
      <c r="AA47" s="23">
        <v>4</v>
      </c>
      <c r="AB47" s="24">
        <v>5</v>
      </c>
    </row>
    <row r="48" spans="1:28" ht="30" customHeight="1" thickBot="1">
      <c r="A48" s="20">
        <v>-1</v>
      </c>
      <c r="B48" s="253"/>
      <c r="C48" s="12"/>
      <c r="D48" s="21">
        <v>6</v>
      </c>
      <c r="E48" s="14">
        <v>7</v>
      </c>
      <c r="F48" s="196">
        <v>0</v>
      </c>
      <c r="G48" s="197">
        <v>0</v>
      </c>
      <c r="H48" s="197">
        <v>0</v>
      </c>
      <c r="I48" s="197">
        <v>0</v>
      </c>
      <c r="J48" s="197">
        <v>0</v>
      </c>
      <c r="K48" s="197">
        <v>0</v>
      </c>
      <c r="L48" s="197">
        <v>0</v>
      </c>
      <c r="M48" s="201">
        <v>0</v>
      </c>
      <c r="O48" s="12"/>
      <c r="V48" s="31" t="s">
        <v>92</v>
      </c>
      <c r="W48" s="40"/>
      <c r="X48" s="43"/>
      <c r="Y48" s="46" t="s">
        <v>70</v>
      </c>
      <c r="Z48" s="49"/>
      <c r="AA48" s="23">
        <v>5</v>
      </c>
      <c r="AB48" s="24">
        <v>5</v>
      </c>
    </row>
    <row r="49" spans="1:28" ht="30" customHeight="1">
      <c r="C49" s="12"/>
      <c r="D49" s="21">
        <v>5</v>
      </c>
      <c r="E49" s="14">
        <v>6</v>
      </c>
      <c r="F49" s="196">
        <v>0</v>
      </c>
      <c r="G49" s="197">
        <v>0</v>
      </c>
      <c r="H49" s="204">
        <v>1</v>
      </c>
      <c r="I49" s="197">
        <v>0</v>
      </c>
      <c r="J49" s="203">
        <v>-1</v>
      </c>
      <c r="K49" s="204">
        <v>1</v>
      </c>
      <c r="L49" s="197">
        <v>0</v>
      </c>
      <c r="M49" s="201">
        <v>0</v>
      </c>
      <c r="O49" s="12"/>
      <c r="V49" s="31" t="s">
        <v>93</v>
      </c>
      <c r="W49" s="40"/>
      <c r="X49" s="43"/>
      <c r="Y49" s="46"/>
      <c r="Z49" s="49" t="s">
        <v>62</v>
      </c>
      <c r="AA49" s="23">
        <v>6</v>
      </c>
      <c r="AB49" s="24">
        <v>5</v>
      </c>
    </row>
    <row r="50" spans="1:28" ht="30" customHeight="1">
      <c r="C50" s="12"/>
      <c r="D50" s="21">
        <v>4</v>
      </c>
      <c r="E50" s="14">
        <v>5</v>
      </c>
      <c r="F50" s="196">
        <v>0</v>
      </c>
      <c r="G50" s="197">
        <v>0</v>
      </c>
      <c r="H50" s="197">
        <v>0</v>
      </c>
      <c r="I50" s="205">
        <v>0</v>
      </c>
      <c r="J50" s="204">
        <v>1</v>
      </c>
      <c r="K50" s="197">
        <v>0</v>
      </c>
      <c r="L50" s="197">
        <v>0</v>
      </c>
      <c r="M50" s="201">
        <v>0</v>
      </c>
      <c r="O50" s="12"/>
      <c r="V50" s="31" t="s">
        <v>94</v>
      </c>
      <c r="W50" s="40"/>
      <c r="X50" s="43"/>
      <c r="Y50" s="46"/>
      <c r="Z50" s="49" t="s">
        <v>70</v>
      </c>
      <c r="AA50" s="23">
        <v>7</v>
      </c>
      <c r="AB50" s="24">
        <v>5</v>
      </c>
    </row>
    <row r="51" spans="1:28" ht="30" customHeight="1">
      <c r="C51" s="12"/>
      <c r="D51" s="21">
        <v>3</v>
      </c>
      <c r="E51" s="14">
        <v>4</v>
      </c>
      <c r="F51" s="196">
        <v>0</v>
      </c>
      <c r="G51" s="197">
        <v>0</v>
      </c>
      <c r="H51" s="197">
        <v>0</v>
      </c>
      <c r="I51" s="197">
        <v>0</v>
      </c>
      <c r="J51" s="206">
        <v>1</v>
      </c>
      <c r="K51" s="197">
        <v>0</v>
      </c>
      <c r="L51" s="197">
        <v>0</v>
      </c>
      <c r="M51" s="201">
        <v>0</v>
      </c>
      <c r="O51" s="12"/>
      <c r="V51" s="31" t="s">
        <v>95</v>
      </c>
      <c r="W51" s="40" t="s">
        <v>61</v>
      </c>
      <c r="X51" s="43"/>
      <c r="Y51" s="46"/>
      <c r="Z51" s="49"/>
      <c r="AA51" s="29" t="s">
        <v>119</v>
      </c>
      <c r="AB51" s="24">
        <v>6</v>
      </c>
    </row>
    <row r="52" spans="1:28" ht="30" customHeight="1" thickBot="1">
      <c r="C52" s="12"/>
      <c r="D52" s="21">
        <v>2</v>
      </c>
      <c r="E52" s="14">
        <v>3</v>
      </c>
      <c r="F52" s="196">
        <v>0</v>
      </c>
      <c r="G52" s="197">
        <v>0</v>
      </c>
      <c r="H52" s="197">
        <v>0</v>
      </c>
      <c r="I52" s="197">
        <v>0</v>
      </c>
      <c r="J52" s="197">
        <v>0</v>
      </c>
      <c r="K52" s="197">
        <v>0</v>
      </c>
      <c r="L52" s="197">
        <v>0</v>
      </c>
      <c r="M52" s="201">
        <v>0</v>
      </c>
      <c r="O52" s="12"/>
      <c r="V52" s="31" t="s">
        <v>96</v>
      </c>
      <c r="W52" s="40" t="s">
        <v>69</v>
      </c>
      <c r="X52" s="43"/>
      <c r="Y52" s="46"/>
      <c r="Z52" s="49"/>
      <c r="AA52" s="23">
        <v>1</v>
      </c>
      <c r="AB52" s="24">
        <v>6</v>
      </c>
    </row>
    <row r="53" spans="1:28" ht="30" customHeight="1">
      <c r="A53" s="104" t="s">
        <v>37</v>
      </c>
      <c r="B53" s="105"/>
      <c r="C53" s="12"/>
      <c r="D53" s="21">
        <v>1</v>
      </c>
      <c r="E53" s="14">
        <v>2</v>
      </c>
      <c r="F53" s="196">
        <v>0</v>
      </c>
      <c r="G53" s="197">
        <v>0</v>
      </c>
      <c r="H53" s="197">
        <v>0</v>
      </c>
      <c r="I53" s="197">
        <v>0</v>
      </c>
      <c r="J53" s="197">
        <v>0</v>
      </c>
      <c r="K53" s="197">
        <v>0</v>
      </c>
      <c r="L53" s="197">
        <v>0</v>
      </c>
      <c r="M53" s="201">
        <v>0</v>
      </c>
      <c r="O53" s="12"/>
      <c r="V53" s="31" t="s">
        <v>97</v>
      </c>
      <c r="W53" s="40"/>
      <c r="X53" s="43" t="s">
        <v>61</v>
      </c>
      <c r="Y53" s="46"/>
      <c r="Z53" s="49"/>
      <c r="AA53" s="23">
        <v>2</v>
      </c>
      <c r="AB53" s="24">
        <v>6</v>
      </c>
    </row>
    <row r="54" spans="1:28" ht="30" customHeight="1" thickBot="1">
      <c r="A54" s="106">
        <v>1</v>
      </c>
      <c r="B54" s="105"/>
      <c r="C54" s="12"/>
      <c r="D54" s="21">
        <v>0</v>
      </c>
      <c r="E54" s="15">
        <v>1</v>
      </c>
      <c r="F54" s="207">
        <v>0</v>
      </c>
      <c r="G54" s="198">
        <v>0</v>
      </c>
      <c r="H54" s="198">
        <v>0</v>
      </c>
      <c r="I54" s="198">
        <v>0</v>
      </c>
      <c r="J54" s="198">
        <v>0</v>
      </c>
      <c r="K54" s="198">
        <v>0</v>
      </c>
      <c r="L54" s="198">
        <v>0</v>
      </c>
      <c r="M54" s="200">
        <v>0</v>
      </c>
      <c r="O54" s="12"/>
      <c r="V54" s="31" t="s">
        <v>98</v>
      </c>
      <c r="W54" s="40"/>
      <c r="X54" s="43" t="s">
        <v>69</v>
      </c>
      <c r="Y54" s="46"/>
      <c r="Z54" s="49"/>
      <c r="AA54" s="23">
        <v>3</v>
      </c>
      <c r="AB54" s="24">
        <v>6</v>
      </c>
    </row>
    <row r="55" spans="1:28" ht="30" customHeight="1" thickBot="1">
      <c r="C55" s="12"/>
      <c r="F55" s="16" t="s">
        <v>15</v>
      </c>
      <c r="G55" s="17" t="s">
        <v>16</v>
      </c>
      <c r="H55" s="17" t="s">
        <v>17</v>
      </c>
      <c r="I55" s="17" t="s">
        <v>18</v>
      </c>
      <c r="J55" s="17" t="s">
        <v>19</v>
      </c>
      <c r="K55" s="17" t="s">
        <v>20</v>
      </c>
      <c r="L55" s="17" t="s">
        <v>21</v>
      </c>
      <c r="M55" s="18" t="s">
        <v>22</v>
      </c>
      <c r="O55" s="12"/>
      <c r="V55" s="31" t="s">
        <v>99</v>
      </c>
      <c r="W55" s="40"/>
      <c r="X55" s="43"/>
      <c r="Y55" s="46" t="s">
        <v>61</v>
      </c>
      <c r="Z55" s="49"/>
      <c r="AA55" s="23">
        <v>4</v>
      </c>
      <c r="AB55" s="24">
        <v>6</v>
      </c>
    </row>
    <row r="56" spans="1:28" ht="30" customHeight="1" thickBot="1">
      <c r="C56" s="10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0"/>
      <c r="V56" s="31" t="s">
        <v>100</v>
      </c>
      <c r="W56" s="40"/>
      <c r="X56" s="43"/>
      <c r="Y56" s="46" t="s">
        <v>69</v>
      </c>
      <c r="Z56" s="49"/>
      <c r="AA56" s="23">
        <v>5</v>
      </c>
      <c r="AB56" s="24">
        <v>6</v>
      </c>
    </row>
    <row r="57" spans="1:28" ht="30" customHeight="1">
      <c r="V57" s="31" t="s">
        <v>101</v>
      </c>
      <c r="W57" s="40"/>
      <c r="X57" s="43"/>
      <c r="Y57" s="46"/>
      <c r="Z57" s="49" t="s">
        <v>61</v>
      </c>
      <c r="AA57" s="23">
        <v>6</v>
      </c>
      <c r="AB57" s="24">
        <v>6</v>
      </c>
    </row>
    <row r="58" spans="1:28" ht="30" customHeight="1">
      <c r="C58" s="210" t="s">
        <v>374</v>
      </c>
      <c r="V58" s="31" t="s">
        <v>102</v>
      </c>
      <c r="W58" s="40"/>
      <c r="X58" s="43"/>
      <c r="Y58" s="46"/>
      <c r="Z58" s="49" t="s">
        <v>69</v>
      </c>
      <c r="AA58" s="23">
        <v>7</v>
      </c>
      <c r="AB58" s="24">
        <v>6</v>
      </c>
    </row>
    <row r="59" spans="1:28" ht="30" customHeight="1">
      <c r="C59" s="210" t="s">
        <v>411</v>
      </c>
      <c r="V59" s="31" t="s">
        <v>103</v>
      </c>
      <c r="W59" s="40" t="s">
        <v>113</v>
      </c>
      <c r="X59" s="43"/>
      <c r="Y59" s="46"/>
      <c r="Z59" s="49"/>
      <c r="AA59" s="29" t="s">
        <v>119</v>
      </c>
      <c r="AB59" s="24">
        <v>7</v>
      </c>
    </row>
    <row r="60" spans="1:28" ht="30" customHeight="1">
      <c r="V60" s="31" t="s">
        <v>104</v>
      </c>
      <c r="W60" s="40" t="s">
        <v>68</v>
      </c>
      <c r="X60" s="43"/>
      <c r="Y60" s="46"/>
      <c r="Z60" s="49"/>
      <c r="AA60" s="23">
        <v>1</v>
      </c>
      <c r="AB60" s="24">
        <v>7</v>
      </c>
    </row>
    <row r="61" spans="1:28" ht="30" customHeight="1">
      <c r="V61" s="31" t="s">
        <v>105</v>
      </c>
      <c r="W61" s="40"/>
      <c r="X61" s="43" t="s">
        <v>113</v>
      </c>
      <c r="Y61" s="46"/>
      <c r="Z61" s="49"/>
      <c r="AA61" s="23">
        <v>2</v>
      </c>
      <c r="AB61" s="24">
        <v>7</v>
      </c>
    </row>
    <row r="62" spans="1:28" ht="30" customHeight="1">
      <c r="V62" s="31" t="s">
        <v>106</v>
      </c>
      <c r="W62" s="40"/>
      <c r="X62" s="43" t="s">
        <v>68</v>
      </c>
      <c r="Y62" s="46"/>
      <c r="Z62" s="49"/>
      <c r="AA62" s="23">
        <v>3</v>
      </c>
      <c r="AB62" s="24">
        <v>7</v>
      </c>
    </row>
    <row r="63" spans="1:28" ht="30" customHeight="1">
      <c r="V63" s="31" t="s">
        <v>107</v>
      </c>
      <c r="W63" s="40"/>
      <c r="X63" s="43"/>
      <c r="Y63" s="46" t="s">
        <v>113</v>
      </c>
      <c r="Z63" s="49"/>
      <c r="AA63" s="23">
        <v>4</v>
      </c>
      <c r="AB63" s="24">
        <v>7</v>
      </c>
    </row>
    <row r="64" spans="1:28" ht="30" customHeight="1">
      <c r="V64" s="31" t="s">
        <v>108</v>
      </c>
      <c r="W64" s="40"/>
      <c r="X64" s="43"/>
      <c r="Y64" s="46" t="s">
        <v>68</v>
      </c>
      <c r="Z64" s="49"/>
      <c r="AA64" s="23">
        <v>5</v>
      </c>
      <c r="AB64" s="24">
        <v>7</v>
      </c>
    </row>
    <row r="65" spans="22:28" ht="30" customHeight="1">
      <c r="V65" s="31" t="s">
        <v>109</v>
      </c>
      <c r="W65" s="40"/>
      <c r="X65" s="43"/>
      <c r="Y65" s="46"/>
      <c r="Z65" s="49" t="s">
        <v>113</v>
      </c>
      <c r="AA65" s="23">
        <v>6</v>
      </c>
      <c r="AB65" s="24">
        <v>7</v>
      </c>
    </row>
    <row r="66" spans="22:28" ht="30" customHeight="1" thickBot="1">
      <c r="V66" s="32" t="s">
        <v>110</v>
      </c>
      <c r="W66" s="41"/>
      <c r="X66" s="44"/>
      <c r="Y66" s="47"/>
      <c r="Z66" s="50" t="s">
        <v>68</v>
      </c>
      <c r="AA66" s="25">
        <v>7</v>
      </c>
      <c r="AB66" s="26">
        <v>7</v>
      </c>
    </row>
    <row r="67" spans="22:28" ht="30" customHeight="1"/>
  </sheetData>
  <mergeCells count="9">
    <mergeCell ref="V1:AB1"/>
    <mergeCell ref="D45:N45"/>
    <mergeCell ref="D2:N2"/>
    <mergeCell ref="Q39:Q40"/>
    <mergeCell ref="D17:N17"/>
    <mergeCell ref="D31:N31"/>
    <mergeCell ref="Q33:Q34"/>
    <mergeCell ref="Q35:Q36"/>
    <mergeCell ref="Q37:Q38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D712-80A4-4CAB-9734-69940DDA93F7}">
  <dimension ref="A1:AU39"/>
  <sheetViews>
    <sheetView showGridLines="0" zoomScaleNormal="100" workbookViewId="0">
      <selection activeCell="E25" sqref="E25"/>
    </sheetView>
  </sheetViews>
  <sheetFormatPr baseColWidth="10" defaultRowHeight="15"/>
  <cols>
    <col min="13" max="13" width="10.5703125" bestFit="1" customWidth="1"/>
    <col min="14" max="26" width="3.7109375" customWidth="1"/>
    <col min="28" max="28" width="19.85546875" bestFit="1" customWidth="1"/>
    <col min="31" max="31" width="11.42578125" customWidth="1"/>
    <col min="32" max="44" width="3.7109375" customWidth="1"/>
    <col min="46" max="46" width="17.7109375" customWidth="1"/>
  </cols>
  <sheetData>
    <row r="1" spans="1:47" ht="15.75" thickBot="1">
      <c r="A1" s="210" t="s">
        <v>404</v>
      </c>
      <c r="N1" s="410" t="s">
        <v>453</v>
      </c>
      <c r="O1" s="411"/>
      <c r="P1" s="411"/>
      <c r="Q1" s="411"/>
      <c r="R1" s="411"/>
      <c r="S1" s="411"/>
      <c r="T1" s="411"/>
      <c r="U1" s="411"/>
      <c r="V1" s="411"/>
      <c r="W1" s="411"/>
      <c r="X1" s="411"/>
      <c r="Y1" s="411"/>
      <c r="Z1" s="412"/>
      <c r="AB1" t="s">
        <v>416</v>
      </c>
      <c r="AF1" s="410" t="s">
        <v>453</v>
      </c>
      <c r="AG1" s="411"/>
      <c r="AH1" s="411"/>
      <c r="AI1" s="411"/>
      <c r="AJ1" s="411"/>
      <c r="AK1" s="411"/>
      <c r="AL1" s="411"/>
      <c r="AM1" s="411"/>
      <c r="AN1" s="411"/>
      <c r="AO1" s="411"/>
      <c r="AP1" s="411"/>
      <c r="AQ1" s="411"/>
      <c r="AR1" s="412"/>
      <c r="AT1" t="s">
        <v>463</v>
      </c>
    </row>
    <row r="2" spans="1:47" ht="19.5" thickBot="1">
      <c r="N2" s="10"/>
      <c r="O2" s="403" t="s">
        <v>414</v>
      </c>
      <c r="P2" s="404"/>
      <c r="Q2" s="404"/>
      <c r="R2" s="404"/>
      <c r="S2" s="404"/>
      <c r="T2" s="404"/>
      <c r="U2" s="404"/>
      <c r="V2" s="404"/>
      <c r="W2" s="404"/>
      <c r="X2" s="404"/>
      <c r="Y2" s="405"/>
      <c r="Z2" s="10"/>
      <c r="AB2" t="s">
        <v>438</v>
      </c>
      <c r="AF2" s="10"/>
      <c r="AG2" s="403" t="s">
        <v>414</v>
      </c>
      <c r="AH2" s="404"/>
      <c r="AI2" s="404"/>
      <c r="AJ2" s="404"/>
      <c r="AK2" s="404"/>
      <c r="AL2" s="404"/>
      <c r="AM2" s="404"/>
      <c r="AN2" s="404"/>
      <c r="AO2" s="404"/>
      <c r="AP2" s="404"/>
      <c r="AQ2" s="405"/>
      <c r="AR2" s="10"/>
      <c r="AT2" t="s">
        <v>438</v>
      </c>
    </row>
    <row r="3" spans="1:47" ht="15.75" thickBot="1">
      <c r="N3" s="12"/>
      <c r="Q3" s="21">
        <v>0</v>
      </c>
      <c r="R3" s="21">
        <v>1</v>
      </c>
      <c r="S3" s="21">
        <v>2</v>
      </c>
      <c r="T3" s="21">
        <v>3</v>
      </c>
      <c r="U3" s="21">
        <v>4</v>
      </c>
      <c r="V3" s="21">
        <v>5</v>
      </c>
      <c r="W3" s="21">
        <v>6</v>
      </c>
      <c r="X3" s="21">
        <v>7</v>
      </c>
      <c r="Z3" s="12"/>
      <c r="AB3" s="272" t="s">
        <v>417</v>
      </c>
      <c r="AC3" s="273">
        <f>MIN(Q17:X24)</f>
        <v>486</v>
      </c>
      <c r="AF3" s="12"/>
      <c r="AI3" s="21">
        <v>0</v>
      </c>
      <c r="AJ3" s="21">
        <v>1</v>
      </c>
      <c r="AK3" s="21">
        <v>2</v>
      </c>
      <c r="AL3" s="21">
        <v>3</v>
      </c>
      <c r="AM3" s="21">
        <v>4</v>
      </c>
      <c r="AN3" s="21">
        <v>5</v>
      </c>
      <c r="AO3" s="21">
        <v>6</v>
      </c>
      <c r="AP3" s="21">
        <v>7</v>
      </c>
      <c r="AR3" s="12"/>
      <c r="AT3" s="272" t="s">
        <v>417</v>
      </c>
      <c r="AU3" s="273">
        <f>MIN(AI17:AP24)</f>
        <v>580</v>
      </c>
    </row>
    <row r="4" spans="1:47" ht="15.75" thickBot="1">
      <c r="M4" s="19" t="s">
        <v>35</v>
      </c>
      <c r="N4" s="12"/>
      <c r="O4" s="21">
        <v>7</v>
      </c>
      <c r="P4" s="13">
        <v>8</v>
      </c>
      <c r="Q4" s="74"/>
      <c r="R4" s="84"/>
      <c r="S4" s="84"/>
      <c r="T4" s="84"/>
      <c r="U4" s="84"/>
      <c r="V4" s="84"/>
      <c r="W4" s="84"/>
      <c r="X4" s="85"/>
      <c r="Z4" s="12"/>
      <c r="AB4" s="274" t="s">
        <v>418</v>
      </c>
      <c r="AC4" s="275">
        <f>MAX(Q17:X24)</f>
        <v>584</v>
      </c>
      <c r="AE4" s="19" t="s">
        <v>35</v>
      </c>
      <c r="AF4" s="12"/>
      <c r="AG4" s="21">
        <v>7</v>
      </c>
      <c r="AH4" s="13">
        <v>8</v>
      </c>
      <c r="AI4" s="74"/>
      <c r="AJ4" s="84"/>
      <c r="AK4" s="84"/>
      <c r="AL4" s="84"/>
      <c r="AM4" s="84"/>
      <c r="AN4" s="84"/>
      <c r="AO4" s="84"/>
      <c r="AP4" s="85"/>
      <c r="AR4" s="12"/>
      <c r="AT4" s="274" t="s">
        <v>418</v>
      </c>
      <c r="AU4" s="275">
        <f>MAX(AI17:AP24)</f>
        <v>660</v>
      </c>
    </row>
    <row r="5" spans="1:47" ht="15.75" thickBot="1">
      <c r="B5" s="249" t="s">
        <v>485</v>
      </c>
      <c r="C5" s="229">
        <v>6</v>
      </c>
      <c r="M5" s="20">
        <v>-1</v>
      </c>
      <c r="N5" s="12"/>
      <c r="O5" s="21">
        <v>6</v>
      </c>
      <c r="P5" s="14">
        <v>7</v>
      </c>
      <c r="Q5" s="77"/>
      <c r="R5" s="8"/>
      <c r="S5" s="8"/>
      <c r="T5" s="8"/>
      <c r="U5" s="8"/>
      <c r="V5" s="8"/>
      <c r="W5" s="8"/>
      <c r="X5" s="86"/>
      <c r="Z5" s="12"/>
      <c r="AE5" s="20">
        <v>-1</v>
      </c>
      <c r="AF5" s="12"/>
      <c r="AG5" s="21">
        <v>6</v>
      </c>
      <c r="AH5" s="14">
        <v>7</v>
      </c>
      <c r="AI5" s="77"/>
      <c r="AJ5" s="8"/>
      <c r="AK5" s="8"/>
      <c r="AL5" s="8"/>
      <c r="AM5" s="8"/>
      <c r="AN5" s="8"/>
      <c r="AO5" s="8"/>
      <c r="AP5" s="86"/>
      <c r="AR5" s="12"/>
    </row>
    <row r="6" spans="1:47">
      <c r="B6" s="249" t="s">
        <v>486</v>
      </c>
      <c r="C6" s="311">
        <f>1.4*C5/5</f>
        <v>1.6799999999999997</v>
      </c>
      <c r="N6" s="12"/>
      <c r="O6" s="21">
        <v>5</v>
      </c>
      <c r="P6" s="14">
        <v>6</v>
      </c>
      <c r="Q6" s="23"/>
      <c r="R6" s="5"/>
      <c r="S6" s="5"/>
      <c r="T6" s="5"/>
      <c r="U6" s="5"/>
      <c r="V6" s="5"/>
      <c r="W6" s="5"/>
      <c r="X6" s="69"/>
      <c r="Z6" s="12"/>
      <c r="AF6" s="12"/>
      <c r="AG6" s="21">
        <v>5</v>
      </c>
      <c r="AH6" s="14">
        <v>6</v>
      </c>
      <c r="AI6" s="23"/>
      <c r="AJ6" s="5"/>
      <c r="AK6" s="5"/>
      <c r="AL6" s="5"/>
      <c r="AM6" s="5"/>
      <c r="AN6" s="5"/>
      <c r="AO6" s="5"/>
      <c r="AP6" s="69"/>
      <c r="AR6" s="12"/>
    </row>
    <row r="7" spans="1:47">
      <c r="N7" s="12"/>
      <c r="O7" s="21">
        <v>4</v>
      </c>
      <c r="P7" s="14">
        <v>5</v>
      </c>
      <c r="Q7" s="23"/>
      <c r="R7" s="5"/>
      <c r="S7" s="5"/>
      <c r="T7" s="5"/>
      <c r="U7" s="5"/>
      <c r="V7" s="5"/>
      <c r="W7" s="5"/>
      <c r="X7" s="69"/>
      <c r="Z7" s="12"/>
      <c r="AF7" s="12"/>
      <c r="AG7" s="21">
        <v>4</v>
      </c>
      <c r="AH7" s="14">
        <v>5</v>
      </c>
      <c r="AI7" s="23"/>
      <c r="AJ7" s="5"/>
      <c r="AK7" s="5"/>
      <c r="AL7" s="5"/>
      <c r="AM7" s="5"/>
      <c r="AN7" s="5"/>
      <c r="AO7" s="5"/>
      <c r="AP7" s="69"/>
      <c r="AR7" s="12"/>
    </row>
    <row r="8" spans="1:47">
      <c r="N8" s="12"/>
      <c r="O8" s="21">
        <v>3</v>
      </c>
      <c r="P8" s="14">
        <v>4</v>
      </c>
      <c r="Q8" s="23"/>
      <c r="R8" s="5"/>
      <c r="S8" s="5"/>
      <c r="T8" s="5"/>
      <c r="U8" s="5"/>
      <c r="V8" s="5"/>
      <c r="W8" s="5"/>
      <c r="X8" s="69"/>
      <c r="Z8" s="12"/>
      <c r="AF8" s="12"/>
      <c r="AG8" s="21">
        <v>3</v>
      </c>
      <c r="AH8" s="14">
        <v>4</v>
      </c>
      <c r="AI8" s="23"/>
      <c r="AJ8" s="5"/>
      <c r="AK8" s="5"/>
      <c r="AL8" s="5"/>
      <c r="AM8" s="5"/>
      <c r="AN8" s="5"/>
      <c r="AO8" s="5"/>
      <c r="AP8" s="69"/>
      <c r="AR8" s="12"/>
    </row>
    <row r="9" spans="1:47" ht="15.75" thickBot="1">
      <c r="N9" s="12"/>
      <c r="O9" s="21">
        <v>2</v>
      </c>
      <c r="P9" s="14">
        <v>3</v>
      </c>
      <c r="Q9" s="23"/>
      <c r="R9" s="5"/>
      <c r="S9" s="5"/>
      <c r="T9" s="5"/>
      <c r="U9" s="5"/>
      <c r="V9" s="5"/>
      <c r="W9" s="5"/>
      <c r="X9" s="69"/>
      <c r="Z9" s="12"/>
      <c r="AF9" s="12"/>
      <c r="AG9" s="21">
        <v>2</v>
      </c>
      <c r="AH9" s="14">
        <v>3</v>
      </c>
      <c r="AI9" s="23"/>
      <c r="AJ9" s="5"/>
      <c r="AK9" s="5"/>
      <c r="AL9" s="5"/>
      <c r="AM9" s="5"/>
      <c r="AN9" s="5"/>
      <c r="AO9" s="5"/>
      <c r="AP9" s="69"/>
      <c r="AR9" s="12"/>
    </row>
    <row r="10" spans="1:47" ht="15.75" thickBot="1">
      <c r="B10" s="413" t="s">
        <v>415</v>
      </c>
      <c r="C10" s="414"/>
      <c r="M10" s="104" t="s">
        <v>37</v>
      </c>
      <c r="N10" s="12"/>
      <c r="O10" s="21">
        <v>1</v>
      </c>
      <c r="P10" s="14">
        <v>2</v>
      </c>
      <c r="Q10" s="79"/>
      <c r="R10" s="6"/>
      <c r="S10" s="6"/>
      <c r="T10" s="6"/>
      <c r="U10" s="6"/>
      <c r="V10" s="6"/>
      <c r="W10" s="6"/>
      <c r="X10" s="87"/>
      <c r="Z10" s="12"/>
      <c r="AE10" s="104" t="s">
        <v>37</v>
      </c>
      <c r="AF10" s="12"/>
      <c r="AG10" s="21">
        <v>1</v>
      </c>
      <c r="AH10" s="14">
        <v>2</v>
      </c>
      <c r="AI10" s="79"/>
      <c r="AJ10" s="6"/>
      <c r="AK10" s="6"/>
      <c r="AL10" s="6"/>
      <c r="AM10" s="6"/>
      <c r="AN10" s="6"/>
      <c r="AO10" s="6"/>
      <c r="AP10" s="87"/>
      <c r="AR10" s="12"/>
    </row>
    <row r="11" spans="1:47" ht="15.75" thickBot="1">
      <c r="B11" s="184" t="s">
        <v>406</v>
      </c>
      <c r="C11" s="184" t="s">
        <v>405</v>
      </c>
      <c r="M11" s="106">
        <v>1</v>
      </c>
      <c r="N11" s="12"/>
      <c r="O11" s="21">
        <v>0</v>
      </c>
      <c r="P11" s="15">
        <v>1</v>
      </c>
      <c r="Q11" s="81"/>
      <c r="R11" s="88"/>
      <c r="S11" s="88"/>
      <c r="T11" s="88"/>
      <c r="U11" s="88"/>
      <c r="V11" s="88"/>
      <c r="W11" s="88"/>
      <c r="X11" s="89"/>
      <c r="Z11" s="12"/>
      <c r="AA11" t="s">
        <v>409</v>
      </c>
      <c r="AE11" s="106">
        <v>1</v>
      </c>
      <c r="AF11" s="12"/>
      <c r="AG11" s="21">
        <v>0</v>
      </c>
      <c r="AH11" s="15">
        <v>1</v>
      </c>
      <c r="AI11" s="81"/>
      <c r="AJ11" s="88"/>
      <c r="AK11" s="88"/>
      <c r="AL11" s="88"/>
      <c r="AM11" s="88"/>
      <c r="AN11" s="88"/>
      <c r="AO11" s="88"/>
      <c r="AP11" s="89"/>
      <c r="AR11" s="12"/>
      <c r="AS11" t="s">
        <v>409</v>
      </c>
    </row>
    <row r="12" spans="1:47" ht="15.75" thickBot="1">
      <c r="B12" s="249">
        <v>-1200</v>
      </c>
      <c r="C12" s="229">
        <f>C6*B12/1000+C5/2</f>
        <v>0.98400000000000043</v>
      </c>
      <c r="N12" s="12"/>
      <c r="Q12" s="16" t="s">
        <v>15</v>
      </c>
      <c r="R12" s="17" t="s">
        <v>16</v>
      </c>
      <c r="S12" s="17" t="s">
        <v>17</v>
      </c>
      <c r="T12" s="17" t="s">
        <v>18</v>
      </c>
      <c r="U12" s="17" t="s">
        <v>19</v>
      </c>
      <c r="V12" s="17" t="s">
        <v>20</v>
      </c>
      <c r="W12" s="17" t="s">
        <v>21</v>
      </c>
      <c r="X12" s="18" t="s">
        <v>22</v>
      </c>
      <c r="Z12" s="12"/>
      <c r="AF12" s="12"/>
      <c r="AI12" s="16" t="s">
        <v>15</v>
      </c>
      <c r="AJ12" s="17" t="s">
        <v>16</v>
      </c>
      <c r="AK12" s="17" t="s">
        <v>17</v>
      </c>
      <c r="AL12" s="17" t="s">
        <v>18</v>
      </c>
      <c r="AM12" s="17" t="s">
        <v>19</v>
      </c>
      <c r="AN12" s="17" t="s">
        <v>20</v>
      </c>
      <c r="AO12" s="17" t="s">
        <v>21</v>
      </c>
      <c r="AP12" s="18" t="s">
        <v>22</v>
      </c>
      <c r="AR12" s="12"/>
    </row>
    <row r="13" spans="1:47" ht="15.75" thickBot="1">
      <c r="B13" s="249">
        <v>1200</v>
      </c>
      <c r="C13" s="229">
        <f>C6*B13/1000+C5/2</f>
        <v>5.016</v>
      </c>
      <c r="N13" s="10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0"/>
      <c r="AF13" s="10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0"/>
    </row>
    <row r="14" spans="1:47" ht="15.75" thickBot="1"/>
    <row r="15" spans="1:47" ht="19.5" thickBot="1">
      <c r="B15" s="1" t="s">
        <v>15</v>
      </c>
      <c r="C15" s="250">
        <f>LINEST(C12:C13,B12:B13,10)</f>
        <v>1.6799999999999996E-3</v>
      </c>
      <c r="N15" s="10"/>
      <c r="O15" s="403" t="s">
        <v>413</v>
      </c>
      <c r="P15" s="404"/>
      <c r="Q15" s="404"/>
      <c r="R15" s="404"/>
      <c r="S15" s="404"/>
      <c r="T15" s="404"/>
      <c r="U15" s="404"/>
      <c r="V15" s="404"/>
      <c r="W15" s="404"/>
      <c r="X15" s="404"/>
      <c r="Y15" s="405"/>
      <c r="Z15" s="10"/>
      <c r="AB15" s="291"/>
      <c r="AF15" s="10"/>
      <c r="AG15" s="403" t="s">
        <v>413</v>
      </c>
      <c r="AH15" s="404"/>
      <c r="AI15" s="404"/>
      <c r="AJ15" s="404"/>
      <c r="AK15" s="404"/>
      <c r="AL15" s="404"/>
      <c r="AM15" s="404"/>
      <c r="AN15" s="404"/>
      <c r="AO15" s="404"/>
      <c r="AP15" s="404"/>
      <c r="AQ15" s="405"/>
      <c r="AR15" s="10"/>
      <c r="AT15" s="291" t="s">
        <v>462</v>
      </c>
    </row>
    <row r="16" spans="1:47" ht="15.75" thickBot="1">
      <c r="B16" s="1" t="s">
        <v>16</v>
      </c>
      <c r="C16" s="250">
        <f>INTERCEPT(C12:C13,B12:B13)</f>
        <v>3</v>
      </c>
      <c r="N16" s="12"/>
      <c r="Q16" s="21">
        <v>0</v>
      </c>
      <c r="R16" s="21">
        <v>1</v>
      </c>
      <c r="S16" s="21">
        <v>2</v>
      </c>
      <c r="T16" s="21">
        <v>3</v>
      </c>
      <c r="U16" s="21">
        <v>4</v>
      </c>
      <c r="V16" s="21">
        <v>5</v>
      </c>
      <c r="W16" s="21">
        <v>6</v>
      </c>
      <c r="X16" s="21">
        <v>7</v>
      </c>
      <c r="Z16" s="12"/>
      <c r="AB16" s="251"/>
      <c r="AF16" s="12"/>
      <c r="AI16" s="21">
        <v>0</v>
      </c>
      <c r="AJ16" s="21">
        <v>1</v>
      </c>
      <c r="AK16" s="21">
        <v>2</v>
      </c>
      <c r="AL16" s="21">
        <v>3</v>
      </c>
      <c r="AM16" s="21">
        <v>4</v>
      </c>
      <c r="AN16" s="21">
        <v>5</v>
      </c>
      <c r="AO16" s="21">
        <v>6</v>
      </c>
      <c r="AP16" s="21">
        <v>7</v>
      </c>
      <c r="AR16" s="12"/>
      <c r="AT16" s="251"/>
    </row>
    <row r="17" spans="2:46">
      <c r="M17" s="19" t="s">
        <v>35</v>
      </c>
      <c r="N17" s="12"/>
      <c r="O17" s="21">
        <v>7</v>
      </c>
      <c r="P17" s="13">
        <v>8</v>
      </c>
      <c r="Q17" s="74">
        <v>531</v>
      </c>
      <c r="R17" s="84">
        <v>514</v>
      </c>
      <c r="S17" s="84">
        <v>533</v>
      </c>
      <c r="T17" s="84">
        <v>507</v>
      </c>
      <c r="U17" s="84">
        <v>509</v>
      </c>
      <c r="V17" s="84">
        <v>521</v>
      </c>
      <c r="W17" s="84">
        <v>515</v>
      </c>
      <c r="X17" s="85">
        <v>549</v>
      </c>
      <c r="Z17" s="12"/>
      <c r="AB17" s="251"/>
      <c r="AE17" s="19" t="s">
        <v>35</v>
      </c>
      <c r="AF17" s="12"/>
      <c r="AG17" s="21">
        <v>7</v>
      </c>
      <c r="AH17" s="13">
        <v>8</v>
      </c>
      <c r="AI17" s="74">
        <v>627</v>
      </c>
      <c r="AJ17" s="84">
        <v>643</v>
      </c>
      <c r="AK17" s="84">
        <v>642</v>
      </c>
      <c r="AL17" s="84">
        <v>622</v>
      </c>
      <c r="AM17" s="84">
        <v>633</v>
      </c>
      <c r="AN17" s="84">
        <v>653</v>
      </c>
      <c r="AO17" s="84">
        <v>643</v>
      </c>
      <c r="AP17" s="85">
        <v>648</v>
      </c>
      <c r="AR17" s="12"/>
      <c r="AT17" s="251"/>
    </row>
    <row r="18" spans="2:46" ht="15.75" thickBot="1">
      <c r="B18" s="1" t="s">
        <v>407</v>
      </c>
      <c r="C18" s="244">
        <v>1</v>
      </c>
      <c r="M18" s="20">
        <v>-1</v>
      </c>
      <c r="N18" s="12"/>
      <c r="O18" s="21">
        <v>6</v>
      </c>
      <c r="P18" s="14">
        <v>7</v>
      </c>
      <c r="Q18" s="77">
        <v>524</v>
      </c>
      <c r="R18" s="8">
        <v>545</v>
      </c>
      <c r="S18" s="8">
        <v>528</v>
      </c>
      <c r="T18" s="8">
        <v>515</v>
      </c>
      <c r="U18" s="8">
        <v>507</v>
      </c>
      <c r="V18" s="8">
        <v>525</v>
      </c>
      <c r="W18" s="8">
        <v>555</v>
      </c>
      <c r="X18" s="86">
        <v>517</v>
      </c>
      <c r="Z18" s="12"/>
      <c r="AB18" s="251"/>
      <c r="AE18" s="20">
        <v>-1</v>
      </c>
      <c r="AF18" s="12"/>
      <c r="AG18" s="21">
        <v>6</v>
      </c>
      <c r="AH18" s="14">
        <v>7</v>
      </c>
      <c r="AI18" s="77">
        <v>626</v>
      </c>
      <c r="AJ18" s="8">
        <v>649</v>
      </c>
      <c r="AK18" s="8">
        <v>631</v>
      </c>
      <c r="AL18" s="8">
        <v>639</v>
      </c>
      <c r="AM18" s="8">
        <v>631</v>
      </c>
      <c r="AN18" s="8">
        <v>638</v>
      </c>
      <c r="AO18" s="8">
        <v>610</v>
      </c>
      <c r="AP18" s="86">
        <v>643</v>
      </c>
      <c r="AR18" s="12"/>
      <c r="AT18" s="251"/>
    </row>
    <row r="19" spans="2:46">
      <c r="B19" s="1" t="s">
        <v>136</v>
      </c>
      <c r="C19" s="250">
        <f>C15*C18+C16</f>
        <v>3.0016799999999999</v>
      </c>
      <c r="I19" s="251"/>
      <c r="N19" s="12"/>
      <c r="O19" s="21">
        <v>5</v>
      </c>
      <c r="P19" s="14">
        <v>6</v>
      </c>
      <c r="Q19" s="23">
        <v>549</v>
      </c>
      <c r="R19" s="5">
        <v>540</v>
      </c>
      <c r="S19" s="5">
        <v>495</v>
      </c>
      <c r="T19" s="5">
        <v>531</v>
      </c>
      <c r="U19" s="5">
        <v>523</v>
      </c>
      <c r="V19" s="5">
        <v>570</v>
      </c>
      <c r="W19" s="5">
        <v>525</v>
      </c>
      <c r="X19" s="69">
        <v>553</v>
      </c>
      <c r="Z19" s="12"/>
      <c r="AB19" s="251"/>
      <c r="AF19" s="12"/>
      <c r="AG19" s="21">
        <v>5</v>
      </c>
      <c r="AH19" s="14">
        <v>6</v>
      </c>
      <c r="AI19" s="23">
        <v>640</v>
      </c>
      <c r="AJ19" s="5">
        <v>637</v>
      </c>
      <c r="AK19" s="5">
        <v>648</v>
      </c>
      <c r="AL19" s="5">
        <v>634</v>
      </c>
      <c r="AM19" s="5">
        <v>636</v>
      </c>
      <c r="AN19" s="5">
        <v>646</v>
      </c>
      <c r="AO19" s="5">
        <v>632</v>
      </c>
      <c r="AP19" s="69">
        <v>646</v>
      </c>
      <c r="AR19" s="12"/>
      <c r="AT19" s="251"/>
    </row>
    <row r="20" spans="2:46">
      <c r="I20" s="251"/>
      <c r="N20" s="12"/>
      <c r="O20" s="21">
        <v>4</v>
      </c>
      <c r="P20" s="14">
        <v>5</v>
      </c>
      <c r="Q20" s="252">
        <v>533</v>
      </c>
      <c r="R20" s="5">
        <v>532</v>
      </c>
      <c r="S20" s="5">
        <v>535</v>
      </c>
      <c r="T20" s="5">
        <v>526</v>
      </c>
      <c r="U20" s="5">
        <v>557</v>
      </c>
      <c r="V20" s="5">
        <v>525</v>
      </c>
      <c r="W20" s="5">
        <v>542</v>
      </c>
      <c r="X20" s="69">
        <v>538</v>
      </c>
      <c r="Z20" s="12"/>
      <c r="AB20" s="251"/>
      <c r="AF20" s="12"/>
      <c r="AG20" s="21">
        <v>4</v>
      </c>
      <c r="AH20" s="14">
        <v>5</v>
      </c>
      <c r="AI20" s="252">
        <v>611</v>
      </c>
      <c r="AJ20" s="5">
        <v>632</v>
      </c>
      <c r="AK20" s="5">
        <v>641</v>
      </c>
      <c r="AL20" s="5">
        <v>660</v>
      </c>
      <c r="AM20" s="5">
        <v>617</v>
      </c>
      <c r="AN20" s="5">
        <v>629</v>
      </c>
      <c r="AO20" s="5">
        <v>653</v>
      </c>
      <c r="AP20" s="69">
        <v>624</v>
      </c>
      <c r="AR20" s="12"/>
      <c r="AT20" s="251"/>
    </row>
    <row r="21" spans="2:46">
      <c r="I21" s="251"/>
      <c r="N21" s="12"/>
      <c r="O21" s="21">
        <v>3</v>
      </c>
      <c r="P21" s="14">
        <v>4</v>
      </c>
      <c r="Q21" s="23">
        <v>501</v>
      </c>
      <c r="R21" s="5">
        <v>546</v>
      </c>
      <c r="S21" s="5">
        <v>532</v>
      </c>
      <c r="T21" s="5">
        <v>584</v>
      </c>
      <c r="U21" s="5">
        <v>511</v>
      </c>
      <c r="V21" s="5">
        <v>526</v>
      </c>
      <c r="W21" s="5">
        <v>556</v>
      </c>
      <c r="X21" s="69">
        <v>510</v>
      </c>
      <c r="Z21" s="12"/>
      <c r="AB21" s="251"/>
      <c r="AF21" s="12"/>
      <c r="AG21" s="21">
        <v>3</v>
      </c>
      <c r="AH21" s="14">
        <v>4</v>
      </c>
      <c r="AI21" s="23">
        <v>607</v>
      </c>
      <c r="AJ21" s="5">
        <v>609</v>
      </c>
      <c r="AK21" s="5">
        <v>605</v>
      </c>
      <c r="AL21" s="5">
        <v>602</v>
      </c>
      <c r="AM21" s="5">
        <v>611</v>
      </c>
      <c r="AN21" s="5">
        <v>602</v>
      </c>
      <c r="AO21" s="5">
        <v>586</v>
      </c>
      <c r="AP21" s="69">
        <v>614</v>
      </c>
      <c r="AR21" s="12"/>
      <c r="AT21" s="251"/>
    </row>
    <row r="22" spans="2:46" ht="15.75" thickBot="1">
      <c r="I22" s="251"/>
      <c r="N22" s="12"/>
      <c r="O22" s="21">
        <v>2</v>
      </c>
      <c r="P22" s="14">
        <v>3</v>
      </c>
      <c r="Q22" s="23">
        <v>524</v>
      </c>
      <c r="R22" s="5">
        <v>529</v>
      </c>
      <c r="S22" s="5">
        <v>548</v>
      </c>
      <c r="T22" s="5">
        <v>552</v>
      </c>
      <c r="U22" s="5">
        <v>522</v>
      </c>
      <c r="V22" s="5">
        <v>560</v>
      </c>
      <c r="W22" s="5">
        <v>521</v>
      </c>
      <c r="X22" s="69">
        <v>556</v>
      </c>
      <c r="Z22" s="12"/>
      <c r="AB22" s="251"/>
      <c r="AF22" s="12"/>
      <c r="AG22" s="21">
        <v>2</v>
      </c>
      <c r="AH22" s="14">
        <v>3</v>
      </c>
      <c r="AI22" s="23">
        <v>599</v>
      </c>
      <c r="AJ22" s="5">
        <v>614</v>
      </c>
      <c r="AK22" s="5">
        <v>595</v>
      </c>
      <c r="AL22" s="5">
        <v>596</v>
      </c>
      <c r="AM22" s="5">
        <v>600</v>
      </c>
      <c r="AN22" s="5">
        <v>618</v>
      </c>
      <c r="AO22" s="5">
        <v>580</v>
      </c>
      <c r="AP22" s="69">
        <v>601</v>
      </c>
      <c r="AR22" s="12"/>
      <c r="AT22" s="251"/>
    </row>
    <row r="23" spans="2:46">
      <c r="I23" s="251"/>
      <c r="M23" s="104" t="s">
        <v>37</v>
      </c>
      <c r="N23" s="12"/>
      <c r="O23" s="21">
        <v>1</v>
      </c>
      <c r="P23" s="14">
        <v>2</v>
      </c>
      <c r="Q23" s="79">
        <v>528</v>
      </c>
      <c r="R23" s="6">
        <v>530</v>
      </c>
      <c r="S23" s="6">
        <v>507</v>
      </c>
      <c r="T23" s="6">
        <v>518</v>
      </c>
      <c r="U23" s="6">
        <v>505</v>
      </c>
      <c r="V23" s="6">
        <v>519</v>
      </c>
      <c r="W23" s="6">
        <v>486</v>
      </c>
      <c r="X23" s="87">
        <v>551</v>
      </c>
      <c r="Z23" s="12"/>
      <c r="AE23" s="104" t="s">
        <v>37</v>
      </c>
      <c r="AF23" s="12"/>
      <c r="AG23" s="21">
        <v>1</v>
      </c>
      <c r="AH23" s="14">
        <v>2</v>
      </c>
      <c r="AI23" s="79">
        <v>625</v>
      </c>
      <c r="AJ23" s="6">
        <v>619</v>
      </c>
      <c r="AK23" s="6">
        <v>630</v>
      </c>
      <c r="AL23" s="6">
        <v>619</v>
      </c>
      <c r="AM23" s="6">
        <v>602</v>
      </c>
      <c r="AN23" s="6">
        <v>614</v>
      </c>
      <c r="AO23" s="6">
        <v>616</v>
      </c>
      <c r="AP23" s="87">
        <v>617</v>
      </c>
      <c r="AR23" s="12"/>
      <c r="AT23" s="251"/>
    </row>
    <row r="24" spans="2:46" ht="15.75" thickBot="1">
      <c r="I24" s="251"/>
      <c r="M24" s="106">
        <v>1</v>
      </c>
      <c r="N24" s="12"/>
      <c r="O24" s="21">
        <v>0</v>
      </c>
      <c r="P24" s="15">
        <v>1</v>
      </c>
      <c r="Q24" s="81">
        <v>512</v>
      </c>
      <c r="R24" s="88">
        <v>516</v>
      </c>
      <c r="S24" s="88">
        <v>548</v>
      </c>
      <c r="T24" s="88">
        <v>515</v>
      </c>
      <c r="U24" s="88">
        <v>546</v>
      </c>
      <c r="V24" s="88">
        <v>526</v>
      </c>
      <c r="W24" s="88">
        <v>546</v>
      </c>
      <c r="X24" s="89">
        <v>524</v>
      </c>
      <c r="Z24" s="12"/>
      <c r="AA24" t="s">
        <v>408</v>
      </c>
      <c r="AE24" s="106">
        <v>1</v>
      </c>
      <c r="AF24" s="12"/>
      <c r="AG24" s="21">
        <v>0</v>
      </c>
      <c r="AH24" s="15">
        <v>1</v>
      </c>
      <c r="AI24" s="81">
        <v>599</v>
      </c>
      <c r="AJ24" s="88">
        <v>611</v>
      </c>
      <c r="AK24" s="88">
        <v>608</v>
      </c>
      <c r="AL24" s="88">
        <v>599</v>
      </c>
      <c r="AM24" s="88">
        <v>611</v>
      </c>
      <c r="AN24" s="88">
        <v>613</v>
      </c>
      <c r="AO24" s="88">
        <v>615</v>
      </c>
      <c r="AP24" s="89">
        <v>618</v>
      </c>
      <c r="AR24" s="12"/>
      <c r="AS24" t="s">
        <v>408</v>
      </c>
    </row>
    <row r="25" spans="2:46" ht="15.75" thickBot="1">
      <c r="I25" s="251"/>
      <c r="N25" s="12"/>
      <c r="Q25" s="16" t="s">
        <v>15</v>
      </c>
      <c r="R25" s="17" t="s">
        <v>16</v>
      </c>
      <c r="S25" s="17" t="s">
        <v>17</v>
      </c>
      <c r="T25" s="17" t="s">
        <v>18</v>
      </c>
      <c r="U25" s="17" t="s">
        <v>19</v>
      </c>
      <c r="V25" s="17" t="s">
        <v>20</v>
      </c>
      <c r="W25" s="17" t="s">
        <v>21</v>
      </c>
      <c r="X25" s="18" t="s">
        <v>22</v>
      </c>
      <c r="Z25" s="12"/>
      <c r="AF25" s="12"/>
      <c r="AI25" s="16" t="s">
        <v>15</v>
      </c>
      <c r="AJ25" s="17" t="s">
        <v>16</v>
      </c>
      <c r="AK25" s="17" t="s">
        <v>17</v>
      </c>
      <c r="AL25" s="17" t="s">
        <v>18</v>
      </c>
      <c r="AM25" s="17" t="s">
        <v>19</v>
      </c>
      <c r="AN25" s="17" t="s">
        <v>20</v>
      </c>
      <c r="AO25" s="17" t="s">
        <v>21</v>
      </c>
      <c r="AP25" s="18" t="s">
        <v>22</v>
      </c>
      <c r="AR25" s="12"/>
    </row>
    <row r="26" spans="2:46" ht="15.75" thickBot="1">
      <c r="I26" s="251"/>
      <c r="N26" s="10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"/>
      <c r="AF26" s="10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0"/>
    </row>
    <row r="27" spans="2:46" ht="15.75" thickBot="1"/>
    <row r="28" spans="2:46" ht="19.5" thickBot="1">
      <c r="N28" s="10"/>
      <c r="O28" s="403" t="s">
        <v>412</v>
      </c>
      <c r="P28" s="404"/>
      <c r="Q28" s="404"/>
      <c r="R28" s="404"/>
      <c r="S28" s="404"/>
      <c r="T28" s="404"/>
      <c r="U28" s="404"/>
      <c r="V28" s="404"/>
      <c r="W28" s="404"/>
      <c r="X28" s="404"/>
      <c r="Y28" s="405"/>
      <c r="Z28" s="10"/>
      <c r="AF28" s="10"/>
      <c r="AG28" s="403" t="s">
        <v>412</v>
      </c>
      <c r="AH28" s="404"/>
      <c r="AI28" s="404"/>
      <c r="AJ28" s="404"/>
      <c r="AK28" s="404"/>
      <c r="AL28" s="404"/>
      <c r="AM28" s="404"/>
      <c r="AN28" s="404"/>
      <c r="AO28" s="404"/>
      <c r="AP28" s="404"/>
      <c r="AQ28" s="405"/>
      <c r="AR28" s="10"/>
    </row>
    <row r="29" spans="2:46" ht="15.75" thickBot="1">
      <c r="N29" s="12"/>
      <c r="Q29" s="21">
        <v>0</v>
      </c>
      <c r="R29" s="21">
        <v>1</v>
      </c>
      <c r="S29" s="21">
        <v>2</v>
      </c>
      <c r="T29" s="21">
        <v>3</v>
      </c>
      <c r="U29" s="21">
        <v>4</v>
      </c>
      <c r="V29" s="21">
        <v>5</v>
      </c>
      <c r="W29" s="21">
        <v>6</v>
      </c>
      <c r="X29" s="21">
        <v>7</v>
      </c>
      <c r="Z29" s="12"/>
      <c r="AF29" s="12"/>
      <c r="AI29" s="21">
        <v>0</v>
      </c>
      <c r="AJ29" s="21">
        <v>1</v>
      </c>
      <c r="AK29" s="21">
        <v>2</v>
      </c>
      <c r="AL29" s="21">
        <v>3</v>
      </c>
      <c r="AM29" s="21">
        <v>4</v>
      </c>
      <c r="AN29" s="21">
        <v>5</v>
      </c>
      <c r="AO29" s="21">
        <v>6</v>
      </c>
      <c r="AP29" s="21">
        <v>7</v>
      </c>
      <c r="AR29" s="12"/>
    </row>
    <row r="30" spans="2:46">
      <c r="M30" s="19" t="s">
        <v>35</v>
      </c>
      <c r="N30" s="12"/>
      <c r="O30" s="21">
        <v>7</v>
      </c>
      <c r="P30" s="13">
        <v>8</v>
      </c>
      <c r="Q30" s="74"/>
      <c r="R30" s="84"/>
      <c r="S30" s="84"/>
      <c r="T30" s="84"/>
      <c r="U30" s="84"/>
      <c r="V30" s="84"/>
      <c r="W30" s="84"/>
      <c r="X30" s="85"/>
      <c r="Z30" s="12"/>
      <c r="AE30" s="19" t="s">
        <v>35</v>
      </c>
      <c r="AF30" s="12"/>
      <c r="AG30" s="21">
        <v>7</v>
      </c>
      <c r="AH30" s="13">
        <v>8</v>
      </c>
      <c r="AI30" s="74"/>
      <c r="AJ30" s="84"/>
      <c r="AK30" s="84"/>
      <c r="AL30" s="84"/>
      <c r="AM30" s="84"/>
      <c r="AN30" s="84"/>
      <c r="AO30" s="84"/>
      <c r="AP30" s="85"/>
      <c r="AR30" s="12"/>
    </row>
    <row r="31" spans="2:46" ht="15.75" thickBot="1">
      <c r="M31" s="20">
        <v>-1</v>
      </c>
      <c r="N31" s="12"/>
      <c r="O31" s="21">
        <v>6</v>
      </c>
      <c r="P31" s="14">
        <v>7</v>
      </c>
      <c r="Q31" s="77"/>
      <c r="R31" s="8"/>
      <c r="S31" s="8"/>
      <c r="T31" s="8"/>
      <c r="U31" s="8"/>
      <c r="V31" s="8"/>
      <c r="W31" s="8"/>
      <c r="X31" s="86"/>
      <c r="Z31" s="12"/>
      <c r="AE31" s="20">
        <v>-1</v>
      </c>
      <c r="AF31" s="12"/>
      <c r="AG31" s="21">
        <v>6</v>
      </c>
      <c r="AH31" s="14">
        <v>7</v>
      </c>
      <c r="AI31" s="77"/>
      <c r="AJ31" s="8"/>
      <c r="AK31" s="8"/>
      <c r="AL31" s="8"/>
      <c r="AM31" s="8"/>
      <c r="AN31" s="8"/>
      <c r="AO31" s="8"/>
      <c r="AP31" s="86"/>
      <c r="AR31" s="12"/>
    </row>
    <row r="32" spans="2:46">
      <c r="N32" s="12"/>
      <c r="O32" s="21">
        <v>5</v>
      </c>
      <c r="P32" s="14">
        <v>6</v>
      </c>
      <c r="Q32" s="23"/>
      <c r="R32" s="5"/>
      <c r="S32" s="5"/>
      <c r="T32" s="5"/>
      <c r="U32" s="5"/>
      <c r="V32" s="5"/>
      <c r="W32" s="5"/>
      <c r="X32" s="69"/>
      <c r="Z32" s="12"/>
      <c r="AF32" s="12"/>
      <c r="AG32" s="21">
        <v>5</v>
      </c>
      <c r="AH32" s="14">
        <v>6</v>
      </c>
      <c r="AI32" s="23"/>
      <c r="AJ32" s="5"/>
      <c r="AK32" s="5"/>
      <c r="AL32" s="5"/>
      <c r="AM32" s="5"/>
      <c r="AN32" s="5"/>
      <c r="AO32" s="5"/>
      <c r="AP32" s="69"/>
      <c r="AR32" s="12"/>
    </row>
    <row r="33" spans="13:45">
      <c r="N33" s="12"/>
      <c r="O33" s="21">
        <v>4</v>
      </c>
      <c r="P33" s="14">
        <v>5</v>
      </c>
      <c r="Q33" s="23"/>
      <c r="R33" s="5"/>
      <c r="S33" s="5"/>
      <c r="T33" s="5"/>
      <c r="U33" s="5"/>
      <c r="V33" s="5"/>
      <c r="W33" s="5"/>
      <c r="X33" s="69"/>
      <c r="Z33" s="12"/>
      <c r="AF33" s="12"/>
      <c r="AG33" s="21">
        <v>4</v>
      </c>
      <c r="AH33" s="14">
        <v>5</v>
      </c>
      <c r="AI33" s="23"/>
      <c r="AJ33" s="5"/>
      <c r="AK33" s="5"/>
      <c r="AL33" s="5"/>
      <c r="AM33" s="5"/>
      <c r="AN33" s="5"/>
      <c r="AO33" s="5"/>
      <c r="AP33" s="69"/>
      <c r="AR33" s="12"/>
    </row>
    <row r="34" spans="13:45">
      <c r="N34" s="12"/>
      <c r="O34" s="21">
        <v>3</v>
      </c>
      <c r="P34" s="14">
        <v>4</v>
      </c>
      <c r="Q34" s="23"/>
      <c r="R34" s="5"/>
      <c r="S34" s="5"/>
      <c r="T34" s="5"/>
      <c r="U34" s="5"/>
      <c r="V34" s="5"/>
      <c r="W34" s="5"/>
      <c r="X34" s="69"/>
      <c r="Z34" s="12"/>
      <c r="AF34" s="12"/>
      <c r="AG34" s="21">
        <v>3</v>
      </c>
      <c r="AH34" s="14">
        <v>4</v>
      </c>
      <c r="AI34" s="23"/>
      <c r="AJ34" s="5"/>
      <c r="AK34" s="5"/>
      <c r="AL34" s="5"/>
      <c r="AM34" s="5"/>
      <c r="AN34" s="5"/>
      <c r="AO34" s="5"/>
      <c r="AP34" s="69"/>
      <c r="AR34" s="12"/>
    </row>
    <row r="35" spans="13:45" ht="15.75" thickBot="1">
      <c r="N35" s="12"/>
      <c r="O35" s="21">
        <v>2</v>
      </c>
      <c r="P35" s="14">
        <v>3</v>
      </c>
      <c r="Q35" s="23"/>
      <c r="R35" s="5"/>
      <c r="S35" s="5"/>
      <c r="T35" s="5"/>
      <c r="U35" s="5"/>
      <c r="V35" s="5"/>
      <c r="W35" s="5"/>
      <c r="X35" s="69"/>
      <c r="Z35" s="12"/>
      <c r="AF35" s="12"/>
      <c r="AG35" s="21">
        <v>2</v>
      </c>
      <c r="AH35" s="14">
        <v>3</v>
      </c>
      <c r="AI35" s="23"/>
      <c r="AJ35" s="5"/>
      <c r="AK35" s="5"/>
      <c r="AL35" s="5"/>
      <c r="AM35" s="5"/>
      <c r="AN35" s="5"/>
      <c r="AO35" s="5"/>
      <c r="AP35" s="69"/>
      <c r="AR35" s="12"/>
    </row>
    <row r="36" spans="13:45">
      <c r="M36" s="104" t="s">
        <v>37</v>
      </c>
      <c r="N36" s="12"/>
      <c r="O36" s="21">
        <v>1</v>
      </c>
      <c r="P36" s="14">
        <v>2</v>
      </c>
      <c r="Q36" s="79"/>
      <c r="R36" s="6"/>
      <c r="S36" s="6"/>
      <c r="T36" s="6"/>
      <c r="U36" s="6"/>
      <c r="V36" s="6"/>
      <c r="W36" s="6"/>
      <c r="X36" s="87"/>
      <c r="Z36" s="12"/>
      <c r="AE36" s="104" t="s">
        <v>37</v>
      </c>
      <c r="AF36" s="12"/>
      <c r="AG36" s="21">
        <v>1</v>
      </c>
      <c r="AH36" s="14">
        <v>2</v>
      </c>
      <c r="AI36" s="79"/>
      <c r="AJ36" s="6"/>
      <c r="AK36" s="6"/>
      <c r="AL36" s="6"/>
      <c r="AM36" s="6"/>
      <c r="AN36" s="6"/>
      <c r="AO36" s="6"/>
      <c r="AP36" s="87"/>
      <c r="AR36" s="12"/>
    </row>
    <row r="37" spans="13:45" ht="15.75" thickBot="1">
      <c r="M37" s="106">
        <v>1</v>
      </c>
      <c r="N37" s="12"/>
      <c r="O37" s="21">
        <v>0</v>
      </c>
      <c r="P37" s="15">
        <v>1</v>
      </c>
      <c r="Q37" s="81"/>
      <c r="R37" s="88"/>
      <c r="S37" s="88"/>
      <c r="T37" s="88"/>
      <c r="U37" s="88"/>
      <c r="V37" s="88"/>
      <c r="W37" s="88"/>
      <c r="X37" s="89"/>
      <c r="Z37" s="12"/>
      <c r="AA37" t="s">
        <v>410</v>
      </c>
      <c r="AE37" s="106">
        <v>1</v>
      </c>
      <c r="AF37" s="12"/>
      <c r="AG37" s="21">
        <v>0</v>
      </c>
      <c r="AH37" s="15">
        <v>1</v>
      </c>
      <c r="AI37" s="81"/>
      <c r="AJ37" s="88"/>
      <c r="AK37" s="88"/>
      <c r="AL37" s="88"/>
      <c r="AM37" s="88"/>
      <c r="AN37" s="88"/>
      <c r="AO37" s="88"/>
      <c r="AP37" s="89"/>
      <c r="AR37" s="12"/>
      <c r="AS37" t="s">
        <v>410</v>
      </c>
    </row>
    <row r="38" spans="13:45" ht="15.75" thickBot="1">
      <c r="N38" s="12"/>
      <c r="Q38" s="16" t="s">
        <v>15</v>
      </c>
      <c r="R38" s="17" t="s">
        <v>16</v>
      </c>
      <c r="S38" s="17" t="s">
        <v>17</v>
      </c>
      <c r="T38" s="17" t="s">
        <v>18</v>
      </c>
      <c r="U38" s="17" t="s">
        <v>19</v>
      </c>
      <c r="V38" s="17" t="s">
        <v>20</v>
      </c>
      <c r="W38" s="17" t="s">
        <v>21</v>
      </c>
      <c r="X38" s="18" t="s">
        <v>22</v>
      </c>
      <c r="Z38" s="12"/>
      <c r="AF38" s="12"/>
      <c r="AI38" s="16" t="s">
        <v>15</v>
      </c>
      <c r="AJ38" s="17" t="s">
        <v>16</v>
      </c>
      <c r="AK38" s="17" t="s">
        <v>17</v>
      </c>
      <c r="AL38" s="17" t="s">
        <v>18</v>
      </c>
      <c r="AM38" s="17" t="s">
        <v>19</v>
      </c>
      <c r="AN38" s="17" t="s">
        <v>20</v>
      </c>
      <c r="AO38" s="17" t="s">
        <v>21</v>
      </c>
      <c r="AP38" s="18" t="s">
        <v>22</v>
      </c>
      <c r="AR38" s="12"/>
    </row>
    <row r="39" spans="13:45" ht="15.75" thickBot="1">
      <c r="N39" s="10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0"/>
      <c r="AF39" s="10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0"/>
    </row>
  </sheetData>
  <mergeCells count="9">
    <mergeCell ref="B10:C10"/>
    <mergeCell ref="N1:Z1"/>
    <mergeCell ref="AF1:AR1"/>
    <mergeCell ref="AG2:AQ2"/>
    <mergeCell ref="AG15:AQ15"/>
    <mergeCell ref="AG28:AQ28"/>
    <mergeCell ref="O2:Y2"/>
    <mergeCell ref="O15:Y15"/>
    <mergeCell ref="O28:Y2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8654-8BCE-4282-B680-8904A15D7D68}">
  <dimension ref="B1:BF71"/>
  <sheetViews>
    <sheetView showGridLines="0" topLeftCell="AN1" zoomScale="70" zoomScaleNormal="70" workbookViewId="0">
      <selection activeCell="AX12" sqref="AX12"/>
    </sheetView>
  </sheetViews>
  <sheetFormatPr baseColWidth="10" defaultRowHeight="15"/>
  <cols>
    <col min="3" max="15" width="5.7109375" customWidth="1"/>
    <col min="16" max="16" width="15.7109375" customWidth="1"/>
    <col min="18" max="18" width="17.85546875" customWidth="1"/>
    <col min="21" max="33" width="5.7109375" customWidth="1"/>
    <col min="36" max="36" width="18.140625" customWidth="1"/>
  </cols>
  <sheetData>
    <row r="1" spans="2:58">
      <c r="B1" t="s">
        <v>458</v>
      </c>
    </row>
    <row r="2" spans="2:58">
      <c r="B2" t="s">
        <v>459</v>
      </c>
    </row>
    <row r="3" spans="2:58" ht="15.75" thickBot="1">
      <c r="B3" t="s">
        <v>460</v>
      </c>
    </row>
    <row r="4" spans="2:58" ht="15.75" thickBot="1">
      <c r="AP4" s="415" t="s">
        <v>473</v>
      </c>
      <c r="AQ4" s="416"/>
      <c r="AR4" s="416"/>
      <c r="AS4" s="416"/>
      <c r="AT4" s="417"/>
    </row>
    <row r="5" spans="2:58">
      <c r="B5" t="s">
        <v>461</v>
      </c>
      <c r="AP5" s="292"/>
      <c r="AQ5" s="418" t="s">
        <v>474</v>
      </c>
      <c r="AR5" s="419"/>
      <c r="AS5" s="418" t="s">
        <v>475</v>
      </c>
      <c r="AT5" s="419"/>
    </row>
    <row r="6" spans="2:58" ht="15.75" thickBot="1">
      <c r="C6" s="210"/>
      <c r="AP6" s="293" t="s">
        <v>476</v>
      </c>
      <c r="AQ6" s="190" t="s">
        <v>465</v>
      </c>
      <c r="AR6" s="192" t="s">
        <v>140</v>
      </c>
      <c r="AS6" s="190" t="s">
        <v>465</v>
      </c>
      <c r="AT6" s="192" t="s">
        <v>140</v>
      </c>
    </row>
    <row r="7" spans="2:58" ht="15.75" thickTop="1">
      <c r="B7" s="107"/>
      <c r="C7" s="102" t="s">
        <v>129</v>
      </c>
      <c r="D7" s="103"/>
      <c r="E7" s="103"/>
      <c r="F7" s="103"/>
      <c r="G7" s="102" t="s">
        <v>130</v>
      </c>
      <c r="H7" s="102" t="s">
        <v>131</v>
      </c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9"/>
      <c r="T7" s="107"/>
      <c r="U7" s="102" t="s">
        <v>129</v>
      </c>
      <c r="V7" s="103"/>
      <c r="W7" s="103"/>
      <c r="X7" s="103"/>
      <c r="Y7" s="102" t="s">
        <v>131</v>
      </c>
      <c r="Z7" s="102" t="s">
        <v>130</v>
      </c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9"/>
      <c r="AP7" s="306" t="s">
        <v>464</v>
      </c>
      <c r="AQ7" s="294">
        <v>1</v>
      </c>
      <c r="AR7" s="302">
        <v>0</v>
      </c>
      <c r="AS7" s="294">
        <v>1</v>
      </c>
      <c r="AT7" s="295">
        <v>1</v>
      </c>
      <c r="AV7" t="s">
        <v>477</v>
      </c>
    </row>
    <row r="8" spans="2:58" ht="15.75" thickBot="1">
      <c r="B8" s="110"/>
      <c r="S8" s="111"/>
      <c r="T8" s="110"/>
      <c r="AK8" s="111"/>
      <c r="AP8" s="307" t="s">
        <v>466</v>
      </c>
      <c r="AQ8" s="296">
        <v>0</v>
      </c>
      <c r="AR8" s="303">
        <v>1</v>
      </c>
      <c r="AS8" s="296">
        <v>1</v>
      </c>
      <c r="AT8" s="297">
        <v>1</v>
      </c>
      <c r="AV8" t="s">
        <v>478</v>
      </c>
      <c r="BF8" s="264"/>
    </row>
    <row r="9" spans="2:58" ht="30" customHeight="1" thickBot="1">
      <c r="B9" s="110"/>
      <c r="C9" s="10"/>
      <c r="D9" s="403" t="s">
        <v>128</v>
      </c>
      <c r="E9" s="404"/>
      <c r="F9" s="404"/>
      <c r="G9" s="404"/>
      <c r="H9" s="404"/>
      <c r="I9" s="404"/>
      <c r="J9" s="404"/>
      <c r="K9" s="404"/>
      <c r="L9" s="404"/>
      <c r="M9" s="404"/>
      <c r="N9" s="405"/>
      <c r="O9" s="10"/>
      <c r="P9" s="19" t="s">
        <v>111</v>
      </c>
      <c r="R9" s="420" t="s">
        <v>30</v>
      </c>
      <c r="S9" s="111"/>
      <c r="T9" s="110"/>
      <c r="U9" s="10"/>
      <c r="V9" s="403" t="s">
        <v>128</v>
      </c>
      <c r="W9" s="404"/>
      <c r="X9" s="404"/>
      <c r="Y9" s="404"/>
      <c r="Z9" s="404"/>
      <c r="AA9" s="404"/>
      <c r="AB9" s="404"/>
      <c r="AC9" s="404"/>
      <c r="AD9" s="404"/>
      <c r="AE9" s="404"/>
      <c r="AF9" s="405"/>
      <c r="AG9" s="10"/>
      <c r="AH9" s="19" t="s">
        <v>111</v>
      </c>
      <c r="AJ9" s="420" t="s">
        <v>30</v>
      </c>
      <c r="AK9" s="111"/>
      <c r="AP9" s="306" t="s">
        <v>467</v>
      </c>
      <c r="AQ9" s="294">
        <v>0</v>
      </c>
      <c r="AR9" s="302">
        <v>0</v>
      </c>
      <c r="AS9" s="294">
        <v>1</v>
      </c>
      <c r="AT9" s="295">
        <v>1</v>
      </c>
      <c r="AV9" t="s">
        <v>479</v>
      </c>
      <c r="BF9" s="264"/>
    </row>
    <row r="10" spans="2:58" ht="30" customHeight="1" thickBot="1">
      <c r="B10" s="110"/>
      <c r="C10" s="12"/>
      <c r="G10" s="51"/>
      <c r="O10" s="12"/>
      <c r="P10" s="59" t="s">
        <v>457</v>
      </c>
      <c r="Q10" s="60" t="s">
        <v>125</v>
      </c>
      <c r="R10" s="421"/>
      <c r="S10" s="111"/>
      <c r="T10" s="110"/>
      <c r="U10" s="12"/>
      <c r="AD10" s="51"/>
      <c r="AG10" s="12"/>
      <c r="AH10" s="59" t="s">
        <v>457</v>
      </c>
      <c r="AI10" s="60" t="s">
        <v>126</v>
      </c>
      <c r="AJ10" s="421"/>
      <c r="AK10" s="111"/>
      <c r="AP10" s="307" t="s">
        <v>468</v>
      </c>
      <c r="AQ10" s="296">
        <v>1</v>
      </c>
      <c r="AR10" s="303">
        <v>1</v>
      </c>
      <c r="AS10" s="296">
        <v>1</v>
      </c>
      <c r="AT10" s="297">
        <v>1</v>
      </c>
      <c r="AV10" t="s">
        <v>480</v>
      </c>
      <c r="BF10" s="264"/>
    </row>
    <row r="11" spans="2:58" ht="30" customHeight="1" thickBot="1">
      <c r="B11" s="110"/>
      <c r="C11" s="12"/>
      <c r="E11" s="13">
        <v>8</v>
      </c>
      <c r="F11" s="63"/>
      <c r="G11" s="64"/>
      <c r="H11" s="65"/>
      <c r="I11" s="66"/>
      <c r="J11" s="66"/>
      <c r="K11" s="66"/>
      <c r="L11" s="66"/>
      <c r="M11" s="67"/>
      <c r="O11" s="12"/>
      <c r="P11" s="20"/>
      <c r="R11" s="422"/>
      <c r="S11" s="111"/>
      <c r="T11" s="110"/>
      <c r="U11" s="12"/>
      <c r="W11" s="13">
        <v>8</v>
      </c>
      <c r="X11" s="115"/>
      <c r="Y11" s="65"/>
      <c r="Z11" s="65"/>
      <c r="AA11" s="66"/>
      <c r="AB11" s="66"/>
      <c r="AC11" s="66"/>
      <c r="AD11" s="64"/>
      <c r="AE11" s="67"/>
      <c r="AG11" s="12"/>
      <c r="AH11" s="20"/>
      <c r="AJ11" s="422"/>
      <c r="AK11" s="111"/>
      <c r="AP11" s="308" t="s">
        <v>469</v>
      </c>
      <c r="AQ11" s="298">
        <v>0</v>
      </c>
      <c r="AR11" s="304">
        <v>0</v>
      </c>
      <c r="AS11" s="298">
        <v>0</v>
      </c>
      <c r="AT11" s="299">
        <v>1</v>
      </c>
      <c r="BF11" s="264"/>
    </row>
    <row r="12" spans="2:58" ht="30" customHeight="1">
      <c r="B12" s="110"/>
      <c r="C12" s="12"/>
      <c r="E12" s="14">
        <v>7</v>
      </c>
      <c r="F12" s="68"/>
      <c r="G12" s="52"/>
      <c r="H12" s="5"/>
      <c r="I12" s="62"/>
      <c r="J12" s="62"/>
      <c r="K12" s="62"/>
      <c r="L12" s="62"/>
      <c r="M12" s="24"/>
      <c r="O12" s="12"/>
      <c r="S12" s="111"/>
      <c r="T12" s="110"/>
      <c r="U12" s="12"/>
      <c r="W12" s="14">
        <v>7</v>
      </c>
      <c r="X12" s="23"/>
      <c r="Y12" s="5"/>
      <c r="Z12" s="5"/>
      <c r="AA12" s="62"/>
      <c r="AB12" s="62"/>
      <c r="AC12" s="62"/>
      <c r="AD12" s="52"/>
      <c r="AE12" s="24"/>
      <c r="AG12" s="12"/>
      <c r="AK12" s="111"/>
      <c r="AP12" s="309" t="s">
        <v>470</v>
      </c>
      <c r="AQ12" s="300">
        <v>0</v>
      </c>
      <c r="AR12" s="305">
        <v>1</v>
      </c>
      <c r="AS12" s="300">
        <v>0</v>
      </c>
      <c r="AT12" s="301">
        <v>1</v>
      </c>
      <c r="BF12" s="264"/>
    </row>
    <row r="13" spans="2:58" ht="30" customHeight="1">
      <c r="B13" s="110"/>
      <c r="C13" s="12"/>
      <c r="E13" s="14">
        <v>6</v>
      </c>
      <c r="F13" s="68"/>
      <c r="G13" s="52"/>
      <c r="H13" s="5"/>
      <c r="I13" s="5"/>
      <c r="J13" s="5"/>
      <c r="K13" s="5"/>
      <c r="L13" s="5"/>
      <c r="M13" s="69"/>
      <c r="O13" s="12"/>
      <c r="S13" s="111"/>
      <c r="T13" s="110"/>
      <c r="U13" s="12"/>
      <c r="W13" s="14">
        <v>6</v>
      </c>
      <c r="X13" s="23"/>
      <c r="Y13" s="5"/>
      <c r="Z13" s="5"/>
      <c r="AA13" s="5"/>
      <c r="AB13" s="5"/>
      <c r="AC13" s="5"/>
      <c r="AD13" s="52"/>
      <c r="AE13" s="69"/>
      <c r="AG13" s="12"/>
      <c r="AK13" s="111"/>
      <c r="AP13" s="309" t="s">
        <v>471</v>
      </c>
      <c r="AQ13" s="300">
        <v>1</v>
      </c>
      <c r="AR13" s="305">
        <v>0</v>
      </c>
      <c r="AS13" s="300">
        <v>1</v>
      </c>
      <c r="AT13" s="301">
        <v>0</v>
      </c>
      <c r="BF13" s="264"/>
    </row>
    <row r="14" spans="2:58" ht="30" customHeight="1" thickBot="1">
      <c r="B14" s="110"/>
      <c r="C14" s="12"/>
      <c r="E14" s="14">
        <v>5</v>
      </c>
      <c r="F14" s="68"/>
      <c r="G14" s="52"/>
      <c r="H14" s="5"/>
      <c r="I14" s="5"/>
      <c r="J14" s="5"/>
      <c r="K14" s="5"/>
      <c r="L14" s="5"/>
      <c r="M14" s="69"/>
      <c r="O14" s="12"/>
      <c r="S14" s="111"/>
      <c r="T14" s="110"/>
      <c r="U14" s="12"/>
      <c r="W14" s="14">
        <v>5</v>
      </c>
      <c r="X14" s="23"/>
      <c r="Y14" s="5"/>
      <c r="Z14" s="5"/>
      <c r="AA14" s="5"/>
      <c r="AB14" s="5"/>
      <c r="AC14" s="5"/>
      <c r="AD14" s="52"/>
      <c r="AE14" s="69"/>
      <c r="AG14" s="12"/>
      <c r="AK14" s="111"/>
      <c r="AP14" s="307" t="s">
        <v>472</v>
      </c>
      <c r="AQ14" s="296">
        <v>0</v>
      </c>
      <c r="AR14" s="303">
        <v>0</v>
      </c>
      <c r="AS14" s="296">
        <v>1</v>
      </c>
      <c r="AT14" s="297">
        <v>0</v>
      </c>
    </row>
    <row r="15" spans="2:58" ht="30" customHeight="1">
      <c r="B15" s="110"/>
      <c r="C15" s="12"/>
      <c r="E15" s="14">
        <v>4</v>
      </c>
      <c r="F15" s="68"/>
      <c r="G15" s="55" t="s">
        <v>127</v>
      </c>
      <c r="H15" s="5"/>
      <c r="I15" s="5"/>
      <c r="J15" s="5"/>
      <c r="K15" s="5"/>
      <c r="L15" s="56"/>
      <c r="M15" s="69"/>
      <c r="O15" s="12"/>
      <c r="S15" s="111"/>
      <c r="T15" s="110"/>
      <c r="U15" s="12"/>
      <c r="W15" s="14">
        <v>4</v>
      </c>
      <c r="X15" s="23"/>
      <c r="Y15" s="56"/>
      <c r="Z15" s="5"/>
      <c r="AA15" s="5"/>
      <c r="AB15" s="5"/>
      <c r="AC15" s="5"/>
      <c r="AD15" s="55" t="s">
        <v>134</v>
      </c>
      <c r="AE15" s="69"/>
      <c r="AG15" s="12"/>
      <c r="AK15" s="111"/>
    </row>
    <row r="16" spans="2:58" ht="30" customHeight="1">
      <c r="B16" s="110"/>
      <c r="C16" s="12"/>
      <c r="E16" s="14">
        <v>3</v>
      </c>
      <c r="F16" s="68"/>
      <c r="G16" s="52"/>
      <c r="H16" s="5"/>
      <c r="I16" s="5"/>
      <c r="J16" s="5"/>
      <c r="K16" s="5"/>
      <c r="L16" s="5"/>
      <c r="M16" s="69"/>
      <c r="O16" s="12"/>
      <c r="S16" s="111"/>
      <c r="T16" s="110"/>
      <c r="U16" s="12"/>
      <c r="W16" s="14">
        <v>3</v>
      </c>
      <c r="X16" s="23"/>
      <c r="Y16" s="5"/>
      <c r="Z16" s="5"/>
      <c r="AA16" s="5"/>
      <c r="AB16" s="5"/>
      <c r="AC16" s="5"/>
      <c r="AD16" s="52"/>
      <c r="AE16" s="69"/>
      <c r="AG16" s="12"/>
      <c r="AK16" s="111"/>
    </row>
    <row r="17" spans="2:37" ht="30" customHeight="1">
      <c r="B17" s="110"/>
      <c r="C17" s="12"/>
      <c r="E17" s="14">
        <v>2</v>
      </c>
      <c r="F17" s="68"/>
      <c r="G17" s="52"/>
      <c r="H17" s="5"/>
      <c r="I17" s="62"/>
      <c r="J17" s="62"/>
      <c r="K17" s="62"/>
      <c r="L17" s="62"/>
      <c r="M17" s="24"/>
      <c r="O17" s="12"/>
      <c r="S17" s="111"/>
      <c r="T17" s="110"/>
      <c r="U17" s="12"/>
      <c r="W17" s="14">
        <v>2</v>
      </c>
      <c r="X17" s="23"/>
      <c r="Y17" s="5"/>
      <c r="Z17" s="5"/>
      <c r="AA17" s="62"/>
      <c r="AB17" s="62"/>
      <c r="AC17" s="62"/>
      <c r="AD17" s="52"/>
      <c r="AE17" s="24"/>
      <c r="AG17" s="12"/>
      <c r="AK17" s="111"/>
    </row>
    <row r="18" spans="2:37" ht="30" customHeight="1" thickBot="1">
      <c r="B18" s="110"/>
      <c r="C18" s="12"/>
      <c r="E18" s="15">
        <v>1</v>
      </c>
      <c r="F18" s="70"/>
      <c r="G18" s="71"/>
      <c r="H18" s="72"/>
      <c r="I18" s="73"/>
      <c r="J18" s="73"/>
      <c r="K18" s="73"/>
      <c r="L18" s="73"/>
      <c r="M18" s="26"/>
      <c r="O18" s="12"/>
      <c r="S18" s="111"/>
      <c r="T18" s="110"/>
      <c r="U18" s="12"/>
      <c r="W18" s="15">
        <v>1</v>
      </c>
      <c r="X18" s="25"/>
      <c r="Y18" s="72"/>
      <c r="Z18" s="72"/>
      <c r="AA18" s="73"/>
      <c r="AB18" s="73"/>
      <c r="AC18" s="73"/>
      <c r="AD18" s="71"/>
      <c r="AE18" s="26"/>
      <c r="AG18" s="12"/>
      <c r="AK18" s="111"/>
    </row>
    <row r="19" spans="2:37" ht="30" customHeight="1" thickBot="1">
      <c r="B19" s="110"/>
      <c r="C19" s="12"/>
      <c r="F19" s="16" t="s">
        <v>15</v>
      </c>
      <c r="G19" s="53" t="s">
        <v>16</v>
      </c>
      <c r="H19" s="17" t="s">
        <v>17</v>
      </c>
      <c r="I19" s="17" t="s">
        <v>18</v>
      </c>
      <c r="J19" s="17" t="s">
        <v>19</v>
      </c>
      <c r="K19" s="17" t="s">
        <v>20</v>
      </c>
      <c r="L19" s="17" t="s">
        <v>21</v>
      </c>
      <c r="M19" s="18" t="s">
        <v>22</v>
      </c>
      <c r="O19" s="57"/>
      <c r="P19" s="104" t="s">
        <v>112</v>
      </c>
      <c r="R19" s="420" t="s">
        <v>30</v>
      </c>
      <c r="S19" s="111"/>
      <c r="T19" s="110"/>
      <c r="U19" s="12"/>
      <c r="X19" s="16" t="s">
        <v>15</v>
      </c>
      <c r="Y19" s="17" t="s">
        <v>16</v>
      </c>
      <c r="Z19" s="17" t="s">
        <v>17</v>
      </c>
      <c r="AA19" s="17" t="s">
        <v>18</v>
      </c>
      <c r="AB19" s="17" t="s">
        <v>19</v>
      </c>
      <c r="AC19" s="17" t="s">
        <v>20</v>
      </c>
      <c r="AD19" s="53" t="s">
        <v>21</v>
      </c>
      <c r="AE19" s="18" t="s">
        <v>22</v>
      </c>
      <c r="AG19" s="57"/>
      <c r="AH19" s="104" t="s">
        <v>112</v>
      </c>
      <c r="AJ19" s="420" t="s">
        <v>30</v>
      </c>
      <c r="AK19" s="111"/>
    </row>
    <row r="20" spans="2:37" ht="30" customHeight="1" thickBot="1">
      <c r="B20" s="110"/>
      <c r="C20" s="12"/>
      <c r="F20" s="17"/>
      <c r="G20" s="54"/>
      <c r="H20" s="17"/>
      <c r="I20" s="17"/>
      <c r="J20" s="17"/>
      <c r="K20" s="17"/>
      <c r="L20" s="17"/>
      <c r="M20" s="17"/>
      <c r="O20" s="57"/>
      <c r="P20" s="105" t="s">
        <v>456</v>
      </c>
      <c r="Q20" s="61" t="s">
        <v>126</v>
      </c>
      <c r="R20" s="421"/>
      <c r="S20" s="111"/>
      <c r="T20" s="110"/>
      <c r="U20" s="12"/>
      <c r="X20" s="17"/>
      <c r="Y20" s="17"/>
      <c r="Z20" s="17"/>
      <c r="AA20" s="17"/>
      <c r="AB20" s="17"/>
      <c r="AC20" s="17"/>
      <c r="AD20" s="54"/>
      <c r="AE20" s="17"/>
      <c r="AG20" s="57"/>
      <c r="AH20" s="105" t="s">
        <v>456</v>
      </c>
      <c r="AI20" s="61" t="s">
        <v>125</v>
      </c>
      <c r="AJ20" s="421"/>
      <c r="AK20" s="111"/>
    </row>
    <row r="21" spans="2:37" ht="30" customHeight="1" thickBot="1">
      <c r="B21" s="110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58"/>
      <c r="P21" s="106"/>
      <c r="R21" s="422"/>
      <c r="S21" s="111"/>
      <c r="T21" s="110"/>
      <c r="U21" s="10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8"/>
      <c r="AH21" s="106"/>
      <c r="AJ21" s="422"/>
      <c r="AK21" s="111"/>
    </row>
    <row r="22" spans="2:37" ht="15.75" thickBot="1">
      <c r="B22" s="112"/>
      <c r="C22" s="113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  <c r="T22" s="112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4"/>
    </row>
    <row r="23" spans="2:37" ht="15.75" thickTop="1">
      <c r="B23" s="107"/>
      <c r="C23" s="102" t="s">
        <v>129</v>
      </c>
      <c r="D23" s="103"/>
      <c r="E23" s="103"/>
      <c r="F23" s="103"/>
      <c r="G23" s="102">
        <v>1</v>
      </c>
      <c r="H23" s="102">
        <v>8</v>
      </c>
      <c r="I23" s="108"/>
      <c r="J23" s="108"/>
      <c r="K23" s="108"/>
      <c r="L23" s="108"/>
      <c r="M23" s="108"/>
      <c r="N23" s="108"/>
      <c r="O23" s="108"/>
      <c r="P23" s="108"/>
      <c r="Q23" s="108"/>
      <c r="R23" s="108"/>
      <c r="S23" s="109"/>
      <c r="T23" s="107"/>
      <c r="U23" s="102" t="s">
        <v>129</v>
      </c>
      <c r="V23" s="103"/>
      <c r="W23" s="103"/>
      <c r="X23" s="103"/>
      <c r="Y23" s="102">
        <v>8</v>
      </c>
      <c r="Z23" s="102">
        <v>1</v>
      </c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9"/>
    </row>
    <row r="24" spans="2:37" ht="15.75" thickBot="1">
      <c r="B24" s="110"/>
      <c r="S24" s="111"/>
      <c r="T24" s="110"/>
      <c r="AK24" s="111"/>
    </row>
    <row r="25" spans="2:37" ht="30" customHeight="1" thickBot="1">
      <c r="B25" s="110"/>
      <c r="C25" s="10"/>
      <c r="D25" s="403" t="s">
        <v>128</v>
      </c>
      <c r="E25" s="404"/>
      <c r="F25" s="404"/>
      <c r="G25" s="404"/>
      <c r="H25" s="404"/>
      <c r="I25" s="404"/>
      <c r="J25" s="404"/>
      <c r="K25" s="404"/>
      <c r="L25" s="404"/>
      <c r="M25" s="404"/>
      <c r="N25" s="405"/>
      <c r="O25" s="10"/>
      <c r="P25" s="19" t="s">
        <v>111</v>
      </c>
      <c r="R25" s="420" t="s">
        <v>30</v>
      </c>
      <c r="S25" s="111"/>
      <c r="T25" s="110"/>
      <c r="U25" s="10"/>
      <c r="V25" s="403" t="s">
        <v>128</v>
      </c>
      <c r="W25" s="404"/>
      <c r="X25" s="404"/>
      <c r="Y25" s="404"/>
      <c r="Z25" s="404"/>
      <c r="AA25" s="404"/>
      <c r="AB25" s="404"/>
      <c r="AC25" s="404"/>
      <c r="AD25" s="404"/>
      <c r="AE25" s="404"/>
      <c r="AF25" s="405"/>
      <c r="AG25" s="10"/>
      <c r="AH25" s="19" t="s">
        <v>111</v>
      </c>
      <c r="AJ25" s="420" t="s">
        <v>30</v>
      </c>
      <c r="AK25" s="111"/>
    </row>
    <row r="26" spans="2:37" ht="30" customHeight="1" thickBot="1">
      <c r="B26" s="110"/>
      <c r="C26" s="12"/>
      <c r="G26" s="51"/>
      <c r="O26" s="12"/>
      <c r="P26" s="59" t="s">
        <v>457</v>
      </c>
      <c r="Q26" s="60" t="s">
        <v>125</v>
      </c>
      <c r="R26" s="421"/>
      <c r="S26" s="111"/>
      <c r="T26" s="110"/>
      <c r="U26" s="12"/>
      <c r="AD26" s="51"/>
      <c r="AG26" s="12"/>
      <c r="AH26" s="59" t="s">
        <v>457</v>
      </c>
      <c r="AI26" s="60" t="s">
        <v>126</v>
      </c>
      <c r="AJ26" s="421"/>
      <c r="AK26" s="111"/>
    </row>
    <row r="27" spans="2:37" ht="30" customHeight="1" thickBot="1">
      <c r="B27" s="110"/>
      <c r="C27" s="12"/>
      <c r="E27" s="13">
        <v>8</v>
      </c>
      <c r="F27" s="63"/>
      <c r="G27" s="64"/>
      <c r="H27" s="65"/>
      <c r="I27" s="66"/>
      <c r="J27" s="66"/>
      <c r="K27" s="66"/>
      <c r="L27" s="66"/>
      <c r="M27" s="67"/>
      <c r="O27" s="12"/>
      <c r="P27" s="20"/>
      <c r="R27" s="422"/>
      <c r="S27" s="111"/>
      <c r="T27" s="110"/>
      <c r="U27" s="12"/>
      <c r="W27" s="13">
        <v>8</v>
      </c>
      <c r="X27" s="115"/>
      <c r="Y27" s="65"/>
      <c r="Z27" s="65"/>
      <c r="AA27" s="66"/>
      <c r="AB27" s="66"/>
      <c r="AC27" s="66"/>
      <c r="AD27" s="64"/>
      <c r="AE27" s="67"/>
      <c r="AG27" s="12"/>
      <c r="AH27" s="20"/>
      <c r="AJ27" s="422"/>
      <c r="AK27" s="111"/>
    </row>
    <row r="28" spans="2:37" ht="30" customHeight="1">
      <c r="B28" s="110"/>
      <c r="C28" s="12"/>
      <c r="E28" s="14">
        <v>7</v>
      </c>
      <c r="F28" s="68"/>
      <c r="G28" s="55"/>
      <c r="H28" s="5"/>
      <c r="I28" s="62"/>
      <c r="J28" s="62"/>
      <c r="K28" s="62"/>
      <c r="L28" s="62"/>
      <c r="M28" s="24"/>
      <c r="O28" s="12"/>
      <c r="S28" s="111"/>
      <c r="T28" s="110"/>
      <c r="U28" s="12"/>
      <c r="W28" s="14">
        <v>7</v>
      </c>
      <c r="X28" s="23"/>
      <c r="Y28" s="5"/>
      <c r="Z28" s="5"/>
      <c r="AA28" s="62"/>
      <c r="AB28" s="62"/>
      <c r="AC28" s="62"/>
      <c r="AD28" s="55" t="s">
        <v>134</v>
      </c>
      <c r="AE28" s="24"/>
      <c r="AG28" s="12"/>
      <c r="AK28" s="111"/>
    </row>
    <row r="29" spans="2:37" ht="30" customHeight="1">
      <c r="B29" s="110"/>
      <c r="C29" s="12"/>
      <c r="E29" s="14">
        <v>6</v>
      </c>
      <c r="F29" s="68"/>
      <c r="G29" s="52"/>
      <c r="H29" s="5"/>
      <c r="I29" s="5"/>
      <c r="J29" s="5"/>
      <c r="K29" s="5"/>
      <c r="L29" s="5"/>
      <c r="M29" s="69"/>
      <c r="O29" s="12"/>
      <c r="S29" s="111"/>
      <c r="T29" s="110"/>
      <c r="U29" s="12"/>
      <c r="W29" s="14">
        <v>6</v>
      </c>
      <c r="X29" s="23"/>
      <c r="Y29" s="5"/>
      <c r="Z29" s="5"/>
      <c r="AA29" s="5"/>
      <c r="AB29" s="5"/>
      <c r="AC29" s="5"/>
      <c r="AD29" s="52"/>
      <c r="AE29" s="69"/>
      <c r="AG29" s="12"/>
      <c r="AK29" s="111"/>
    </row>
    <row r="30" spans="2:37" ht="30" customHeight="1">
      <c r="B30" s="110"/>
      <c r="C30" s="12"/>
      <c r="E30" s="14">
        <v>5</v>
      </c>
      <c r="F30" s="68"/>
      <c r="G30" s="52"/>
      <c r="H30" s="5"/>
      <c r="I30" s="5"/>
      <c r="J30" s="5"/>
      <c r="K30" s="5"/>
      <c r="L30" s="5"/>
      <c r="M30" s="69"/>
      <c r="O30" s="12"/>
      <c r="S30" s="111"/>
      <c r="T30" s="110"/>
      <c r="U30" s="12"/>
      <c r="W30" s="14">
        <v>5</v>
      </c>
      <c r="X30" s="23"/>
      <c r="Y30" s="5"/>
      <c r="Z30" s="5"/>
      <c r="AA30" s="5"/>
      <c r="AB30" s="5"/>
      <c r="AC30" s="5"/>
      <c r="AD30" s="52"/>
      <c r="AE30" s="69"/>
      <c r="AG30" s="12"/>
      <c r="AK30" s="111"/>
    </row>
    <row r="31" spans="2:37" ht="30" customHeight="1">
      <c r="B31" s="110"/>
      <c r="C31" s="12"/>
      <c r="E31" s="14">
        <v>4</v>
      </c>
      <c r="F31" s="68"/>
      <c r="G31" s="52"/>
      <c r="H31" s="5"/>
      <c r="I31" s="5"/>
      <c r="J31" s="5"/>
      <c r="K31" s="5"/>
      <c r="L31" s="5"/>
      <c r="M31" s="69"/>
      <c r="O31" s="12"/>
      <c r="S31" s="111"/>
      <c r="T31" s="110"/>
      <c r="U31" s="12"/>
      <c r="W31" s="14">
        <v>4</v>
      </c>
      <c r="X31" s="23"/>
      <c r="Y31" s="5"/>
      <c r="Z31" s="5"/>
      <c r="AA31" s="5"/>
      <c r="AB31" s="5"/>
      <c r="AC31" s="5"/>
      <c r="AD31" s="52"/>
      <c r="AE31" s="69"/>
      <c r="AG31" s="12"/>
      <c r="AK31" s="111"/>
    </row>
    <row r="32" spans="2:37" ht="30" customHeight="1">
      <c r="B32" s="110"/>
      <c r="C32" s="12"/>
      <c r="E32" s="14">
        <v>3</v>
      </c>
      <c r="F32" s="68"/>
      <c r="G32" s="52"/>
      <c r="H32" s="5"/>
      <c r="I32" s="5"/>
      <c r="J32" s="5"/>
      <c r="K32" s="5"/>
      <c r="L32" s="5"/>
      <c r="M32" s="69"/>
      <c r="O32" s="12"/>
      <c r="S32" s="111"/>
      <c r="T32" s="110"/>
      <c r="U32" s="12"/>
      <c r="W32" s="14">
        <v>3</v>
      </c>
      <c r="X32" s="23"/>
      <c r="Y32" s="5"/>
      <c r="Z32" s="5"/>
      <c r="AA32" s="5"/>
      <c r="AB32" s="5"/>
      <c r="AC32" s="5"/>
      <c r="AD32" s="52"/>
      <c r="AE32" s="69"/>
      <c r="AG32" s="12"/>
      <c r="AK32" s="111"/>
    </row>
    <row r="33" spans="2:37" ht="30" customHeight="1">
      <c r="B33" s="110"/>
      <c r="C33" s="12"/>
      <c r="E33" s="14">
        <v>2</v>
      </c>
      <c r="F33" s="68"/>
      <c r="G33" s="55" t="s">
        <v>127</v>
      </c>
      <c r="H33" s="5"/>
      <c r="I33" s="62"/>
      <c r="J33" s="62"/>
      <c r="K33" s="62"/>
      <c r="L33" s="62"/>
      <c r="M33" s="24"/>
      <c r="O33" s="12"/>
      <c r="S33" s="111"/>
      <c r="T33" s="110"/>
      <c r="U33" s="12"/>
      <c r="W33" s="14">
        <v>2</v>
      </c>
      <c r="X33" s="23"/>
      <c r="Y33" s="5"/>
      <c r="Z33" s="5"/>
      <c r="AA33" s="62"/>
      <c r="AB33" s="62"/>
      <c r="AC33" s="62"/>
      <c r="AD33" s="55"/>
      <c r="AE33" s="24"/>
      <c r="AG33" s="12"/>
      <c r="AK33" s="111"/>
    </row>
    <row r="34" spans="2:37" ht="30" customHeight="1" thickBot="1">
      <c r="B34" s="110"/>
      <c r="C34" s="12"/>
      <c r="E34" s="15">
        <v>1</v>
      </c>
      <c r="F34" s="70"/>
      <c r="G34" s="71"/>
      <c r="H34" s="72"/>
      <c r="I34" s="73"/>
      <c r="J34" s="73"/>
      <c r="K34" s="73"/>
      <c r="L34" s="73"/>
      <c r="M34" s="26"/>
      <c r="O34" s="12"/>
      <c r="S34" s="111"/>
      <c r="T34" s="110"/>
      <c r="U34" s="12"/>
      <c r="W34" s="15">
        <v>1</v>
      </c>
      <c r="X34" s="25"/>
      <c r="Y34" s="72"/>
      <c r="Z34" s="72"/>
      <c r="AA34" s="73"/>
      <c r="AB34" s="73"/>
      <c r="AC34" s="73"/>
      <c r="AD34" s="71"/>
      <c r="AE34" s="26"/>
      <c r="AG34" s="12"/>
      <c r="AK34" s="111"/>
    </row>
    <row r="35" spans="2:37" ht="30" customHeight="1" thickBot="1">
      <c r="B35" s="110"/>
      <c r="C35" s="12"/>
      <c r="F35" s="16" t="s">
        <v>15</v>
      </c>
      <c r="G35" s="53" t="s">
        <v>16</v>
      </c>
      <c r="H35" s="17" t="s">
        <v>17</v>
      </c>
      <c r="I35" s="17" t="s">
        <v>18</v>
      </c>
      <c r="J35" s="17" t="s">
        <v>19</v>
      </c>
      <c r="K35" s="17" t="s">
        <v>20</v>
      </c>
      <c r="L35" s="17" t="s">
        <v>21</v>
      </c>
      <c r="M35" s="18" t="s">
        <v>22</v>
      </c>
      <c r="O35" s="57"/>
      <c r="P35" s="104" t="s">
        <v>112</v>
      </c>
      <c r="R35" s="420" t="s">
        <v>30</v>
      </c>
      <c r="S35" s="111"/>
      <c r="T35" s="110"/>
      <c r="U35" s="12"/>
      <c r="X35" s="16" t="s">
        <v>15</v>
      </c>
      <c r="Y35" s="17" t="s">
        <v>16</v>
      </c>
      <c r="Z35" s="17" t="s">
        <v>17</v>
      </c>
      <c r="AA35" s="17" t="s">
        <v>18</v>
      </c>
      <c r="AB35" s="17" t="s">
        <v>19</v>
      </c>
      <c r="AC35" s="17" t="s">
        <v>20</v>
      </c>
      <c r="AD35" s="53" t="s">
        <v>21</v>
      </c>
      <c r="AE35" s="18" t="s">
        <v>22</v>
      </c>
      <c r="AG35" s="57"/>
      <c r="AH35" s="104" t="s">
        <v>112</v>
      </c>
      <c r="AJ35" s="420" t="s">
        <v>30</v>
      </c>
      <c r="AK35" s="111"/>
    </row>
    <row r="36" spans="2:37" ht="30" customHeight="1" thickBot="1">
      <c r="B36" s="110"/>
      <c r="C36" s="12"/>
      <c r="F36" s="17"/>
      <c r="G36" s="54"/>
      <c r="H36" s="17"/>
      <c r="I36" s="17"/>
      <c r="J36" s="17"/>
      <c r="K36" s="17"/>
      <c r="L36" s="17"/>
      <c r="M36" s="17"/>
      <c r="O36" s="57"/>
      <c r="P36" s="105" t="s">
        <v>456</v>
      </c>
      <c r="Q36" s="60" t="s">
        <v>125</v>
      </c>
      <c r="R36" s="421"/>
      <c r="S36" s="111"/>
      <c r="T36" s="110"/>
      <c r="U36" s="12"/>
      <c r="X36" s="17"/>
      <c r="Y36" s="17"/>
      <c r="Z36" s="17"/>
      <c r="AA36" s="17"/>
      <c r="AB36" s="17"/>
      <c r="AC36" s="17"/>
      <c r="AD36" s="54"/>
      <c r="AE36" s="17"/>
      <c r="AG36" s="57"/>
      <c r="AH36" s="105" t="s">
        <v>456</v>
      </c>
      <c r="AI36" s="60" t="s">
        <v>126</v>
      </c>
      <c r="AJ36" s="421"/>
      <c r="AK36" s="111"/>
    </row>
    <row r="37" spans="2:37" ht="30" customHeight="1" thickBot="1">
      <c r="B37" s="110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8"/>
      <c r="P37" s="106"/>
      <c r="R37" s="422"/>
      <c r="S37" s="111"/>
      <c r="T37" s="110"/>
      <c r="U37" s="10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58"/>
      <c r="AH37" s="106"/>
      <c r="AJ37" s="422"/>
      <c r="AK37" s="111"/>
    </row>
    <row r="38" spans="2:37" ht="15.75" thickBot="1"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4"/>
      <c r="T38" s="112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4"/>
    </row>
    <row r="39" spans="2:37" ht="15.75" thickTop="1">
      <c r="B39" s="107"/>
      <c r="C39" s="102" t="s">
        <v>129</v>
      </c>
      <c r="D39" s="103"/>
      <c r="E39" s="103"/>
      <c r="F39" s="103"/>
      <c r="G39" s="102" t="s">
        <v>132</v>
      </c>
      <c r="H39" s="102">
        <v>18</v>
      </c>
      <c r="I39" s="108"/>
      <c r="J39" s="108"/>
      <c r="K39" s="108"/>
      <c r="L39" s="108"/>
      <c r="M39" s="108"/>
      <c r="N39" s="108"/>
      <c r="O39" s="108"/>
      <c r="P39" s="108"/>
      <c r="Q39" s="108"/>
      <c r="R39" s="108"/>
      <c r="S39" s="109"/>
      <c r="T39" s="107"/>
      <c r="U39" s="102" t="s">
        <v>129</v>
      </c>
      <c r="V39" s="103"/>
      <c r="W39" s="103"/>
      <c r="X39" s="103"/>
      <c r="Y39" s="102" t="s">
        <v>135</v>
      </c>
      <c r="Z39" s="102">
        <v>81</v>
      </c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9"/>
    </row>
    <row r="40" spans="2:37" ht="15.75" thickBot="1">
      <c r="B40" s="110"/>
      <c r="S40" s="111"/>
      <c r="T40" s="110"/>
      <c r="AK40" s="111"/>
    </row>
    <row r="41" spans="2:37" ht="30" customHeight="1" thickBot="1">
      <c r="B41" s="110"/>
      <c r="C41" s="10"/>
      <c r="D41" s="403" t="s">
        <v>128</v>
      </c>
      <c r="E41" s="404"/>
      <c r="F41" s="404"/>
      <c r="G41" s="404"/>
      <c r="H41" s="404"/>
      <c r="I41" s="404"/>
      <c r="J41" s="404"/>
      <c r="K41" s="404"/>
      <c r="L41" s="404"/>
      <c r="M41" s="404"/>
      <c r="N41" s="405"/>
      <c r="O41" s="10"/>
      <c r="P41" s="19" t="s">
        <v>111</v>
      </c>
      <c r="R41" s="420" t="s">
        <v>30</v>
      </c>
      <c r="S41" s="111"/>
      <c r="T41" s="110"/>
      <c r="U41" s="10"/>
      <c r="V41" s="403" t="s">
        <v>128</v>
      </c>
      <c r="W41" s="404"/>
      <c r="X41" s="404"/>
      <c r="Y41" s="404"/>
      <c r="Z41" s="404"/>
      <c r="AA41" s="404"/>
      <c r="AB41" s="404"/>
      <c r="AC41" s="404"/>
      <c r="AD41" s="404"/>
      <c r="AE41" s="404"/>
      <c r="AF41" s="405"/>
      <c r="AG41" s="10"/>
      <c r="AH41" s="19" t="s">
        <v>111</v>
      </c>
      <c r="AJ41" s="420" t="s">
        <v>30</v>
      </c>
      <c r="AK41" s="111"/>
    </row>
    <row r="42" spans="2:37" ht="30" customHeight="1" thickBot="1">
      <c r="B42" s="110"/>
      <c r="C42" s="12"/>
      <c r="G42" s="51"/>
      <c r="O42" s="12"/>
      <c r="P42" s="59" t="s">
        <v>457</v>
      </c>
      <c r="Q42" s="60" t="s">
        <v>125</v>
      </c>
      <c r="R42" s="421"/>
      <c r="S42" s="111"/>
      <c r="T42" s="110"/>
      <c r="U42" s="12"/>
      <c r="AD42" s="51"/>
      <c r="AG42" s="12"/>
      <c r="AH42" s="59" t="s">
        <v>457</v>
      </c>
      <c r="AI42" s="60" t="s">
        <v>126</v>
      </c>
      <c r="AJ42" s="421"/>
      <c r="AK42" s="111"/>
    </row>
    <row r="43" spans="2:37" ht="30" customHeight="1" thickBot="1">
      <c r="B43" s="110"/>
      <c r="C43" s="12"/>
      <c r="E43" s="13">
        <v>8</v>
      </c>
      <c r="F43" s="63"/>
      <c r="G43" s="64"/>
      <c r="H43" s="65"/>
      <c r="I43" s="66"/>
      <c r="J43" s="66"/>
      <c r="K43" s="66"/>
      <c r="L43" s="66"/>
      <c r="M43" s="67"/>
      <c r="O43" s="12"/>
      <c r="P43" s="20"/>
      <c r="R43" s="422"/>
      <c r="S43" s="111"/>
      <c r="T43" s="110"/>
      <c r="U43" s="12"/>
      <c r="W43" s="13">
        <v>8</v>
      </c>
      <c r="X43" s="115"/>
      <c r="Y43" s="65"/>
      <c r="Z43" s="65"/>
      <c r="AA43" s="66"/>
      <c r="AB43" s="66"/>
      <c r="AC43" s="66"/>
      <c r="AD43" s="64"/>
      <c r="AE43" s="67"/>
      <c r="AG43" s="12"/>
      <c r="AH43" s="20"/>
      <c r="AJ43" s="422"/>
      <c r="AK43" s="111"/>
    </row>
    <row r="44" spans="2:37" ht="30" customHeight="1">
      <c r="B44" s="110"/>
      <c r="C44" s="12"/>
      <c r="E44" s="14">
        <v>7</v>
      </c>
      <c r="F44" s="68"/>
      <c r="G44" s="52"/>
      <c r="H44" s="5"/>
      <c r="I44" s="62"/>
      <c r="J44" s="62"/>
      <c r="K44" s="62"/>
      <c r="L44" s="56"/>
      <c r="M44" s="24"/>
      <c r="O44" s="12"/>
      <c r="S44" s="111"/>
      <c r="T44" s="110"/>
      <c r="U44" s="12"/>
      <c r="W44" s="14">
        <v>7</v>
      </c>
      <c r="X44" s="23"/>
      <c r="Y44" s="5"/>
      <c r="Z44" s="5"/>
      <c r="AA44" s="62"/>
      <c r="AB44" s="62"/>
      <c r="AC44" s="62"/>
      <c r="AD44" s="55" t="s">
        <v>134</v>
      </c>
      <c r="AE44" s="24"/>
      <c r="AG44" s="12"/>
      <c r="AK44" s="111"/>
    </row>
    <row r="45" spans="2:37" ht="30" customHeight="1">
      <c r="B45" s="110"/>
      <c r="C45" s="12"/>
      <c r="E45" s="14">
        <v>6</v>
      </c>
      <c r="F45" s="68"/>
      <c r="G45" s="52"/>
      <c r="H45" s="5"/>
      <c r="I45" s="5"/>
      <c r="J45" s="5"/>
      <c r="K45" s="5"/>
      <c r="L45" s="5"/>
      <c r="M45" s="69"/>
      <c r="O45" s="12"/>
      <c r="S45" s="111"/>
      <c r="T45" s="110"/>
      <c r="U45" s="12"/>
      <c r="W45" s="14">
        <v>6</v>
      </c>
      <c r="X45" s="23"/>
      <c r="Y45" s="5"/>
      <c r="Z45" s="5"/>
      <c r="AA45" s="5"/>
      <c r="AB45" s="5"/>
      <c r="AC45" s="5"/>
      <c r="AD45" s="52"/>
      <c r="AE45" s="69"/>
      <c r="AG45" s="12"/>
      <c r="AK45" s="111"/>
    </row>
    <row r="46" spans="2:37" ht="30" customHeight="1">
      <c r="B46" s="110"/>
      <c r="C46" s="12"/>
      <c r="E46" s="14">
        <v>5</v>
      </c>
      <c r="F46" s="68"/>
      <c r="G46" s="52"/>
      <c r="H46" s="5"/>
      <c r="I46" s="5"/>
      <c r="J46" s="5"/>
      <c r="K46" s="5"/>
      <c r="L46" s="5"/>
      <c r="M46" s="69"/>
      <c r="O46" s="12"/>
      <c r="S46" s="111"/>
      <c r="T46" s="110"/>
      <c r="U46" s="12"/>
      <c r="W46" s="14">
        <v>5</v>
      </c>
      <c r="X46" s="23"/>
      <c r="Y46" s="5"/>
      <c r="Z46" s="5"/>
      <c r="AA46" s="5"/>
      <c r="AB46" s="5"/>
      <c r="AC46" s="5"/>
      <c r="AD46" s="52"/>
      <c r="AE46" s="69"/>
      <c r="AG46" s="12"/>
      <c r="AK46" s="111"/>
    </row>
    <row r="47" spans="2:37" ht="30" customHeight="1">
      <c r="B47" s="110"/>
      <c r="C47" s="12"/>
      <c r="E47" s="14">
        <v>4</v>
      </c>
      <c r="F47" s="68"/>
      <c r="G47" s="52"/>
      <c r="H47" s="5"/>
      <c r="I47" s="5"/>
      <c r="J47" s="5"/>
      <c r="K47" s="5"/>
      <c r="L47" s="5"/>
      <c r="M47" s="69"/>
      <c r="O47" s="12"/>
      <c r="S47" s="111"/>
      <c r="T47" s="110"/>
      <c r="U47" s="12"/>
      <c r="W47" s="14">
        <v>4</v>
      </c>
      <c r="X47" s="23"/>
      <c r="Y47" s="5"/>
      <c r="Z47" s="5"/>
      <c r="AA47" s="5"/>
      <c r="AB47" s="5"/>
      <c r="AC47" s="5"/>
      <c r="AD47" s="52"/>
      <c r="AE47" s="69"/>
      <c r="AG47" s="12"/>
      <c r="AK47" s="111"/>
    </row>
    <row r="48" spans="2:37" ht="30" customHeight="1">
      <c r="B48" s="110"/>
      <c r="C48" s="12"/>
      <c r="E48" s="14">
        <v>3</v>
      </c>
      <c r="F48" s="68"/>
      <c r="G48" s="52"/>
      <c r="H48" s="5"/>
      <c r="I48" s="5"/>
      <c r="J48" s="5"/>
      <c r="K48" s="5"/>
      <c r="L48" s="5"/>
      <c r="M48" s="69"/>
      <c r="O48" s="12"/>
      <c r="S48" s="111"/>
      <c r="T48" s="110"/>
      <c r="U48" s="12"/>
      <c r="W48" s="14">
        <v>3</v>
      </c>
      <c r="X48" s="23"/>
      <c r="Y48" s="5"/>
      <c r="Z48" s="5"/>
      <c r="AA48" s="5"/>
      <c r="AB48" s="5"/>
      <c r="AC48" s="5"/>
      <c r="AD48" s="52"/>
      <c r="AE48" s="69"/>
      <c r="AG48" s="12"/>
      <c r="AK48" s="111"/>
    </row>
    <row r="49" spans="2:37" ht="30" customHeight="1">
      <c r="B49" s="110"/>
      <c r="C49" s="12"/>
      <c r="E49" s="14">
        <v>2</v>
      </c>
      <c r="F49" s="68"/>
      <c r="G49" s="55" t="s">
        <v>127</v>
      </c>
      <c r="H49" s="5"/>
      <c r="I49" s="62"/>
      <c r="J49" s="62"/>
      <c r="K49" s="62"/>
      <c r="L49" s="62"/>
      <c r="M49" s="24"/>
      <c r="O49" s="12"/>
      <c r="S49" s="111"/>
      <c r="T49" s="110"/>
      <c r="U49" s="12"/>
      <c r="W49" s="14">
        <v>2</v>
      </c>
      <c r="X49" s="23"/>
      <c r="Y49" s="56"/>
      <c r="Z49" s="5"/>
      <c r="AA49" s="62"/>
      <c r="AB49" s="62"/>
      <c r="AC49" s="62"/>
      <c r="AD49" s="52"/>
      <c r="AE49" s="24"/>
      <c r="AG49" s="12"/>
      <c r="AK49" s="111"/>
    </row>
    <row r="50" spans="2:37" ht="30" customHeight="1" thickBot="1">
      <c r="B50" s="110"/>
      <c r="C50" s="12"/>
      <c r="E50" s="15">
        <v>1</v>
      </c>
      <c r="F50" s="70"/>
      <c r="G50" s="71"/>
      <c r="H50" s="72"/>
      <c r="I50" s="73"/>
      <c r="J50" s="73"/>
      <c r="K50" s="73"/>
      <c r="L50" s="73"/>
      <c r="M50" s="26"/>
      <c r="O50" s="12"/>
      <c r="S50" s="111"/>
      <c r="T50" s="110"/>
      <c r="U50" s="12"/>
      <c r="W50" s="15">
        <v>1</v>
      </c>
      <c r="X50" s="25"/>
      <c r="Y50" s="72"/>
      <c r="Z50" s="72"/>
      <c r="AA50" s="73"/>
      <c r="AB50" s="73"/>
      <c r="AC50" s="73"/>
      <c r="AD50" s="71"/>
      <c r="AE50" s="26"/>
      <c r="AG50" s="12"/>
      <c r="AK50" s="111"/>
    </row>
    <row r="51" spans="2:37" ht="30" customHeight="1" thickBot="1">
      <c r="B51" s="110"/>
      <c r="C51" s="12"/>
      <c r="F51" s="16" t="s">
        <v>15</v>
      </c>
      <c r="G51" s="53" t="s">
        <v>16</v>
      </c>
      <c r="H51" s="17" t="s">
        <v>17</v>
      </c>
      <c r="I51" s="17" t="s">
        <v>18</v>
      </c>
      <c r="J51" s="17" t="s">
        <v>19</v>
      </c>
      <c r="K51" s="17" t="s">
        <v>20</v>
      </c>
      <c r="L51" s="17" t="s">
        <v>21</v>
      </c>
      <c r="M51" s="18" t="s">
        <v>22</v>
      </c>
      <c r="O51" s="57"/>
      <c r="P51" s="104" t="s">
        <v>112</v>
      </c>
      <c r="R51" s="420" t="s">
        <v>30</v>
      </c>
      <c r="S51" s="111"/>
      <c r="T51" s="110"/>
      <c r="U51" s="12"/>
      <c r="X51" s="16" t="s">
        <v>15</v>
      </c>
      <c r="Y51" s="17" t="s">
        <v>16</v>
      </c>
      <c r="Z51" s="17" t="s">
        <v>17</v>
      </c>
      <c r="AA51" s="17" t="s">
        <v>18</v>
      </c>
      <c r="AB51" s="17" t="s">
        <v>19</v>
      </c>
      <c r="AC51" s="17" t="s">
        <v>20</v>
      </c>
      <c r="AD51" s="53" t="s">
        <v>21</v>
      </c>
      <c r="AE51" s="18" t="s">
        <v>22</v>
      </c>
      <c r="AG51" s="57"/>
      <c r="AH51" s="104" t="s">
        <v>112</v>
      </c>
      <c r="AJ51" s="420" t="s">
        <v>30</v>
      </c>
      <c r="AK51" s="111"/>
    </row>
    <row r="52" spans="2:37" ht="30" customHeight="1" thickBot="1">
      <c r="B52" s="110"/>
      <c r="C52" s="12"/>
      <c r="F52" s="17"/>
      <c r="G52" s="54"/>
      <c r="H52" s="17"/>
      <c r="I52" s="17"/>
      <c r="J52" s="17"/>
      <c r="K52" s="17"/>
      <c r="L52" s="17"/>
      <c r="M52" s="17"/>
      <c r="O52" s="57"/>
      <c r="P52" s="105" t="s">
        <v>456</v>
      </c>
      <c r="Q52" s="60" t="s">
        <v>133</v>
      </c>
      <c r="R52" s="421"/>
      <c r="S52" s="111"/>
      <c r="T52" s="110"/>
      <c r="U52" s="12"/>
      <c r="X52" s="17"/>
      <c r="Y52" s="17"/>
      <c r="Z52" s="17"/>
      <c r="AA52" s="17"/>
      <c r="AB52" s="17"/>
      <c r="AC52" s="17"/>
      <c r="AD52" s="54"/>
      <c r="AE52" s="17"/>
      <c r="AG52" s="57"/>
      <c r="AH52" s="105" t="s">
        <v>456</v>
      </c>
      <c r="AI52" s="60" t="s">
        <v>133</v>
      </c>
      <c r="AJ52" s="421"/>
      <c r="AK52" s="111"/>
    </row>
    <row r="53" spans="2:37" ht="30" customHeight="1" thickBot="1">
      <c r="B53" s="110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58"/>
      <c r="P53" s="106"/>
      <c r="R53" s="422"/>
      <c r="S53" s="111"/>
      <c r="T53" s="110"/>
      <c r="U53" s="10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58"/>
      <c r="AH53" s="106"/>
      <c r="AJ53" s="422"/>
      <c r="AK53" s="111"/>
    </row>
    <row r="54" spans="2:37" ht="15.75" thickBot="1">
      <c r="B54" s="112"/>
      <c r="C54" s="113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4"/>
      <c r="T54" s="112"/>
      <c r="U54" s="113"/>
      <c r="V54" s="113"/>
      <c r="W54" s="113"/>
      <c r="X54" s="113"/>
      <c r="Y54" s="113"/>
      <c r="Z54" s="113"/>
      <c r="AA54" s="113"/>
      <c r="AB54" s="113"/>
      <c r="AC54" s="113"/>
      <c r="AD54" s="113"/>
      <c r="AE54" s="113"/>
      <c r="AF54" s="113"/>
      <c r="AG54" s="113"/>
      <c r="AH54" s="113"/>
      <c r="AI54" s="113"/>
      <c r="AJ54" s="113"/>
      <c r="AK54" s="114"/>
    </row>
    <row r="55" spans="2:37" ht="15.75" thickTop="1">
      <c r="B55" s="107"/>
      <c r="C55" s="102" t="s">
        <v>129</v>
      </c>
      <c r="D55" s="103"/>
      <c r="E55" s="103"/>
      <c r="F55" s="103"/>
      <c r="G55" s="102" t="s">
        <v>132</v>
      </c>
      <c r="H55" s="102">
        <v>81</v>
      </c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9"/>
      <c r="T55" s="107"/>
      <c r="U55" s="102" t="s">
        <v>129</v>
      </c>
      <c r="V55" s="103"/>
      <c r="W55" s="103"/>
      <c r="X55" s="103"/>
      <c r="Y55" s="102" t="s">
        <v>135</v>
      </c>
      <c r="Z55" s="102">
        <v>18</v>
      </c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9"/>
    </row>
    <row r="56" spans="2:37" ht="15.75" thickBot="1">
      <c r="B56" s="110"/>
      <c r="S56" s="111"/>
      <c r="T56" s="110"/>
      <c r="AK56" s="111"/>
    </row>
    <row r="57" spans="2:37" ht="30" customHeight="1" thickBot="1">
      <c r="B57" s="110"/>
      <c r="C57" s="10"/>
      <c r="D57" s="403" t="s">
        <v>128</v>
      </c>
      <c r="E57" s="404"/>
      <c r="F57" s="404"/>
      <c r="G57" s="404"/>
      <c r="H57" s="404"/>
      <c r="I57" s="404"/>
      <c r="J57" s="404"/>
      <c r="K57" s="404"/>
      <c r="L57" s="404"/>
      <c r="M57" s="404"/>
      <c r="N57" s="405"/>
      <c r="O57" s="10"/>
      <c r="P57" s="19" t="s">
        <v>111</v>
      </c>
      <c r="R57" s="420" t="s">
        <v>30</v>
      </c>
      <c r="S57" s="111"/>
      <c r="T57" s="110"/>
      <c r="U57" s="10"/>
      <c r="V57" s="403" t="s">
        <v>128</v>
      </c>
      <c r="W57" s="404"/>
      <c r="X57" s="404"/>
      <c r="Y57" s="404"/>
      <c r="Z57" s="404"/>
      <c r="AA57" s="404"/>
      <c r="AB57" s="404"/>
      <c r="AC57" s="404"/>
      <c r="AD57" s="404"/>
      <c r="AE57" s="404"/>
      <c r="AF57" s="405"/>
      <c r="AG57" s="10"/>
      <c r="AH57" s="19" t="s">
        <v>111</v>
      </c>
      <c r="AJ57" s="420" t="s">
        <v>30</v>
      </c>
      <c r="AK57" s="111"/>
    </row>
    <row r="58" spans="2:37" ht="30" customHeight="1" thickBot="1">
      <c r="B58" s="110"/>
      <c r="C58" s="12"/>
      <c r="G58" s="51"/>
      <c r="O58" s="12"/>
      <c r="P58" s="59" t="s">
        <v>457</v>
      </c>
      <c r="Q58" s="60" t="s">
        <v>133</v>
      </c>
      <c r="R58" s="421"/>
      <c r="S58" s="111"/>
      <c r="T58" s="110"/>
      <c r="U58" s="12"/>
      <c r="AD58" s="51"/>
      <c r="AG58" s="12"/>
      <c r="AH58" s="59" t="s">
        <v>457</v>
      </c>
      <c r="AI58" s="60" t="s">
        <v>133</v>
      </c>
      <c r="AJ58" s="421"/>
      <c r="AK58" s="111"/>
    </row>
    <row r="59" spans="2:37" ht="30" customHeight="1" thickBot="1">
      <c r="B59" s="110"/>
      <c r="C59" s="12"/>
      <c r="E59" s="13">
        <v>8</v>
      </c>
      <c r="F59" s="63"/>
      <c r="G59" s="64"/>
      <c r="H59" s="65"/>
      <c r="I59" s="66"/>
      <c r="J59" s="66"/>
      <c r="K59" s="66"/>
      <c r="L59" s="66"/>
      <c r="M59" s="67"/>
      <c r="O59" s="12"/>
      <c r="P59" s="20"/>
      <c r="R59" s="422"/>
      <c r="S59" s="111"/>
      <c r="T59" s="110"/>
      <c r="U59" s="12"/>
      <c r="W59" s="13">
        <v>8</v>
      </c>
      <c r="X59" s="115"/>
      <c r="Y59" s="65"/>
      <c r="Z59" s="65"/>
      <c r="AA59" s="66"/>
      <c r="AB59" s="66"/>
      <c r="AC59" s="66"/>
      <c r="AD59" s="64"/>
      <c r="AE59" s="67"/>
      <c r="AG59" s="12"/>
      <c r="AH59" s="20"/>
      <c r="AJ59" s="422"/>
      <c r="AK59" s="111"/>
    </row>
    <row r="60" spans="2:37" ht="30" customHeight="1">
      <c r="B60" s="110"/>
      <c r="C60" s="12"/>
      <c r="E60" s="14">
        <v>7</v>
      </c>
      <c r="F60" s="68"/>
      <c r="G60" s="55" t="s">
        <v>127</v>
      </c>
      <c r="H60" s="5"/>
      <c r="I60" s="62"/>
      <c r="J60" s="62"/>
      <c r="K60" s="62"/>
      <c r="L60" s="5"/>
      <c r="M60" s="24"/>
      <c r="O60" s="12"/>
      <c r="S60" s="111"/>
      <c r="T60" s="110"/>
      <c r="U60" s="12"/>
      <c r="W60" s="14">
        <v>7</v>
      </c>
      <c r="X60" s="23"/>
      <c r="Y60" s="56"/>
      <c r="Z60" s="5"/>
      <c r="AA60" s="62"/>
      <c r="AB60" s="62"/>
      <c r="AC60" s="62"/>
      <c r="AD60" s="52"/>
      <c r="AE60" s="24"/>
      <c r="AG60" s="12"/>
      <c r="AK60" s="111"/>
    </row>
    <row r="61" spans="2:37" ht="30" customHeight="1">
      <c r="B61" s="110"/>
      <c r="C61" s="12"/>
      <c r="E61" s="14">
        <v>6</v>
      </c>
      <c r="F61" s="68"/>
      <c r="G61" s="52"/>
      <c r="H61" s="5"/>
      <c r="I61" s="5"/>
      <c r="J61" s="5"/>
      <c r="K61" s="5"/>
      <c r="L61" s="5"/>
      <c r="M61" s="69"/>
      <c r="O61" s="12"/>
      <c r="S61" s="111"/>
      <c r="T61" s="110"/>
      <c r="U61" s="12"/>
      <c r="W61" s="14">
        <v>6</v>
      </c>
      <c r="X61" s="23"/>
      <c r="Y61" s="5"/>
      <c r="Z61" s="5"/>
      <c r="AA61" s="5"/>
      <c r="AB61" s="5"/>
      <c r="AC61" s="5"/>
      <c r="AD61" s="52"/>
      <c r="AE61" s="69"/>
      <c r="AG61" s="12"/>
      <c r="AK61" s="111"/>
    </row>
    <row r="62" spans="2:37" ht="30" customHeight="1">
      <c r="B62" s="110"/>
      <c r="C62" s="12"/>
      <c r="E62" s="14">
        <v>5</v>
      </c>
      <c r="F62" s="68"/>
      <c r="G62" s="52"/>
      <c r="H62" s="5"/>
      <c r="I62" s="5"/>
      <c r="J62" s="5"/>
      <c r="K62" s="5"/>
      <c r="L62" s="5"/>
      <c r="M62" s="69"/>
      <c r="O62" s="12"/>
      <c r="S62" s="111"/>
      <c r="T62" s="110"/>
      <c r="U62" s="12"/>
      <c r="W62" s="14">
        <v>5</v>
      </c>
      <c r="X62" s="23"/>
      <c r="Y62" s="5"/>
      <c r="Z62" s="5"/>
      <c r="AA62" s="5"/>
      <c r="AB62" s="5"/>
      <c r="AC62" s="5"/>
      <c r="AD62" s="52"/>
      <c r="AE62" s="69"/>
      <c r="AG62" s="12"/>
      <c r="AK62" s="111"/>
    </row>
    <row r="63" spans="2:37" ht="30" customHeight="1">
      <c r="B63" s="110"/>
      <c r="C63" s="12"/>
      <c r="E63" s="14">
        <v>4</v>
      </c>
      <c r="F63" s="68"/>
      <c r="G63" s="52"/>
      <c r="H63" s="5"/>
      <c r="I63" s="5"/>
      <c r="J63" s="5"/>
      <c r="K63" s="5"/>
      <c r="L63" s="5"/>
      <c r="M63" s="69"/>
      <c r="O63" s="12"/>
      <c r="S63" s="111"/>
      <c r="T63" s="110"/>
      <c r="U63" s="12"/>
      <c r="W63" s="14">
        <v>4</v>
      </c>
      <c r="X63" s="23"/>
      <c r="Y63" s="5"/>
      <c r="Z63" s="5"/>
      <c r="AA63" s="5"/>
      <c r="AB63" s="5"/>
      <c r="AC63" s="5"/>
      <c r="AD63" s="55" t="s">
        <v>134</v>
      </c>
      <c r="AE63" s="69"/>
      <c r="AG63" s="12"/>
      <c r="AK63" s="111"/>
    </row>
    <row r="64" spans="2:37" ht="30" customHeight="1">
      <c r="B64" s="110"/>
      <c r="C64" s="12"/>
      <c r="E64" s="14">
        <v>3</v>
      </c>
      <c r="F64" s="68"/>
      <c r="G64" s="52"/>
      <c r="H64" s="5"/>
      <c r="I64" s="5"/>
      <c r="J64" s="5"/>
      <c r="K64" s="5"/>
      <c r="L64" s="5"/>
      <c r="M64" s="69"/>
      <c r="O64" s="12"/>
      <c r="S64" s="111"/>
      <c r="T64" s="110"/>
      <c r="U64" s="12"/>
      <c r="W64" s="14">
        <v>3</v>
      </c>
      <c r="X64" s="23"/>
      <c r="Y64" s="5"/>
      <c r="Z64" s="5"/>
      <c r="AA64" s="5"/>
      <c r="AB64" s="5"/>
      <c r="AC64" s="5"/>
      <c r="AD64" s="52"/>
      <c r="AE64" s="69"/>
      <c r="AG64" s="12"/>
      <c r="AK64" s="111"/>
    </row>
    <row r="65" spans="2:37" ht="30" customHeight="1">
      <c r="B65" s="110"/>
      <c r="C65" s="12"/>
      <c r="E65" s="14">
        <v>2</v>
      </c>
      <c r="F65" s="68"/>
      <c r="G65" s="52"/>
      <c r="H65" s="5"/>
      <c r="I65" s="62"/>
      <c r="J65" s="62"/>
      <c r="K65" s="62"/>
      <c r="L65" s="56"/>
      <c r="M65" s="24"/>
      <c r="O65" s="12"/>
      <c r="S65" s="111"/>
      <c r="T65" s="110"/>
      <c r="U65" s="12"/>
      <c r="W65" s="14">
        <v>2</v>
      </c>
      <c r="X65" s="23"/>
      <c r="Y65" s="5"/>
      <c r="Z65" s="5"/>
      <c r="AA65" s="62"/>
      <c r="AB65" s="62"/>
      <c r="AC65" s="62"/>
      <c r="AD65" s="52"/>
      <c r="AE65" s="24"/>
      <c r="AG65" s="12"/>
      <c r="AK65" s="111"/>
    </row>
    <row r="66" spans="2:37" ht="30" customHeight="1" thickBot="1">
      <c r="B66" s="110"/>
      <c r="C66" s="12"/>
      <c r="E66" s="15">
        <v>1</v>
      </c>
      <c r="F66" s="70"/>
      <c r="G66" s="71"/>
      <c r="H66" s="72"/>
      <c r="I66" s="73"/>
      <c r="J66" s="73"/>
      <c r="K66" s="73"/>
      <c r="L66" s="73"/>
      <c r="M66" s="26"/>
      <c r="O66" s="12"/>
      <c r="S66" s="111"/>
      <c r="T66" s="110"/>
      <c r="U66" s="12"/>
      <c r="W66" s="15">
        <v>1</v>
      </c>
      <c r="X66" s="25"/>
      <c r="Y66" s="72"/>
      <c r="Z66" s="72"/>
      <c r="AA66" s="73"/>
      <c r="AB66" s="73"/>
      <c r="AC66" s="73"/>
      <c r="AD66" s="71"/>
      <c r="AE66" s="26"/>
      <c r="AG66" s="12"/>
      <c r="AK66" s="111"/>
    </row>
    <row r="67" spans="2:37" ht="30" customHeight="1" thickBot="1">
      <c r="B67" s="110"/>
      <c r="C67" s="12"/>
      <c r="F67" s="16" t="s">
        <v>15</v>
      </c>
      <c r="G67" s="53" t="s">
        <v>16</v>
      </c>
      <c r="H67" s="17" t="s">
        <v>17</v>
      </c>
      <c r="I67" s="17" t="s">
        <v>18</v>
      </c>
      <c r="J67" s="17" t="s">
        <v>19</v>
      </c>
      <c r="K67" s="17" t="s">
        <v>20</v>
      </c>
      <c r="L67" s="17" t="s">
        <v>21</v>
      </c>
      <c r="M67" s="18" t="s">
        <v>22</v>
      </c>
      <c r="O67" s="57"/>
      <c r="P67" s="104" t="s">
        <v>112</v>
      </c>
      <c r="R67" s="420" t="s">
        <v>30</v>
      </c>
      <c r="S67" s="111"/>
      <c r="T67" s="110"/>
      <c r="U67" s="12"/>
      <c r="X67" s="16" t="s">
        <v>15</v>
      </c>
      <c r="Y67" s="17" t="s">
        <v>16</v>
      </c>
      <c r="Z67" s="17" t="s">
        <v>17</v>
      </c>
      <c r="AA67" s="17" t="s">
        <v>18</v>
      </c>
      <c r="AB67" s="17" t="s">
        <v>19</v>
      </c>
      <c r="AC67" s="17" t="s">
        <v>20</v>
      </c>
      <c r="AD67" s="53" t="s">
        <v>21</v>
      </c>
      <c r="AE67" s="18" t="s">
        <v>22</v>
      </c>
      <c r="AG67" s="57"/>
      <c r="AH67" s="104" t="s">
        <v>112</v>
      </c>
      <c r="AJ67" s="420" t="s">
        <v>30</v>
      </c>
      <c r="AK67" s="111"/>
    </row>
    <row r="68" spans="2:37" ht="30" customHeight="1" thickBot="1">
      <c r="B68" s="110"/>
      <c r="C68" s="12"/>
      <c r="F68" s="17"/>
      <c r="G68" s="54"/>
      <c r="H68" s="17"/>
      <c r="I68" s="17"/>
      <c r="J68" s="17"/>
      <c r="K68" s="17"/>
      <c r="L68" s="17"/>
      <c r="M68" s="17"/>
      <c r="O68" s="57"/>
      <c r="P68" s="105" t="s">
        <v>456</v>
      </c>
      <c r="Q68" s="60" t="s">
        <v>126</v>
      </c>
      <c r="R68" s="421"/>
      <c r="S68" s="111"/>
      <c r="T68" s="110"/>
      <c r="U68" s="12"/>
      <c r="X68" s="17"/>
      <c r="Y68" s="17"/>
      <c r="Z68" s="17"/>
      <c r="AA68" s="17"/>
      <c r="AB68" s="17"/>
      <c r="AC68" s="17"/>
      <c r="AD68" s="54"/>
      <c r="AE68" s="17"/>
      <c r="AG68" s="57"/>
      <c r="AH68" s="105" t="s">
        <v>456</v>
      </c>
      <c r="AI68" s="60" t="s">
        <v>125</v>
      </c>
      <c r="AJ68" s="421"/>
      <c r="AK68" s="111"/>
    </row>
    <row r="69" spans="2:37" ht="30" customHeight="1" thickBot="1">
      <c r="B69" s="110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58"/>
      <c r="P69" s="106"/>
      <c r="R69" s="422"/>
      <c r="S69" s="111"/>
      <c r="T69" s="110"/>
      <c r="U69" s="10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58"/>
      <c r="AH69" s="106"/>
      <c r="AJ69" s="422"/>
      <c r="AK69" s="111"/>
    </row>
    <row r="70" spans="2:37" ht="15.75" thickBot="1">
      <c r="B70" s="112"/>
      <c r="C70" s="113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4"/>
      <c r="T70" s="112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4"/>
    </row>
    <row r="71" spans="2:37" ht="15.75" thickTop="1"/>
  </sheetData>
  <mergeCells count="27">
    <mergeCell ref="AJ35:AJ37"/>
    <mergeCell ref="V41:AF41"/>
    <mergeCell ref="AJ41:AJ43"/>
    <mergeCell ref="AJ51:AJ53"/>
    <mergeCell ref="V57:AF57"/>
    <mergeCell ref="AJ57:AJ59"/>
    <mergeCell ref="V9:AF9"/>
    <mergeCell ref="AJ9:AJ11"/>
    <mergeCell ref="AJ19:AJ21"/>
    <mergeCell ref="V25:AF25"/>
    <mergeCell ref="AJ25:AJ27"/>
    <mergeCell ref="AP4:AT4"/>
    <mergeCell ref="AQ5:AR5"/>
    <mergeCell ref="AS5:AT5"/>
    <mergeCell ref="R67:R69"/>
    <mergeCell ref="D9:N9"/>
    <mergeCell ref="R9:R11"/>
    <mergeCell ref="R19:R21"/>
    <mergeCell ref="D25:N25"/>
    <mergeCell ref="R25:R27"/>
    <mergeCell ref="R35:R37"/>
    <mergeCell ref="D41:N41"/>
    <mergeCell ref="R41:R43"/>
    <mergeCell ref="R51:R53"/>
    <mergeCell ref="D57:N57"/>
    <mergeCell ref="R57:R59"/>
    <mergeCell ref="AJ67:AJ6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autoPict="0" r:id="rId5">
            <anchor moveWithCells="1">
              <from>
                <xdr:col>40</xdr:col>
                <xdr:colOff>95250</xdr:colOff>
                <xdr:row>15</xdr:row>
                <xdr:rowOff>228600</xdr:rowOff>
              </from>
              <to>
                <xdr:col>54</xdr:col>
                <xdr:colOff>476250</xdr:colOff>
                <xdr:row>52</xdr:row>
                <xdr:rowOff>200025</xdr:rowOff>
              </to>
            </anchor>
          </objectPr>
        </oleObject>
      </mc:Choice>
      <mc:Fallback>
        <oleObject progId="Visio.Drawing.15" shapeId="102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FC5BD-49C1-4884-84C3-B68DA3B6E977}">
  <dimension ref="A1:K30"/>
  <sheetViews>
    <sheetView showGridLines="0" workbookViewId="0">
      <selection activeCell="F29" sqref="F29"/>
    </sheetView>
  </sheetViews>
  <sheetFormatPr baseColWidth="10" defaultRowHeight="15"/>
  <cols>
    <col min="1" max="1" width="7.42578125" customWidth="1"/>
    <col min="9" max="9" width="13.7109375" bestFit="1" customWidth="1"/>
  </cols>
  <sheetData>
    <row r="1" spans="1:11" ht="15.75" thickBot="1">
      <c r="I1" s="423" t="s">
        <v>396</v>
      </c>
      <c r="J1" s="424"/>
    </row>
    <row r="2" spans="1:11">
      <c r="I2" s="136" t="s">
        <v>390</v>
      </c>
      <c r="J2" s="229">
        <v>12</v>
      </c>
    </row>
    <row r="3" spans="1:11">
      <c r="I3" s="1" t="s">
        <v>488</v>
      </c>
      <c r="J3" s="312">
        <v>26</v>
      </c>
    </row>
    <row r="4" spans="1:11">
      <c r="I4" s="1" t="s">
        <v>487</v>
      </c>
      <c r="J4" s="313">
        <v>8</v>
      </c>
    </row>
    <row r="5" spans="1:11">
      <c r="I5" s="1" t="s">
        <v>391</v>
      </c>
      <c r="J5" s="230">
        <v>0.4</v>
      </c>
    </row>
    <row r="6" spans="1:11">
      <c r="I6" s="1" t="s">
        <v>379</v>
      </c>
      <c r="J6" s="231">
        <v>37</v>
      </c>
      <c r="K6" t="s">
        <v>400</v>
      </c>
    </row>
    <row r="7" spans="1:11">
      <c r="I7" s="1" t="s">
        <v>392</v>
      </c>
      <c r="J7" s="232">
        <v>200</v>
      </c>
    </row>
    <row r="8" spans="1:11">
      <c r="I8" s="1" t="s">
        <v>397</v>
      </c>
      <c r="J8" s="233">
        <v>1000</v>
      </c>
    </row>
    <row r="9" spans="1:11">
      <c r="I9" s="1" t="s">
        <v>397</v>
      </c>
      <c r="J9" s="235">
        <f>J8*9.81/1000</f>
        <v>9.81</v>
      </c>
    </row>
    <row r="10" spans="1:11">
      <c r="I10" s="1" t="s">
        <v>398</v>
      </c>
      <c r="J10" s="234">
        <v>0.6</v>
      </c>
    </row>
    <row r="11" spans="1:11" ht="15.75" thickBot="1">
      <c r="I11" s="181"/>
      <c r="J11" s="181"/>
    </row>
    <row r="12" spans="1:11" ht="15.75" thickBot="1">
      <c r="A12" s="116"/>
      <c r="B12" s="116"/>
      <c r="C12" s="116"/>
      <c r="D12" s="116"/>
      <c r="E12" s="116"/>
      <c r="F12" s="116"/>
      <c r="G12" s="116"/>
      <c r="I12" s="182" t="s">
        <v>393</v>
      </c>
      <c r="J12" s="245">
        <f>J2*1000/(2*J6*J5*J7)</f>
        <v>2.0270270270270272</v>
      </c>
    </row>
    <row r="13" spans="1:11" ht="15.75" thickBot="1">
      <c r="A13" s="116"/>
      <c r="B13" s="116"/>
      <c r="C13" s="125" t="s">
        <v>130</v>
      </c>
      <c r="D13" s="125" t="s">
        <v>26</v>
      </c>
      <c r="E13" s="125" t="s">
        <v>145</v>
      </c>
      <c r="F13" s="125" t="s">
        <v>146</v>
      </c>
      <c r="G13" s="116"/>
      <c r="I13" s="137" t="s">
        <v>394</v>
      </c>
      <c r="J13" s="246">
        <f>2*J6*J5/J2</f>
        <v>2.4666666666666668</v>
      </c>
    </row>
    <row r="14" spans="1:11">
      <c r="A14" s="116"/>
      <c r="B14" s="117" t="s">
        <v>137</v>
      </c>
      <c r="C14" s="119"/>
      <c r="D14" s="120" t="s">
        <v>138</v>
      </c>
      <c r="E14" s="120"/>
      <c r="F14" s="121"/>
      <c r="G14" s="116"/>
      <c r="I14" s="137" t="s">
        <v>395</v>
      </c>
      <c r="J14" s="247">
        <f>J5*J2</f>
        <v>4.8000000000000007</v>
      </c>
    </row>
    <row r="15" spans="1:11" ht="15.75" thickBot="1">
      <c r="A15" s="116"/>
      <c r="B15" s="118" t="s">
        <v>139</v>
      </c>
      <c r="C15" s="122"/>
      <c r="D15" s="123"/>
      <c r="E15" s="123"/>
      <c r="F15" s="124" t="s">
        <v>138</v>
      </c>
      <c r="G15" s="116"/>
      <c r="I15" s="151" t="s">
        <v>399</v>
      </c>
      <c r="J15" s="248">
        <f>0.5*J9*J10</f>
        <v>2.9430000000000001</v>
      </c>
    </row>
    <row r="16" spans="1:11" ht="15.75" thickBot="1">
      <c r="A16" s="116"/>
      <c r="B16" s="116"/>
      <c r="C16" s="116"/>
      <c r="D16" s="116"/>
      <c r="E16" s="116"/>
      <c r="F16" s="116"/>
      <c r="G16" s="116"/>
    </row>
    <row r="17" spans="1:10">
      <c r="A17" s="116"/>
      <c r="B17" s="117" t="s">
        <v>140</v>
      </c>
      <c r="C17" s="119" t="s">
        <v>138</v>
      </c>
      <c r="D17" s="120"/>
      <c r="E17" s="120"/>
      <c r="F17" s="121"/>
      <c r="G17" s="116"/>
    </row>
    <row r="18" spans="1:10" ht="15.75" thickBot="1">
      <c r="A18" s="116"/>
      <c r="B18" s="118" t="s">
        <v>141</v>
      </c>
      <c r="C18" s="122"/>
      <c r="D18" s="123"/>
      <c r="E18" s="123" t="s">
        <v>138</v>
      </c>
      <c r="F18" s="124"/>
      <c r="G18" s="116"/>
    </row>
    <row r="19" spans="1:10">
      <c r="A19" s="116"/>
      <c r="B19" s="116"/>
      <c r="C19" s="116"/>
      <c r="D19" s="116"/>
      <c r="E19" s="116"/>
      <c r="F19" s="116"/>
      <c r="G19" s="116"/>
    </row>
    <row r="20" spans="1:10" ht="15.75" customHeight="1"/>
    <row r="21" spans="1:10">
      <c r="I21" s="178" t="s">
        <v>489</v>
      </c>
      <c r="J21" s="178" t="s">
        <v>490</v>
      </c>
    </row>
    <row r="22" spans="1:10">
      <c r="I22" s="314">
        <v>1</v>
      </c>
      <c r="J22" s="318">
        <f>$J$3*SIN(PI()/(2*I22))</f>
        <v>26</v>
      </c>
    </row>
    <row r="23" spans="1:10">
      <c r="I23" s="314">
        <v>2</v>
      </c>
      <c r="J23" s="318">
        <f t="shared" ref="J23:J30" si="0">$J$3*SIN(PI()/(2*I23))</f>
        <v>18.384776310850235</v>
      </c>
    </row>
    <row r="24" spans="1:10" ht="15.75" thickBot="1">
      <c r="I24" s="315">
        <f t="shared" ref="I24:I30" si="1">2*I23</f>
        <v>4</v>
      </c>
      <c r="J24" s="319">
        <f t="shared" si="0"/>
        <v>9.9497692414923335</v>
      </c>
    </row>
    <row r="25" spans="1:10" ht="15.75" thickBot="1">
      <c r="I25" s="316">
        <f t="shared" si="1"/>
        <v>8</v>
      </c>
      <c r="J25" s="320">
        <f t="shared" si="0"/>
        <v>5.0723483724193343</v>
      </c>
    </row>
    <row r="26" spans="1:10">
      <c r="I26" s="317">
        <f t="shared" si="1"/>
        <v>16</v>
      </c>
      <c r="J26" s="321">
        <f t="shared" si="0"/>
        <v>2.5484456485685758</v>
      </c>
    </row>
    <row r="27" spans="1:10">
      <c r="I27" s="314">
        <f t="shared" si="1"/>
        <v>32</v>
      </c>
      <c r="J27" s="318">
        <f t="shared" si="0"/>
        <v>1.2757595325128683</v>
      </c>
    </row>
    <row r="28" spans="1:10">
      <c r="I28" s="314">
        <f t="shared" si="1"/>
        <v>64</v>
      </c>
      <c r="J28" s="318">
        <f t="shared" si="0"/>
        <v>0.63807194159571945</v>
      </c>
    </row>
    <row r="29" spans="1:10">
      <c r="I29" s="314">
        <f t="shared" si="1"/>
        <v>128</v>
      </c>
      <c r="J29" s="318">
        <f t="shared" si="0"/>
        <v>0.31905999542871805</v>
      </c>
    </row>
    <row r="30" spans="1:10">
      <c r="I30" s="314">
        <f t="shared" si="1"/>
        <v>256</v>
      </c>
      <c r="J30" s="318">
        <f t="shared" si="0"/>
        <v>0.15953300087801636</v>
      </c>
    </row>
  </sheetData>
  <mergeCells count="1">
    <mergeCell ref="I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C3C7-BC6F-4010-AA42-E3C97C04C3D6}">
  <dimension ref="B1:L10"/>
  <sheetViews>
    <sheetView showGridLines="0" zoomScale="70" zoomScaleNormal="70" workbookViewId="0">
      <selection activeCell="H5" sqref="H5"/>
    </sheetView>
  </sheetViews>
  <sheetFormatPr baseColWidth="10" defaultRowHeight="15"/>
  <cols>
    <col min="5" max="5" width="20" bestFit="1" customWidth="1"/>
    <col min="9" max="9" width="15.42578125" bestFit="1" customWidth="1"/>
  </cols>
  <sheetData>
    <row r="1" spans="2:12" ht="15.75" thickBot="1">
      <c r="B1" s="425" t="s">
        <v>6</v>
      </c>
      <c r="C1" s="426"/>
      <c r="D1" s="426"/>
      <c r="E1" s="427"/>
    </row>
    <row r="2" spans="2:12" ht="15.75" thickBot="1">
      <c r="B2" s="217" t="s">
        <v>356</v>
      </c>
      <c r="C2" s="218" t="s">
        <v>357</v>
      </c>
      <c r="D2" s="219" t="s">
        <v>358</v>
      </c>
      <c r="E2" s="228" t="s">
        <v>359</v>
      </c>
      <c r="G2" s="423" t="s">
        <v>369</v>
      </c>
      <c r="H2" s="424"/>
      <c r="J2" s="1"/>
      <c r="K2" s="1" t="s">
        <v>376</v>
      </c>
      <c r="L2" s="1" t="s">
        <v>377</v>
      </c>
    </row>
    <row r="3" spans="2:12">
      <c r="B3" s="186" t="s">
        <v>360</v>
      </c>
      <c r="C3" s="184" t="s">
        <v>360</v>
      </c>
      <c r="D3" s="187" t="s">
        <v>360</v>
      </c>
      <c r="E3" s="185" t="s">
        <v>362</v>
      </c>
      <c r="G3" s="184" t="s">
        <v>371</v>
      </c>
      <c r="H3" s="230">
        <v>0.8</v>
      </c>
      <c r="J3" s="1" t="s">
        <v>375</v>
      </c>
      <c r="K3" s="209">
        <v>30</v>
      </c>
      <c r="L3" s="209">
        <v>250</v>
      </c>
    </row>
    <row r="4" spans="2:12">
      <c r="B4" s="188" t="s">
        <v>361</v>
      </c>
      <c r="C4" s="178" t="s">
        <v>360</v>
      </c>
      <c r="D4" s="189" t="s">
        <v>360</v>
      </c>
      <c r="E4" s="179" t="s">
        <v>363</v>
      </c>
      <c r="G4" s="184" t="s">
        <v>370</v>
      </c>
      <c r="H4" s="230">
        <v>1</v>
      </c>
      <c r="I4" s="194" t="s">
        <v>372</v>
      </c>
    </row>
    <row r="5" spans="2:12">
      <c r="B5" s="188" t="s">
        <v>360</v>
      </c>
      <c r="C5" s="178" t="s">
        <v>361</v>
      </c>
      <c r="D5" s="189" t="s">
        <v>360</v>
      </c>
      <c r="E5" s="179" t="s">
        <v>364</v>
      </c>
      <c r="G5" s="178" t="s">
        <v>368</v>
      </c>
      <c r="H5" s="236">
        <f>H4*2</f>
        <v>2</v>
      </c>
    </row>
    <row r="6" spans="2:12">
      <c r="B6" s="237" t="s">
        <v>361</v>
      </c>
      <c r="C6" s="238" t="s">
        <v>361</v>
      </c>
      <c r="D6" s="239" t="s">
        <v>360</v>
      </c>
      <c r="E6" s="240" t="s">
        <v>365</v>
      </c>
    </row>
    <row r="7" spans="2:12">
      <c r="B7" s="188" t="s">
        <v>360</v>
      </c>
      <c r="C7" s="178" t="s">
        <v>360</v>
      </c>
      <c r="D7" s="189" t="s">
        <v>361</v>
      </c>
      <c r="E7" s="179" t="s">
        <v>367</v>
      </c>
    </row>
    <row r="8" spans="2:12">
      <c r="B8" s="188" t="s">
        <v>361</v>
      </c>
      <c r="C8" s="178" t="s">
        <v>360</v>
      </c>
      <c r="D8" s="189" t="s">
        <v>361</v>
      </c>
      <c r="E8" s="179" t="s">
        <v>366</v>
      </c>
    </row>
    <row r="9" spans="2:12">
      <c r="B9" s="188" t="s">
        <v>360</v>
      </c>
      <c r="C9" s="178" t="s">
        <v>361</v>
      </c>
      <c r="D9" s="189" t="s">
        <v>361</v>
      </c>
      <c r="E9" s="179" t="s">
        <v>366</v>
      </c>
    </row>
    <row r="10" spans="2:12" ht="15.75" thickBot="1">
      <c r="B10" s="190" t="s">
        <v>361</v>
      </c>
      <c r="C10" s="191" t="s">
        <v>361</v>
      </c>
      <c r="D10" s="192" t="s">
        <v>361</v>
      </c>
      <c r="E10" s="179" t="s">
        <v>366</v>
      </c>
    </row>
  </sheetData>
  <mergeCells count="2">
    <mergeCell ref="B1:E1"/>
    <mergeCell ref="G2:H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19B9-8B47-4388-BE8A-938A1BA2013A}">
  <dimension ref="A1:C27"/>
  <sheetViews>
    <sheetView workbookViewId="0">
      <selection activeCell="F4" sqref="F4"/>
    </sheetView>
  </sheetViews>
  <sheetFormatPr baseColWidth="10" defaultRowHeight="15"/>
  <sheetData>
    <row r="1" spans="1:3">
      <c r="A1" s="335" t="s">
        <v>509</v>
      </c>
    </row>
    <row r="3" spans="1:3">
      <c r="A3" s="336" t="s">
        <v>515</v>
      </c>
    </row>
    <row r="4" spans="1:3">
      <c r="A4" s="334" t="s">
        <v>510</v>
      </c>
    </row>
    <row r="5" spans="1:3">
      <c r="A5" s="336" t="s">
        <v>516</v>
      </c>
    </row>
    <row r="6" spans="1:3">
      <c r="A6" s="334" t="s">
        <v>511</v>
      </c>
    </row>
    <row r="7" spans="1:3">
      <c r="A7" s="336" t="s">
        <v>517</v>
      </c>
    </row>
    <row r="8" spans="1:3">
      <c r="A8" s="334" t="s">
        <v>512</v>
      </c>
    </row>
    <row r="9" spans="1:3">
      <c r="A9" s="334" t="s">
        <v>513</v>
      </c>
    </row>
    <row r="10" spans="1:3">
      <c r="A10" s="334" t="s">
        <v>514</v>
      </c>
    </row>
    <row r="11" spans="1:3" ht="15.75" thickBot="1"/>
    <row r="12" spans="1:3" ht="32.25" customHeight="1" thickBot="1">
      <c r="B12" s="428" t="s">
        <v>520</v>
      </c>
      <c r="C12" s="429"/>
    </row>
    <row r="13" spans="1:3" ht="15.75" thickBot="1">
      <c r="B13" s="217" t="s">
        <v>518</v>
      </c>
      <c r="C13" s="219" t="s">
        <v>519</v>
      </c>
    </row>
    <row r="14" spans="1:3">
      <c r="B14" s="389">
        <v>0</v>
      </c>
      <c r="C14" s="389">
        <v>0</v>
      </c>
    </row>
    <row r="15" spans="1:3">
      <c r="B15" s="244">
        <v>10</v>
      </c>
      <c r="C15" s="244">
        <v>1E-3</v>
      </c>
    </row>
    <row r="16" spans="1:3">
      <c r="B16" s="244">
        <v>100</v>
      </c>
      <c r="C16" s="244">
        <v>0.01</v>
      </c>
    </row>
    <row r="17" spans="2:3">
      <c r="B17" s="244">
        <v>500</v>
      </c>
      <c r="C17" s="244">
        <v>0.1</v>
      </c>
    </row>
    <row r="18" spans="2:3">
      <c r="B18" s="244">
        <v>1000</v>
      </c>
      <c r="C18" s="244">
        <v>0.2</v>
      </c>
    </row>
    <row r="19" spans="2:3">
      <c r="B19" s="244">
        <v>2000</v>
      </c>
      <c r="C19" s="244">
        <v>0.4</v>
      </c>
    </row>
    <row r="20" spans="2:3">
      <c r="B20" s="244">
        <v>5000</v>
      </c>
      <c r="C20" s="244">
        <v>0.6</v>
      </c>
    </row>
    <row r="21" spans="2:3">
      <c r="B21" s="244">
        <v>10000</v>
      </c>
      <c r="C21" s="244">
        <v>0.8</v>
      </c>
    </row>
    <row r="22" spans="2:3">
      <c r="B22" s="244">
        <v>20000</v>
      </c>
      <c r="C22" s="244">
        <v>1</v>
      </c>
    </row>
    <row r="23" spans="2:3">
      <c r="B23" s="244">
        <v>50000</v>
      </c>
      <c r="C23" s="244">
        <v>1.1000000000000001</v>
      </c>
    </row>
    <row r="24" spans="2:3">
      <c r="B24" s="244">
        <v>100000</v>
      </c>
      <c r="C24" s="244">
        <v>1.2</v>
      </c>
    </row>
    <row r="25" spans="2:3">
      <c r="B25" s="244">
        <v>200000</v>
      </c>
      <c r="C25" s="244">
        <v>1.3</v>
      </c>
    </row>
    <row r="26" spans="2:3">
      <c r="B26" s="244">
        <v>500000</v>
      </c>
      <c r="C26" s="244">
        <v>1.4</v>
      </c>
    </row>
    <row r="27" spans="2:3">
      <c r="B27" s="244">
        <v>1000000</v>
      </c>
      <c r="C27" s="244">
        <v>1.5</v>
      </c>
    </row>
  </sheetData>
  <mergeCells count="1">
    <mergeCell ref="B12:C12"/>
  </mergeCells>
  <hyperlinks>
    <hyperlink ref="A1" r:id="rId1" xr:uid="{0063A8B3-661D-434F-89F3-227D7E3EC57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D0A80-E060-48D7-B392-38EF1BCA2CAA}">
  <dimension ref="B1:V45"/>
  <sheetViews>
    <sheetView showGridLines="0" topLeftCell="B1" zoomScale="85" zoomScaleNormal="85" workbookViewId="0">
      <selection activeCell="S30" sqref="S30"/>
    </sheetView>
  </sheetViews>
  <sheetFormatPr baseColWidth="10" defaultRowHeight="15"/>
  <cols>
    <col min="2" max="2" width="21.140625" bestFit="1" customWidth="1"/>
    <col min="3" max="3" width="22.42578125" customWidth="1"/>
    <col min="4" max="4" width="25.140625" bestFit="1" customWidth="1"/>
    <col min="11" max="11" width="18.5703125" bestFit="1" customWidth="1"/>
    <col min="22" max="22" width="12.140625" customWidth="1"/>
  </cols>
  <sheetData>
    <row r="1" spans="2:22" ht="15.75" thickBot="1">
      <c r="C1" s="413" t="s">
        <v>484</v>
      </c>
      <c r="D1" s="414"/>
    </row>
    <row r="2" spans="2:22">
      <c r="C2" s="193" t="s">
        <v>143</v>
      </c>
      <c r="D2" s="241">
        <v>12.1</v>
      </c>
      <c r="E2" s="126" t="s">
        <v>144</v>
      </c>
    </row>
    <row r="3" spans="2:22">
      <c r="C3" s="180" t="s">
        <v>151</v>
      </c>
      <c r="D3" s="241">
        <v>5</v>
      </c>
      <c r="M3" s="127"/>
      <c r="N3" s="127"/>
      <c r="O3" s="128" t="s">
        <v>130</v>
      </c>
      <c r="P3" s="129" t="s">
        <v>26</v>
      </c>
      <c r="Q3" s="129" t="s">
        <v>145</v>
      </c>
      <c r="R3" s="129" t="s">
        <v>146</v>
      </c>
      <c r="S3" s="129" t="s">
        <v>147</v>
      </c>
      <c r="T3" s="129" t="s">
        <v>148</v>
      </c>
      <c r="U3" s="129" t="s">
        <v>136</v>
      </c>
      <c r="V3" s="129" t="s">
        <v>131</v>
      </c>
    </row>
    <row r="4" spans="2:22">
      <c r="C4" s="1" t="s">
        <v>152</v>
      </c>
      <c r="D4" s="241">
        <v>6</v>
      </c>
      <c r="M4" s="130" t="s">
        <v>149</v>
      </c>
      <c r="N4" s="130" t="s">
        <v>149</v>
      </c>
      <c r="O4" s="131">
        <v>1</v>
      </c>
      <c r="P4" s="131">
        <v>2</v>
      </c>
      <c r="Q4" s="131">
        <v>3</v>
      </c>
      <c r="R4" s="131">
        <v>4</v>
      </c>
      <c r="S4" s="131">
        <v>5</v>
      </c>
      <c r="T4" s="131">
        <v>6</v>
      </c>
      <c r="U4" s="131">
        <v>7</v>
      </c>
      <c r="V4" s="131">
        <v>8</v>
      </c>
    </row>
    <row r="5" spans="2:22">
      <c r="C5" s="1"/>
      <c r="D5" s="1"/>
      <c r="M5" s="132" t="s">
        <v>149</v>
      </c>
      <c r="N5" s="133" t="s">
        <v>149</v>
      </c>
      <c r="O5" s="129" t="s">
        <v>130</v>
      </c>
      <c r="P5" s="129" t="s">
        <v>26</v>
      </c>
      <c r="Q5" s="129" t="s">
        <v>145</v>
      </c>
      <c r="R5" s="129" t="s">
        <v>146</v>
      </c>
      <c r="S5" s="129" t="s">
        <v>147</v>
      </c>
      <c r="T5" s="129" t="s">
        <v>148</v>
      </c>
      <c r="U5" s="129" t="s">
        <v>136</v>
      </c>
      <c r="V5" s="129" t="s">
        <v>131</v>
      </c>
    </row>
    <row r="6" spans="2:22">
      <c r="C6" s="1" t="s">
        <v>153</v>
      </c>
      <c r="D6" s="241">
        <v>2</v>
      </c>
      <c r="M6" s="134">
        <v>8</v>
      </c>
      <c r="N6" s="135">
        <v>8</v>
      </c>
      <c r="O6" s="276"/>
      <c r="P6" s="276"/>
      <c r="Q6" s="276"/>
      <c r="R6" s="276"/>
      <c r="S6" s="276"/>
      <c r="T6" s="276"/>
      <c r="U6" s="276"/>
      <c r="V6" s="276"/>
    </row>
    <row r="7" spans="2:22">
      <c r="C7" s="1" t="s">
        <v>352</v>
      </c>
      <c r="D7" s="310">
        <v>20</v>
      </c>
      <c r="M7" s="134">
        <v>7</v>
      </c>
      <c r="N7" s="135">
        <v>7</v>
      </c>
      <c r="O7" s="276"/>
      <c r="P7" s="276"/>
      <c r="Q7" s="276"/>
      <c r="R7" s="276"/>
      <c r="S7" s="276"/>
      <c r="T7" s="276"/>
      <c r="U7" s="276"/>
      <c r="V7" s="276"/>
    </row>
    <row r="8" spans="2:22">
      <c r="C8" s="1" t="s">
        <v>353</v>
      </c>
      <c r="D8" s="232">
        <v>200</v>
      </c>
      <c r="M8" s="134">
        <v>6</v>
      </c>
      <c r="N8" s="135">
        <v>6</v>
      </c>
      <c r="O8" s="276"/>
      <c r="P8" s="276"/>
      <c r="Q8" s="276"/>
      <c r="R8" s="276"/>
      <c r="S8" s="276"/>
      <c r="T8" s="276"/>
      <c r="U8" s="276"/>
      <c r="V8" s="276"/>
    </row>
    <row r="9" spans="2:22">
      <c r="C9" s="1" t="s">
        <v>354</v>
      </c>
      <c r="D9" s="232">
        <v>8</v>
      </c>
      <c r="M9" s="134">
        <v>5</v>
      </c>
      <c r="N9" s="135">
        <v>5</v>
      </c>
      <c r="O9" s="276"/>
      <c r="P9" s="276"/>
      <c r="Q9" s="276"/>
      <c r="R9" s="276"/>
      <c r="S9" s="276"/>
      <c r="T9" s="276"/>
      <c r="U9" s="276"/>
      <c r="V9" s="276"/>
    </row>
    <row r="10" spans="2:22" ht="15.75" thickBot="1">
      <c r="C10" s="181" t="s">
        <v>142</v>
      </c>
      <c r="D10" s="241">
        <v>37</v>
      </c>
      <c r="M10" s="134">
        <v>4</v>
      </c>
      <c r="N10" s="135">
        <v>4</v>
      </c>
      <c r="O10" s="276"/>
      <c r="P10" s="276"/>
      <c r="Q10" s="276"/>
      <c r="R10" s="276"/>
      <c r="S10" s="276"/>
      <c r="T10" s="276"/>
      <c r="U10" s="276"/>
      <c r="V10" s="276"/>
    </row>
    <row r="11" spans="2:22">
      <c r="C11" s="182" t="s">
        <v>483</v>
      </c>
      <c r="D11" s="322">
        <f>D8*D9/(D6*D7)</f>
        <v>40</v>
      </c>
      <c r="M11" s="134">
        <v>3</v>
      </c>
      <c r="N11" s="135">
        <v>3</v>
      </c>
      <c r="O11" s="276"/>
      <c r="P11" s="276"/>
      <c r="Q11" s="276"/>
      <c r="R11" s="276"/>
      <c r="S11" s="276"/>
      <c r="T11" s="276"/>
      <c r="U11" s="276"/>
      <c r="V11" s="276"/>
    </row>
    <row r="12" spans="2:22">
      <c r="C12" s="137" t="s">
        <v>142</v>
      </c>
      <c r="D12" s="266">
        <f>ROUND(D11*D10,0)</f>
        <v>1480</v>
      </c>
      <c r="M12" s="134">
        <v>2</v>
      </c>
      <c r="N12" s="135">
        <v>2</v>
      </c>
      <c r="O12" s="276"/>
      <c r="P12" s="276"/>
      <c r="Q12" s="276"/>
      <c r="R12" s="276"/>
      <c r="S12" s="276"/>
      <c r="T12" s="276"/>
      <c r="U12" s="276"/>
      <c r="V12" s="276"/>
    </row>
    <row r="13" spans="2:22" ht="15.75" thickBot="1">
      <c r="C13" s="289" t="s">
        <v>455</v>
      </c>
      <c r="D13" s="265">
        <f>D12/D9</f>
        <v>185</v>
      </c>
      <c r="E13" t="s">
        <v>421</v>
      </c>
      <c r="M13" s="134">
        <v>1</v>
      </c>
      <c r="N13" s="135">
        <v>1</v>
      </c>
      <c r="O13" s="277"/>
      <c r="P13" s="277"/>
      <c r="Q13" s="277"/>
      <c r="R13" s="277"/>
      <c r="S13" s="277"/>
      <c r="T13" s="277"/>
      <c r="U13" s="277"/>
      <c r="V13" s="277"/>
    </row>
    <row r="14" spans="2:22" ht="15.75" thickBot="1">
      <c r="D14" s="183"/>
    </row>
    <row r="15" spans="2:22">
      <c r="C15" s="182" t="s">
        <v>433</v>
      </c>
      <c r="D15" s="267">
        <v>1</v>
      </c>
      <c r="M15" s="288" t="s">
        <v>441</v>
      </c>
      <c r="N15" s="278"/>
      <c r="O15" s="278"/>
      <c r="P15" s="278"/>
      <c r="Q15" s="278"/>
      <c r="R15" s="279"/>
    </row>
    <row r="16" spans="2:22">
      <c r="B16" t="s">
        <v>440</v>
      </c>
      <c r="C16" s="290" t="s">
        <v>454</v>
      </c>
      <c r="D16" s="271">
        <f>SQRT(D15^2+D15^2)</f>
        <v>1.4142135623730951</v>
      </c>
      <c r="M16" s="280" t="s">
        <v>428</v>
      </c>
      <c r="N16" s="281"/>
      <c r="O16" s="281"/>
      <c r="P16" s="281"/>
      <c r="Q16" s="281"/>
      <c r="R16" s="282"/>
    </row>
    <row r="17" spans="2:18">
      <c r="C17" s="137" t="s">
        <v>432</v>
      </c>
      <c r="D17" s="268">
        <v>37</v>
      </c>
      <c r="M17" s="280" t="s">
        <v>425</v>
      </c>
      <c r="N17" s="281"/>
      <c r="O17" s="281"/>
      <c r="P17" s="281"/>
      <c r="Q17" s="281" t="s">
        <v>422</v>
      </c>
      <c r="R17" s="282" t="s">
        <v>429</v>
      </c>
    </row>
    <row r="18" spans="2:18" ht="15.75" thickBot="1">
      <c r="C18" s="151" t="s">
        <v>431</v>
      </c>
      <c r="D18" s="270">
        <f>D17*SQRT(2)</f>
        <v>52.32590180780452</v>
      </c>
      <c r="M18" s="280" t="s">
        <v>426</v>
      </c>
      <c r="N18" s="281"/>
      <c r="O18" s="281"/>
      <c r="P18" s="281"/>
      <c r="Q18" s="281"/>
      <c r="R18" s="282"/>
    </row>
    <row r="19" spans="2:18" ht="15.75" thickBot="1">
      <c r="G19" s="214"/>
      <c r="M19" s="280" t="s">
        <v>427</v>
      </c>
      <c r="N19" s="281"/>
      <c r="O19" s="281"/>
      <c r="P19" s="281"/>
      <c r="Q19" s="281" t="s">
        <v>424</v>
      </c>
      <c r="R19" s="282" t="s">
        <v>423</v>
      </c>
    </row>
    <row r="20" spans="2:18">
      <c r="C20" s="182" t="s">
        <v>434</v>
      </c>
      <c r="D20" s="269">
        <v>300</v>
      </c>
      <c r="E20" t="s">
        <v>437</v>
      </c>
      <c r="M20" s="280"/>
      <c r="N20" s="281"/>
      <c r="O20" s="281"/>
      <c r="P20" s="281"/>
      <c r="Q20" s="281"/>
      <c r="R20" s="282"/>
    </row>
    <row r="21" spans="2:18">
      <c r="C21" s="137" t="s">
        <v>434</v>
      </c>
      <c r="D21" s="268">
        <v>262</v>
      </c>
      <c r="E21" t="s">
        <v>437</v>
      </c>
      <c r="M21" s="280" t="s">
        <v>430</v>
      </c>
      <c r="N21" s="281"/>
      <c r="O21" s="281"/>
      <c r="P21" s="281"/>
      <c r="Q21" s="281"/>
      <c r="R21" s="282"/>
    </row>
    <row r="22" spans="2:18" ht="15.75" thickBot="1">
      <c r="B22" t="s">
        <v>440</v>
      </c>
      <c r="C22" s="151" t="s">
        <v>435</v>
      </c>
      <c r="D22" s="270">
        <f>SQRT(D21^2+D21^2)</f>
        <v>370.52395334175088</v>
      </c>
      <c r="M22" s="283" t="s">
        <v>436</v>
      </c>
      <c r="N22" s="284"/>
      <c r="O22" s="284"/>
      <c r="P22" s="284"/>
      <c r="Q22" s="284"/>
      <c r="R22" s="285"/>
    </row>
    <row r="23" spans="2:18" ht="15.75" thickBot="1">
      <c r="N23" s="251"/>
    </row>
    <row r="24" spans="2:18">
      <c r="M24" s="288" t="s">
        <v>442</v>
      </c>
      <c r="N24" s="286"/>
      <c r="O24" s="278"/>
      <c r="P24" s="278"/>
      <c r="Q24" s="278"/>
      <c r="R24" s="279"/>
    </row>
    <row r="25" spans="2:18">
      <c r="M25" s="280" t="s">
        <v>448</v>
      </c>
      <c r="N25" s="281"/>
      <c r="O25" s="281"/>
      <c r="P25" s="281"/>
      <c r="Q25" s="281"/>
      <c r="R25" s="282"/>
    </row>
    <row r="26" spans="2:18">
      <c r="M26" s="280" t="s">
        <v>449</v>
      </c>
      <c r="N26" s="281"/>
      <c r="O26" s="281"/>
      <c r="P26" s="281"/>
      <c r="Q26" s="281" t="s">
        <v>424</v>
      </c>
      <c r="R26" s="282" t="s">
        <v>452</v>
      </c>
    </row>
    <row r="27" spans="2:18">
      <c r="M27" s="280" t="s">
        <v>443</v>
      </c>
      <c r="N27" s="281"/>
      <c r="O27" s="281"/>
      <c r="P27" s="281"/>
      <c r="Q27" s="281"/>
      <c r="R27" s="282"/>
    </row>
    <row r="28" spans="2:18">
      <c r="M28" s="280" t="s">
        <v>444</v>
      </c>
      <c r="N28" s="281"/>
      <c r="O28" s="281"/>
      <c r="P28" s="281"/>
      <c r="Q28" s="281" t="s">
        <v>424</v>
      </c>
      <c r="R28" s="282" t="s">
        <v>445</v>
      </c>
    </row>
    <row r="29" spans="2:18">
      <c r="M29" s="280" t="s">
        <v>450</v>
      </c>
      <c r="N29" s="281"/>
      <c r="O29" s="281"/>
      <c r="P29" s="281"/>
      <c r="Q29" s="281"/>
      <c r="R29" s="282"/>
    </row>
    <row r="30" spans="2:18">
      <c r="M30" s="280" t="s">
        <v>451</v>
      </c>
      <c r="N30" s="281"/>
      <c r="O30" s="281"/>
      <c r="P30" s="281"/>
      <c r="Q30" s="281" t="s">
        <v>424</v>
      </c>
      <c r="R30" s="282" t="s">
        <v>452</v>
      </c>
    </row>
    <row r="31" spans="2:18">
      <c r="M31" s="280" t="s">
        <v>446</v>
      </c>
      <c r="N31" s="281"/>
      <c r="O31" s="281"/>
      <c r="P31" s="281"/>
      <c r="Q31" s="281"/>
      <c r="R31" s="282"/>
    </row>
    <row r="32" spans="2:18">
      <c r="M32" s="280" t="s">
        <v>447</v>
      </c>
      <c r="N32" s="281"/>
      <c r="O32" s="281"/>
      <c r="P32" s="281"/>
      <c r="Q32" s="281" t="s">
        <v>424</v>
      </c>
      <c r="R32" s="282" t="s">
        <v>445</v>
      </c>
    </row>
    <row r="33" spans="3:18">
      <c r="M33" s="287"/>
      <c r="N33" s="281"/>
      <c r="O33" s="281"/>
      <c r="P33" s="281"/>
      <c r="Q33" s="281"/>
      <c r="R33" s="282"/>
    </row>
    <row r="34" spans="3:18">
      <c r="M34" s="280" t="s">
        <v>430</v>
      </c>
      <c r="N34" s="281"/>
      <c r="O34" s="281"/>
      <c r="P34" s="281"/>
      <c r="Q34" s="281"/>
      <c r="R34" s="282"/>
    </row>
    <row r="35" spans="3:18" ht="15.75" thickBot="1">
      <c r="M35" s="283" t="s">
        <v>491</v>
      </c>
      <c r="N35" s="284"/>
      <c r="O35" s="284"/>
      <c r="P35" s="284"/>
      <c r="Q35" s="284"/>
      <c r="R35" s="285"/>
    </row>
    <row r="39" spans="3:18">
      <c r="O39">
        <f>1901*37/185</f>
        <v>380.2</v>
      </c>
    </row>
    <row r="43" spans="3:18">
      <c r="C43" s="4" t="s">
        <v>355</v>
      </c>
    </row>
    <row r="45" spans="3:18">
      <c r="D45">
        <f>SQRT(37^2+37^2)/37</f>
        <v>1.4142135623730951</v>
      </c>
    </row>
  </sheetData>
  <mergeCells count="1">
    <mergeCell ref="C1:D1"/>
  </mergeCells>
  <hyperlinks>
    <hyperlink ref="C43" r:id="rId1" xr:uid="{72DC401C-99DB-40E1-85D7-8C6788D5D512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Mapping AT2560</vt:lpstr>
      <vt:lpstr>Power Tree</vt:lpstr>
      <vt:lpstr>Hall sensor matrix</vt:lpstr>
      <vt:lpstr>Hall sensor Calcul</vt:lpstr>
      <vt:lpstr>Motor Move</vt:lpstr>
      <vt:lpstr>StepMot</vt:lpstr>
      <vt:lpstr>StepMot Driver</vt:lpstr>
      <vt:lpstr>Magnet</vt:lpstr>
      <vt:lpstr>Square size</vt:lpstr>
      <vt:lpstr>Electromagnet1</vt:lpstr>
      <vt:lpstr>Electromagnet2</vt:lpstr>
      <vt:lpstr>Electromagnet Driver</vt:lpstr>
      <vt:lpstr>RAMP CONT 1,4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shavy</dc:creator>
  <cp:lastModifiedBy>shavy</cp:lastModifiedBy>
  <dcterms:created xsi:type="dcterms:W3CDTF">2015-06-05T18:19:34Z</dcterms:created>
  <dcterms:modified xsi:type="dcterms:W3CDTF">2025-07-18T07:16:00Z</dcterms:modified>
</cp:coreProperties>
</file>