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revisions/userNames.xml" ContentType="application/vnd.openxmlformats-officedocument.spreadsheetml.userNam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Default Extension="png" ContentType="image/png"/>
  <Override PartName="/xl/revisions/revisionLog1.xml" ContentType="application/vnd.openxmlformats-officedocument.spreadsheetml.revisionLo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revisions/revisionHeaders.xml" ContentType="application/vnd.openxmlformats-officedocument.spreadsheetml.revisionHeaders+xml"/>
  <Override PartName="/xl/worksheets/sheet59.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11"/>
  </bookViews>
  <sheets>
    <sheet name="Missing information" sheetId="1" r:id="rId1"/>
    <sheet name="About Us" sheetId="2" r:id="rId2"/>
    <sheet name="BackgroundData" sheetId="3" r:id="rId3"/>
    <sheet name="Instructions" sheetId="4" r:id="rId4"/>
    <sheet name="AL " sheetId="5" r:id="rId5"/>
    <sheet name="AK " sheetId="6" r:id="rId6"/>
    <sheet name="AZ " sheetId="7" r:id="rId7"/>
    <sheet name="AR " sheetId="8" r:id="rId8"/>
    <sheet name="CA " sheetId="9" r:id="rId9"/>
    <sheet name="CO " sheetId="10" r:id="rId10"/>
    <sheet name="CT " sheetId="11" r:id="rId11"/>
    <sheet name="DE " sheetId="12" r:id="rId12"/>
    <sheet name="DC " sheetId="13" r:id="rId13"/>
    <sheet name="FL " sheetId="14" r:id="rId14"/>
    <sheet name="GA " sheetId="15" r:id="rId15"/>
    <sheet name="HI " sheetId="16" r:id="rId16"/>
    <sheet name="ID " sheetId="17" r:id="rId17"/>
    <sheet name="IL " sheetId="18" r:id="rId18"/>
    <sheet name="IN " sheetId="19" r:id="rId19"/>
    <sheet name="IA " sheetId="20" r:id="rId20"/>
    <sheet name="KS " sheetId="21" r:id="rId21"/>
    <sheet name="KY " sheetId="22" r:id="rId22"/>
    <sheet name="LA " sheetId="23" r:id="rId23"/>
    <sheet name="ME " sheetId="24" r:id="rId24"/>
    <sheet name="MD " sheetId="25" r:id="rId25"/>
    <sheet name="MA " sheetId="26" r:id="rId26"/>
    <sheet name="MI " sheetId="27" r:id="rId27"/>
    <sheet name="MN " sheetId="28" r:id="rId28"/>
    <sheet name="MS " sheetId="29" r:id="rId29"/>
    <sheet name="MO " sheetId="30" r:id="rId30"/>
    <sheet name="MT " sheetId="31" r:id="rId31"/>
    <sheet name="NE " sheetId="32" r:id="rId32"/>
    <sheet name="NV " sheetId="33" r:id="rId33"/>
    <sheet name="NH " sheetId="34" r:id="rId34"/>
    <sheet name="NJ " sheetId="35" r:id="rId35"/>
    <sheet name="NM " sheetId="36" r:id="rId36"/>
    <sheet name="NY " sheetId="37" r:id="rId37"/>
    <sheet name="NC " sheetId="38" r:id="rId38"/>
    <sheet name="ND " sheetId="39" r:id="rId39"/>
    <sheet name="OH " sheetId="40" r:id="rId40"/>
    <sheet name="OK " sheetId="41" r:id="rId41"/>
    <sheet name="OR " sheetId="42" r:id="rId42"/>
    <sheet name="PA " sheetId="43" r:id="rId43"/>
    <sheet name="RI " sheetId="44" r:id="rId44"/>
    <sheet name="SC " sheetId="45" r:id="rId45"/>
    <sheet name="SD " sheetId="46" r:id="rId46"/>
    <sheet name="TN " sheetId="47" r:id="rId47"/>
    <sheet name="TX " sheetId="48" r:id="rId48"/>
    <sheet name="UT " sheetId="49" r:id="rId49"/>
    <sheet name="VT " sheetId="50" r:id="rId50"/>
    <sheet name="VA " sheetId="51" r:id="rId51"/>
    <sheet name="WA " sheetId="52" r:id="rId52"/>
    <sheet name="WV " sheetId="53" r:id="rId53"/>
    <sheet name="WI " sheetId="54" r:id="rId54"/>
    <sheet name="WY " sheetId="55" r:id="rId55"/>
    <sheet name="AS " sheetId="56" r:id="rId56"/>
    <sheet name="GU " sheetId="57" r:id="rId57"/>
    <sheet name="MP " sheetId="58" r:id="rId58"/>
    <sheet name="PR " sheetId="59" r:id="rId59"/>
    <sheet name="VI " sheetId="60" r:id="rId60"/>
    <sheet name="MOI" sheetId="61" r:id="rId61"/>
    <sheet name="FM " sheetId="62" r:id="rId62"/>
    <sheet name="MH " sheetId="63" r:id="rId63"/>
    <sheet name="PW " sheetId="64" r:id="rId64"/>
  </sheets>
  <definedNames>
    <definedName name="PostCode">'DC '!$B$2:$B$42</definedName>
    <definedName name="StateCodes">BackgroundData!$B$2:$B$61</definedName>
    <definedName name="States">BackgroundData!$A$2:$A$61</definedName>
    <definedName name="Z_617856E6_44D1_4ADD_8CA5_796514BA6839_.wvu.Cols" localSheetId="1" hidden="1">'About Us'!$C:$C</definedName>
    <definedName name="Z_617856E6_44D1_4ADD_8CA5_796514BA6839_.wvu.Rows" localSheetId="4" hidden="1">'AL '!$32:$32,'AL '!$34:$34,'AL '!$38:$39,'AL '!$41:$41,'AL '!$43:$43,'AL '!$52:$53,'AL '!$58:$58,'AL '!$63:$63,'AL '!$66:$66,'AL '!$73:$76,'AL '!$81:$81,'AL '!$86:$87</definedName>
    <definedName name="Z_617856E6_44D1_4ADD_8CA5_796514BA6839_.wvu.Rows" localSheetId="10" hidden="1">'CT '!$24:$24,'CT '!$31:$31</definedName>
  </definedNames>
  <calcPr calcId="125725"/>
  <customWorkbookViews>
    <customWorkbookView name="Derek - Personal View" guid="{617856E6-44D1-4ADD-8CA5-796514BA6839}" mergeInterval="0" personalView="1" maximized="1" xWindow="1" yWindow="1" windowWidth="1362" windowHeight="538" activeSheetId="7"/>
  </customWorkbookViews>
</workbook>
</file>

<file path=xl/calcChain.xml><?xml version="1.0" encoding="utf-8"?>
<calcChain xmlns="http://schemas.openxmlformats.org/spreadsheetml/2006/main">
  <c r="A28" i="11"/>
  <c r="A29"/>
  <c r="A30"/>
  <c r="A32"/>
  <c r="A33"/>
  <c r="A34"/>
  <c r="E13" i="8"/>
  <c r="D4" i="60"/>
  <c r="D4" i="57"/>
  <c r="D5" i="51"/>
  <c r="D4"/>
  <c r="D5" i="50"/>
  <c r="D4" i="49"/>
  <c r="D3"/>
  <c r="D5" i="48"/>
  <c r="D5" i="47"/>
  <c r="D4"/>
  <c r="D3"/>
  <c r="D5" i="46"/>
  <c r="D4"/>
  <c r="D4" i="44"/>
  <c r="D62" i="43"/>
  <c r="D5"/>
  <c r="D4"/>
  <c r="D3"/>
  <c r="D2"/>
  <c r="D5" i="42"/>
  <c r="D4"/>
  <c r="D3"/>
  <c r="D4" i="39"/>
  <c r="B2"/>
  <c r="D5" i="38"/>
  <c r="D4"/>
  <c r="D4" i="36"/>
  <c r="D3"/>
  <c r="D60" i="35"/>
  <c r="D6"/>
  <c r="D4"/>
  <c r="D5" i="34"/>
  <c r="D4"/>
  <c r="D4" i="33"/>
  <c r="D4" i="32"/>
  <c r="D3"/>
  <c r="D4" i="31"/>
  <c r="D3"/>
  <c r="D4" i="30"/>
  <c r="D3"/>
  <c r="D135" i="28"/>
  <c r="D4"/>
  <c r="D3"/>
  <c r="B3"/>
  <c r="D4" i="27"/>
  <c r="D3"/>
  <c r="C2"/>
  <c r="D5" i="26"/>
  <c r="D4"/>
  <c r="D31" i="25"/>
  <c r="C31"/>
  <c r="C30"/>
  <c r="D29"/>
  <c r="C29"/>
  <c r="C19"/>
  <c r="D18"/>
  <c r="C18"/>
  <c r="D16"/>
  <c r="D5"/>
  <c r="D4"/>
  <c r="D3"/>
  <c r="C3"/>
  <c r="D2"/>
  <c r="C2"/>
  <c r="D5" i="24"/>
  <c r="D4"/>
  <c r="D4" i="23"/>
  <c r="D3"/>
  <c r="A127" i="22"/>
  <c r="A125"/>
  <c r="A123"/>
  <c r="A122"/>
  <c r="A119"/>
  <c r="A117"/>
  <c r="A116"/>
  <c r="A115"/>
  <c r="A114"/>
  <c r="A113"/>
  <c r="A111"/>
  <c r="A109"/>
  <c r="A108"/>
  <c r="A107"/>
  <c r="A106"/>
  <c r="A104"/>
  <c r="A103"/>
  <c r="A102"/>
  <c r="A101"/>
  <c r="A98"/>
  <c r="A96"/>
  <c r="A94"/>
  <c r="A93"/>
  <c r="A92"/>
  <c r="A91"/>
  <c r="A90"/>
  <c r="A89"/>
  <c r="A88"/>
  <c r="A87"/>
  <c r="A86"/>
  <c r="A85"/>
  <c r="A84"/>
  <c r="A83"/>
  <c r="A81"/>
  <c r="A80"/>
  <c r="A78"/>
  <c r="A77"/>
  <c r="A76"/>
  <c r="A75"/>
  <c r="A73"/>
  <c r="A71"/>
  <c r="A69"/>
  <c r="A66"/>
  <c r="A65"/>
  <c r="A64"/>
  <c r="A56"/>
  <c r="A53"/>
  <c r="A49"/>
  <c r="A47"/>
  <c r="A46"/>
  <c r="A41"/>
  <c r="A39"/>
  <c r="A37"/>
  <c r="A35"/>
  <c r="A29"/>
  <c r="A28"/>
  <c r="A27"/>
  <c r="A25"/>
  <c r="A22"/>
  <c r="A21"/>
  <c r="A20"/>
  <c r="A19"/>
  <c r="A16"/>
  <c r="A11"/>
  <c r="A8"/>
  <c r="D4"/>
  <c r="D4" i="21"/>
  <c r="D4" i="20"/>
  <c r="D3"/>
  <c r="D4" i="19"/>
  <c r="D3"/>
  <c r="D4" i="18"/>
  <c r="D3"/>
  <c r="D80" i="17"/>
  <c r="F38"/>
  <c r="A38"/>
  <c r="F37"/>
  <c r="A37"/>
  <c r="F36"/>
  <c r="A36"/>
  <c r="F35"/>
  <c r="A35"/>
  <c r="F34"/>
  <c r="A34"/>
  <c r="F33"/>
  <c r="A33"/>
  <c r="F32"/>
  <c r="A32"/>
  <c r="F31"/>
  <c r="A31"/>
  <c r="F30"/>
  <c r="A30"/>
  <c r="A29"/>
  <c r="F28"/>
  <c r="A28"/>
  <c r="F27"/>
  <c r="A27"/>
  <c r="F26"/>
  <c r="A26"/>
  <c r="F25"/>
  <c r="A25"/>
  <c r="F24"/>
  <c r="A24"/>
  <c r="F23"/>
  <c r="A23"/>
  <c r="A22"/>
  <c r="F21"/>
  <c r="A21"/>
  <c r="F20"/>
  <c r="A20"/>
  <c r="F19"/>
  <c r="A19"/>
  <c r="F18"/>
  <c r="A18"/>
  <c r="D5"/>
  <c r="A3"/>
  <c r="E27" i="16"/>
  <c r="F26"/>
  <c r="E26"/>
  <c r="A24"/>
  <c r="A23"/>
  <c r="A22"/>
  <c r="A21"/>
  <c r="A20"/>
  <c r="E19"/>
  <c r="A19"/>
  <c r="A18"/>
  <c r="A17"/>
  <c r="A15"/>
  <c r="E14"/>
  <c r="A14"/>
  <c r="A13"/>
  <c r="A12"/>
  <c r="E11"/>
  <c r="A11"/>
  <c r="D5"/>
  <c r="A3"/>
  <c r="A230" i="15"/>
  <c r="E176"/>
  <c r="A176"/>
  <c r="E175"/>
  <c r="A175"/>
  <c r="A174"/>
  <c r="E173"/>
  <c r="A173"/>
  <c r="E172"/>
  <c r="A172"/>
  <c r="E171"/>
  <c r="A171"/>
  <c r="A170"/>
  <c r="E169"/>
  <c r="A169"/>
  <c r="E168"/>
  <c r="A168"/>
  <c r="E167"/>
  <c r="A167"/>
  <c r="A166"/>
  <c r="E165"/>
  <c r="A165"/>
  <c r="A164"/>
  <c r="E163"/>
  <c r="A163"/>
  <c r="E162"/>
  <c r="A162"/>
  <c r="E161"/>
  <c r="A161"/>
  <c r="E160"/>
  <c r="A160"/>
  <c r="A159"/>
  <c r="E158"/>
  <c r="A158"/>
  <c r="E157"/>
  <c r="A157"/>
  <c r="E156"/>
  <c r="A156"/>
  <c r="A155"/>
  <c r="E154"/>
  <c r="A154"/>
  <c r="E153"/>
  <c r="A153"/>
  <c r="A152"/>
  <c r="A151"/>
  <c r="A150"/>
  <c r="E149"/>
  <c r="A149"/>
  <c r="E148"/>
  <c r="A148"/>
  <c r="E147"/>
  <c r="A147"/>
  <c r="E146"/>
  <c r="A146"/>
  <c r="A145"/>
  <c r="E144"/>
  <c r="A144"/>
  <c r="E143"/>
  <c r="A143"/>
  <c r="E142"/>
  <c r="A142"/>
  <c r="A141"/>
  <c r="A140"/>
  <c r="E139"/>
  <c r="A139"/>
  <c r="E138"/>
  <c r="A138"/>
  <c r="A137"/>
  <c r="E136"/>
  <c r="A136"/>
  <c r="A135"/>
  <c r="E134"/>
  <c r="A134"/>
  <c r="A133"/>
  <c r="E132"/>
  <c r="A132"/>
  <c r="E131"/>
  <c r="A131"/>
  <c r="E130"/>
  <c r="A130"/>
  <c r="E129"/>
  <c r="A129"/>
  <c r="E128"/>
  <c r="A128"/>
  <c r="E127"/>
  <c r="A127"/>
  <c r="E126"/>
  <c r="A126"/>
  <c r="E125"/>
  <c r="A125"/>
  <c r="A124"/>
  <c r="E123"/>
  <c r="A123"/>
  <c r="E122"/>
  <c r="A122"/>
  <c r="E121"/>
  <c r="A121"/>
  <c r="E120"/>
  <c r="A120"/>
  <c r="E119"/>
  <c r="A119"/>
  <c r="E118"/>
  <c r="A118"/>
  <c r="E117"/>
  <c r="A117"/>
  <c r="E116"/>
  <c r="A116"/>
  <c r="A115"/>
  <c r="A114"/>
  <c r="A113"/>
  <c r="E112"/>
  <c r="A112"/>
  <c r="E111"/>
  <c r="C111"/>
  <c r="A111"/>
  <c r="E110"/>
  <c r="A110"/>
  <c r="E109"/>
  <c r="A109"/>
  <c r="A108"/>
  <c r="E107"/>
  <c r="A107"/>
  <c r="E106"/>
  <c r="A106"/>
  <c r="E105"/>
  <c r="A105"/>
  <c r="E104"/>
  <c r="A104"/>
  <c r="A103"/>
  <c r="E102"/>
  <c r="A102"/>
  <c r="E101"/>
  <c r="A101"/>
  <c r="E100"/>
  <c r="A100"/>
  <c r="A99"/>
  <c r="A98"/>
  <c r="A97"/>
  <c r="A96"/>
  <c r="E95"/>
  <c r="A95"/>
  <c r="A94"/>
  <c r="E93"/>
  <c r="A93"/>
  <c r="E92"/>
  <c r="A92"/>
  <c r="E91"/>
  <c r="A91"/>
  <c r="E90"/>
  <c r="A90"/>
  <c r="E89"/>
  <c r="A89"/>
  <c r="E88"/>
  <c r="A88"/>
  <c r="E87"/>
  <c r="A87"/>
  <c r="E86"/>
  <c r="A86"/>
  <c r="E85"/>
  <c r="A85"/>
  <c r="E84"/>
  <c r="A84"/>
  <c r="E83"/>
  <c r="A83"/>
  <c r="E82"/>
  <c r="A82"/>
  <c r="E81"/>
  <c r="A81"/>
  <c r="E80"/>
  <c r="A80"/>
  <c r="A79"/>
  <c r="A78"/>
  <c r="A77"/>
  <c r="A76"/>
  <c r="E75"/>
  <c r="A75"/>
  <c r="E74"/>
  <c r="A74"/>
  <c r="E73"/>
  <c r="A73"/>
  <c r="E72"/>
  <c r="A72"/>
  <c r="A71"/>
  <c r="A70"/>
  <c r="E69"/>
  <c r="A69"/>
  <c r="E68"/>
  <c r="A68"/>
  <c r="A67"/>
  <c r="E66"/>
  <c r="A66"/>
  <c r="A65"/>
  <c r="E64"/>
  <c r="A64"/>
  <c r="A63"/>
  <c r="E62"/>
  <c r="A62"/>
  <c r="E61"/>
  <c r="A61"/>
  <c r="E60"/>
  <c r="A60"/>
  <c r="A59"/>
  <c r="A58"/>
  <c r="E57"/>
  <c r="A57"/>
  <c r="E56"/>
  <c r="A56"/>
  <c r="D55"/>
  <c r="A55"/>
  <c r="E54"/>
  <c r="A54"/>
  <c r="E53"/>
  <c r="A53"/>
  <c r="D52"/>
  <c r="A52"/>
  <c r="E51"/>
  <c r="A51"/>
  <c r="A50"/>
  <c r="E49"/>
  <c r="A49"/>
  <c r="E48"/>
  <c r="A48"/>
  <c r="E47"/>
  <c r="A47"/>
  <c r="E46"/>
  <c r="A46"/>
  <c r="A45"/>
  <c r="E44"/>
  <c r="A44"/>
  <c r="F43"/>
  <c r="E43"/>
  <c r="E42"/>
  <c r="A42"/>
  <c r="A41"/>
  <c r="E40"/>
  <c r="A40"/>
  <c r="A39"/>
  <c r="E38"/>
  <c r="A38"/>
  <c r="A37"/>
  <c r="A36"/>
  <c r="A35"/>
  <c r="E34"/>
  <c r="A34"/>
  <c r="E33"/>
  <c r="A33"/>
  <c r="A32"/>
  <c r="A31"/>
  <c r="A30"/>
  <c r="A29"/>
  <c r="E28"/>
  <c r="A28"/>
  <c r="E27"/>
  <c r="A27"/>
  <c r="A26"/>
  <c r="E25"/>
  <c r="A25"/>
  <c r="A24"/>
  <c r="E23"/>
  <c r="A23"/>
  <c r="A22"/>
  <c r="A21"/>
  <c r="A20"/>
  <c r="A19"/>
  <c r="E15"/>
  <c r="A15"/>
  <c r="E14"/>
  <c r="A14"/>
  <c r="E13"/>
  <c r="A13"/>
  <c r="E12"/>
  <c r="A12"/>
  <c r="E11"/>
  <c r="A11"/>
  <c r="D5"/>
  <c r="A3"/>
  <c r="A188" i="14"/>
  <c r="A90"/>
  <c r="A89"/>
  <c r="A88"/>
  <c r="A87"/>
  <c r="A86"/>
  <c r="A85"/>
  <c r="A84"/>
  <c r="A83"/>
  <c r="A82"/>
  <c r="A81"/>
  <c r="A80"/>
  <c r="A79"/>
  <c r="A78"/>
  <c r="A77"/>
  <c r="A76"/>
  <c r="A75"/>
  <c r="A74"/>
  <c r="A73"/>
  <c r="A72"/>
  <c r="A71"/>
  <c r="A70"/>
  <c r="A69"/>
  <c r="A68"/>
  <c r="A67"/>
  <c r="A66"/>
  <c r="A65"/>
  <c r="A64"/>
  <c r="E63"/>
  <c r="A63"/>
  <c r="A62"/>
  <c r="A61"/>
  <c r="A60"/>
  <c r="A59"/>
  <c r="A58"/>
  <c r="A57"/>
  <c r="A56"/>
  <c r="A55"/>
  <c r="A54"/>
  <c r="A53"/>
  <c r="A52"/>
  <c r="A51"/>
  <c r="A50"/>
  <c r="A49"/>
  <c r="A48"/>
  <c r="A47"/>
  <c r="A46"/>
  <c r="A45"/>
  <c r="A44"/>
  <c r="A43"/>
  <c r="A42"/>
  <c r="A41"/>
  <c r="A40"/>
  <c r="E39"/>
  <c r="A39"/>
  <c r="A38"/>
  <c r="A37"/>
  <c r="A36"/>
  <c r="A35"/>
  <c r="A34"/>
  <c r="A33"/>
  <c r="A32"/>
  <c r="A31"/>
  <c r="A30"/>
  <c r="A29"/>
  <c r="A28"/>
  <c r="A27"/>
  <c r="A26"/>
  <c r="A25"/>
  <c r="A24"/>
  <c r="E19"/>
  <c r="A19"/>
  <c r="E18"/>
  <c r="A18"/>
  <c r="E17"/>
  <c r="A17"/>
  <c r="E16"/>
  <c r="A16"/>
  <c r="A15"/>
  <c r="E14"/>
  <c r="A14"/>
  <c r="E13"/>
  <c r="A13"/>
  <c r="E12"/>
  <c r="A12"/>
  <c r="A11"/>
  <c r="A3"/>
  <c r="A3" i="13"/>
  <c r="E23" i="12"/>
  <c r="A23"/>
  <c r="E22"/>
  <c r="A22"/>
  <c r="E21"/>
  <c r="A21"/>
  <c r="A18"/>
  <c r="E17"/>
  <c r="A17"/>
  <c r="E16"/>
  <c r="A16"/>
  <c r="E15"/>
  <c r="A15"/>
  <c r="E14"/>
  <c r="A14"/>
  <c r="A2"/>
  <c r="E33" i="11"/>
  <c r="A27"/>
  <c r="A26"/>
  <c r="E22"/>
  <c r="A22"/>
  <c r="E21"/>
  <c r="A21"/>
  <c r="E20"/>
  <c r="A20"/>
  <c r="E19"/>
  <c r="A19"/>
  <c r="E18"/>
  <c r="A18"/>
  <c r="A84" i="10"/>
  <c r="E83"/>
  <c r="A83"/>
  <c r="E82"/>
  <c r="A82"/>
  <c r="E81"/>
  <c r="A81"/>
  <c r="E80"/>
  <c r="A80"/>
  <c r="A79"/>
  <c r="E78"/>
  <c r="A78"/>
  <c r="A77"/>
  <c r="E76"/>
  <c r="A76"/>
  <c r="E75"/>
  <c r="A75"/>
  <c r="E74"/>
  <c r="A74"/>
  <c r="E73"/>
  <c r="A73"/>
  <c r="E72"/>
  <c r="A72"/>
  <c r="E71"/>
  <c r="A71"/>
  <c r="E70"/>
  <c r="A70"/>
  <c r="E69"/>
  <c r="A69"/>
  <c r="E68"/>
  <c r="A68"/>
  <c r="E67"/>
  <c r="A67"/>
  <c r="G66"/>
  <c r="E66"/>
  <c r="A66"/>
  <c r="E65"/>
  <c r="A65"/>
  <c r="E64"/>
  <c r="A64"/>
  <c r="E63"/>
  <c r="A63"/>
  <c r="E62"/>
  <c r="A62"/>
  <c r="E61"/>
  <c r="A61"/>
  <c r="E60"/>
  <c r="A60"/>
  <c r="E59"/>
  <c r="A59"/>
  <c r="E58"/>
  <c r="A58"/>
  <c r="E57"/>
  <c r="A57"/>
  <c r="E56"/>
  <c r="A56"/>
  <c r="E55"/>
  <c r="A55"/>
  <c r="F54"/>
  <c r="E54"/>
  <c r="A54"/>
  <c r="E53"/>
  <c r="A53"/>
  <c r="A52"/>
  <c r="E51"/>
  <c r="A51"/>
  <c r="A50"/>
  <c r="E49"/>
  <c r="A49"/>
  <c r="E48"/>
  <c r="A48"/>
  <c r="E47"/>
  <c r="A47"/>
  <c r="E46"/>
  <c r="A46"/>
  <c r="E45"/>
  <c r="A45"/>
  <c r="F44"/>
  <c r="E44"/>
  <c r="A44"/>
  <c r="E43"/>
  <c r="A43"/>
  <c r="E42"/>
  <c r="A42"/>
  <c r="E41"/>
  <c r="A41"/>
  <c r="E40"/>
  <c r="A40"/>
  <c r="E39"/>
  <c r="A39"/>
  <c r="E38"/>
  <c r="A38"/>
  <c r="E37"/>
  <c r="A37"/>
  <c r="E36"/>
  <c r="A36"/>
  <c r="E35"/>
  <c r="A35"/>
  <c r="E34"/>
  <c r="A34"/>
  <c r="E33"/>
  <c r="A33"/>
  <c r="E32"/>
  <c r="A32"/>
  <c r="F31"/>
  <c r="E31"/>
  <c r="A31"/>
  <c r="E30"/>
  <c r="A30"/>
  <c r="E29"/>
  <c r="A29"/>
  <c r="A28"/>
  <c r="E27"/>
  <c r="A27"/>
  <c r="F26"/>
  <c r="A26"/>
  <c r="E25"/>
  <c r="A25"/>
  <c r="E24"/>
  <c r="A24"/>
  <c r="E23"/>
  <c r="A23"/>
  <c r="E22"/>
  <c r="A22"/>
  <c r="E21"/>
  <c r="A21"/>
  <c r="E20"/>
  <c r="A20"/>
  <c r="E17"/>
  <c r="A17"/>
  <c r="E16"/>
  <c r="A16"/>
  <c r="E15"/>
  <c r="A15"/>
  <c r="E14"/>
  <c r="A14"/>
  <c r="E13"/>
  <c r="A13"/>
  <c r="E10"/>
  <c r="E7"/>
  <c r="E3"/>
  <c r="D3"/>
  <c r="A1"/>
  <c r="E82" i="9"/>
  <c r="A82"/>
  <c r="E81"/>
  <c r="A81"/>
  <c r="E80"/>
  <c r="A80"/>
  <c r="E79"/>
  <c r="A79"/>
  <c r="E78"/>
  <c r="A78"/>
  <c r="E77"/>
  <c r="A77"/>
  <c r="E76"/>
  <c r="A76"/>
  <c r="E75"/>
  <c r="A75"/>
  <c r="E74"/>
  <c r="A74"/>
  <c r="E73"/>
  <c r="A73"/>
  <c r="E72"/>
  <c r="A72"/>
  <c r="E71"/>
  <c r="A71"/>
  <c r="E70"/>
  <c r="A70"/>
  <c r="E69"/>
  <c r="A69"/>
  <c r="E68"/>
  <c r="A68"/>
  <c r="E67"/>
  <c r="A67"/>
  <c r="E66"/>
  <c r="A66"/>
  <c r="E65"/>
  <c r="A65"/>
  <c r="E64"/>
  <c r="A64"/>
  <c r="E63"/>
  <c r="A63"/>
  <c r="E62"/>
  <c r="A62"/>
  <c r="F61"/>
  <c r="E61"/>
  <c r="A61"/>
  <c r="A60"/>
  <c r="E59"/>
  <c r="A59"/>
  <c r="E58"/>
  <c r="A58"/>
  <c r="E57"/>
  <c r="A57"/>
  <c r="E56"/>
  <c r="A56"/>
  <c r="E55"/>
  <c r="A55"/>
  <c r="E54"/>
  <c r="A54"/>
  <c r="E53"/>
  <c r="A53"/>
  <c r="E52"/>
  <c r="A52"/>
  <c r="E51"/>
  <c r="A51"/>
  <c r="E50"/>
  <c r="A50"/>
  <c r="E49"/>
  <c r="A49"/>
  <c r="E48"/>
  <c r="A48"/>
  <c r="E47"/>
  <c r="A47"/>
  <c r="E46"/>
  <c r="A46"/>
  <c r="E45"/>
  <c r="A45"/>
  <c r="E44"/>
  <c r="A44"/>
  <c r="F43"/>
  <c r="E43"/>
  <c r="C43"/>
  <c r="A43"/>
  <c r="E42"/>
  <c r="A42"/>
  <c r="E41"/>
  <c r="A41"/>
  <c r="E40"/>
  <c r="A40"/>
  <c r="E39"/>
  <c r="A39"/>
  <c r="E38"/>
  <c r="A38"/>
  <c r="F37"/>
  <c r="A37"/>
  <c r="F36"/>
  <c r="E36"/>
  <c r="A36"/>
  <c r="A35"/>
  <c r="F34"/>
  <c r="E34"/>
  <c r="A34"/>
  <c r="F33"/>
  <c r="A33"/>
  <c r="E32"/>
  <c r="A32"/>
  <c r="F31"/>
  <c r="E31"/>
  <c r="A31"/>
  <c r="E30"/>
  <c r="A30"/>
  <c r="E29"/>
  <c r="A29"/>
  <c r="E28"/>
  <c r="A28"/>
  <c r="E27"/>
  <c r="A27"/>
  <c r="A26"/>
  <c r="E25"/>
  <c r="A25"/>
  <c r="E22"/>
  <c r="A22"/>
  <c r="E21"/>
  <c r="A21"/>
  <c r="F20"/>
  <c r="E20"/>
  <c r="A20"/>
  <c r="F19"/>
  <c r="E19"/>
  <c r="A19"/>
  <c r="E18"/>
  <c r="A18"/>
  <c r="F17"/>
  <c r="E17"/>
  <c r="A17"/>
  <c r="A16"/>
  <c r="B2"/>
  <c r="A97" i="8"/>
  <c r="A94"/>
  <c r="A93"/>
  <c r="E92"/>
  <c r="A92"/>
  <c r="E91"/>
  <c r="A91"/>
  <c r="A90"/>
  <c r="F89"/>
  <c r="A89"/>
  <c r="A88"/>
  <c r="A87"/>
  <c r="A86"/>
  <c r="A85"/>
  <c r="A84"/>
  <c r="A83"/>
  <c r="E82"/>
  <c r="A82"/>
  <c r="A81"/>
  <c r="A80"/>
  <c r="E79"/>
  <c r="A79"/>
  <c r="A78"/>
  <c r="A77"/>
  <c r="A76"/>
  <c r="A75"/>
  <c r="A74"/>
  <c r="A73"/>
  <c r="A72"/>
  <c r="A71"/>
  <c r="A70"/>
  <c r="A69"/>
  <c r="A68"/>
  <c r="A67"/>
  <c r="E66"/>
  <c r="A66"/>
  <c r="E65"/>
  <c r="A65"/>
  <c r="A64"/>
  <c r="A63"/>
  <c r="A62"/>
  <c r="A61"/>
  <c r="A60"/>
  <c r="A59"/>
  <c r="A58"/>
  <c r="E57"/>
  <c r="A57"/>
  <c r="A56"/>
  <c r="F55"/>
  <c r="E55"/>
  <c r="A55"/>
  <c r="A54"/>
  <c r="A53"/>
  <c r="A52"/>
  <c r="A51"/>
  <c r="A50"/>
  <c r="A49"/>
  <c r="A48"/>
  <c r="A47"/>
  <c r="A46"/>
  <c r="A45"/>
  <c r="A44"/>
  <c r="A43"/>
  <c r="E42"/>
  <c r="A42"/>
  <c r="A41"/>
  <c r="A40"/>
  <c r="A39"/>
  <c r="A38"/>
  <c r="A37"/>
  <c r="E36"/>
  <c r="A36"/>
  <c r="E35"/>
  <c r="A35"/>
  <c r="A34"/>
  <c r="E33"/>
  <c r="A33"/>
  <c r="A32"/>
  <c r="A31"/>
  <c r="A30"/>
  <c r="A29"/>
  <c r="A28"/>
  <c r="A27"/>
  <c r="A26"/>
  <c r="E25"/>
  <c r="A25"/>
  <c r="A24"/>
  <c r="E23"/>
  <c r="A23"/>
  <c r="E22"/>
  <c r="A22"/>
  <c r="A21"/>
  <c r="A20"/>
  <c r="A16"/>
  <c r="A15"/>
  <c r="A14"/>
  <c r="A13"/>
  <c r="A12"/>
  <c r="E11"/>
  <c r="A11"/>
  <c r="C3"/>
  <c r="E33" i="7"/>
  <c r="A33"/>
  <c r="E32"/>
  <c r="A32"/>
  <c r="E31"/>
  <c r="A31"/>
  <c r="E30"/>
  <c r="A30"/>
  <c r="A29"/>
  <c r="E28"/>
  <c r="A28"/>
  <c r="E27"/>
  <c r="A27"/>
  <c r="E26"/>
  <c r="A26"/>
  <c r="E25"/>
  <c r="A25"/>
  <c r="E24"/>
  <c r="A24"/>
  <c r="E23"/>
  <c r="A23"/>
  <c r="E22"/>
  <c r="A22"/>
  <c r="E21"/>
  <c r="A21"/>
  <c r="E20"/>
  <c r="A20"/>
  <c r="E19"/>
  <c r="A19"/>
  <c r="A16"/>
  <c r="E15"/>
  <c r="A15"/>
  <c r="E14"/>
  <c r="A14"/>
  <c r="E13"/>
  <c r="A13"/>
  <c r="E12"/>
  <c r="A12"/>
  <c r="E11"/>
  <c r="A11"/>
  <c r="E10"/>
  <c r="A10"/>
  <c r="A38" i="6"/>
  <c r="A37"/>
  <c r="A36"/>
  <c r="A35"/>
  <c r="A34"/>
  <c r="A33"/>
  <c r="A32"/>
  <c r="A31"/>
  <c r="A30"/>
  <c r="A29"/>
  <c r="A28"/>
  <c r="A27"/>
  <c r="A26"/>
  <c r="A25"/>
  <c r="A24"/>
  <c r="A23"/>
  <c r="A22"/>
  <c r="A21"/>
  <c r="A17"/>
  <c r="A16"/>
  <c r="E15"/>
  <c r="A15"/>
  <c r="E14"/>
  <c r="A14"/>
  <c r="E13"/>
  <c r="A13"/>
  <c r="F2"/>
  <c r="D135" i="5"/>
  <c r="C135"/>
  <c r="A115"/>
  <c r="E99"/>
  <c r="E92"/>
  <c r="E91"/>
  <c r="A88"/>
  <c r="F85"/>
  <c r="A85"/>
  <c r="F84"/>
  <c r="A84"/>
  <c r="F83"/>
  <c r="A83"/>
  <c r="F82"/>
  <c r="A82"/>
  <c r="F80"/>
  <c r="A80"/>
  <c r="F79"/>
  <c r="A79"/>
  <c r="F78"/>
  <c r="E78"/>
  <c r="A78"/>
  <c r="F77"/>
  <c r="A77"/>
  <c r="F72"/>
  <c r="A72"/>
  <c r="F71"/>
  <c r="E71"/>
  <c r="A71"/>
  <c r="F70"/>
  <c r="A70"/>
  <c r="F69"/>
  <c r="A69"/>
  <c r="F68"/>
  <c r="E68"/>
  <c r="A68"/>
  <c r="F67"/>
  <c r="A67"/>
  <c r="F65"/>
  <c r="A65"/>
  <c r="E64"/>
  <c r="A64"/>
  <c r="F62"/>
  <c r="A62"/>
  <c r="F61"/>
  <c r="A61"/>
  <c r="F60"/>
  <c r="A60"/>
  <c r="F59"/>
  <c r="A59"/>
  <c r="F57"/>
  <c r="E57"/>
  <c r="A57"/>
  <c r="A56"/>
  <c r="F55"/>
  <c r="A55"/>
  <c r="A54"/>
  <c r="F51"/>
  <c r="A51"/>
  <c r="A50"/>
  <c r="F49"/>
  <c r="A49"/>
  <c r="F48"/>
  <c r="E48"/>
  <c r="A48"/>
  <c r="F47"/>
  <c r="A47"/>
  <c r="F46"/>
  <c r="A46"/>
  <c r="F45"/>
  <c r="A45"/>
  <c r="F44"/>
  <c r="A44"/>
  <c r="F42"/>
  <c r="A42"/>
  <c r="A40"/>
  <c r="E37"/>
  <c r="A37"/>
  <c r="A36"/>
  <c r="A35"/>
  <c r="A33"/>
  <c r="F31"/>
  <c r="A31"/>
  <c r="A30"/>
  <c r="A29"/>
  <c r="F28"/>
  <c r="E28"/>
  <c r="A28"/>
  <c r="F27"/>
  <c r="E27"/>
  <c r="A27"/>
  <c r="F26"/>
  <c r="E26"/>
  <c r="A26"/>
  <c r="F25"/>
  <c r="E25"/>
  <c r="A25"/>
  <c r="F24"/>
  <c r="A24"/>
  <c r="F23"/>
  <c r="E23"/>
  <c r="A23"/>
  <c r="A22"/>
  <c r="F21"/>
  <c r="A21"/>
  <c r="A16"/>
  <c r="A15"/>
  <c r="A14"/>
  <c r="A13"/>
  <c r="A12"/>
  <c r="E9"/>
  <c r="E3"/>
  <c r="E29" i="2"/>
  <c r="E27"/>
</calcChain>
</file>

<file path=xl/comments1.xml><?xml version="1.0" encoding="utf-8"?>
<comments xmlns="http://schemas.openxmlformats.org/spreadsheetml/2006/main">
  <authors>
    <author/>
  </authors>
  <commentList>
    <comment ref="A1" authorId="0" guid="{817DD94B-0D8C-4CBC-B9F3-D3B30FF4C221}">
      <text>
        <r>
          <rPr>
            <sz val="10"/>
            <color rgb="FF000000"/>
            <rFont val="Arial"/>
          </rPr>
          <t>Link for Water Utilities: http://en.wikipedia.org/wiki/List_of_United_States_water_companies
	-Katelyn Keegan
----
Link for Electric Utilities: http://en.wikipedia.org/wiki/List_of_United_States_electric_companies
	-Katelyn Keegan
----
Link for Radio/Television/Papers: http://www.usnpl.com/
	-Katelyn Keegan</t>
        </r>
      </text>
    </comment>
  </commentList>
</comments>
</file>

<file path=xl/sharedStrings.xml><?xml version="1.0" encoding="utf-8"?>
<sst xmlns="http://schemas.openxmlformats.org/spreadsheetml/2006/main" count="18905" uniqueCount="14117">
  <si>
    <t>Person</t>
  </si>
  <si>
    <t>Issue</t>
  </si>
  <si>
    <t>Notes</t>
  </si>
  <si>
    <t>Resolution</t>
  </si>
  <si>
    <t>Cat</t>
  </si>
  <si>
    <t>Here is the link to the states that currently have twitter alerts and Virginia is one of them https://about.twitter.com/products/alerts/participating-organizations</t>
  </si>
  <si>
    <t>Where should we list that a state, county or official twitter listing has enrolled for twitter alerts</t>
  </si>
  <si>
    <t>Connecticut:  doesnt have state government ema - DHS runs it by region</t>
  </si>
  <si>
    <t>"Connecticut does not relegate emergency management services to 
individual counties.  Instead, the Connecticut Division of Emergency 
Management and Homeland Security has divided the state into five 
regions.  Fairfield County is located in region one and operates the 
region’s Emergency Operations Center.  Since the attacks on September 
11, 2001, considerably more funding has been devoted to improving 
Fairfield County’s readiness for a variety of natural and manmade 
disasters."  Source http://www.emergencymanagementedu.org/connecticut/fairfield-county/</t>
  </si>
  <si>
    <t>hold CT for last - i'll work on a solution we may have to list by region instead of by county.  Ok - i did check it out - CT does have the 5 regions listed - they put them under the state section.  I'll let you guys take a look when you are ready and recommend approach for it.</t>
  </si>
  <si>
    <t>DRAFT STATE - NOT READY TO BE SHARED</t>
  </si>
  <si>
    <t>United States &amp; Protectorates</t>
  </si>
  <si>
    <t>Official Social Media Accounts</t>
  </si>
  <si>
    <t>This work produced by volunteers of Humanity Road, Inc. www.humanityroad.org and is licensed under the Creative Commons Attribution-NonCommercial-ShareAlike 3. Unported License. To view a copy of this license, visit http://creativecommons.org/licenses/by-nc-sa/3.</t>
  </si>
  <si>
    <t>Tabs for selected state(s) will display at the bottom. Clicking "Select State(s)" button again will reset selections</t>
  </si>
  <si>
    <t>This is the complete source list:</t>
  </si>
  <si>
    <t>Radio/Television/Newspapers:</t>
  </si>
  <si>
    <t>http://www.usnpl.com/</t>
  </si>
  <si>
    <t>Electric Utilities:</t>
  </si>
  <si>
    <t>Water Utilities:</t>
  </si>
  <si>
    <t>State</t>
  </si>
  <si>
    <t>Sheet Name</t>
  </si>
  <si>
    <t>Sheet #</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</si>
  <si>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</si>
  <si>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</si>
  <si>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</si>
  <si>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</si>
  <si>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</si>
  <si>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</si>
  <si>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</si>
  <si>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</si>
  <si>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</si>
  <si>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</si>
  <si>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</si>
  <si>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</si>
  <si>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</si>
  <si>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</si>
  <si>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</si>
  <si>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</si>
  <si>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</si>
  <si>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</si>
  <si>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</si>
  <si>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</si>
  <si>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</si>
  <si>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</si>
  <si>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</si>
  <si>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</si>
  <si>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</si>
  <si>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</si>
  <si>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</si>
  <si>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</si>
  <si>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</si>
  <si>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</si>
  <si>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</si>
  <si>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</si>
  <si>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</si>
  <si>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</si>
  <si>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</si>
  <si>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</si>
  <si>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</si>
  <si>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</si>
  <si>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</si>
  <si>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</si>
  <si>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</si>
  <si>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</si>
  <si>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</si>
  <si>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</si>
  <si>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</si>
  <si>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</si>
  <si>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</si>
  <si>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</si>
  <si>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</si>
  <si>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</si>
  <si>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</si>
  <si>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</si>
  <si>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</si>
  <si>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</si>
  <si>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</si>
  <si>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</si>
  <si>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</si>
  <si>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</si>
  <si>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</si>
  <si>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</si>
  <si>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</si>
  <si>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</si>
  <si>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</si>
  <si>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</si>
  <si>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</si>
  <si>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</si>
  <si>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</si>
  <si>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</si>
  <si>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</si>
  <si>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</si>
  <si>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</si>
  <si>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</si>
  <si>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</si>
  <si>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</si>
  <si>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</si>
  <si>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</si>
  <si>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</si>
  <si>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</si>
  <si>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</si>
  <si>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</si>
  <si>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</si>
  <si>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</si>
  <si>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</si>
  <si>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</si>
  <si>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</si>
  <si>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</si>
  <si>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</si>
  <si>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</si>
  <si>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</si>
  <si>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</si>
  <si>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</si>
  <si>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</si>
  <si>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</si>
  <si>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</si>
  <si>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</si>
  <si>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</si>
  <si>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</si>
  <si>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</si>
  <si>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</si>
  <si>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</si>
  <si>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</si>
  <si>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</si>
  <si>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American Samoa</t>
  </si>
  <si>
    <t>AS</t>
  </si>
  <si>
    <t>Guam</t>
  </si>
  <si>
    <t>GU</t>
  </si>
  <si>
    <t>Northern Marianas</t>
  </si>
  <si>
    <t>MP</t>
  </si>
  <si>
    <t>Puerto Rico</t>
  </si>
  <si>
    <t>PR</t>
  </si>
  <si>
    <t>US Virgin Islands</t>
  </si>
  <si>
    <t>VI</t>
  </si>
  <si>
    <t>Minor Outlying Islands</t>
  </si>
  <si>
    <t>MOI</t>
  </si>
  <si>
    <t>Federation of Micronesia</t>
  </si>
  <si>
    <t>FM</t>
  </si>
  <si>
    <t>Marshall Is</t>
  </si>
  <si>
    <t>MH</t>
  </si>
  <si>
    <t>Palau</t>
  </si>
  <si>
    <t>PW</t>
  </si>
  <si>
    <t>FOR INSTRUCTIONS FOR ENTRY AND SEARCH PROCESSES, CLICK ON LINK</t>
  </si>
  <si>
    <t>https://docs.google.com/document/d/1dfENTo4zy7ga4c_lHlAcrRp9XpFdKDC7kV8e7x2C3gA/edit</t>
  </si>
  <si>
    <t>DO NOT USE WIKIPEDIA!!! USE PRIMARY SOURCES ONLY</t>
  </si>
  <si>
    <t>State Government</t>
  </si>
  <si>
    <t>Twitter</t>
  </si>
  <si>
    <t>Facebook</t>
  </si>
  <si>
    <t>Official Government Website</t>
  </si>
  <si>
    <t>Other/Notes</t>
  </si>
  <si>
    <t>Alabama State Website</t>
  </si>
  <si>
    <t>@alabamagov</t>
  </si>
  <si>
    <t>http://www.facebook.com/alabamagov</t>
  </si>
  <si>
    <t>http://www.alabama.gov/portal/index.jsp</t>
  </si>
  <si>
    <t>Alabama EMA</t>
  </si>
  <si>
    <t>@AlabamaEMA</t>
  </si>
  <si>
    <t>http://www.facebook.com/AlabamaEMA</t>
  </si>
  <si>
    <t>http://ema.alabama.gov/</t>
  </si>
  <si>
    <t>Alabama DHS</t>
  </si>
  <si>
    <t>@ALDHS</t>
  </si>
  <si>
    <t>https://www.facebook.com/alabamadhs</t>
  </si>
  <si>
    <t>http://www.dhs.alabama.gov/</t>
  </si>
  <si>
    <t>Alabama Wildlife Rehabilitators</t>
  </si>
  <si>
    <t>none</t>
  </si>
  <si>
    <t>http://wildlife.rescueshelter.com/Alabama</t>
  </si>
  <si>
    <t>Alabama Dept of Public Health</t>
  </si>
  <si>
    <t>@ALPublicHealth</t>
  </si>
  <si>
    <t>http://www.facebook.com/alabamapublichealth</t>
  </si>
  <si>
    <t>http://www.alabama.gov/sliverheader/Welcome.do?url=http://www.adph.org/ems/</t>
  </si>
  <si>
    <t>Alabama Office of EMS</t>
  </si>
  <si>
    <t>http://www.facebook.com/AlabamaEMS</t>
  </si>
  <si>
    <t>http://www.adph.org/ems/</t>
  </si>
  <si>
    <t>Alabama Department of Public Safety</t>
  </si>
  <si>
    <t>http://www.facebook.com/pages/Alabama-Department-of-Public-Safety/103744746331511</t>
  </si>
  <si>
    <t>http://www.alabama.gov/sliverheader/Welcome.do?url=http://dps.alabama.gov/</t>
  </si>
  <si>
    <t>AL State Dept of Education</t>
  </si>
  <si>
    <t>@AlabamaDeptofEd</t>
  </si>
  <si>
    <t>https://www.facebook.com/AlabamaDepartmentofEducation</t>
  </si>
  <si>
    <t>http://www.alsde.edu/Home/Default.aspx</t>
  </si>
  <si>
    <t>Note: Links below are to Wikipedia sites and not link the official municipality website</t>
  </si>
  <si>
    <t>5 Largest Cities</t>
  </si>
  <si>
    <t>Website</t>
  </si>
  <si>
    <t>EMA, 911, SHERIFF DEPT LINKS</t>
  </si>
  <si>
    <t>County</t>
  </si>
  <si>
    <t>@Pubinfo</t>
  </si>
  <si>
    <t>https://www.facebook.com/birmingham.alabama</t>
  </si>
  <si>
    <t>http://www.informationbirmingham.com/</t>
  </si>
  <si>
    <t>http://www.informationbirmingham.com/police/index.aspx</t>
  </si>
  <si>
    <t>Jefferson/Shelby Counties</t>
  </si>
  <si>
    <t>@CityofMGM</t>
  </si>
  <si>
    <t>http://www.montgomeryal.gov/</t>
  </si>
  <si>
    <t>http://www.montgomeryal.gov/index.aspx?page=46</t>
  </si>
  <si>
    <t>Montgomery County</t>
  </si>
  <si>
    <t>@cityofmobile</t>
  </si>
  <si>
    <t>https://www.facebook.com/cityofmobile?ref=ts</t>
  </si>
  <si>
    <t>http://www.cityofmobile.org/</t>
  </si>
  <si>
    <t>http://www.cityofmobile.org/fire/</t>
  </si>
  <si>
    <t>Mobile County</t>
  </si>
  <si>
    <t>@huntsvillecity</t>
  </si>
  <si>
    <t>https://www.facebook.com/HsvCity?v=app_4949752878</t>
  </si>
  <si>
    <t>http://www.hsvcity.org/</t>
  </si>
  <si>
    <t>http://www.madisoncountyema.com/</t>
  </si>
  <si>
    <t>Madison/Limestone Counties</t>
  </si>
  <si>
    <t>@tuscaloosacity</t>
  </si>
  <si>
    <t>https://www.facebook.com/TuscaloosaCity</t>
  </si>
  <si>
    <t>http://www.tuscaloosa.com/</t>
  </si>
  <si>
    <t>http://www.tuscaloosa.com/Government/Departments/Emergency-management/emergency-management</t>
  </si>
  <si>
    <t>Tuscaloosa County</t>
  </si>
  <si>
    <t>County Government</t>
  </si>
  <si>
    <t>Facebook Official Govt.</t>
  </si>
  <si>
    <t>Other, notes</t>
  </si>
  <si>
    <t>AL Municipalities Directory</t>
  </si>
  <si>
    <t>http://directory.alalm.org/directoryweb/default.aspx</t>
  </si>
  <si>
    <t>List of municipalities by county</t>
  </si>
  <si>
    <t>@autaugaEMA</t>
  </si>
  <si>
    <t>http://www.autaugaco.org/Default.asp?ID=31&amp;pg=Home</t>
  </si>
  <si>
    <t>@BCCommission</t>
  </si>
  <si>
    <t>https://www.facebook.com/BaldwinCountyCommission</t>
  </si>
  <si>
    <t>http://www.co.baldwin.al.us/PageView.asp?PageType=R&amp;edit_id=1</t>
  </si>
  <si>
    <t>@barbourema</t>
  </si>
  <si>
    <t>http://www.bibbal.com/Default.asp?ID=31&amp;pg=Home</t>
  </si>
  <si>
    <t>http://www.co.blount.al.us/</t>
  </si>
  <si>
    <t>http://butlercountyal.com/</t>
  </si>
  <si>
    <t>@BeReadyCalhoun</t>
  </si>
  <si>
    <t>http://calhouncounty.org/</t>
  </si>
  <si>
    <t>http://www.facebook.com/pages/Chambers-County-Alabama-Sheriffs-Department/105223466220582?ref=ts&amp;fref=ts</t>
  </si>
  <si>
    <t>http://www.chamberscountyal.gov/</t>
  </si>
  <si>
    <t>https://www.facebook.com/CherokeeCoAlSheriffsOffice</t>
  </si>
  <si>
    <t>http://www.cherokeecounty-al.gov/</t>
  </si>
  <si>
    <t>@chiltonco911</t>
  </si>
  <si>
    <t>http://www.facebook.com/chiltoncounty911?ref=ts&amp;fref=ts</t>
  </si>
  <si>
    <t>http://newchiltoncounty.org/</t>
  </si>
  <si>
    <t>Choctaw</t>
  </si>
  <si>
    <t>http://www.facebook.com/pages/Clarke-County-Emergency-Management-Agency/289843852107?ref=ts&amp;fref=ts</t>
  </si>
  <si>
    <t>http://www.clarkecountyal.com/index.htm</t>
  </si>
  <si>
    <t>Clay</t>
  </si>
  <si>
    <t>@CleburneEMA</t>
  </si>
  <si>
    <t>http://www.facebook.com/cleburne.ema?sk=wall</t>
  </si>
  <si>
    <t>http://www.cleburnecounty.us/</t>
  </si>
  <si>
    <t>http://www.coffeecounty.us/</t>
  </si>
  <si>
    <t>@colbertema</t>
  </si>
  <si>
    <t>http://www.facebook.com/colbertema?ref=ts&amp;fref=ts</t>
  </si>
  <si>
    <t>http://www.colbertcounty.org/ema/index.html</t>
  </si>
  <si>
    <t>Conecuh</t>
  </si>
  <si>
    <t>Coosa</t>
  </si>
  <si>
    <t>http://www.facebook.com/covemae911?ref=ts&amp;fref=ts</t>
  </si>
  <si>
    <t>http://www.covcounty.com/index.php</t>
  </si>
  <si>
    <t>Crenshaw</t>
  </si>
  <si>
    <t>http://www.facebook.com/CullmanCounty</t>
  </si>
  <si>
    <t>http://www.co.cullman.al.us/</t>
  </si>
  <si>
    <t>Dale</t>
  </si>
  <si>
    <t>http://www.dallascounty-al.org/default.aspx?pageID=2</t>
  </si>
  <si>
    <t>@DeKalbAl</t>
  </si>
  <si>
    <t>https://www.facebook.com/DeKalbAl</t>
  </si>
  <si>
    <t>http://www.dekalbcountyal.us/joomla1/</t>
  </si>
  <si>
    <t>http://www.elmoreco.org/</t>
  </si>
  <si>
    <t>http://www.co.escambia.al.us/index.html</t>
  </si>
  <si>
    <t>@GECEMA</t>
  </si>
  <si>
    <t>http://etowahcounty.org/</t>
  </si>
  <si>
    <t>@faycoEMA</t>
  </si>
  <si>
    <t>http://www.facebook.com/faycoEMA</t>
  </si>
  <si>
    <t>http://www.fayettecountyal.com/index.html</t>
  </si>
  <si>
    <t>@Franklin_Co_AL</t>
  </si>
  <si>
    <t>https://www.facebook.com/franklincountyal</t>
  </si>
  <si>
    <t>http://www.franklincountyal.org/index.html</t>
  </si>
  <si>
    <t>http://www.genevacounty.us/</t>
  </si>
  <si>
    <t>Greene</t>
  </si>
  <si>
    <t>Hale</t>
  </si>
  <si>
    <t>http://www.alabama.gov/portal/secondary.jsp?id=countiesRiver&amp;countyID=henry</t>
  </si>
  <si>
    <t>@HoustonCoEMA</t>
  </si>
  <si>
    <t>https://www.facebook.com/pages/Dothan-Houston-County-EMA/341033474263</t>
  </si>
  <si>
    <t>http://www.houstoncounty.org/</t>
  </si>
  <si>
    <t>@JacksonCountyAl</t>
  </si>
  <si>
    <t>https://www.facebook.com/JacksonAlabama</t>
  </si>
  <si>
    <t>http://www.jacksoncountyal.com/</t>
  </si>
  <si>
    <t>@JeffCoSheriff</t>
  </si>
  <si>
    <t>http://jeffconline.jccal.org/</t>
  </si>
  <si>
    <t>Lamar</t>
  </si>
  <si>
    <t>@LauderdaleEMA    @lauderdalecount</t>
  </si>
  <si>
    <t>http://www.lauderdalecountyonline.com/</t>
  </si>
  <si>
    <t>http://www.alabama.gov/portal/secondary.jsp?id=countiesMountain&amp;countyID=lawrence</t>
  </si>
  <si>
    <t>@LeeCountyEOC</t>
  </si>
  <si>
    <t>http://www.leeco.us/</t>
  </si>
  <si>
    <t>@LimestoneEMA  @AthensAL</t>
  </si>
  <si>
    <t>https://www.facebook.com/pages/Limestone-County-Alabama/216729408401560</t>
  </si>
  <si>
    <t>http://www.limestonecounty-al.gov/index.html</t>
  </si>
  <si>
    <t>Lowndes</t>
  </si>
  <si>
    <t>@TuskegeeAlabama</t>
  </si>
  <si>
    <t>http://www.facebook.com/pages/Macon-County-Emergency-Operation-Center/162349527117353</t>
  </si>
  <si>
    <t>http://www.alabama.gov/portal/secondary.jsp?id=countiesRiver&amp;countyID=macon</t>
  </si>
  <si>
    <t>@HMCEMA</t>
  </si>
  <si>
    <t>https://www.facebook.com/MadisonCountyAlabama</t>
  </si>
  <si>
    <t>http://www.madisoncountyal.gov/</t>
  </si>
  <si>
    <t>Marengo</t>
  </si>
  <si>
    <t>@Marioncoema</t>
  </si>
  <si>
    <t>http://www.alabama.gov/portal/secondary.jsp?id=countiesMountain&amp;countyID=marion</t>
  </si>
  <si>
    <t>@McemaAl</t>
  </si>
  <si>
    <t>http://www.marshallco.org/</t>
  </si>
  <si>
    <t>@mobilecountyal</t>
  </si>
  <si>
    <t>https://www.facebook.com/pages/Mobile-County-Alabama/126092730776671</t>
  </si>
  <si>
    <t>http://www.mobilecountyal.gov/</t>
  </si>
  <si>
    <t>@MonroeCoEMA</t>
  </si>
  <si>
    <t>http://www.alabama.gov/portal/secondary.jsp?id=countiesGulf&amp;countyID=monroe</t>
  </si>
  <si>
    <t>@CityofMGM  @MCCAlabama</t>
  </si>
  <si>
    <t>https://www.facebook.com/pages/Montgomery-County-Alabama/171748442777</t>
  </si>
  <si>
    <t>http://www.mc-ala.org/Pages/Default.aspx</t>
  </si>
  <si>
    <t>@morgancoema</t>
  </si>
  <si>
    <t>http://www.co.morgan.al.us/</t>
  </si>
  <si>
    <t>Perry</t>
  </si>
  <si>
    <t>Pickens</t>
  </si>
  <si>
    <t>Pike</t>
  </si>
  <si>
    <t>Poarch Creek</t>
  </si>
  <si>
    <t>http://randolphcountyalabama.gov/</t>
  </si>
  <si>
    <t>@RCRedCross</t>
  </si>
  <si>
    <t>http://www.alabama.gov/portal/secondary.jsp?id=countiesMetropolitan&amp;countyID=randolph</t>
  </si>
  <si>
    <t>@ShelbyCoAl</t>
  </si>
  <si>
    <t>http://www.facebook.com/ShelbyCountyAL</t>
  </si>
  <si>
    <t>http://www.shelbyal.com/</t>
  </si>
  <si>
    <t>@stclairema</t>
  </si>
  <si>
    <t>http://www.facebook.com/stclairema</t>
  </si>
  <si>
    <t>http://www.stclairco.com/index.php?src=</t>
  </si>
  <si>
    <t>Sumter</t>
  </si>
  <si>
    <t>@readytalladega</t>
  </si>
  <si>
    <t>http://www.facebook.com/readytalladega?ref=ts</t>
  </si>
  <si>
    <t>http://www.talladegacountyal.org/</t>
  </si>
  <si>
    <t>http://www.tallaco.com/</t>
  </si>
  <si>
    <t>@TuscCoSheriff  @tuscaloosacity</t>
  </si>
  <si>
    <t>http://www.tuscco.com/</t>
  </si>
  <si>
    <t>http://walkercounty.com/</t>
  </si>
  <si>
    <t>Washington</t>
  </si>
  <si>
    <t>Wilcox</t>
  </si>
  <si>
    <t>http://www.alabama.gov/portal/secondary.jsp?id=countiesMountain&amp;countyID=winston</t>
  </si>
  <si>
    <t>Utilities</t>
  </si>
  <si>
    <t>Power South Energy Cooperative</t>
  </si>
  <si>
    <t>@powersouth</t>
  </si>
  <si>
    <t>http://www.powersouth.com/</t>
  </si>
  <si>
    <t>Alabama Municipal Electric Authority (AMEA)</t>
  </si>
  <si>
    <t>http://www.amea.com/</t>
  </si>
  <si>
    <t>Alabama Power (Electric)</t>
  </si>
  <si>
    <t>@alabamapower</t>
  </si>
  <si>
    <t>http://www.facebook.com/AlabamaPower</t>
  </si>
  <si>
    <t>http://www.alabamapower.com/</t>
  </si>
  <si>
    <t>Baldwin EMC (Electric)</t>
  </si>
  <si>
    <t>@BaldwinEMC</t>
  </si>
  <si>
    <t>https://www.facebook.com/BaldwinEMC</t>
  </si>
  <si>
    <t>http://www.baldwinemc.com/</t>
  </si>
  <si>
    <t>Central Alabama Electric Coop</t>
  </si>
  <si>
    <t>https://www.facebook.com/pages/Central-Alabama-Electric-Cooperative/161811367190187?v=wall</t>
  </si>
  <si>
    <t>http://www.caec.coop/</t>
  </si>
  <si>
    <t>Covington Electric Cooperative</t>
  </si>
  <si>
    <t>http://www.facebook.com/covingtonelectric</t>
  </si>
  <si>
    <t>http://www.covington.coop/</t>
  </si>
  <si>
    <t>Decatur Utilities (Electric/Water)</t>
  </si>
  <si>
    <t>@decaturutility</t>
  </si>
  <si>
    <t>https://www.facebook.com/pages/Decatur-Utilities-Decatur-Alabama/177404065654558</t>
  </si>
  <si>
    <t>http://www.decaturutilities.com/</t>
  </si>
  <si>
    <t>Huntsville Utilities</t>
  </si>
  <si>
    <t>@HSVUtilities</t>
  </si>
  <si>
    <t>http://www.facebook.com/Huntsville.Utilities</t>
  </si>
  <si>
    <t>http://www.hsvutil.org/</t>
  </si>
  <si>
    <t>Alabama Natural Gas Association</t>
  </si>
  <si>
    <t>http://www.alnga.org/</t>
  </si>
  <si>
    <t>AlaGasCO</t>
  </si>
  <si>
    <t>@Alagasco</t>
  </si>
  <si>
    <t>https://www.facebook.com/Alagasco</t>
  </si>
  <si>
    <t>http://www.alagasco.com/Home-705.html</t>
  </si>
  <si>
    <t>Mobile Gas</t>
  </si>
  <si>
    <t>@MobileGas</t>
  </si>
  <si>
    <t>https://www.facebook.com/pages/MobileGas/264125976958479</t>
  </si>
  <si>
    <t>http://www.mobile-gas.com/</t>
  </si>
  <si>
    <t>Water &amp; Wastewater Utility</t>
  </si>
  <si>
    <t>Birmingham Water Works Board</t>
  </si>
  <si>
    <t>http://www.birminghamwaterworks.com/</t>
  </si>
  <si>
    <t>City of Florence Water &amp; Sewer</t>
  </si>
  <si>
    <t>http://www.florenceutilities.com/Gas_Water/index.html</t>
  </si>
  <si>
    <t>Gadsden Water Works &amp; Sewer Board</t>
  </si>
  <si>
    <t>http://www.gadsdenwater.org/</t>
  </si>
  <si>
    <t>Mobile Area Water &amp; Sewer System</t>
  </si>
  <si>
    <t>http://www.mawss.com/</t>
  </si>
  <si>
    <t>Montgomery Water Works &amp; Sanitary Sewer Board</t>
  </si>
  <si>
    <t>https://www.mwwssb.com/home/</t>
  </si>
  <si>
    <t>Sylacauga Utilities Board</t>
  </si>
  <si>
    <t>http://www.sylacauga.net/utilities/water/water.htm</t>
  </si>
  <si>
    <t>Trussville Utilities</t>
  </si>
  <si>
    <t>http://www.trussville.com/water.htm</t>
  </si>
  <si>
    <t>Russell County Water Authority</t>
  </si>
  <si>
    <t>http://www.rcwsa.com/</t>
  </si>
  <si>
    <t>Ports</t>
  </si>
  <si>
    <t>Alabama Port Authority</t>
  </si>
  <si>
    <t>http://www.asdd.com/index.html</t>
  </si>
  <si>
    <t>@cityofmobile</t>
  </si>
  <si>
    <t>Port of Decatur</t>
  </si>
  <si>
    <t>http://www.decaturtransit.com/DecaturTransit/196/Port_of_Decatur.aspx</t>
  </si>
  <si>
    <t>Airports</t>
  </si>
  <si>
    <t>List of airports in Alabama</t>
  </si>
  <si>
    <t>http://en.wikipedia.org/wiki/List_of_airports_in_Alabama</t>
  </si>
  <si>
    <t>Wikipedia - check links</t>
  </si>
  <si>
    <t>AIR-NAV - ALABAMA</t>
  </si>
  <si>
    <t>http://www.airnav.com/airports/us/AL</t>
  </si>
  <si>
    <t>Huntsville International Airport</t>
  </si>
  <si>
    <t>@FLYHSV</t>
  </si>
  <si>
    <t>https://www.facebook.com/HuntsvilleInternationalAirport</t>
  </si>
  <si>
    <t>http://www.hsvairport.org/hia/index.html</t>
  </si>
  <si>
    <t>http://en.wikipedia.org/wiki/Huntsville_International_Airport</t>
  </si>
  <si>
    <t>Birmingham-Shuttlesworth International Airport</t>
  </si>
  <si>
    <t>@BHMAirport</t>
  </si>
  <si>
    <t>https://www.facebook.com/FlyBHMAirport?v=wall</t>
  </si>
  <si>
    <t>http://www.flybirmingham.com/Default.aspx</t>
  </si>
  <si>
    <t>http://en.wikipedia.org/wiki/Birmingham-Shuttlesworth_International_Airport</t>
  </si>
  <si>
    <t>Dothan Regional Airport</t>
  </si>
  <si>
    <t>https://www.facebook.com/pages/Dothan-Regional-Airport/130579260307532</t>
  </si>
  <si>
    <t>http://www.flydothan.com/</t>
  </si>
  <si>
    <t>http://en.wikipedia.org/wiki/Dothan_Regional_Airport</t>
  </si>
  <si>
    <t>Mobile Regional Airport</t>
  </si>
  <si>
    <t>@IFLYMO</t>
  </si>
  <si>
    <t>http://www.facebook.com/MobileRegionalAirport?ref=ts</t>
  </si>
  <si>
    <t>http://www.mobairport.com/</t>
  </si>
  <si>
    <t>http://en.wikipedia.org/wiki/Mobile_Regional_Airport</t>
  </si>
  <si>
    <t>Montgomery Regional Airport</t>
  </si>
  <si>
    <t>http://www.facebook.com/iflymontgomery</t>
  </si>
  <si>
    <t>http://iflymontgomery.com/us/en/index.php</t>
  </si>
  <si>
    <t>http://en.wikipedia.org/wiki/Montgomery_Regional_Airport</t>
  </si>
  <si>
    <t>Northwest Alabama Regional Airport</t>
  </si>
  <si>
    <t>@flytheshoals</t>
  </si>
  <si>
    <t>https://www.facebook.com/pages/Northwest-Alabama-Regional-Airport/286812414696116</t>
  </si>
  <si>
    <t>http://www.flytheshoals.com/</t>
  </si>
  <si>
    <t>http://en.wikipedia.org/wiki/Northwest_Alabama_Regional_Airport</t>
  </si>
  <si>
    <t>News Stations</t>
  </si>
  <si>
    <t>NEWS LINK - Alabama TV stations</t>
  </si>
  <si>
    <t>http://newslink.org/altele.html</t>
  </si>
  <si>
    <t>NEWS LINK - Alabama Radio stations</t>
  </si>
  <si>
    <t>http://www.newslink.org/alradi.html</t>
  </si>
  <si>
    <t>NEWS LINK - Alabama Newspapers</t>
  </si>
  <si>
    <t>http://www.newslink.org/alnews.html</t>
  </si>
  <si>
    <t>48 WAFF  (North AL)</t>
  </si>
  <si>
    <t>@waff48</t>
  </si>
  <si>
    <t>http://www.facebook.com/waff48</t>
  </si>
  <si>
    <t>http://www.waff.com/</t>
  </si>
  <si>
    <t>31 WAAY (North AL)</t>
  </si>
  <si>
    <t>@WAAYTV</t>
  </si>
  <si>
    <t>http://www.facebook.com/waay31news</t>
  </si>
  <si>
    <t>http://www.waaytv.com/default.aspx</t>
  </si>
  <si>
    <t>19 WHNT (North AL)</t>
  </si>
  <si>
    <t>@whnt</t>
  </si>
  <si>
    <t>http://www.facebook.com/whntnews19</t>
  </si>
  <si>
    <t>http://whnt.com/</t>
  </si>
  <si>
    <t>AL.com (All AL)</t>
  </si>
  <si>
    <t>@aldotcom</t>
  </si>
  <si>
    <t>FOX 54 (North AL)</t>
  </si>
  <si>
    <t>@wzdxfox54</t>
  </si>
  <si>
    <t>http://www.facebook.com/fox54huntsville</t>
  </si>
  <si>
    <t>http://www.fox54.com/</t>
  </si>
  <si>
    <t>WWIC 15AM (North AL)</t>
  </si>
  <si>
    <t>@WWICRADIO</t>
  </si>
  <si>
    <t>https://www.facebook.com/pages/WWIC-Radio/175884479404</t>
  </si>
  <si>
    <t>http://www.wwicradio.com/</t>
  </si>
  <si>
    <t>Shoals Metro News (North AL)</t>
  </si>
  <si>
    <t>@ShoalsMetroNews</t>
  </si>
  <si>
    <t>http://www.facebook.com/shoalsnews</t>
  </si>
  <si>
    <t>http://shoalsmetronews.com/</t>
  </si>
  <si>
    <t>Fox 6 (central AL)</t>
  </si>
  <si>
    <t>@myfoxal</t>
  </si>
  <si>
    <t>https://www.facebook.com/myfoxal</t>
  </si>
  <si>
    <t>http://www.myfoxal.com/</t>
  </si>
  <si>
    <t>CBS 42 (Central AL)</t>
  </si>
  <si>
    <t>@CBS42</t>
  </si>
  <si>
    <t>http://www.facebook.com/CBS42HD</t>
  </si>
  <si>
    <t>http://www.cbs42.com/default.aspx</t>
  </si>
  <si>
    <t>Alabama 13 (Central AL)</t>
  </si>
  <si>
    <t>@Alabamas13</t>
  </si>
  <si>
    <t>http://www.facebook.com/Alabamas13</t>
  </si>
  <si>
    <t>http://www2.alabamas13.com/</t>
  </si>
  <si>
    <t>WSFA (South AL)</t>
  </si>
  <si>
    <t>@wsfa12news</t>
  </si>
  <si>
    <t>http://www.facebook.com/WSFA12</t>
  </si>
  <si>
    <t>http://www.wsfa.com/</t>
  </si>
  <si>
    <t>CBS 8 WAKA (South AL)</t>
  </si>
  <si>
    <t>@CBS8News</t>
  </si>
  <si>
    <t>http://www.facebook.com/pages/WAKA-CBS-8-News/277898155535</t>
  </si>
  <si>
    <t>http://www.waka.com/</t>
  </si>
  <si>
    <t>WTVY 4 (South AL)</t>
  </si>
  <si>
    <t>@WTVY4</t>
  </si>
  <si>
    <t>https://www.facebook.com/pages/WTVY-TV/17517645911</t>
  </si>
  <si>
    <t>http://www.wtvy.com/</t>
  </si>
  <si>
    <t>Local 15 NBC (South AL)</t>
  </si>
  <si>
    <t>@LOCAL15NEWS</t>
  </si>
  <si>
    <t>http://www.facebook.com/LOCAL15News</t>
  </si>
  <si>
    <t>http://www.local15tv.com/default.aspx</t>
  </si>
  <si>
    <t>Colleges/University</t>
  </si>
  <si>
    <t>City</t>
  </si>
  <si>
    <t>Wikipedia List of Alabama colleges and universities</t>
  </si>
  <si>
    <t>http://en.wikipedia.org/wiki/List_of_colleges_and_universities_in_Alabama</t>
  </si>
  <si>
    <t>wikipedia - check links</t>
  </si>
  <si>
    <t>AL Colleges and Universities Directory</t>
  </si>
  <si>
    <t>http://www.ache.alabama.gov/Colleges&amp;Universities/Directory.htm</t>
  </si>
  <si>
    <t>AL Community College System Directory</t>
  </si>
  <si>
    <t>http://www.accs.cc/colleges.aspx</t>
  </si>
  <si>
    <t>Alabama Agricultural and Mechanical University[b]</t>
  </si>
  <si>
    <t>@aamuedu</t>
  </si>
  <si>
    <t>https://www.facebook.com/aamuedu</t>
  </si>
  <si>
    <t>http://www.aamu.edu/Pages/default.aspx</t>
  </si>
  <si>
    <t>Normal</t>
  </si>
  <si>
    <t>Alabama College of Osteopathic Medicine</t>
  </si>
  <si>
    <t>@ACOMEDU</t>
  </si>
  <si>
    <t>https://www.facebook.com/ACOMEDU?ref=streamtarget=</t>
  </si>
  <si>
    <t>http://www.acomedu.org/</t>
  </si>
  <si>
    <t>Dothan</t>
  </si>
  <si>
    <t>Alabama Southern Community College</t>
  </si>
  <si>
    <t>@ASCCNews</t>
  </si>
  <si>
    <t>https://www.facebook.com/pages/Alabama-Southern-Community-College-Official-College-Page/142006889688</t>
  </si>
  <si>
    <t>http://www.ascc.edu/</t>
  </si>
  <si>
    <t>Monroeville</t>
  </si>
  <si>
    <t>Alabama State University</t>
  </si>
  <si>
    <t>https://www.facebook.com/asu?sk=wall</t>
  </si>
  <si>
    <t>http://www.alasu.edu/index.aspx</t>
  </si>
  <si>
    <t>Montgomery</t>
  </si>
  <si>
    <t>Amridge University</t>
  </si>
  <si>
    <t>http://www.amridgeuniversity.edu/</t>
  </si>
  <si>
    <t>Athens State University</t>
  </si>
  <si>
    <t>@AthensStUniv</t>
  </si>
  <si>
    <t>https://www.facebook.com/athensstateuniversity</t>
  </si>
  <si>
    <t>http://www.athens.edu/</t>
  </si>
  <si>
    <t>Athens</t>
  </si>
  <si>
    <t>Auburn University</t>
  </si>
  <si>
    <t>@AuburnU</t>
  </si>
  <si>
    <t>https://www.facebook.com/auburnu</t>
  </si>
  <si>
    <t>http://www.auburn.edu/</t>
  </si>
  <si>
    <t>Auburn</t>
  </si>
  <si>
    <t>Auburn University at Montgomery</t>
  </si>
  <si>
    <t>@aumontgomery</t>
  </si>
  <si>
    <t>https://www.facebook.com/auburnmontgomery</t>
  </si>
  <si>
    <t>http://www.aum.edu/</t>
  </si>
  <si>
    <t>Bevill State Community College</t>
  </si>
  <si>
    <t>@bevillstate</t>
  </si>
  <si>
    <t>https://www.facebook.com/BevillStateCC</t>
  </si>
  <si>
    <t>http://www.bscc.edu/</t>
  </si>
  <si>
    <t>Sumiton</t>
  </si>
  <si>
    <t>Birmingham–Southern College</t>
  </si>
  <si>
    <t>@FromTheHilltop</t>
  </si>
  <si>
    <t>https://www.facebook.com/birminghamsouthern</t>
  </si>
  <si>
    <t>http://www.bsc.edu/</t>
  </si>
  <si>
    <t>Birmingham</t>
  </si>
  <si>
    <t>Bishop State Community College[b]</t>
  </si>
  <si>
    <t>@BishopState</t>
  </si>
  <si>
    <t>https://www.facebook.com/BishopState</t>
  </si>
  <si>
    <t>http://www.bscc.cc.al.us/</t>
  </si>
  <si>
    <t>Mobile</t>
  </si>
  <si>
    <t>Calhoun Community College</t>
  </si>
  <si>
    <t>@CalhounCollege</t>
  </si>
  <si>
    <t>https://www.facebook.com/pages/Calhoun-Community-College/40190388729?ref=nf</t>
  </si>
  <si>
    <t>https://www.calhoun.edu/</t>
  </si>
  <si>
    <t>Decatur</t>
  </si>
  <si>
    <t>Central Alabama Community College</t>
  </si>
  <si>
    <t>http://www.cacc.edu/</t>
  </si>
  <si>
    <t>Alexander City</t>
  </si>
  <si>
    <t>Chattahoochee Valley Community College</t>
  </si>
  <si>
    <t>https://www.facebook.com/ChattahoocheeValleyCC</t>
  </si>
  <si>
    <t>http://www.cv.edu/</t>
  </si>
  <si>
    <t>Phenix City</t>
  </si>
  <si>
    <t>Community College of the Air Force</t>
  </si>
  <si>
    <t>http://www.au.af.mil/au/ccaf/</t>
  </si>
  <si>
    <t>Concordia College</t>
  </si>
  <si>
    <t>@ConcordiaAL</t>
  </si>
  <si>
    <t>https://www.facebook.com/ConcordiaCollegeAlabama</t>
  </si>
  <si>
    <t>http://www.ccal.edu/</t>
  </si>
  <si>
    <t>Selma</t>
  </si>
  <si>
    <t>Enterprise State Community College</t>
  </si>
  <si>
    <t>@EnterpriseState</t>
  </si>
  <si>
    <t>https://www.facebook.com/weevils</t>
  </si>
  <si>
    <t>http://www.escc.edu/</t>
  </si>
  <si>
    <t>Enterprise</t>
  </si>
  <si>
    <t>Faulkner State Community College</t>
  </si>
  <si>
    <t>@faulknerstate</t>
  </si>
  <si>
    <t>http://www.faulknerstate.edu/</t>
  </si>
  <si>
    <t>Bay Minette</t>
  </si>
  <si>
    <t>Faulkner University</t>
  </si>
  <si>
    <t>@FaulknerEdu</t>
  </si>
  <si>
    <t>https://www.facebook.com/FaulknerUniversity</t>
  </si>
  <si>
    <t>http://www.faulkner.edu/</t>
  </si>
  <si>
    <t>Gadsden State Community College</t>
  </si>
  <si>
    <t>@gadsdenstate</t>
  </si>
  <si>
    <t>https://www.facebook.com/gadsdenstate</t>
  </si>
  <si>
    <t>http://www.gadsdenstate.edu/</t>
  </si>
  <si>
    <t>Gadsden</t>
  </si>
  <si>
    <t>H. Councill Trenholm State Technical College</t>
  </si>
  <si>
    <t>@trenholmcollege</t>
  </si>
  <si>
    <t>http://www.trenholmstate.edu/</t>
  </si>
  <si>
    <t>Heritage Christian University</t>
  </si>
  <si>
    <t>@hcu_dot_edu</t>
  </si>
  <si>
    <t>https://www.facebook.com/HeritageChristianUniversity</t>
  </si>
  <si>
    <t>http://www.hcu.edu/</t>
  </si>
  <si>
    <t>Florence</t>
  </si>
  <si>
    <t>Huntingdon College</t>
  </si>
  <si>
    <t>@gohuntingdon</t>
  </si>
  <si>
    <t>https://www.facebook.com/HuntingdonCollege</t>
  </si>
  <si>
    <t>http://www.huntingdon.edu/</t>
  </si>
  <si>
    <t>Huntsville Bible College</t>
  </si>
  <si>
    <t>https://www.facebook.com/pages/Huntsville-Bible-College/302139475365?ref=ts</t>
  </si>
  <si>
    <t>http://www.hbc1.edu/</t>
  </si>
  <si>
    <t>Huntsville</t>
  </si>
  <si>
    <t>J. F. Drake State Technical College</t>
  </si>
  <si>
    <t>@DrakeState</t>
  </si>
  <si>
    <t>https://www.facebook.com/pages/J-F-Drake-State-Technical-College/103841173099?sk=wall</t>
  </si>
  <si>
    <t>http://www.dstc.cc.al.us/</t>
  </si>
  <si>
    <t>J. F. Ingram State Technical College</t>
  </si>
  <si>
    <t>https://www.facebook.com/pages/Ingram-State-Technical-College-ISTC/290264664408415</t>
  </si>
  <si>
    <t>http://www.ingram.cc.al.us/</t>
  </si>
  <si>
    <t>Deatsville</t>
  </si>
  <si>
    <t>Jacksonville State University</t>
  </si>
  <si>
    <t>@JSUNews</t>
  </si>
  <si>
    <t>https://www.facebook.com/JacksonvilleStateUniversity</t>
  </si>
  <si>
    <t>http://www.jsu.edu/</t>
  </si>
  <si>
    <t>Jacksonville</t>
  </si>
  <si>
    <t>Jefferson Davis Community College</t>
  </si>
  <si>
    <t>@jdccwarhawks</t>
  </si>
  <si>
    <t>https://www.facebook.com/jeffdaviscc</t>
  </si>
  <si>
    <t>http://www.jdcc.edu/mainindex.php</t>
  </si>
  <si>
    <t>Brewton</t>
  </si>
  <si>
    <t>Jefferson State Community College</t>
  </si>
  <si>
    <t>@jeffstate</t>
  </si>
  <si>
    <t>https://www.facebook.com/jeffstatecollege</t>
  </si>
  <si>
    <t>http://www.jeffstateonline.com/</t>
  </si>
  <si>
    <t>Judson College</t>
  </si>
  <si>
    <t>@JudsonCollege</t>
  </si>
  <si>
    <t>https://www.facebook.com/Judson.College?ref=ts</t>
  </si>
  <si>
    <t>http://www.judson.edu/</t>
  </si>
  <si>
    <t>Marion</t>
  </si>
  <si>
    <t>Lawson State Community College</t>
  </si>
  <si>
    <t>http://www.ls.cc.al.us/</t>
  </si>
  <si>
    <t>Lurleen B. Wallace Community College</t>
  </si>
  <si>
    <t>http://www.lbwcc.edu/</t>
  </si>
  <si>
    <t>Andalusia</t>
  </si>
  <si>
    <t>Marion Military Institute</t>
  </si>
  <si>
    <t>@MarionMilitary</t>
  </si>
  <si>
    <t>https://www.facebook.com/Marion.Military.Institute</t>
  </si>
  <si>
    <t>http://www.marionmilitary.edu/</t>
  </si>
  <si>
    <t>Miles College</t>
  </si>
  <si>
    <t>@MilesCollege</t>
  </si>
  <si>
    <t>https://www.miles.edu/</t>
  </si>
  <si>
    <t>Fairfield</t>
  </si>
  <si>
    <t>Northeast Alabama Community College</t>
  </si>
  <si>
    <t>http://www.nacc.edu/default.htm</t>
  </si>
  <si>
    <t>Rainsville</t>
  </si>
  <si>
    <t>Northwest–Shoals Community College</t>
  </si>
  <si>
    <t>@NWSCC</t>
  </si>
  <si>
    <t>https://www.facebook.com/pages/Northwest-Shoals-Community-College/105177256819</t>
  </si>
  <si>
    <t>http://www.nwscc.edu/</t>
  </si>
  <si>
    <t>Muscle Shoals</t>
  </si>
  <si>
    <t>Oakwood University</t>
  </si>
  <si>
    <t>http://www.oakwood.edu/</t>
  </si>
  <si>
    <t>Reid State Technical College</t>
  </si>
  <si>
    <t>http://www.rstc.edu/</t>
  </si>
  <si>
    <t>Evergreen</t>
  </si>
  <si>
    <t>Samford University</t>
  </si>
  <si>
    <t>@SamfordU</t>
  </si>
  <si>
    <t>http://www.samford.edu/</t>
  </si>
  <si>
    <t>Selma University</t>
  </si>
  <si>
    <t>http://www.selmauniversity.org/</t>
  </si>
  <si>
    <t>Shelton State Community College</t>
  </si>
  <si>
    <t>@sheltonstate</t>
  </si>
  <si>
    <t>https://www.facebook.com/sheltonstate</t>
  </si>
  <si>
    <t>https://www.sheltonstate.edu/</t>
  </si>
  <si>
    <t>Tuscaloosa</t>
  </si>
  <si>
    <t>Snead State Community College</t>
  </si>
  <si>
    <t>@sneadstatecc</t>
  </si>
  <si>
    <t>https://www.facebook.com/sneadstatecc</t>
  </si>
  <si>
    <t>http://www.snead.edu/</t>
  </si>
  <si>
    <t>Boaz</t>
  </si>
  <si>
    <t>Southeastern Bible College</t>
  </si>
  <si>
    <t>@SEBCAdmissions</t>
  </si>
  <si>
    <t>http://www.sebc.edu/</t>
  </si>
  <si>
    <t>Southern Union State Community College</t>
  </si>
  <si>
    <t>http://www.suscc.edu/</t>
  </si>
  <si>
    <t>Wadley</t>
  </si>
  <si>
    <t>Spring Hill College</t>
  </si>
  <si>
    <t>@sprhill</t>
  </si>
  <si>
    <t>https://www.facebook.com/SpringHillAdmissions</t>
  </si>
  <si>
    <t>http://www.shc.edu/</t>
  </si>
  <si>
    <t>Stillman College</t>
  </si>
  <si>
    <t>http://www.stillman.edu/</t>
  </si>
  <si>
    <t>Talladega College</t>
  </si>
  <si>
    <t>@TalladegaEDU</t>
  </si>
  <si>
    <t>https://www.facebook.com/pages/Talladega-College-Admissions/129261267185347</t>
  </si>
  <si>
    <t>http://talladega.brinkster.net/joomla25/</t>
  </si>
  <si>
    <t>Talladega</t>
  </si>
  <si>
    <t>Troy University</t>
  </si>
  <si>
    <t>@TROYUNews</t>
  </si>
  <si>
    <t>https://www.facebook.com/TroyUniversity</t>
  </si>
  <si>
    <t>http://www.troy.edu/</t>
  </si>
  <si>
    <t>Troy</t>
  </si>
  <si>
    <t>Tuskegee University</t>
  </si>
  <si>
    <t>@TuskegeeUniv</t>
  </si>
  <si>
    <t>https://www.facebook.com/TUSKEGEEUNIVERSITY?v=wall</t>
  </si>
  <si>
    <t>http://www.tuskegee.edu/</t>
  </si>
  <si>
    <t>Tuskegee</t>
  </si>
  <si>
    <t>United States Sports Academy</t>
  </si>
  <si>
    <t>@USSportsAcademy</t>
  </si>
  <si>
    <t>https://www.facebook.com/USSportsAcademy</t>
  </si>
  <si>
    <t>http://www.ussa.edu/</t>
  </si>
  <si>
    <t>Daphne</t>
  </si>
  <si>
    <t>University of Alabama</t>
  </si>
  <si>
    <t>@UofAlabama</t>
  </si>
  <si>
    <t>https://www.facebook.com/universityofalabama</t>
  </si>
  <si>
    <t>http://www.ua.edu/</t>
  </si>
  <si>
    <t>University of Alabama at Birmingham</t>
  </si>
  <si>
    <t>https://www.facebook.com/UAB.edu</t>
  </si>
  <si>
    <t>http://www.uab.edu/home/</t>
  </si>
  <si>
    <t>University of Alabama in Huntsville</t>
  </si>
  <si>
    <t>@UAHuntsville</t>
  </si>
  <si>
    <t>https://www.facebook.com/UAHuntsville</t>
  </si>
  <si>
    <t>http://www.uah.edu/</t>
  </si>
  <si>
    <t>University of Mobile</t>
  </si>
  <si>
    <t>@umobilenews</t>
  </si>
  <si>
    <t>https://www.facebook.com/universityofmobile</t>
  </si>
  <si>
    <t>http://www.umobile.edu/</t>
  </si>
  <si>
    <t>Prichard</t>
  </si>
  <si>
    <t>University of Montevallo</t>
  </si>
  <si>
    <t>@Montevallo</t>
  </si>
  <si>
    <t>https://www.facebook.com/goMontevallo?ref=tsI</t>
  </si>
  <si>
    <t>http://www.montevallo.edu/</t>
  </si>
  <si>
    <t>Montevallo</t>
  </si>
  <si>
    <t>University of North Alabama</t>
  </si>
  <si>
    <t>@north_alabama</t>
  </si>
  <si>
    <t>https://www.facebook.com/northalabama</t>
  </si>
  <si>
    <t>http://www.una.edu/</t>
  </si>
  <si>
    <t>University of South Alabama</t>
  </si>
  <si>
    <t>http://www.southalabama.edu/</t>
  </si>
  <si>
    <t>University of West Alabama</t>
  </si>
  <si>
    <t>https://www.facebook.com/pages/The-University-of-West-Alabama/95107902540</t>
  </si>
  <si>
    <t>http://www.uwa.edu/</t>
  </si>
  <si>
    <t>Livingston</t>
  </si>
  <si>
    <t>Virginia College</t>
  </si>
  <si>
    <t>http://www.vc.edu/</t>
  </si>
  <si>
    <t>Wallace Community College</t>
  </si>
  <si>
    <t>https://www.facebook.com/pages/Wallace-Community-College-DothanEufaula/107148095992885</t>
  </si>
  <si>
    <t>http://www.wallace.edu/</t>
  </si>
  <si>
    <t>Wallace Community College Selma</t>
  </si>
  <si>
    <t>@wccselma</t>
  </si>
  <si>
    <t>https://www.facebook.com/wccselma</t>
  </si>
  <si>
    <t>http://www.wccs.edu/</t>
  </si>
  <si>
    <t>Wallace State Community College</t>
  </si>
  <si>
    <t>@wallacestate</t>
  </si>
  <si>
    <t>https://www.facebook.com/pages/Wallace-State-Community-College/30416789410</t>
  </si>
  <si>
    <t>http://www.wallacestate.edu/</t>
  </si>
  <si>
    <t>Hanceville</t>
  </si>
  <si>
    <t>Other</t>
  </si>
  <si>
    <t>Alaska State Website</t>
  </si>
  <si>
    <t>http://alaska.gov/</t>
  </si>
  <si>
    <t>Alaska DHS</t>
  </si>
  <si>
    <t>@AlaskaDHSEM</t>
  </si>
  <si>
    <t>https://www.facebook.com/readyalaska</t>
  </si>
  <si>
    <t>http://ready.alaska.gov/</t>
  </si>
  <si>
    <t>Alaska Wildlife Rescue</t>
  </si>
  <si>
    <t>http://wildlife.rescueshelter.com/Alaska</t>
  </si>
  <si>
    <t>Alaska Wildlife Troopers</t>
  </si>
  <si>
    <t>http://dps.alaska.gov/AWT/</t>
  </si>
  <si>
    <t>Alaska NWS</t>
  </si>
  <si>
    <t>@NWSAlaska</t>
  </si>
  <si>
    <t>https://www.facebook.com/US.NationalWeatherService.Alaska.gov</t>
  </si>
  <si>
    <t>http://www.arh.noaa.gov/</t>
  </si>
  <si>
    <t>Alaska.gov  511</t>
  </si>
  <si>
    <t>@alaska511</t>
  </si>
  <si>
    <t>http://511.alaska.gov/alaska511/mappingcomponent</t>
  </si>
  <si>
    <t>Alaska Marine Highway System</t>
  </si>
  <si>
    <t>https://www.facebook.com/AlaskaMarineHighway</t>
  </si>
  <si>
    <t>http://www.dot.state.ak.us/amhs/index.shtml</t>
  </si>
  <si>
    <t>Alaska Commission on Postsecondary Education</t>
  </si>
  <si>
    <t>https://www.facebook.com/followacpe</t>
  </si>
  <si>
    <t>http://acpe.alaska.gov/</t>
  </si>
  <si>
    <t>Alaska Dept of Education</t>
  </si>
  <si>
    <t>http://education.alaska.gov/</t>
  </si>
  <si>
    <t>http://www.muni.org/pages/default.aspx</t>
  </si>
  <si>
    <t>@WXFairbanksAK</t>
  </si>
  <si>
    <t>http://co.fairbanks.ak.us/</t>
  </si>
  <si>
    <t>@JuneauPD</t>
  </si>
  <si>
    <t>http://www.juneau.org/</t>
  </si>
  <si>
    <t>http://www.cityofsitka.com/</t>
  </si>
  <si>
    <t>@KetchikanPD  @CityofKetchikan</t>
  </si>
  <si>
    <t>http://www.city.ketchikan.ak.us/</t>
  </si>
  <si>
    <t>County Government**</t>
  </si>
  <si>
    <t>EMA Office</t>
  </si>
  <si>
    <t>**Alaska is divided in boroughs</t>
  </si>
  <si>
    <t>Alaska.gov - community links</t>
  </si>
  <si>
    <t>http://alaska.gov/communit.html</t>
  </si>
  <si>
    <t>http://www.facebook.com/AleutiansEastBorough?ref=ts&amp;fref=ts</t>
  </si>
  <si>
    <t>http://www.aleutianseast.org/</t>
  </si>
  <si>
    <t>None</t>
  </si>
  <si>
    <t>http://www.muni.org/departments/oem/pages/default.aspx</t>
  </si>
  <si>
    <t>http://www.bristolbayboroughak.us/</t>
  </si>
  <si>
    <t>http://www.bristolbayboroughak.us/adminstration/fire/index.html</t>
  </si>
  <si>
    <t>http://www.denaliborough.govoffice.com/</t>
  </si>
  <si>
    <t>https://www.facebook.com/pages/Fairbanks-North-Star-Borough/136531433087724</t>
  </si>
  <si>
    <t>http://www.co.fairbanks.ak.us/</t>
  </si>
  <si>
    <t>http://www.co.fairbanks.ak.us/EmergencyOperations/default.htm</t>
  </si>
  <si>
    <t>https://www.facebook.com/hainesalaska</t>
  </si>
  <si>
    <t>http://www.hainesalaska.gov/</t>
  </si>
  <si>
    <t>http://www.hainesalaska.gov/fire</t>
  </si>
  <si>
    <t>http://www.juneau.org/ccfr/</t>
  </si>
  <si>
    <t>https://www.facebook.com/Kenai.Peninsula.Borough</t>
  </si>
  <si>
    <t>http://www.borough.kenai.ak.us/</t>
  </si>
  <si>
    <t>http://www2.borough.kenai.ak.us/emergency/default.htm</t>
  </si>
  <si>
    <t>@KetchikanPD</t>
  </si>
  <si>
    <t>http://www.borough.ketchikan.ak.us/</t>
  </si>
  <si>
    <t>http://www.kodiakak.us/index.aspx</t>
  </si>
  <si>
    <t>http://www.kodiakak.us/index.aspx?nid=123</t>
  </si>
  <si>
    <t>https://www.facebook.com/LakeAndPeninsulaBorough</t>
  </si>
  <si>
    <t>http://www.lakeandpen.com/</t>
  </si>
  <si>
    <t>http://www.matsugov.us/</t>
  </si>
  <si>
    <t>http://www.matsugov.us/eoc/</t>
  </si>
  <si>
    <t>http://www.co.north-slope.ak.us/</t>
  </si>
  <si>
    <t>http://www.co.north-slope.ak.us/departments/police/</t>
  </si>
  <si>
    <t>http://www.nwabor.org/</t>
  </si>
  <si>
    <t>http://www.facebook.com/SitkaByTheSea</t>
  </si>
  <si>
    <t>http://www.sitka.com/</t>
  </si>
  <si>
    <t>http://www.skagway.org/</t>
  </si>
  <si>
    <t>http://www.skagwaypolice.org/</t>
  </si>
  <si>
    <t>@CityofWrangell</t>
  </si>
  <si>
    <t>http://www.facebook.com/pages/City-and-Borough-of-Wrangell/2251815755492</t>
  </si>
  <si>
    <t>http://www.wrangell.com/</t>
  </si>
  <si>
    <t>http://www.wrangell.com/police</t>
  </si>
  <si>
    <t>http://www.yakutatak.govoffice2.com/</t>
  </si>
  <si>
    <t>http://www.yakutatak.govoffice2.com/index.asp?Type=B_BASIC&amp;SEC={0B56C210-B4BC-45B1-BDB1-1B0F7B082EA4}</t>
  </si>
  <si>
    <t>Juneau Water</t>
  </si>
  <si>
    <t>http://www.juneau.lib.ak.us/water/</t>
  </si>
  <si>
    <t>Golden Valley Electric Association</t>
  </si>
  <si>
    <t>http://www.facebook.com/GoldenValleyElectric</t>
  </si>
  <si>
    <t>http://www.gvea.com/</t>
  </si>
  <si>
    <t>Chugach Electric Association</t>
  </si>
  <si>
    <t>http://www.facebook.com/ChugachElectric</t>
  </si>
  <si>
    <t>http://www.chugachelectric.com/</t>
  </si>
  <si>
    <t>Copper Valley Electric Association</t>
  </si>
  <si>
    <t>http://www.facebook.com/pages/Copper-Valley-Electric-Association/157279357645493</t>
  </si>
  <si>
    <t>http://www.cvea.org/</t>
  </si>
  <si>
    <t>Municipal Light &amp; Power</t>
  </si>
  <si>
    <t>@MLandP</t>
  </si>
  <si>
    <t>https://www.facebook.com/pages/Municipal-Light-Power/195622507137163</t>
  </si>
  <si>
    <t>http://www.mlandp.com/</t>
  </si>
  <si>
    <t>Kodiak Electric Association</t>
  </si>
  <si>
    <t>http://www.kodiakelectric.com/</t>
  </si>
  <si>
    <t>Alaska Villages Electric Cooperative</t>
  </si>
  <si>
    <t>https://www.facebook.com/alaskavillage</t>
  </si>
  <si>
    <t>http://www.avec.org/</t>
  </si>
  <si>
    <t>Alaska Power and Telephone</t>
  </si>
  <si>
    <t>https://www.facebook.com/AlaskaPowerandTelephone</t>
  </si>
  <si>
    <t>http://www.aptalaska.com/index.php?action=switchTabs&amp;tabID=12</t>
  </si>
  <si>
    <t>Alaska Electric Light and Power Company,</t>
  </si>
  <si>
    <t>@AELPJUNEAU</t>
  </si>
  <si>
    <t>https://www.facebook.com/AELPJuneau</t>
  </si>
  <si>
    <t>http://www.aelp.com/</t>
  </si>
  <si>
    <t>MUNICIPALITY OF ANCHORAGE Utilities</t>
  </si>
  <si>
    <t>http://www.muni.org/Residents/Pages/Utilities.aspx</t>
  </si>
  <si>
    <t>Utility Services of Alaska</t>
  </si>
  <si>
    <t>http://www.akwater.com/</t>
  </si>
  <si>
    <t>Matanuska Electric Association</t>
  </si>
  <si>
    <t>@meacoop</t>
  </si>
  <si>
    <t>https://www.facebook.com/matanuska.electric</t>
  </si>
  <si>
    <t>http://www.mea.coop/index.php/home</t>
  </si>
  <si>
    <t>Hilcorp Energy Corporation</t>
  </si>
  <si>
    <t>http://www.hilcorp.com/Default.aspx</t>
  </si>
  <si>
    <t>Port of Valdez</t>
  </si>
  <si>
    <t>http://www.ci.valdez.ak.us/index.aspx?nid=151</t>
  </si>
  <si>
    <t>Valdez</t>
  </si>
  <si>
    <t>Port of Alaska (Anchorage)</t>
  </si>
  <si>
    <t>@PortofAlaska</t>
  </si>
  <si>
    <t>https://www.facebook.com/PortofAlaska</t>
  </si>
  <si>
    <t>http://www.portofalaska.com/</t>
  </si>
  <si>
    <t>Anchorage</t>
  </si>
  <si>
    <t>Port of Nome</t>
  </si>
  <si>
    <t>http://www.nomealaska.org/department/?fDD=14-0</t>
  </si>
  <si>
    <t>Nome</t>
  </si>
  <si>
    <t>Prudhoe Bay</t>
  </si>
  <si>
    <t>https://www.facebook.com/northernalaska</t>
  </si>
  <si>
    <t>http://prudhoebay.com/</t>
  </si>
  <si>
    <t>Prudhoe Bay</t>
  </si>
  <si>
    <t>Ketchikan</t>
  </si>
  <si>
    <t>@CityofKetchikan</t>
  </si>
  <si>
    <t>http://www.city.ketchikan.ak.us/departments/ports/</t>
  </si>
  <si>
    <t>Airport</t>
  </si>
  <si>
    <t>Alaska Dept. of Transportation -Airports</t>
  </si>
  <si>
    <t>http://dot.alaska.gov/airport-portal.shtml#</t>
  </si>
  <si>
    <t>Alaska Aviation Portal</t>
  </si>
  <si>
    <t>List of Alaska Airports</t>
  </si>
  <si>
    <t>http://en.wikipedia.org/wiki/List_of_airports_in_Alaska</t>
  </si>
  <si>
    <t>Wikipedia list - check links</t>
  </si>
  <si>
    <t>AirNav List of Airports</t>
  </si>
  <si>
    <t>http://www.airnav.com/airports/us/AK</t>
  </si>
  <si>
    <t>Ted Stevens Anchorage International Airport</t>
  </si>
  <si>
    <t>@AlaskaDOTPF</t>
  </si>
  <si>
    <t>http://www.facebook.com/AnchorageInternationalAirport</t>
  </si>
  <si>
    <t>http://dot.state.ak.us/anc/</t>
  </si>
  <si>
    <t>Merrill Field</t>
  </si>
  <si>
    <t>http://www.muni.org/departments/merrill_field/pages/default.aspx</t>
  </si>
  <si>
    <t>Dillingham Airport</t>
  </si>
  <si>
    <t>http://www.dowlhkm.com/Projects/Dillingham_Airport_Improvements/dillingham_airport_imporvements/index.html</t>
  </si>
  <si>
    <t>Fairbanks International Airport</t>
  </si>
  <si>
    <t>http://www.facebook.com/FairbanksInternationalAirport</t>
  </si>
  <si>
    <t>http://dot.alaska.gov/faiiap/index.shtml</t>
  </si>
  <si>
    <t>Homer Airport</t>
  </si>
  <si>
    <t>http://www.cityofhomer-ak.gov/airport</t>
  </si>
  <si>
    <t>Juneau International Airport</t>
  </si>
  <si>
    <t>https://www.facebook.com/pages/Juneau-International-Airport/132805756757722</t>
  </si>
  <si>
    <t>http://www.juneau.org/airport/</t>
  </si>
  <si>
    <t>Ketchikan International Airport</t>
  </si>
  <si>
    <t>http://www.borough.ketchikan.ak.us/airport/airport.htm</t>
  </si>
  <si>
    <t>Nome Airport</t>
  </si>
  <si>
    <t>http://www.alaskaair.com/travelinfo/destinations/nome-alaska-airport</t>
  </si>
  <si>
    <t>NEWS LINK - Alaska TV stations</t>
  </si>
  <si>
    <t>http://newslink.org/aktele.html</t>
  </si>
  <si>
    <t>NEWS LINK - Alaska Radio stations</t>
  </si>
  <si>
    <t>http://www.newslink.org/akradi.html</t>
  </si>
  <si>
    <t>NEWS LINK - Alaska Newspapers</t>
  </si>
  <si>
    <t>http://www.newslink.org/aknews.html</t>
  </si>
  <si>
    <t>Anchorage Daily NewsPAPER</t>
  </si>
  <si>
    <t>@adndotcom</t>
  </si>
  <si>
    <t>http://www.facebook.com/anchoragedailynews</t>
  </si>
  <si>
    <t>http://www.adn.com/</t>
  </si>
  <si>
    <t>Juneau Empire</t>
  </si>
  <si>
    <t>@JuneauEmpire</t>
  </si>
  <si>
    <t>http://www.facebook.com/juneauempire</t>
  </si>
  <si>
    <t>http://juneauempire.com/</t>
  </si>
  <si>
    <t>Fairbanks Daily News Miner</t>
  </si>
  <si>
    <t>@newsminer</t>
  </si>
  <si>
    <t>http://www.facebook.com/fairbanksDNM</t>
  </si>
  <si>
    <t>http://newsminer.com/</t>
  </si>
  <si>
    <t>Alaska Postsecondary Institutions</t>
  </si>
  <si>
    <t>http://acpe.alaska.gov/EDUCATOR-SCHOOL/Postsecondary_Institutions/Institutional_Authorization/Alaska_Postsecondary_Institutions</t>
  </si>
  <si>
    <t>Website includes all institutions and links to their websites</t>
  </si>
  <si>
    <t>Ilisagvik College</t>
  </si>
  <si>
    <t>@Ilisagvik</t>
  </si>
  <si>
    <t>https://www.facebook.com/pages/I%E1%B8%B7isa%C4%A1vik-College-Student-Success-Center/268148496575996</t>
  </si>
  <si>
    <t>http://www.ilisagvik.edu/</t>
  </si>
  <si>
    <t>Barrow</t>
  </si>
  <si>
    <t>Kodiak College</t>
  </si>
  <si>
    <t>@KodiakCollege</t>
  </si>
  <si>
    <t>https://www.facebook.com/Kodiak.College</t>
  </si>
  <si>
    <t>http://www.koc.alaska.edu/</t>
  </si>
  <si>
    <t>Kodiak</t>
  </si>
  <si>
    <t>Kenai Peninsula College</t>
  </si>
  <si>
    <t>@kpc</t>
  </si>
  <si>
    <t>https://www.facebook.com/KenaiPeninsulaCollege</t>
  </si>
  <si>
    <t>http://www.kpc.alaska.edu/KPC/</t>
  </si>
  <si>
    <t>Soldotna, Homer, Seward</t>
  </si>
  <si>
    <t>Matanuska-Susitna College</t>
  </si>
  <si>
    <t>https://www.facebook.com/MSCDragons</t>
  </si>
  <si>
    <t>http://matsu.alaska.edu/</t>
  </si>
  <si>
    <t>Palmer</t>
  </si>
  <si>
    <t>Prince William Sound Community College</t>
  </si>
  <si>
    <t>@pwscc</t>
  </si>
  <si>
    <t>https://www.facebook.com/PrinceWilliamSoundCommunityCollege</t>
  </si>
  <si>
    <t>http://www.pwscc.edu/</t>
  </si>
  <si>
    <t>University of Alaska Anchorage</t>
  </si>
  <si>
    <t>@uaanchorage</t>
  </si>
  <si>
    <t>https://www.facebook.com/UAAnchorage</t>
  </si>
  <si>
    <t>http://www.uaa.alaska.edu/</t>
  </si>
  <si>
    <t>University of Alaska Fairbanks</t>
  </si>
  <si>
    <t>@uafairbanks</t>
  </si>
  <si>
    <t>https://www.facebook.com/uafairbanks</t>
  </si>
  <si>
    <t>http://www.uaf.edu/</t>
  </si>
  <si>
    <t>Fairbanks</t>
  </si>
  <si>
    <t>University of Alaska Southeast</t>
  </si>
  <si>
    <t>https://www.facebook.com/UAS.Spike</t>
  </si>
  <si>
    <t>http://www.uas.alaska.edu/</t>
  </si>
  <si>
    <t>Juneau (main campus), Ketchikan, Sitka</t>
  </si>
  <si>
    <t>Charter College</t>
  </si>
  <si>
    <t>@CharterCollege</t>
  </si>
  <si>
    <t>https://www.facebook.com/chartercollege</t>
  </si>
  <si>
    <t>http://www.chartercollege.edu/</t>
  </si>
  <si>
    <t>Alaska Bible College</t>
  </si>
  <si>
    <t>https://www.facebook.com/akbible.edu</t>
  </si>
  <si>
    <t>http://www.akbible.edu/</t>
  </si>
  <si>
    <t>Glennallen</t>
  </si>
  <si>
    <t>Alaska Pacific University</t>
  </si>
  <si>
    <t>https://www.facebook.com/Alaskapacific</t>
  </si>
  <si>
    <t>http://www.alaskapacific.edu/</t>
  </si>
  <si>
    <t>Saint Herman's Orthodox Theological Seminary</t>
  </si>
  <si>
    <t>http://www.sthermanseminary.org/</t>
  </si>
  <si>
    <t>Arizona State Website</t>
  </si>
  <si>
    <t>http://az.gov/</t>
  </si>
  <si>
    <t>Arizona EMA</t>
  </si>
  <si>
    <t>http://www.dem.azdema.gov/</t>
  </si>
  <si>
    <t>Arizona DHS</t>
  </si>
  <si>
    <t>http://www.azdohs.gov/</t>
  </si>
  <si>
    <t>Arizona Wildlife Rescue</t>
  </si>
  <si>
    <t>http://wildlife.rescueshelter.com/Arizona</t>
  </si>
  <si>
    <t>Arizona Education K-12</t>
  </si>
  <si>
    <t>http://az.gov/education_k-12ed.html</t>
  </si>
  <si>
    <t>Arizona State Colleges/Universities</t>
  </si>
  <si>
    <t>http://www.azed.gov/resource-center/colleges-universities/</t>
  </si>
  <si>
    <t>Note: Links below are to Wikipedia sites and not link the official website</t>
  </si>
  <si>
    <t>Largest Cities</t>
  </si>
  <si>
    <t>@CityofPhoenixAZ</t>
  </si>
  <si>
    <t>https://www.facebook.com/cityofphoenix</t>
  </si>
  <si>
    <t>http://phoenix.gov/</t>
  </si>
  <si>
    <t>@cityoftucson</t>
  </si>
  <si>
    <t>http://cms3.tucsonaz.gov/</t>
  </si>
  <si>
    <t>@MesaAzgov</t>
  </si>
  <si>
    <t>https://www.facebook.com/CityofMesa</t>
  </si>
  <si>
    <t>http://www.mesaaz.gov/Home/</t>
  </si>
  <si>
    <t>@cityofchandler</t>
  </si>
  <si>
    <t>https://www.facebook.com/cityofchandleraz</t>
  </si>
  <si>
    <t>http://www.chandleraz.gov/</t>
  </si>
  <si>
    <t>http://www.yumaaz.gov/E14</t>
  </si>
  <si>
    <t>@CityofFlagstaff</t>
  </si>
  <si>
    <t>https://www.facebook.com/pages/Flagstaff-City-Government/379229445440261</t>
  </si>
  <si>
    <t>http://www.flagstaff.az.gov/</t>
  </si>
  <si>
    <t>https://www.facebook.com/GlendaleAZ</t>
  </si>
  <si>
    <t>http://www.glendaleaz.com/</t>
  </si>
  <si>
    <t>Arizona State - cities &amp; counties</t>
  </si>
  <si>
    <t>http://az.gov/government_county_statemap.html</t>
  </si>
  <si>
    <t>http://www.co.apache.az.us/</t>
  </si>
  <si>
    <t>@CochiseCounty</t>
  </si>
  <si>
    <t>https://www.facebook.com/pages/Cochise-County/169288713148377</t>
  </si>
  <si>
    <t>http://www.cochise.az.gov/</t>
  </si>
  <si>
    <t>@CoconinoCounty</t>
  </si>
  <si>
    <t>http://www.facebook.com/CoconinoCounty</t>
  </si>
  <si>
    <t>http://www.coconino.az.gov/</t>
  </si>
  <si>
    <t>http://www.gilacountyaz.gov/</t>
  </si>
  <si>
    <t>http://www.graham.az.gov/Graham_CMS/default.aspx</t>
  </si>
  <si>
    <t>http://www.co.greenlee.az.us/</t>
  </si>
  <si>
    <t>https://www.facebook.com/pages/La-Paz-County-Sheriffs-Department/107484265997677</t>
  </si>
  <si>
    <t>http://www.co.la-paz.az.us/</t>
  </si>
  <si>
    <t>@MaricopaEmerg</t>
  </si>
  <si>
    <t>https://www.facebook.com/MaricopaCountyEmergencyManagement</t>
  </si>
  <si>
    <t>http://www.maricopa.gov/</t>
  </si>
  <si>
    <t>@mohavecounty</t>
  </si>
  <si>
    <t>https://www.facebook.com/pages/Mohave-County-Division-of-Emergency-Management/465611896811008</t>
  </si>
  <si>
    <t>http://www.co.mohave.az.us/</t>
  </si>
  <si>
    <t>@NavajoCountyAZ</t>
  </si>
  <si>
    <t>http://www.facebook.com/NavajoCounty</t>
  </si>
  <si>
    <t>http://www.navajocountyaz.gov/</t>
  </si>
  <si>
    <t>@PimaSheriff @pcoemhs</t>
  </si>
  <si>
    <t>https://www.facebook.com/pimacountyarizona</t>
  </si>
  <si>
    <t>http://www.pima.gov/</t>
  </si>
  <si>
    <t>@PinalCounty</t>
  </si>
  <si>
    <t>https://www.facebook.com/pages/Pinal-County-Sheriffs-Office/151161388286780</t>
  </si>
  <si>
    <t>http://pinalcountyaz.gov/Pages/Home.aspx</t>
  </si>
  <si>
    <t>https://www.facebook.com/SantaCruzSheriffsOffice</t>
  </si>
  <si>
    <t>http://www.co.santa-cruz.az.us/</t>
  </si>
  <si>
    <t>@yavapaicoaz</t>
  </si>
  <si>
    <t>http://www.yavapai.us/</t>
  </si>
  <si>
    <t>@YumaCountyAZ</t>
  </si>
  <si>
    <t>http://www.co.yuma.az.us/</t>
  </si>
  <si>
    <t>Arizona Corporation Commission</t>
  </si>
  <si>
    <t>https://www.facebook.com/pages/Arizona-Corporation-Commission/236191902948</t>
  </si>
  <si>
    <t>http://www.azcc.gov/divisions/utilities/UTILITYLIST.asp</t>
  </si>
  <si>
    <t>List of regulated utilities with contact information</t>
  </si>
  <si>
    <t>Electricity</t>
  </si>
  <si>
    <t>Arizona Public Service</t>
  </si>
  <si>
    <t>@apsFYI</t>
  </si>
  <si>
    <t>https://www.facebook.com/apsfyi</t>
  </si>
  <si>
    <t>http://www.aps.com/</t>
  </si>
  <si>
    <t>Salt River Project</t>
  </si>
  <si>
    <t>@SRPconnect</t>
  </si>
  <si>
    <t>http://www.facebook.com/SRPconnect</t>
  </si>
  <si>
    <t>https://www.srpnet.com/</t>
  </si>
  <si>
    <t>Tucson Electric Power</t>
  </si>
  <si>
    <t>@TEPBrightSolar    @TEPOutageInfo</t>
  </si>
  <si>
    <t>https://www.tep.com/</t>
  </si>
  <si>
    <t>UniSource Energy</t>
  </si>
  <si>
    <t>@UESPowerOutages</t>
  </si>
  <si>
    <t>https://www.uesaz.com/</t>
  </si>
  <si>
    <t>City of Mesa's Energy Resources Department</t>
  </si>
  <si>
    <t>http://www.mesaaz.gov/energy/</t>
  </si>
  <si>
    <t>Water &amp; Sewage</t>
  </si>
  <si>
    <t>EPCOR Water</t>
  </si>
  <si>
    <t>@EPCORwater</t>
  </si>
  <si>
    <t>https://www.facebook.com/epcor</t>
  </si>
  <si>
    <t>http://www.epcor.com/Pages/home.aspx</t>
  </si>
  <si>
    <t>Also provides electricity</t>
  </si>
  <si>
    <t>Arizona Water Company</t>
  </si>
  <si>
    <t>http://www.azwater.com/</t>
  </si>
  <si>
    <t>Phoenix Water Services Department</t>
  </si>
  <si>
    <t>@PHXwater</t>
  </si>
  <si>
    <t>http://www.facebook.com/phoenixwaterservices</t>
  </si>
  <si>
    <t>http://phoenix.gov/waterservices/index.html</t>
  </si>
  <si>
    <t>Tucson Water</t>
  </si>
  <si>
    <t>http://cms3.tucsonaz.gov/water</t>
  </si>
  <si>
    <t>Community Water Company</t>
  </si>
  <si>
    <t>http://communitywater.com/</t>
  </si>
  <si>
    <t>Mesa Utilities Department</t>
  </si>
  <si>
    <t>http://www.mesaaz.gov/water/</t>
  </si>
  <si>
    <t>Metro Water District (Tucson)</t>
  </si>
  <si>
    <t>https://www.facebook.com/pages/Metro-Water-District/143847632293353</t>
  </si>
  <si>
    <t>http://www.metrowater.com/</t>
  </si>
  <si>
    <t>Phoenix Water and Wastewater</t>
  </si>
  <si>
    <t>http://phoenix.gov/waterservices/</t>
  </si>
  <si>
    <t>Scottsdale Water</t>
  </si>
  <si>
    <t>http://www.scottsdaleaz.gov/Water</t>
  </si>
  <si>
    <t>Tempe Water</t>
  </si>
  <si>
    <t>@Tempegov</t>
  </si>
  <si>
    <t>https://www.facebook.com/Cityoftempe?ref=ts</t>
  </si>
  <si>
    <t>https://www.tempe.gov/index.aspx?page=190</t>
  </si>
  <si>
    <t>Natural Gas</t>
  </si>
  <si>
    <t>@UESGasOutages</t>
  </si>
  <si>
    <t>AirNav - list of Arizona airports</t>
  </si>
  <si>
    <t>http://www.airnav.com/airports/us/AZ</t>
  </si>
  <si>
    <t>Arizona Dept. of Transportation</t>
  </si>
  <si>
    <t>http://www.azdot.gov/MPD/Airport_Development/airports/airports.asp</t>
  </si>
  <si>
    <t>List of airports by name</t>
  </si>
  <si>
    <t>Laughlin/Bullhead International Airport</t>
  </si>
  <si>
    <t>@IFP_Airport</t>
  </si>
  <si>
    <t>https://www.facebook.com/pages/LaughlinBullhead-International-Airport/306713986340</t>
  </si>
  <si>
    <t>http://laughlinbullheadintlairport.com/</t>
  </si>
  <si>
    <t>Flagstaff Pulliam Airport</t>
  </si>
  <si>
    <t>http://www.flagstaff.az.gov/index.aspx?NID=1541</t>
  </si>
  <si>
    <t>Grand Canyon National Park Airport</t>
  </si>
  <si>
    <t>http://www.grandcanyonairport.org/</t>
  </si>
  <si>
    <t>Phoenix-Mesa Gateway Airport</t>
  </si>
  <si>
    <t>@phxmesagateway</t>
  </si>
  <si>
    <t>https://www.facebook.com/PhoenixMesaGatewayAirport</t>
  </si>
  <si>
    <t>http://www.phxmesagateway.org/</t>
  </si>
  <si>
    <t>Phoenix Sky Harbor International Airport</t>
  </si>
  <si>
    <t>@PHXSkyHarbor</t>
  </si>
  <si>
    <t>http://www.facebook.com/PHXSkyHarbor</t>
  </si>
  <si>
    <t>http://skyharbor.com/</t>
  </si>
  <si>
    <t>Tucson International Airport</t>
  </si>
  <si>
    <t>@TucsonAirport</t>
  </si>
  <si>
    <t>http://www.facebook.com/TucsonAirport</t>
  </si>
  <si>
    <t>http://www.flytucsonairport.com/</t>
  </si>
  <si>
    <t>Yuma International Airport / MCAS Yuma</t>
  </si>
  <si>
    <t>@YumaAirport</t>
  </si>
  <si>
    <t>http://www.facebook.com/flyyuma?v=wall</t>
  </si>
  <si>
    <t>http://www.yumainternationalairport.com/yumahome.nsf</t>
  </si>
  <si>
    <t>NEWS LINK - Arizona TV stations</t>
  </si>
  <si>
    <t>http://www.newslink.org/aztele.html</t>
  </si>
  <si>
    <t>NEWS LINK - Arizona Radio stations</t>
  </si>
  <si>
    <t>http://www.newslink.org/azradi.html</t>
  </si>
  <si>
    <t>NEWS LINK - Arizona Newspapers</t>
  </si>
  <si>
    <t>http://www.newslink.org/aznews.html</t>
  </si>
  <si>
    <t>Yuma Sun (Yuma)</t>
  </si>
  <si>
    <t>@yumasun</t>
  </si>
  <si>
    <t>https://www.facebook.com/YumaSunNews</t>
  </si>
  <si>
    <t>http://www.yumasun.com/</t>
  </si>
  <si>
    <t>East Valley Tribune (Phoenix)</t>
  </si>
  <si>
    <t>@phoenixnewtimes</t>
  </si>
  <si>
    <t>https://www.facebook.com/phoenixnewtimes</t>
  </si>
  <si>
    <t>http://www.eastvalleytribune.com/</t>
  </si>
  <si>
    <t>Daily Courier (Prescott)</t>
  </si>
  <si>
    <t>@TheDailyCourier</t>
  </si>
  <si>
    <t>https://www.facebook.com/DailyCourier</t>
  </si>
  <si>
    <t>http://www.prescottaz.com/</t>
  </si>
  <si>
    <t>KASW-3 TV (Phoenix)</t>
  </si>
  <si>
    <t>@azfamily</t>
  </si>
  <si>
    <t>https://www.facebook.com/phoenixmedia</t>
  </si>
  <si>
    <t>http://www.azfamily.com/</t>
  </si>
  <si>
    <t>KNXV/ABC 15 (Phoenix)</t>
  </si>
  <si>
    <t>@abc15</t>
  </si>
  <si>
    <t>https://www.facebook.com/ABC15</t>
  </si>
  <si>
    <t>http://www.abc15.com/</t>
  </si>
  <si>
    <t>KPHO/CBS 5 (Phoenix)</t>
  </si>
  <si>
    <t>@KPHO</t>
  </si>
  <si>
    <t>https://www.facebook.com/KPHOCBS5NEWS</t>
  </si>
  <si>
    <t>http://www.kpho.com/</t>
  </si>
  <si>
    <t>KPNX/12 Local (Phoenix)</t>
  </si>
  <si>
    <t>@azcentral</t>
  </si>
  <si>
    <t>https://www.facebook.com/azcentral</t>
  </si>
  <si>
    <t>http://www.azcentral.com/12news/</t>
  </si>
  <si>
    <t>KSAZ/Fox 1 (Phoenix)</t>
  </si>
  <si>
    <t>@myfoxphoenix</t>
  </si>
  <si>
    <t>https://www.facebook.com/MyFoxPhoenix</t>
  </si>
  <si>
    <t>http://www.myfoxphoenix.com/</t>
  </si>
  <si>
    <t>KGUN/ ABC 9 (Tucson)</t>
  </si>
  <si>
    <t>@kgun9</t>
  </si>
  <si>
    <t>https://www.facebook.com/KGUN9OnYourSide</t>
  </si>
  <si>
    <t>http://www.kgun9.com/</t>
  </si>
  <si>
    <t>KOLD/Tuscon News 13 (Tucson)</t>
  </si>
  <si>
    <t>@TucsonNewsNow</t>
  </si>
  <si>
    <t>https://www.facebook.com/TucsonNewsNow</t>
  </si>
  <si>
    <t>http://www.tucsonnewsnow.com/</t>
  </si>
  <si>
    <t>KVOC/ NBC 4 (Tucson)</t>
  </si>
  <si>
    <t>@KVOA</t>
  </si>
  <si>
    <t>http://www.facebook.com/pages/News-4-Tucson-KVOA/116692299929</t>
  </si>
  <si>
    <t>http://www.kvoa.com/home/</t>
  </si>
  <si>
    <t>KYMA/ NBC 11 (Yuma)</t>
  </si>
  <si>
    <t>@KYMA11</t>
  </si>
  <si>
    <t>https://www.facebook.com/KYMA11</t>
  </si>
  <si>
    <t>http://www.kyma.com/</t>
  </si>
  <si>
    <t>KVNA 6 AM/14.7 FM (Flagstaff)</t>
  </si>
  <si>
    <t>@KVNA</t>
  </si>
  <si>
    <t>http://www.facebook.com/pages/KVNA-147-Your-Major-League-FM/15677139131936</t>
  </si>
  <si>
    <t>http://www.myradioplace.com/am6/am6.htm</t>
  </si>
  <si>
    <t>KFNX 11 AM (Phoenix)</t>
  </si>
  <si>
    <t>@KFNX_Headlines</t>
  </si>
  <si>
    <t>https://www.facebook.com/KFNXNEWSTALKRADIO11</t>
  </si>
  <si>
    <t>http://www.11kfnx.com/</t>
  </si>
  <si>
    <t>KFYI 55 AM (Phoenix)</t>
  </si>
  <si>
    <t>@KFYI</t>
  </si>
  <si>
    <t>https://www.facebook.com/55kfyi</t>
  </si>
  <si>
    <t>http://www.kfyi.com/main.html</t>
  </si>
  <si>
    <t>KTAR 92.3 (Phoenix)</t>
  </si>
  <si>
    <t>@KTAR923</t>
  </si>
  <si>
    <t>https://www.facebook.com/KTARFans</t>
  </si>
  <si>
    <t>http://ktar.com/</t>
  </si>
  <si>
    <t>KQNA 113 AM (Prescott)</t>
  </si>
  <si>
    <t>http://www.kqna.com/</t>
  </si>
  <si>
    <t>Arizona State University</t>
  </si>
  <si>
    <t>@ASU</t>
  </si>
  <si>
    <t>https://www.facebook.com/arizonastateuniversity</t>
  </si>
  <si>
    <t>http://www.asu.edu/</t>
  </si>
  <si>
    <t>Tempe</t>
  </si>
  <si>
    <t>Eastern Arizona College</t>
  </si>
  <si>
    <t>@eacmonsters</t>
  </si>
  <si>
    <t>https://www.facebook.com/gilamonsters</t>
  </si>
  <si>
    <t>http://www.eac.edu/</t>
  </si>
  <si>
    <t>Thatcher</t>
  </si>
  <si>
    <t>Northern Arizona University</t>
  </si>
  <si>
    <t>@NAU</t>
  </si>
  <si>
    <t>https://www.facebook.com/NAUFlagstaff</t>
  </si>
  <si>
    <t>http://nau.edu/</t>
  </si>
  <si>
    <t>Flagstaff</t>
  </si>
  <si>
    <t>University of Arizona</t>
  </si>
  <si>
    <t>@UofA</t>
  </si>
  <si>
    <t>https://www.facebook.com/uarizona?ref=s</t>
  </si>
  <si>
    <t>http://www.arizona.edu/</t>
  </si>
  <si>
    <t>Tucson</t>
  </si>
  <si>
    <t>Arizona Western College</t>
  </si>
  <si>
    <t>@ArizonaWestern</t>
  </si>
  <si>
    <t>https://www.facebook.com/pages/Arizona-Western-College/151417306672</t>
  </si>
  <si>
    <t>http://www.azwestern.edu/</t>
  </si>
  <si>
    <t>Yuma</t>
  </si>
  <si>
    <t>Central Arizona College</t>
  </si>
  <si>
    <t>http://www.centralaz.edu/</t>
  </si>
  <si>
    <t>Coolidge</t>
  </si>
  <si>
    <t>Cochise College</t>
  </si>
  <si>
    <t>@CochiseCollege</t>
  </si>
  <si>
    <t>https://www.facebook.com/pages/Cochise-College/361162632411</t>
  </si>
  <si>
    <t>http://www.cochise.edu/</t>
  </si>
  <si>
    <t>Cochise County</t>
  </si>
  <si>
    <t>Coconino County Community College</t>
  </si>
  <si>
    <t>http://www.coconino.edu/Pages/default.aspx</t>
  </si>
  <si>
    <t>Maricopa County Community College District</t>
  </si>
  <si>
    <t>@mcccd</t>
  </si>
  <si>
    <t>https://www.facebook.com/maricopa.edu</t>
  </si>
  <si>
    <t>http://www.maricopa.edu/</t>
  </si>
  <si>
    <t>Mohave Community College</t>
  </si>
  <si>
    <t>@mohavecc</t>
  </si>
  <si>
    <t>https://www.facebook.com/mohavecc</t>
  </si>
  <si>
    <t>http://www.mohave.edu/</t>
  </si>
  <si>
    <t>Kingman</t>
  </si>
  <si>
    <t>Northland Pioneer College</t>
  </si>
  <si>
    <t>@NPCedu</t>
  </si>
  <si>
    <t>https://www.facebook.com/ernie.eagle1?ref=profile</t>
  </si>
  <si>
    <t>http://www.npc.edu/</t>
  </si>
  <si>
    <t>Navajo County</t>
  </si>
  <si>
    <t>Pima Community College</t>
  </si>
  <si>
    <t>http://www.pima.edu/</t>
  </si>
  <si>
    <t>Yavapai College</t>
  </si>
  <si>
    <t>http://www.yc.edu/</t>
  </si>
  <si>
    <t>Prescott</t>
  </si>
  <si>
    <t>Diné College</t>
  </si>
  <si>
    <t>http://www.dinecollege.edu/</t>
  </si>
  <si>
    <t>Tsaile</t>
  </si>
  <si>
    <t>Tohono O'odham Community College</t>
  </si>
  <si>
    <t>http://www.tocc.cc.az.us/</t>
  </si>
  <si>
    <t>Sells</t>
  </si>
  <si>
    <t>Arizona Christian University</t>
  </si>
  <si>
    <t>@ACUphoenix</t>
  </si>
  <si>
    <t>https://www.facebook.com/arizonachristianuniversity</t>
  </si>
  <si>
    <t>http://arizonachristian.edu/</t>
  </si>
  <si>
    <t>Phoenix</t>
  </si>
  <si>
    <t>Embry-Riddle Aeronautical University</t>
  </si>
  <si>
    <t>@ERAUPrescott</t>
  </si>
  <si>
    <t>https://www.facebook.com/EmbryRiddleUniversity</t>
  </si>
  <si>
    <t>http://www.erau.edu/</t>
  </si>
  <si>
    <t>@EmbryRiddle</t>
  </si>
  <si>
    <t>Prescott College</t>
  </si>
  <si>
    <t>@Prescottcollege</t>
  </si>
  <si>
    <t>https://www.facebook.com/prescottcollege</t>
  </si>
  <si>
    <t>http://www.prescott.edu/</t>
  </si>
  <si>
    <t>Southwest University of Visual Arts</t>
  </si>
  <si>
    <t>@SUVA_Tucson</t>
  </si>
  <si>
    <t>https://www.facebook.com/SUVAedu</t>
  </si>
  <si>
    <t>http://suva.edu/</t>
  </si>
  <si>
    <t>Grand Canyon University</t>
  </si>
  <si>
    <t>@gcu</t>
  </si>
  <si>
    <t>https://www.facebook.com/GrandCanyonU</t>
  </si>
  <si>
    <t>http://www.gcu.edu/</t>
  </si>
  <si>
    <t>Ottawa University</t>
  </si>
  <si>
    <t>@OttawaU</t>
  </si>
  <si>
    <t>https://www.facebook.com/OttawaUniversity</t>
  </si>
  <si>
    <t>http://www.ottawa.edu/</t>
  </si>
  <si>
    <t>A.T. Still University</t>
  </si>
  <si>
    <t>@ATSU_news</t>
  </si>
  <si>
    <t>https://www.facebook.com/atstilluniversity</t>
  </si>
  <si>
    <t>http://www.atsu.edu/</t>
  </si>
  <si>
    <t>Mesa</t>
  </si>
  <si>
    <t>Midwestern University</t>
  </si>
  <si>
    <t>@MidwesternUniv</t>
  </si>
  <si>
    <t>https://www.facebook.com/MidwesternUniversity</t>
  </si>
  <si>
    <t>http://www.midwestern.edu/</t>
  </si>
  <si>
    <t>Glendale</t>
  </si>
  <si>
    <t>Southwest College of Naturopathic Medicine</t>
  </si>
  <si>
    <t>@SCNMAZ</t>
  </si>
  <si>
    <t>https://www.facebook.com/SouthwestCollegeofNaturopathicMedicine</t>
  </si>
  <si>
    <t>http://www.scnm.edu/</t>
  </si>
  <si>
    <t>Thunderbird School of Global Management</t>
  </si>
  <si>
    <t>@Thunderbird</t>
  </si>
  <si>
    <t>https://www.facebook.com/ThunderbirdSchool</t>
  </si>
  <si>
    <t>http://www.thunderbird.edu/</t>
  </si>
  <si>
    <t>Phoenix Seminary</t>
  </si>
  <si>
    <t>@PhoenixSeminary</t>
  </si>
  <si>
    <t>https://www.facebook.com/phxsem</t>
  </si>
  <si>
    <t>http://www.ps.edu/</t>
  </si>
  <si>
    <t>Argosy University</t>
  </si>
  <si>
    <t>@ArgosyU</t>
  </si>
  <si>
    <t>https://www.facebook.com/ArgosyStudents</t>
  </si>
  <si>
    <t>http://www.argosy.edu/</t>
  </si>
  <si>
    <t>The Art Institute of Phoenix</t>
  </si>
  <si>
    <t>@Art_Institutes</t>
  </si>
  <si>
    <t>https://www.facebook.com/artinstitutes</t>
  </si>
  <si>
    <t>http://www.artinstitutes.edu/phoenix/</t>
  </si>
  <si>
    <t>The Art Institute of Tucson</t>
  </si>
  <si>
    <t>http://www.artinstitutes.edu/tucson/</t>
  </si>
  <si>
    <t>Brown Mackie College</t>
  </si>
  <si>
    <t>@mybrownmackie</t>
  </si>
  <si>
    <t>https://www.facebook.com/pages/Brown-Mackie-College/246565758724735?ref=hl</t>
  </si>
  <si>
    <t>http://www.brownmackie.edu/</t>
  </si>
  <si>
    <t>CollegeAmerica</t>
  </si>
  <si>
    <t>@collegeamerica</t>
  </si>
  <si>
    <t>https://www.facebook.com/collegeamerica</t>
  </si>
  <si>
    <t>http://www.collegeamerica.edu/</t>
  </si>
  <si>
    <t>DeVry University</t>
  </si>
  <si>
    <t>@DeVryUniv</t>
  </si>
  <si>
    <t>https://www.facebook.com/DEVRYUNIVERSITY?v=wall</t>
  </si>
  <si>
    <t>http://www.devry.edu/</t>
  </si>
  <si>
    <t>Dunlap-Stone University</t>
  </si>
  <si>
    <t>http://www.dunlap-stone.edu/</t>
  </si>
  <si>
    <t>Anthem College</t>
  </si>
  <si>
    <t>@AnthemEducation</t>
  </si>
  <si>
    <t>https://www.facebook.com/AnthemEducationGroup</t>
  </si>
  <si>
    <t>http://www.anthem.edu/</t>
  </si>
  <si>
    <t>Lamson College</t>
  </si>
  <si>
    <t>http://lamsoncollege.edu/</t>
  </si>
  <si>
    <t>Le Cordon Bleu College of Culinary Arts Scottsdale</t>
  </si>
  <si>
    <t>@LCBSchools</t>
  </si>
  <si>
    <t>https://www.facebook.com/LeCordonBleu</t>
  </si>
  <si>
    <t>http://www.chefs.edu/Scottsdale</t>
  </si>
  <si>
    <t>Scotsdale</t>
  </si>
  <si>
    <t>Northcentral University</t>
  </si>
  <si>
    <t>@NorthcentralU</t>
  </si>
  <si>
    <t>https://www.facebook.com/NorthcentralU</t>
  </si>
  <si>
    <t>http://www.ncu.edu/</t>
  </si>
  <si>
    <t>Penn Foster College</t>
  </si>
  <si>
    <t>@PennFoster</t>
  </si>
  <si>
    <t>https://www.facebook.com/pennfostereducation</t>
  </si>
  <si>
    <t>http://www.pennfoster.edu/programs-and-degrees/college.aspx</t>
  </si>
  <si>
    <t>Phoenix School of Law</t>
  </si>
  <si>
    <t>@phxlaw</t>
  </si>
  <si>
    <t>https://www.facebook.com/PhoenixSchoolofLaw?ref=s</t>
  </si>
  <si>
    <t>http://www.phoenixlaw.edu/</t>
  </si>
  <si>
    <t>Sessions College for Professional Design</t>
  </si>
  <si>
    <t>@SessionsCollege</t>
  </si>
  <si>
    <t>https://www.facebook.com/sessionscollege</t>
  </si>
  <si>
    <t>http://www.sessions.edu/</t>
  </si>
  <si>
    <t>Universal Technical Institute</t>
  </si>
  <si>
    <t>http://www.uti.edu/</t>
  </si>
  <si>
    <t>Avondale</t>
  </si>
  <si>
    <t>University of Advancing Technology</t>
  </si>
  <si>
    <t>@AdvTechU</t>
  </si>
  <si>
    <t>https://www.facebook.com/UAT</t>
  </si>
  <si>
    <t>http://www.uat.edu/</t>
  </si>
  <si>
    <t>University of Phoenix</t>
  </si>
  <si>
    <t>@UOPX</t>
  </si>
  <si>
    <t>https://www.facebook.com/universityofphoenix</t>
  </si>
  <si>
    <t>http://www.phoenix.edu/</t>
  </si>
  <si>
    <t>Western International University</t>
  </si>
  <si>
    <t>@westedu</t>
  </si>
  <si>
    <t>https://www.facebook.com/westedu</t>
  </si>
  <si>
    <t>http://west.edu/</t>
  </si>
  <si>
    <t>American Indian College</t>
  </si>
  <si>
    <t>@aicagphx</t>
  </si>
  <si>
    <t>https://www.facebook.com/AICAG.EDU</t>
  </si>
  <si>
    <t>http://www.aicag.edu/</t>
  </si>
  <si>
    <t>Fuller Theological Seminary</t>
  </si>
  <si>
    <t>@fullerseminary</t>
  </si>
  <si>
    <t>https://www.facebook.com/fullerseminary</t>
  </si>
  <si>
    <t>http://www.fuller.edu/</t>
  </si>
  <si>
    <t>International Baptist College</t>
  </si>
  <si>
    <t>@IBCS_Arrows</t>
  </si>
  <si>
    <t>https://www.facebook.com/ibcs.edu</t>
  </si>
  <si>
    <t>http://www.ibcs.edu/ibc/</t>
  </si>
  <si>
    <t>Arkansas State Website</t>
  </si>
  <si>
    <t>@Arkansasgov</t>
  </si>
  <si>
    <t>http://www.facebook.com/Arkansas.gov</t>
  </si>
  <si>
    <t>http://portal.arkansas.gov/Pages/default.aspx</t>
  </si>
  <si>
    <t>Arkansas EMA</t>
  </si>
  <si>
    <t>@AR_Emergencies</t>
  </si>
  <si>
    <t>http://www.adem.arkansas.gov/ADEM/index.aspx</t>
  </si>
  <si>
    <t>Arkansas Wildlife Rescue</t>
  </si>
  <si>
    <t>http://wildlife.rescueshelter.com/Arkansas</t>
  </si>
  <si>
    <t>Arkansas County and City Government</t>
  </si>
  <si>
    <t>http://portal.arkansas.gov/government/Pages/governmentLocal.aspx</t>
  </si>
  <si>
    <t>Links go to the entity website if available or related information on Local.Arkansas.gov.</t>
  </si>
  <si>
    <t>Local.Arkansas.gov</t>
  </si>
  <si>
    <t>http://local.arkansas.gov/index.php</t>
  </si>
  <si>
    <t>Arkansas Dept. of Education</t>
  </si>
  <si>
    <t>@ArkansasEd</t>
  </si>
  <si>
    <t>https://www.facebook.com/arkansased</t>
  </si>
  <si>
    <t>http://www.arkansased.org/</t>
  </si>
  <si>
    <t>Arkansas Dept. of Higher Education</t>
  </si>
  <si>
    <t>http://www.adhe.edu/Pages/home.aspx</t>
  </si>
  <si>
    <t>Institutions listed at bottom of page</t>
  </si>
  <si>
    <t>Note: Links below are to Wikipedia sites and not link the official muicipality website</t>
  </si>
  <si>
    <t>@CityLittleRock</t>
  </si>
  <si>
    <t>https://www.facebook.com/CityofLittleRockFans</t>
  </si>
  <si>
    <t>http://www.littlerock.org/</t>
  </si>
  <si>
    <t>@FtSmithARK</t>
  </si>
  <si>
    <t>https://www.facebook.com/FTSmithAR</t>
  </si>
  <si>
    <t>http://www.fortsmithar.gov/</t>
  </si>
  <si>
    <t>@accessfay</t>
  </si>
  <si>
    <t>https://www.facebook.com/fayetteville.arkansas</t>
  </si>
  <si>
    <t>http://www.accessfayetteville.org/</t>
  </si>
  <si>
    <t>@SpringdaleArk</t>
  </si>
  <si>
    <t>https://www.facebook.com/SpringdaleAR</t>
  </si>
  <si>
    <t>http://www.springdalear.gov/</t>
  </si>
  <si>
    <t>@CityofJonesboro</t>
  </si>
  <si>
    <t>https://www.facebook.com/pages/City-of-Jonesboro-Arkansas-Official-Page/192199736159</t>
  </si>
  <si>
    <t>http://www.jonesboro.org/</t>
  </si>
  <si>
    <t>@cityofnlr</t>
  </si>
  <si>
    <t>https://www.facebook.com/CityofNorthLittleRock</t>
  </si>
  <si>
    <t>http://www.northlr.org/</t>
  </si>
  <si>
    <t>Most counties do not have official websites, but the Local.Arkansas.gov portal provides needed information.</t>
  </si>
  <si>
    <t>http://local.arkansas.gov/local.php?agency=Arkansas%20County</t>
  </si>
  <si>
    <t>http://local.arkansas.gov/local.php?agency=Ashley%20County</t>
  </si>
  <si>
    <t>http://www.baxtercounty.org/</t>
  </si>
  <si>
    <t>http://www.co.benton.ar.us/</t>
  </si>
  <si>
    <t>http://local.arkansas.gov/local.php?agency=Boone%20County</t>
  </si>
  <si>
    <t>http://www.bradleycountyarkansas.com/</t>
  </si>
  <si>
    <t>http://local.arkansas.gov/local.php?agency=Calhoun%20County</t>
  </si>
  <si>
    <t>http://co.carroll.ar.us/</t>
  </si>
  <si>
    <t>http://local.arkansas.gov/local.php?agency=Chicot%20County</t>
  </si>
  <si>
    <t>@ArkadelphiaAR</t>
  </si>
  <si>
    <t>http://www.clarkcountyarkansas.com/</t>
  </si>
  <si>
    <t>http://local.arkansas.gov/local.php?agency=Clark%20County</t>
  </si>
  <si>
    <t>http://local.arkansas.gov/local.php?agency=Clay%20County</t>
  </si>
  <si>
    <t>http://local.arkansas.gov/local.php?agency=Cleburne%20County</t>
  </si>
  <si>
    <t>http://local.arkansas.gov/local.php?agency=Cleveland%20County</t>
  </si>
  <si>
    <t>http://www.countyofcolumbia.net/</t>
  </si>
  <si>
    <t>http://local.arkansas.gov/local.php?agency=Conway%20County</t>
  </si>
  <si>
    <t>@D1Jonesboro</t>
  </si>
  <si>
    <t>http://craigheadcounty.org/</t>
  </si>
  <si>
    <t>http://www.crawford-county.org/</t>
  </si>
  <si>
    <t>http://local.arkansas.gov/local.php?agency=Crittenden%20County</t>
  </si>
  <si>
    <t>http://local.arkansas.gov/local.php?agency=Cross%20County</t>
  </si>
  <si>
    <t>http://local.arkansas.gov/local.php?agency=Dallas%20County</t>
  </si>
  <si>
    <t>http://local.arkansas.gov/local.php?agency=Desha%20County</t>
  </si>
  <si>
    <t>http://local.arkansas.gov/local.php?agency=Drew%20County</t>
  </si>
  <si>
    <t>http://www.faulknercounty.org/</t>
  </si>
  <si>
    <t>http://local.arkansas.gov/local.php?agency=Franklin%20County</t>
  </si>
  <si>
    <t>http://local.arkansas.gov/local.php?agency=Fulton%20County</t>
  </si>
  <si>
    <t>http://www.garlandcounty.org/</t>
  </si>
  <si>
    <t>http://local.arkansas.gov/local.php?agency=Grant%20County</t>
  </si>
  <si>
    <t>http://county.arkansas.gov/greene/Pages/default.aspx</t>
  </si>
  <si>
    <t>http://www.hempsteadcountyar.com/</t>
  </si>
  <si>
    <t>http://local.arkansas.gov/local.php?agency=Hot%20Spring%20County</t>
  </si>
  <si>
    <t>http://local.arkansas.gov/local.php?agency=Howard%20County</t>
  </si>
  <si>
    <t>http://www.independencecounty.com/</t>
  </si>
  <si>
    <t>http://local.arkansas.gov/local.php?agency=Izard%20County</t>
  </si>
  <si>
    <t>http://www.jacksoncountyar.org/</t>
  </si>
  <si>
    <t>http://local.arkansas.gov/local.php?agency=Jefferson%20County</t>
  </si>
  <si>
    <t>http://local.arkansas.gov/local.php?agency=Johnson%20County</t>
  </si>
  <si>
    <t>http://www.lafayettecounty.arkansas.gov/index.php</t>
  </si>
  <si>
    <t>http://local.arkansas.gov/local.php?agency=Lawrence%20County</t>
  </si>
  <si>
    <t>http://local.arkansas.gov/local.php?agency=Lee%20County</t>
  </si>
  <si>
    <t>http://county.arkansas.gov/lincoln/Pages/default.aspx</t>
  </si>
  <si>
    <t>http://www.littlerivercounty.org/index.php/little-river-county-ar</t>
  </si>
  <si>
    <t>http://local.arkansas.gov/local.php?agency=Logan%20County</t>
  </si>
  <si>
    <t>http://local.arkansas.gov/local.php?agency=Lonoke%20County</t>
  </si>
  <si>
    <t>http://local.arkansas.gov/local.php?agency=Madison%20County</t>
  </si>
  <si>
    <t>http://local.arkansas.gov/local.php?agency=Marion%20County</t>
  </si>
  <si>
    <t>https://www.facebook.com/millercounty</t>
  </si>
  <si>
    <t>http://www.millercountyar.org/</t>
  </si>
  <si>
    <t>http://www.mcagov.com/</t>
  </si>
  <si>
    <t>http://local.arkansas.gov/local.php?agency=Monroe%20County</t>
  </si>
  <si>
    <t>http://local.arkansas.gov/local.php?agency=Montgomery%20County</t>
  </si>
  <si>
    <t>http://local.arkansas.gov/local.php?agency=Nevada%20County</t>
  </si>
  <si>
    <t>http://local.arkansas.gov/local.php?agency=Newton%20County</t>
  </si>
  <si>
    <t>http://local.arkansas.gov/local.php?agency=Ouachita%20County</t>
  </si>
  <si>
    <t>http://local.arkansas.gov/local.php?agency=Perry%20County</t>
  </si>
  <si>
    <t>http://local.arkansas.gov/local.php?agency=Phillips%20County</t>
  </si>
  <si>
    <t>http://local.arkansas.gov/local.php?agency=Pike%20County</t>
  </si>
  <si>
    <t>https://www.facebook.com/poinsettcounty</t>
  </si>
  <si>
    <t>http://www.poinsettcounty.us/</t>
  </si>
  <si>
    <t>http://local.arkansas.gov/local.php?agency=Polk%20County</t>
  </si>
  <si>
    <t>http://local.arkansas.gov/local.php?agency=Pope%20County</t>
  </si>
  <si>
    <t>http://local.arkansas.gov/local.php?agency=Prairie%20County</t>
  </si>
  <si>
    <t>http://co.pulaski.ar.us/</t>
  </si>
  <si>
    <t>http://local.arkansas.gov/local.php?agency=Randolph%20County</t>
  </si>
  <si>
    <t>http://local.arkansas.gov/local.php?agency=Saint%20Francis%20County</t>
  </si>
  <si>
    <t>http://www.salinecounty.org/</t>
  </si>
  <si>
    <t>http://local.arkansas.gov/local.php?agency=Scott%20County</t>
  </si>
  <si>
    <t>http://local.arkansas.gov/local.php?agency=Searcy%20County</t>
  </si>
  <si>
    <t>http://www.sebastiancountyonline.com/</t>
  </si>
  <si>
    <t>http://www.seviercountyar.com/</t>
  </si>
  <si>
    <t>http://county.arkansas.gov/sharp/Pages/default.aspx</t>
  </si>
  <si>
    <t>http://local.arkansas.gov/local.php?agency=Stone%20County</t>
  </si>
  <si>
    <t>http://unioncountyar.com/</t>
  </si>
  <si>
    <t>http://local.arkansas.gov/local.php?agency=Van%20Buren%20County</t>
  </si>
  <si>
    <t>@WashingtonCoSO</t>
  </si>
  <si>
    <t>http://www.co.washington.ar.us/</t>
  </si>
  <si>
    <t>http://www.whitecountyar.org/</t>
  </si>
  <si>
    <t>http://local.arkansas.gov/local.php?agency=Woodruff%20County</t>
  </si>
  <si>
    <t>https://www.facebook.com/pages/Yell-County-Office-of-Emergency-Management/133605750032234</t>
  </si>
  <si>
    <t>http://yellcounty.net/</t>
  </si>
  <si>
    <t>http://arkansasenergy.org/energy-in-arkansas/utilities-in-arkansas.aspx</t>
  </si>
  <si>
    <t>Arkansas has 41 gas and electric utilities: four investor-owned electric utilities, one generation and transmission cooperative utility, and 18 cooperatives that make up the Electric Cooperatives of Arkansas. Arkansas also has four companies that sell natural gas.</t>
  </si>
  <si>
    <t>Entergy</t>
  </si>
  <si>
    <t>@EntergyArk</t>
  </si>
  <si>
    <t>http://www.facebook.com/EntergyARK</t>
  </si>
  <si>
    <t>http://www.entergy.com/</t>
  </si>
  <si>
    <t>North Little Rock Electric</t>
  </si>
  <si>
    <t>@NLRElectric</t>
  </si>
  <si>
    <t>http://www.facebook.com/NLRElectric</t>
  </si>
  <si>
    <t>http://www.nlrelectric.com/</t>
  </si>
  <si>
    <t>Central Arkansas Water</t>
  </si>
  <si>
    <t>@CARKW</t>
  </si>
  <si>
    <t>http://www.facebook.com/pages/Central-Arkansas-Water/1489587185826?ref=ts&amp;fref=ts</t>
  </si>
  <si>
    <t>http://www.carkw.com/</t>
  </si>
  <si>
    <t>AIR-NAV - ARKANSAS</t>
  </si>
  <si>
    <t>http://www.airnav.com/airports/us/AR</t>
  </si>
  <si>
    <t>Northwest Arkansas Regional Airport</t>
  </si>
  <si>
    <t>http://www.nwara.com/</t>
  </si>
  <si>
    <t>Fort Smith Regional Airport</t>
  </si>
  <si>
    <t>http://www.fortsmithairport.com/</t>
  </si>
  <si>
    <t>Little Rock National Airport (Adams Field)</t>
  </si>
  <si>
    <t>@LITAirport</t>
  </si>
  <si>
    <t>http://www.facebook.com/FlyBillandHillaryClintonNationalAirport?ref=search&amp;sid=158865438.5349197..1</t>
  </si>
  <si>
    <t>http://www.fly-lit.com/</t>
  </si>
  <si>
    <t>Texarkana Regional Airport (Webb Field)</t>
  </si>
  <si>
    <t>http://www.facebook.com/pages/Texarkana-Regional-Airport/1949939763461?v=wall</t>
  </si>
  <si>
    <t>http://www.txkairport.com/</t>
  </si>
  <si>
    <t>Hot Springs Airport</t>
  </si>
  <si>
    <t>http://www.hotspringsairport.net/</t>
  </si>
  <si>
    <t>Drake Field Airport</t>
  </si>
  <si>
    <t>http://www.accessfayetteville.org/government/aviation/about_drake_field/index.cfm</t>
  </si>
  <si>
    <t>Boone County Regional Airport</t>
  </si>
  <si>
    <t>http://www.boonecountyairport.com/</t>
  </si>
  <si>
    <t>Fort Smith</t>
  </si>
  <si>
    <t>http://www.fortsmithar.gov/boards/portaut.aspx</t>
  </si>
  <si>
    <t>Little Rock</t>
  </si>
  <si>
    <t>http://lrport.dina.org/</t>
  </si>
  <si>
    <t>Arkansas newspapers</t>
  </si>
  <si>
    <t>http://www.newslink.org/arnews.html</t>
  </si>
  <si>
    <t>Arkansas TV stations</t>
  </si>
  <si>
    <t>http://www.newslink.org/artele.html</t>
  </si>
  <si>
    <t>Arkansas Radio Stations</t>
  </si>
  <si>
    <t>http://www.newslink.org/arradi.html</t>
  </si>
  <si>
    <t>Arkansas Times (Little Rock)</t>
  </si>
  <si>
    <t>@ArkansasBlog</t>
  </si>
  <si>
    <t>http://www.facebook.com/arkansastimes</t>
  </si>
  <si>
    <t>http://www.arktimes.com/</t>
  </si>
  <si>
    <t>Texarkana Gazette (Texarkana)</t>
  </si>
  <si>
    <t>http://www.facebook.com/texarkana.gazette.9</t>
  </si>
  <si>
    <t>http://www.texarkanagazette.com/</t>
  </si>
  <si>
    <t>Jonesboro Sun (Jonesboro)</t>
  </si>
  <si>
    <t>http://www.facebook.com/jonesborosun</t>
  </si>
  <si>
    <t>http://www.jonesborosun.com/</t>
  </si>
  <si>
    <t>Northeast Arkansas Town Crier (Manila)</t>
  </si>
  <si>
    <t>http://www.thetown-crier.com/</t>
  </si>
  <si>
    <t>Sentinel-Record (Hot Springs)</t>
  </si>
  <si>
    <t>http://www.facebook.com/TheSentinelRecord</t>
  </si>
  <si>
    <t>http://www.hotsr.com/</t>
  </si>
  <si>
    <t>KARN 12.9 FM (Little Rock)</t>
  </si>
  <si>
    <t>http://karnnewsradio.com/</t>
  </si>
  <si>
    <t>KUAR 89.1 FM (Little Rock)</t>
  </si>
  <si>
    <t>@kuarpublicradio</t>
  </si>
  <si>
    <t>http://www.facebook.com/kuarpublicradio</t>
  </si>
  <si>
    <t>http://www.kuar.org/</t>
  </si>
  <si>
    <t>KWHN 132 AM (Fort Smith)</t>
  </si>
  <si>
    <t>@132KWHN</t>
  </si>
  <si>
    <t>http://www.facebook.com/kwhn132</t>
  </si>
  <si>
    <t>http://www.kwhn.com/main.html</t>
  </si>
  <si>
    <t>KFSM (Fort Smith)</t>
  </si>
  <si>
    <t>@5NEWS</t>
  </si>
  <si>
    <t>http://www.facebook.com/5news</t>
  </si>
  <si>
    <t>http://5newsonline.com/</t>
  </si>
  <si>
    <t>Kait 8 (Jonesboro)</t>
  </si>
  <si>
    <t>@Region8News</t>
  </si>
  <si>
    <t>http://www.facebook.com/Region8News</t>
  </si>
  <si>
    <t>http://www.kait8.com/</t>
  </si>
  <si>
    <t>KATV ABC 7 (Little Rock)</t>
  </si>
  <si>
    <t>@KATVNews</t>
  </si>
  <si>
    <t>http://www.facebook.com/KATVChannel7</t>
  </si>
  <si>
    <t>http://www.katv.com/</t>
  </si>
  <si>
    <t>KLRT Fox 16 (Little Rock)</t>
  </si>
  <si>
    <t>@FOX16News</t>
  </si>
  <si>
    <t>http://www.facebook.com/FOX16HD</t>
  </si>
  <si>
    <t>http://www.fox16.com/default.aspx</t>
  </si>
  <si>
    <t>KTHV 11 (Little Rock)</t>
  </si>
  <si>
    <t>@todaysthv</t>
  </si>
  <si>
    <t>http://www.facebook.com/todaysthv</t>
  </si>
  <si>
    <t>http://www.todaysthv.com/</t>
  </si>
  <si>
    <t>Colleges</t>
  </si>
  <si>
    <t>Wikipedia List of Colleges</t>
  </si>
  <si>
    <t>http://en.wikipedia.org/wiki/List_of_colleges_and_universities_in_Arkansas</t>
  </si>
  <si>
    <t>Arkansas State University</t>
  </si>
  <si>
    <t>@ASUJonesboro</t>
  </si>
  <si>
    <t>https://www.facebook.com/ASUJonesboro</t>
  </si>
  <si>
    <t>http://www.astate.edu/</t>
  </si>
  <si>
    <t>Jonesboro</t>
  </si>
  <si>
    <t>Arkansas State University-Beebe</t>
  </si>
  <si>
    <t>http://www.asub.edu/</t>
  </si>
  <si>
    <t>Beebe</t>
  </si>
  <si>
    <t>Arkansas State University-Mountain Home</t>
  </si>
  <si>
    <t>@ASUMountainHome</t>
  </si>
  <si>
    <t>https://www.facebook.com/ASUMH</t>
  </si>
  <si>
    <t>http://www.asumh.edu/</t>
  </si>
  <si>
    <t>Mountain Home</t>
  </si>
  <si>
    <t>Arkansas State University-Newport</t>
  </si>
  <si>
    <t>@ASUNewport</t>
  </si>
  <si>
    <t>https://www.facebook.com/ASUNewport</t>
  </si>
  <si>
    <t>http://www.asun.edu/</t>
  </si>
  <si>
    <t>Newport</t>
  </si>
  <si>
    <t>Arkansas Tech University</t>
  </si>
  <si>
    <t>@ArkansasTech</t>
  </si>
  <si>
    <t>https://www.facebook.com/arkansastech</t>
  </si>
  <si>
    <t>http://www.atu.edu/</t>
  </si>
  <si>
    <t>Russellville</t>
  </si>
  <si>
    <t>Henderson State University</t>
  </si>
  <si>
    <t>@HendersonStateU</t>
  </si>
  <si>
    <t>https://www.facebook.com/HendersonStateU</t>
  </si>
  <si>
    <t>http://www.hsu.edu/</t>
  </si>
  <si>
    <t>Arkadelphia</t>
  </si>
  <si>
    <t>Southern Arkansas University</t>
  </si>
  <si>
    <t>@muleriders</t>
  </si>
  <si>
    <t>https://www.facebook.com/SouthernArkansasUniversity</t>
  </si>
  <si>
    <t>http://web.saumag.edu/</t>
  </si>
  <si>
    <t>Magnolia</t>
  </si>
  <si>
    <t>University of Arkansas (main campus)</t>
  </si>
  <si>
    <t>https://www.facebook.com/UofArkansas</t>
  </si>
  <si>
    <t>http://www.uark.edu/home/</t>
  </si>
  <si>
    <t>Fayetteville</t>
  </si>
  <si>
    <t>University of Arkansas - Fort Smith</t>
  </si>
  <si>
    <t>@UAFS</t>
  </si>
  <si>
    <t>https://www.facebook.com/uafortsmith</t>
  </si>
  <si>
    <t>http://uafs.edu/</t>
  </si>
  <si>
    <t>University of Arkansas at Little Rock</t>
  </si>
  <si>
    <t>@UALR</t>
  </si>
  <si>
    <t>https://www.facebook.com/ualr.edu</t>
  </si>
  <si>
    <t>http://ualr.edu/</t>
  </si>
  <si>
    <t>University of Arkansas at Monticello</t>
  </si>
  <si>
    <t>@UAMAdmissions</t>
  </si>
  <si>
    <t>https://www.facebook.com/pages/UAM-News/116937471716513?</t>
  </si>
  <si>
    <t>http://www.uamont.edu/</t>
  </si>
  <si>
    <t>Monticello</t>
  </si>
  <si>
    <t>University of Arkansas at Pine Bluff</t>
  </si>
  <si>
    <t>@uapbinfo</t>
  </si>
  <si>
    <t>https://www.facebook.com/UAPineBluff</t>
  </si>
  <si>
    <t>http://www.uapb.edu/</t>
  </si>
  <si>
    <t>Pine Bluff</t>
  </si>
  <si>
    <t>University of Arkansas for Medical Sciences</t>
  </si>
  <si>
    <t>@uamshealth</t>
  </si>
  <si>
    <t>https://www.facebook.com/UAMShealth</t>
  </si>
  <si>
    <t>http://www.uams.edu/</t>
  </si>
  <si>
    <t>University of Central Arkansas</t>
  </si>
  <si>
    <t>@ucabears</t>
  </si>
  <si>
    <t>https://www.facebook.com/UCentralArkansas</t>
  </si>
  <si>
    <t>http://uca.edu/</t>
  </si>
  <si>
    <t>Conway</t>
  </si>
  <si>
    <t>University of the Ozarks</t>
  </si>
  <si>
    <t>@UnivoftheOzarks</t>
  </si>
  <si>
    <t>https://www.facebook.com/pages/University-of-the-Ozarks/80967010045</t>
  </si>
  <si>
    <t>http://www.ozarks.edu/</t>
  </si>
  <si>
    <t>Clarksville</t>
  </si>
  <si>
    <t>Williams Baptist College</t>
  </si>
  <si>
    <t>https://www.facebook.com/WilliamsBaptistCollege</t>
  </si>
  <si>
    <t>http://www.wbcoll.edu/</t>
  </si>
  <si>
    <t>Walnut Ridge</t>
  </si>
  <si>
    <t>Philander Smith College</t>
  </si>
  <si>
    <t>@PhilanderSmith</t>
  </si>
  <si>
    <t>https://www.facebook.com/pages/Philander-Smith-College/143862818997419</t>
  </si>
  <si>
    <t>http://www.philander.edu/</t>
  </si>
  <si>
    <t>Ouachita Baptist University</t>
  </si>
  <si>
    <t>@Ouachita</t>
  </si>
  <si>
    <t>https://www.facebook.com/ouachita</t>
  </si>
  <si>
    <t>http://www.obu.edu/</t>
  </si>
  <si>
    <t>Lyon College</t>
  </si>
  <si>
    <t>@LyonCollege</t>
  </si>
  <si>
    <t>https://www.facebook.com/lyoncollege</t>
  </si>
  <si>
    <t>http://www.lyon.edu/</t>
  </si>
  <si>
    <t>Batesville</t>
  </si>
  <si>
    <t>John Brown University</t>
  </si>
  <si>
    <t>@JohnBrownUniv</t>
  </si>
  <si>
    <t>https://www.facebook.com/JohnBrownUniversity</t>
  </si>
  <si>
    <t>http://www.jbu.edu/</t>
  </si>
  <si>
    <t>Siloam Springs</t>
  </si>
  <si>
    <t>Hendrix College</t>
  </si>
  <si>
    <t>@hendrixcollege</t>
  </si>
  <si>
    <t>https://www.facebook.com/hendrixcollege</t>
  </si>
  <si>
    <t>http://www.hendrix.edu/</t>
  </si>
  <si>
    <t>Harding University</t>
  </si>
  <si>
    <t>@HardingU</t>
  </si>
  <si>
    <t>https://www.facebook.com/HardingU</t>
  </si>
  <si>
    <t>http://www.harding.edu/</t>
  </si>
  <si>
    <t>Searcy</t>
  </si>
  <si>
    <t>Central Baptist College</t>
  </si>
  <si>
    <t>@CentBaptCollege</t>
  </si>
  <si>
    <t>https://www.facebook.com/CentralBaptistCollege</t>
  </si>
  <si>
    <t>http://www.cbc.edu/</t>
  </si>
  <si>
    <t>Arkansas Baptist College</t>
  </si>
  <si>
    <t>Shorter College</t>
  </si>
  <si>
    <t>http://shortercollege.org/</t>
  </si>
  <si>
    <t>North Little Rock</t>
  </si>
  <si>
    <t>Crowley's Ridge College</t>
  </si>
  <si>
    <t>@CRCPioneers</t>
  </si>
  <si>
    <t>https://www.facebook.com/pages/Crowleys-Ridge-College/215870213838</t>
  </si>
  <si>
    <t>http://www.crc.edu/</t>
  </si>
  <si>
    <t>Paragould</t>
  </si>
  <si>
    <t>University of Arkansas Community College at Morrilton</t>
  </si>
  <si>
    <t>http://www.uaccm.edu/</t>
  </si>
  <si>
    <t>Morrilton</t>
  </si>
  <si>
    <t>University of Arkansas Community College at Batesville</t>
  </si>
  <si>
    <t>@uaccb</t>
  </si>
  <si>
    <t>https://www.facebook.com/uaccb</t>
  </si>
  <si>
    <t>http://www.uaccb.edu/</t>
  </si>
  <si>
    <t>University of Arkansas Community College at Hope</t>
  </si>
  <si>
    <t>@UACCH</t>
  </si>
  <si>
    <t>https://www.facebook.com/UACCH</t>
  </si>
  <si>
    <t>http://www.uacch.edu/</t>
  </si>
  <si>
    <t>Hope</t>
  </si>
  <si>
    <t>Southern Arkansas University Tech</t>
  </si>
  <si>
    <t>@sautech68</t>
  </si>
  <si>
    <t>https://www.facebook.com/pages/Southern-Arkansas-University-Tech/61433589272</t>
  </si>
  <si>
    <t>http://www.sautech.edu/</t>
  </si>
  <si>
    <t>Camden</t>
  </si>
  <si>
    <t>Southeast Arkansas College</t>
  </si>
  <si>
    <t>https://www.facebook.com/SEARKCollege</t>
  </si>
  <si>
    <t>http://www.seark.edu/</t>
  </si>
  <si>
    <t>South Arkansas Community College</t>
  </si>
  <si>
    <t>https://www.facebook.com/southark?fref=ts</t>
  </si>
  <si>
    <t>http://www.southark.edu/</t>
  </si>
  <si>
    <t>El Dorado</t>
  </si>
  <si>
    <t>Rich Mountain Community College</t>
  </si>
  <si>
    <t>https://www.facebook.com/RMCC.edu</t>
  </si>
  <si>
    <t>http://www.rmcc.edu/</t>
  </si>
  <si>
    <t>Mena</t>
  </si>
  <si>
    <t>Pulaski Technical College</t>
  </si>
  <si>
    <t>@pulaskitech</t>
  </si>
  <si>
    <t>https://www.facebook.com/pulaskitech</t>
  </si>
  <si>
    <t>http://www.pulaskitech.edu/</t>
  </si>
  <si>
    <t>Phillips Community College</t>
  </si>
  <si>
    <t>@PCCUA</t>
  </si>
  <si>
    <t>https://www.facebook.com/pages/Phillips-Community-College-of-the-University-of-Arkansas/21979035756</t>
  </si>
  <si>
    <t>http://www.pccua.edu/</t>
  </si>
  <si>
    <t>Helena</t>
  </si>
  <si>
    <t>Ozarka College</t>
  </si>
  <si>
    <t>http://www.ozarka.edu/</t>
  </si>
  <si>
    <t>Melbourne (main campus), Ash Flat, Mountain View</t>
  </si>
  <si>
    <t>Northwest Arkansas Community College (NWACC)</t>
  </si>
  <si>
    <t>@NWACC</t>
  </si>
  <si>
    <t>https://www.facebook.com/NWACC1</t>
  </si>
  <si>
    <t>http://www.nwacc.edu/web/nwacc/</t>
  </si>
  <si>
    <t>Benton</t>
  </si>
  <si>
    <t>North Arkansas College</t>
  </si>
  <si>
    <t>@NortharkTweets</t>
  </si>
  <si>
    <t>https://www.facebook.com/NorthArkansasCollege</t>
  </si>
  <si>
    <t>http://www.northark.edu/</t>
  </si>
  <si>
    <t>Harrison</t>
  </si>
  <si>
    <t>National Park Community College</t>
  </si>
  <si>
    <t>@NationalParkCC</t>
  </si>
  <si>
    <t>https://www.facebook.com/npcc1</t>
  </si>
  <si>
    <t>http://www.npcc.edu/</t>
  </si>
  <si>
    <t>Hot Springs</t>
  </si>
  <si>
    <t>Mid-South Community College</t>
  </si>
  <si>
    <t>@midsouthcc</t>
  </si>
  <si>
    <t>https://www.facebook.com/midsouthcc</t>
  </si>
  <si>
    <t>http://www.midsouthcc.edu/</t>
  </si>
  <si>
    <t>West Memphis</t>
  </si>
  <si>
    <t>Cossatot Community College of the University of Arkansas</t>
  </si>
  <si>
    <t>https://www.facebook.com/pages/Cossatot-Community-College-of-UA/204534822909778</t>
  </si>
  <si>
    <t>http://www.cccua.edu/</t>
  </si>
  <si>
    <t>DeQueen</t>
  </si>
  <si>
    <t>Other / Notes</t>
  </si>
  <si>
    <t>California State Website</t>
  </si>
  <si>
    <t>http://www.facebook.com/CaliforniaGovernment</t>
  </si>
  <si>
    <t>http://www.ca.gov/</t>
  </si>
  <si>
    <t>California Emergencies</t>
  </si>
  <si>
    <t>http://www.ca.gov/HealthSafety/Emergencies.html</t>
  </si>
  <si>
    <t>Has links to related agencies</t>
  </si>
  <si>
    <t>Cal E-M-A</t>
  </si>
  <si>
    <t>@CalEMA</t>
  </si>
  <si>
    <t>http://www.facebook.com/californiaemafan</t>
  </si>
  <si>
    <t>http://www.calema.ca.gov/Pages/default.aspx</t>
  </si>
  <si>
    <t>California Wildlife Rescue</t>
  </si>
  <si>
    <t>http://wildlife.rescueshelter.com/California</t>
  </si>
  <si>
    <t>California County Websites (A-L)</t>
  </si>
  <si>
    <t>http://www.ca.gov/About/Government/Local/Counties/A_L.html</t>
  </si>
  <si>
    <t>Lines 5,6,7 include links to  county official web page,email, Twitter, Facebook, You Tube, &amp; RSS</t>
  </si>
  <si>
    <t>California County Websites (M-R)</t>
  </si>
  <si>
    <t>http://www.ca.gov/About/Government/Local/Counties/M_R.html</t>
  </si>
  <si>
    <t>California County Websites (S-Z)</t>
  </si>
  <si>
    <t>http://www.ca.gov/About/Government/Local/Counties/S_Z.html</t>
  </si>
  <si>
    <t>California DHS</t>
  </si>
  <si>
    <t>http://www.calema.ca.gov/EMS-HS-HazMat/Pages/Homeland-Security-Programs.aspx</t>
  </si>
  <si>
    <t>California Dept. Education</t>
  </si>
  <si>
    <t>@TorlaksonSSPI</t>
  </si>
  <si>
    <t>https://www.facebook.com/CAEducation</t>
  </si>
  <si>
    <t>http://www.cde.ca.gov/</t>
  </si>
  <si>
    <t>California School Directory</t>
  </si>
  <si>
    <t>http://www.cde.ca.gov/re/sd/</t>
  </si>
  <si>
    <t>Includes K-12 &amp; Postsecondary</t>
  </si>
  <si>
    <t>CalTrans - Roads</t>
  </si>
  <si>
    <t>http://www.dot.ca.gov/cgi-bin/roads.cgi</t>
  </si>
  <si>
    <t>Map of road conditions</t>
  </si>
  <si>
    <t>CalTrans - Social Media</t>
  </si>
  <si>
    <t>http://www.dot.ca.gov/socialmedia/</t>
  </si>
  <si>
    <t>For HQ &amp; Localities</t>
  </si>
  <si>
    <t>CalTrans</t>
  </si>
  <si>
    <t>http://www.dot.ca.gov/</t>
  </si>
  <si>
    <t>See City Directory</t>
  </si>
  <si>
    <t>http://www.lacity.org/index.htm</t>
  </si>
  <si>
    <t>@CityofSanDiego</t>
  </si>
  <si>
    <t>https://www.facebook.com/CityofSanDiego</t>
  </si>
  <si>
    <t>http://www.sandiego.gov/</t>
  </si>
  <si>
    <t>@SanJoseInfo</t>
  </si>
  <si>
    <t>https://www.facebook.com/CityofSanJose</t>
  </si>
  <si>
    <t>http://www.sanjoseca.gov/</t>
  </si>
  <si>
    <t>@sfgov</t>
  </si>
  <si>
    <t>https://www.facebook.com/SF</t>
  </si>
  <si>
    <t>http://www.sfgov.org/index.asp</t>
  </si>
  <si>
    <t>@CityofFresno</t>
  </si>
  <si>
    <t>https://www.facebook.com/FresnoCA</t>
  </si>
  <si>
    <t>http://www.fresno.gov/default.htm</t>
  </si>
  <si>
    <t>@TheCityofSac</t>
  </si>
  <si>
    <t>https://www.facebook.com/TheCityofSacramento?sk=app_129982580378550</t>
  </si>
  <si>
    <t>http://www.cityofsacramento.org/</t>
  </si>
  <si>
    <t>@AlamedaCounty</t>
  </si>
  <si>
    <t>https://www.facebook.com/AlamedaCounty</t>
  </si>
  <si>
    <t>http://www.acgov.org/</t>
  </si>
  <si>
    <t>https://www.facebook.com/pages/Alpine-County-CA-Government/159423337551197</t>
  </si>
  <si>
    <t>http://www.alpinecountyca.gov/</t>
  </si>
  <si>
    <t>@AmadorCounty</t>
  </si>
  <si>
    <t>https://www.facebook.com/Amadorgov</t>
  </si>
  <si>
    <t>http://www.co.amador.ca.us/</t>
  </si>
  <si>
    <t>@CountyofButte</t>
  </si>
  <si>
    <t>http://www.buttecounty.net/</t>
  </si>
  <si>
    <t>http://calaverasgov.us/</t>
  </si>
  <si>
    <t>http://www.countyofcolusa.org/</t>
  </si>
  <si>
    <t>@CCCounty</t>
  </si>
  <si>
    <t>http://www.co.contra-costa.ca.us/</t>
  </si>
  <si>
    <t>@DelNorteCounty</t>
  </si>
  <si>
    <t>https://www.facebook.com/CountyofDelNorte</t>
  </si>
  <si>
    <t>http://www.co.del-norte.ca.us/</t>
  </si>
  <si>
    <t>@EDCNews1</t>
  </si>
  <si>
    <t>https://www.facebook.com/ElDoradoCountyNews</t>
  </si>
  <si>
    <t>http://edcgov.us/</t>
  </si>
  <si>
    <t>@FresnoCoFire @CityofFresno</t>
  </si>
  <si>
    <t>http://www.co.fresno.ca.us/</t>
  </si>
  <si>
    <t>http://www.countyofglenn.net/</t>
  </si>
  <si>
    <t>@RedCrossHumCo</t>
  </si>
  <si>
    <t>http://co.humboldt.ca.us/</t>
  </si>
  <si>
    <t>http://www.co.imperial.ca.us/</t>
  </si>
  <si>
    <t>http://www.inyocounty.us/</t>
  </si>
  <si>
    <t>@kerncountyfire</t>
  </si>
  <si>
    <t>http://www.co.kern.ca.us/</t>
  </si>
  <si>
    <t>http://www.countyofkings.com/</t>
  </si>
  <si>
    <t>@LakeCountyInfo</t>
  </si>
  <si>
    <t>http://www.co.lake.ca.us/</t>
  </si>
  <si>
    <t>http://www.co.lassen.ca.us/</t>
  </si>
  <si>
    <t>@LACoFDTSD @LASD_News</t>
  </si>
  <si>
    <t>http://www.lacounty.info/wps/portal/lac</t>
  </si>
  <si>
    <t>@FresnoMaderaARC</t>
  </si>
  <si>
    <t>https://www.facebook.com/pages/County-of-Madera-CA/293012154120739</t>
  </si>
  <si>
    <t>http://www.madera-county.com/</t>
  </si>
  <si>
    <t>@maringov</t>
  </si>
  <si>
    <t>http://www.facebook.com/CountyOfMarin?sk=wall</t>
  </si>
  <si>
    <t>http://www.marincounty.org/</t>
  </si>
  <si>
    <t>http://www.mariposacounty.org/</t>
  </si>
  <si>
    <t>@countymendocino</t>
  </si>
  <si>
    <t>https://www.facebook.com/pages/County-of-Mendocino/302454346486226</t>
  </si>
  <si>
    <t>http://www.co.mendocino.ca.us/</t>
  </si>
  <si>
    <t>@MercedCounty</t>
  </si>
  <si>
    <t>http://www.co.merced.ca.us/</t>
  </si>
  <si>
    <t>@ModocSheriff</t>
  </si>
  <si>
    <t>http://www.co.modoc.ca.us/</t>
  </si>
  <si>
    <t>@mono_sar</t>
  </si>
  <si>
    <t>http://www.monocounty.ca.gov/</t>
  </si>
  <si>
    <t>https://www.facebook.com/VisitEasternSierra</t>
  </si>
  <si>
    <t>@montereyOES @mocosar</t>
  </si>
  <si>
    <t>http://www.co.monterey.ca.us/</t>
  </si>
  <si>
    <t>@CountyofNapa</t>
  </si>
  <si>
    <t>https://www.facebook.com/NapaCounty</t>
  </si>
  <si>
    <t>http://www.countyofnapa.org/</t>
  </si>
  <si>
    <t>@NCgov</t>
  </si>
  <si>
    <t>http://www.mynevadacounty.com/Pages/home.aspx</t>
  </si>
  <si>
    <t>@OrangeCountyEOC</t>
  </si>
  <si>
    <t>https://www.facebook.com/OrangeCountyEOC</t>
  </si>
  <si>
    <t>http://egov.ocgov.com/portal/site/ocgov/</t>
  </si>
  <si>
    <t>@OCWDWaterNews</t>
  </si>
  <si>
    <t>@Placer911   @PlacerSheriff</t>
  </si>
  <si>
    <t>https://www.facebook.com/pages/Placer-County-California/348887075624</t>
  </si>
  <si>
    <t>http://www.placer.ca.gov/</t>
  </si>
  <si>
    <t>https://www.facebook.com/PlacerSheriff</t>
  </si>
  <si>
    <t>@PlumasCountyCA</t>
  </si>
  <si>
    <t>https://www.facebook.com/pages/Plumas-County-CA/134327853253250</t>
  </si>
  <si>
    <t>http://www.countyofplumas.com/</t>
  </si>
  <si>
    <t>@riversidecagov   @CALFIRERRU   @RCSheriff</t>
  </si>
  <si>
    <t>http://www.countyofriverside.us/</t>
  </si>
  <si>
    <t>https://www.facebook.com/pages/Riverside-County-Sheriffs-Department/209851409032041</t>
  </si>
  <si>
    <t>@SacCountyCA    @SacramentoOES</t>
  </si>
  <si>
    <t>https://www.facebook.com/pages/Sacramento-County/308282075892553</t>
  </si>
  <si>
    <t>http://www.saccounty.net/default.htm</t>
  </si>
  <si>
    <t>https://www.facebook.com/SacramentoOES</t>
  </si>
  <si>
    <t>http://www.cosb.us/</t>
  </si>
  <si>
    <t>@SBCOUNTYFIRE</t>
  </si>
  <si>
    <t>http://www.sbcounty.gov/default.asp</t>
  </si>
  <si>
    <t>@SanDiegoCounty @SDSheriff  @portofsandiego</t>
  </si>
  <si>
    <t>http://www.facebook.com/sandiegocounty</t>
  </si>
  <si>
    <t>http://sdpublic.sdcounty.ca.gov/</t>
  </si>
  <si>
    <t>@SF_emergency @sfgiv</t>
  </si>
  <si>
    <t>@SJGov    @SJSheriff    @XSJ_OA</t>
  </si>
  <si>
    <t>https://www.facebook.com/sjgov</t>
  </si>
  <si>
    <t>http://www.sjgov.org/</t>
  </si>
  <si>
    <t>https://www.facebook.com/sanjoaquincountyofficeofemergencyservices</t>
  </si>
  <si>
    <t>@slocountyoes   @slocoemergency</t>
  </si>
  <si>
    <t>https://www.facebook.com/SLOCountyOES</t>
  </si>
  <si>
    <t>http://www.slocounty.ca.gov/site4.aspx</t>
  </si>
  <si>
    <t>@SMCSheriff</t>
  </si>
  <si>
    <t>http://www.facebook.com/SMCSheriff</t>
  </si>
  <si>
    <t>http://www.co.sanmateo.ca.us/portal/site/SMC</t>
  </si>
  <si>
    <t>http://www.countyofsb.org/</t>
  </si>
  <si>
    <t>https://www.facebook.com/SBCountyOEM</t>
  </si>
  <si>
    <t>@SCCgov</t>
  </si>
  <si>
    <t>https://www.facebook.com/pages/County-of-Santa-Clara-California/103136316392475?ref=ts</t>
  </si>
  <si>
    <t>http://www.sccgov.org/sites/scc/Pages/default.aspx</t>
  </si>
  <si>
    <t>@sccounty</t>
  </si>
  <si>
    <t>http://www.co.santa-cruz.ca.us/</t>
  </si>
  <si>
    <t>http://www.co.shasta.ca.us/index.aspx</t>
  </si>
  <si>
    <t>http://www.sierracounty.ws/</t>
  </si>
  <si>
    <t>@SiskiyouOES</t>
  </si>
  <si>
    <t>http://www.co.siskiyou.ca.us/</t>
  </si>
  <si>
    <t>http://www.facebook.com/pages/Siskiyou-County-Office-of-Emergency-Services/194287693967274</t>
  </si>
  <si>
    <t>@SolanoFire</t>
  </si>
  <si>
    <t>http://www.co.solano.ca.us/</t>
  </si>
  <si>
    <t>@CountyofSonoma</t>
  </si>
  <si>
    <t>http://www.facebook.com/SonomaCountyCal</t>
  </si>
  <si>
    <t>http://www.sonoma-county.org/</t>
  </si>
  <si>
    <t>@StanSheriff</t>
  </si>
  <si>
    <t>http://www.stancounty.com/</t>
  </si>
  <si>
    <t>https://www.facebook.com/stansheriff</t>
  </si>
  <si>
    <t>@CountyofSutter</t>
  </si>
  <si>
    <t>https://www.facebook.com/CountyofSutter</t>
  </si>
  <si>
    <t>http://www.co.sutter.ca.us/</t>
  </si>
  <si>
    <t>http://www.co.tehama.ca.us/</t>
  </si>
  <si>
    <t>http://www.trinitycounty.org/</t>
  </si>
  <si>
    <t>@CountyofTulare</t>
  </si>
  <si>
    <t>http://www.facebook.com/countyoftulare</t>
  </si>
  <si>
    <t>http://www.tularecounty.ca.gov/county/</t>
  </si>
  <si>
    <t>@TCFireDept</t>
  </si>
  <si>
    <t>http://www.co.tuolumne.ca.us/</t>
  </si>
  <si>
    <t>@ReadyVC    @VCFD @VenturaCountyVC</t>
  </si>
  <si>
    <t>http://portal.countyofventura.org/portal/page/portal/cov</t>
  </si>
  <si>
    <t>https://www.facebook.com/ReadyVC</t>
  </si>
  <si>
    <t>@YoloPIO</t>
  </si>
  <si>
    <t>https://www.facebook.com/pages/Yolo-County/243209425733901</t>
  </si>
  <si>
    <t>http://www.yolocounty.org/</t>
  </si>
  <si>
    <t>@YubaCounty   @YubaSheriff</t>
  </si>
  <si>
    <t>https://www.facebook.com/YubaCounty</t>
  </si>
  <si>
    <t>http://www.co.yuba.ca.us/</t>
  </si>
  <si>
    <t>California Public Utilities Commission</t>
  </si>
  <si>
    <t>http://www.cpuc.ca.gov/puc/</t>
  </si>
  <si>
    <t>Alameda Municipal Power</t>
  </si>
  <si>
    <t>@AlamedaMuniPwr</t>
  </si>
  <si>
    <t>https://www.facebook.com/pages/Alameda-Municipal-Power/111741928848766</t>
  </si>
  <si>
    <t>http://www.alamedamp.com/</t>
  </si>
  <si>
    <t>Anaheim Public utilities</t>
  </si>
  <si>
    <t>@Anaheim311</t>
  </si>
  <si>
    <t>http://www.facebook.com/anaheimutilities?v=app_4949752878</t>
  </si>
  <si>
    <t>http://www.anaheim.net/section.asp?id=54</t>
  </si>
  <si>
    <t>Azusa Light &amp; Water</t>
  </si>
  <si>
    <t>http://www.ci.azusa.ca.us/index.aspx?nid=132</t>
  </si>
  <si>
    <t>City of Palo Alto Utilities</t>
  </si>
  <si>
    <t>@PAUtilities</t>
  </si>
  <si>
    <t>https://www.facebook.com/PaloAltoGreen</t>
  </si>
  <si>
    <t>http://www.cityofpaloalto.org/gov/depts/utl/default.asp</t>
  </si>
  <si>
    <t>@californiapuc</t>
  </si>
  <si>
    <t>https://www.facebook.com/CaliforniaPUC</t>
  </si>
  <si>
    <t>Bear Valley Electric</t>
  </si>
  <si>
    <t>http://www.bves.com/</t>
  </si>
  <si>
    <t>Burbank Water &amp; Power</t>
  </si>
  <si>
    <t>@BurbankH2OPower</t>
  </si>
  <si>
    <t>http://www.burbankwaterandpower.com/</t>
  </si>
  <si>
    <t>Colton Public Utilities</t>
  </si>
  <si>
    <t>http://www.coltononline.com/</t>
  </si>
  <si>
    <t>Glendale Public Service Department</t>
  </si>
  <si>
    <t>@COGWaterPower</t>
  </si>
  <si>
    <t>http://www.facebook.com/GlendaleWaterAndPower</t>
  </si>
  <si>
    <t>http://www.glendalewaterandpower.com/</t>
  </si>
  <si>
    <t>Gridley Municipal Utilities</t>
  </si>
  <si>
    <t>http://www.gridley.ca.us/city-departments/electric-department</t>
  </si>
  <si>
    <t>Healdsburg Municipal Electric Department</t>
  </si>
  <si>
    <t>http://www.ci.healdsburg.ca.us/index.aspx?page=62</t>
  </si>
  <si>
    <t>City &amp; County of San Francisco</t>
  </si>
  <si>
    <t>@SFWater</t>
  </si>
  <si>
    <t>https://www.facebook.com/SFWater</t>
  </si>
  <si>
    <t>http://www.sfwater.org/</t>
  </si>
  <si>
    <t>Imperial Irrigation District</t>
  </si>
  <si>
    <t>@IIDEnergy</t>
  </si>
  <si>
    <t>http://www.facebook.com/IIDEnergy</t>
  </si>
  <si>
    <t>http://www.iid.com/</t>
  </si>
  <si>
    <t>Los Angeles Department of Water and Power</t>
  </si>
  <si>
    <t>@LADWP</t>
  </si>
  <si>
    <t>https://www.facebook.com/LADWP</t>
  </si>
  <si>
    <t>https://www.ladwp.com/ladwp/faces/ladwp?_afrLoop=42317647039000&amp;_afrWindowMode=0&amp;_afrWindowId=null#%40%3F_afrWindowId%3Dnull%26_afrLoop%3D42317647039000%26_afrWindowMode%3D0%26_adf.ctrl-state%3D16z8ecqs7k_4_afrLoop=125758585768&amp;_afrWindowMode=&amp;_afrWindowId=_e_RCs#%4%3F_afrWindowId%3D_e_RCs%26_afrLoop%3D125758585768%26_afrWindowMode%3D%26_adf.ctrl-state%3D9vzn432ax_4</t>
  </si>
  <si>
    <t>Pacific Gas &amp; Electric</t>
  </si>
  <si>
    <t>@PGE4Me</t>
  </si>
  <si>
    <t>http://www.facebook.com/pacificgasandelectric</t>
  </si>
  <si>
    <t>http://www.pge.com/</t>
  </si>
  <si>
    <t>Pacific Power</t>
  </si>
  <si>
    <t>@PacificPower_CA</t>
  </si>
  <si>
    <t>https://www.facebook.com/pacificpower</t>
  </si>
  <si>
    <t>http://www.pacificpower.net/index.html</t>
  </si>
  <si>
    <t>Southwest Water company</t>
  </si>
  <si>
    <t>http://www.southwestwater.com/</t>
  </si>
  <si>
    <t>Tulare Lake Basin Water Storage District</t>
  </si>
  <si>
    <t>@WAofKC</t>
  </si>
  <si>
    <t>https://www.facebook.com/pages/Water-Association-of-Kern-County/103969133044083</t>
  </si>
  <si>
    <t>http://wakc.com/index.php/whos-who?pid=2&amp;sid=96:Tulare-Lake-Basin-Water-Storage-District</t>
  </si>
  <si>
    <t>Turlock Irrigation District</t>
  </si>
  <si>
    <t>@TurlockID</t>
  </si>
  <si>
    <t>http://www.tid.org/</t>
  </si>
  <si>
    <t>Vallecitos Water District</t>
  </si>
  <si>
    <t>https://www.facebook.com/pages/Vallecitos-Water-District/143942098961514?ref=ts</t>
  </si>
  <si>
    <t>http://www.vwd.org/</t>
  </si>
  <si>
    <t>Valley Center Municipal Water District</t>
  </si>
  <si>
    <t>http://www.vcmwd.org/</t>
  </si>
  <si>
    <t>Vista Irrigation District</t>
  </si>
  <si>
    <t>http://www.vid-h2o.org/home/index.asp</t>
  </si>
  <si>
    <t>Walnut Valley Water District</t>
  </si>
  <si>
    <t>@usewaterwisely</t>
  </si>
  <si>
    <t>https://www.facebook.com/pages/Walnut-Valley-Water-District/319240544783438</t>
  </si>
  <si>
    <t>http://www.wvwd.com/</t>
  </si>
  <si>
    <t>Western Heights Water Company</t>
  </si>
  <si>
    <t>http://westernheightswatercompany.org/</t>
  </si>
  <si>
    <t>Westlands Water District</t>
  </si>
  <si>
    <t>http://www.westlandswater.org/wwd/default2.asp?cwide=128</t>
  </si>
  <si>
    <t>List of airports in California</t>
  </si>
  <si>
    <t>http://en.wikipedia.org/wiki/List_of_airports_in_California</t>
  </si>
  <si>
    <t>Air-Nav</t>
  </si>
  <si>
    <t>http://www.airnav.com/airports/us/CA</t>
  </si>
  <si>
    <t>CA list of 31 airports w/passenger service</t>
  </si>
  <si>
    <t>http://www.dot.ca.gov/hq/planning/aeronaut/documents/PassengerAirports.pdf</t>
  </si>
  <si>
    <t>Includes to links to airports</t>
  </si>
  <si>
    <t>Arcata Airport</t>
  </si>
  <si>
    <t>http://co.humboldt.ca.us/aviation/content.asp?page=airport_and_airline_information.htm</t>
  </si>
  <si>
    <t>Meadows Field</t>
  </si>
  <si>
    <t>@MeadowsField</t>
  </si>
  <si>
    <t>https://www.facebook.com/pages/Meadows-Field-BFL-Airport/105676971682</t>
  </si>
  <si>
    <t>http://www.meadowsfield.com/</t>
  </si>
  <si>
    <t>Bob Hope Airport</t>
  </si>
  <si>
    <t>BobHopeAirport</t>
  </si>
  <si>
    <t>http://www.facebook.com/bobhopeairport</t>
  </si>
  <si>
    <t>http://www.burbankairport.com/</t>
  </si>
  <si>
    <t>McClellan-Palomar Airport</t>
  </si>
  <si>
    <t>http://www.sdcounty.ca.gov/dpw/airports/palomar.html</t>
  </si>
  <si>
    <t>Chico Municipal Airport</t>
  </si>
  <si>
    <t>http://www.chico.ca.us/airport/home_page.asp</t>
  </si>
  <si>
    <t>Fresno Yosemite International Airport</t>
  </si>
  <si>
    <t>http://www.flyfresno.com/</t>
  </si>
  <si>
    <t>Inyokern Airport</t>
  </si>
  <si>
    <t>http://www.inyokernairport.com/</t>
  </si>
  <si>
    <t>Long Beach Airport (Daugherty Field)</t>
  </si>
  <si>
    <t>@LBAirport</t>
  </si>
  <si>
    <t>https://www.facebook.com/pages/Long-Beach-Airport/293271085208?ref=sgm</t>
  </si>
  <si>
    <t>http://www.lgb.org/</t>
  </si>
  <si>
    <t>Los Angeles International Airport</t>
  </si>
  <si>
    <t>@LAX_Official</t>
  </si>
  <si>
    <t>http://www.facebook.com/LAInternationalAirport</t>
  </si>
  <si>
    <t>http://www.lawa.org/welcomelax.aspx</t>
  </si>
  <si>
    <t>Modesto City-County Airport (Harry Sham Field)</t>
  </si>
  <si>
    <t>http://www.modestogov.com/pwd/transportation/airport/</t>
  </si>
  <si>
    <t>Monterey Regional Airport (was Monterey Peninsula Airport)</t>
  </si>
  <si>
    <t>@MontereyAirport</t>
  </si>
  <si>
    <t>http://www.facebook.com/MontereyRegionalAirport</t>
  </si>
  <si>
    <t>http://www.montereyairport.com/</t>
  </si>
  <si>
    <t>Oakland International Airport</t>
  </si>
  <si>
    <t>@IFlyOAKland</t>
  </si>
  <si>
    <t>http://www.facebook.com/iflyoak</t>
  </si>
  <si>
    <t>http://www.flyoakland.com/</t>
  </si>
  <si>
    <t>Ontario International Airport</t>
  </si>
  <si>
    <t>@ONT_Official</t>
  </si>
  <si>
    <t>https://www.facebook.com/ONTAirport</t>
  </si>
  <si>
    <t>http://www.flyontario.com/</t>
  </si>
  <si>
    <t>Palm Springs International Airport</t>
  </si>
  <si>
    <t>http://www.palmspringsca.gov/index.aspx?page=270</t>
  </si>
  <si>
    <t>Redding Municipal Airport</t>
  </si>
  <si>
    <t>http://ci.redding.ca.us/transeng/airports/index.htm</t>
  </si>
  <si>
    <t>Sacramento International Airport</t>
  </si>
  <si>
    <t>@SacIntlAirport</t>
  </si>
  <si>
    <t>https://www.facebook.com/SacIntlAirport</t>
  </si>
  <si>
    <t>http://www.sacramento.aero/smf/</t>
  </si>
  <si>
    <t>San Diego International Airport</t>
  </si>
  <si>
    <t>@SanDiegoAirport</t>
  </si>
  <si>
    <t>http://www.facebook.com/SanDiegoAirport</t>
  </si>
  <si>
    <t>http://www.san.org/</t>
  </si>
  <si>
    <t>San Francisco International Airport</t>
  </si>
  <si>
    <t>@flySFO</t>
  </si>
  <si>
    <t>http://www.facebook.com/flySFO</t>
  </si>
  <si>
    <t>http://www.flysfo.com/web/page/index.jsp</t>
  </si>
  <si>
    <t>Norman Y. Mineta San José International Airport</t>
  </si>
  <si>
    <t>@FlySJC</t>
  </si>
  <si>
    <t>http://www.facebook.com/flysanjose</t>
  </si>
  <si>
    <t>http://www.flysanjose.com/fl/</t>
  </si>
  <si>
    <t>San Luis Obispo County Regional Airport (McChesney Field)</t>
  </si>
  <si>
    <t>https://www.facebook.com/SLOAirport</t>
  </si>
  <si>
    <t>http://sloairport.com/</t>
  </si>
  <si>
    <t>John Wayne Airport - Orange County (was Orange County Airport)</t>
  </si>
  <si>
    <t>@JohnWayneAir</t>
  </si>
  <si>
    <t>http://www.facebook.com/JohnWayneAirport</t>
  </si>
  <si>
    <t>http://www.ocair.com/</t>
  </si>
  <si>
    <t>Santa Barbara Municipal Airport (Santa Barbara Airport)</t>
  </si>
  <si>
    <t>@SBAirport</t>
  </si>
  <si>
    <t>http://www.facebook.com/santabarbaraairport</t>
  </si>
  <si>
    <t>http://www.flysba.com/</t>
  </si>
  <si>
    <t>Santa Maria Public Airport (Capt G. Allan Hancock Field)</t>
  </si>
  <si>
    <t>https://www.facebook.com/pages/Santa-Maria-Public-Airport-District/140167922686232</t>
  </si>
  <si>
    <t>http://www.santamariaairport.com/</t>
  </si>
  <si>
    <t>Charles M. Schulz - Sonoma County Airport</t>
  </si>
  <si>
    <t>@ Fly_STS</t>
  </si>
  <si>
    <t>http://www.sonomacountyairport.org/</t>
  </si>
  <si>
    <t>Stockton Metropolitan Airport</t>
  </si>
  <si>
    <t>http://www.co.san-joaquin.ca.us/airport/</t>
  </si>
  <si>
    <t>NEWS LINK - California newspapers</t>
  </si>
  <si>
    <t>http://www.newslink.org/canews.html</t>
  </si>
  <si>
    <t>NEWS LINK - California radio stations</t>
  </si>
  <si>
    <t>http://www.newslink.org/caradi.html</t>
  </si>
  <si>
    <t>NEWS LINK - California TV stations</t>
  </si>
  <si>
    <t>http://www.newslink.org/catele.html</t>
  </si>
  <si>
    <t>Burbank Leader</t>
  </si>
  <si>
    <t>EditorDanEvans</t>
  </si>
  <si>
    <t>https://www.facebook.com/BurbankLeader</t>
  </si>
  <si>
    <t>http://www.burbankleader.com/</t>
  </si>
  <si>
    <t>Los Angeles Times</t>
  </si>
  <si>
    <t>@latimes</t>
  </si>
  <si>
    <t>https://www.facebook.com/latimes</t>
  </si>
  <si>
    <t>http://www.latimes.com/</t>
  </si>
  <si>
    <t>Union-Times San Diego</t>
  </si>
  <si>
    <t>@UTsandiego</t>
  </si>
  <si>
    <t>https://www.facebook.com/UTSanDiego</t>
  </si>
  <si>
    <t>http://www.utsandiego.com/</t>
  </si>
  <si>
    <t>San Jose Mercury News</t>
  </si>
  <si>
    <t>mercnews</t>
  </si>
  <si>
    <t>https://www.facebook.com/mercurynews</t>
  </si>
  <si>
    <t>http://www.mercurynews.com/</t>
  </si>
  <si>
    <t>San Francisco Examiner</t>
  </si>
  <si>
    <t>sfexaminer</t>
  </si>
  <si>
    <t>https://www.facebook.com/sfexaminer</t>
  </si>
  <si>
    <t>http://www.sfexaminer.com/</t>
  </si>
  <si>
    <t>Fresno Bee</t>
  </si>
  <si>
    <t>@FresnoBee</t>
  </si>
  <si>
    <t>https://www.facebook.com/fresnobee</t>
  </si>
  <si>
    <t>http://www.fresnobee.com/</t>
  </si>
  <si>
    <t>Fresno ABC</t>
  </si>
  <si>
    <t>@ABC30</t>
  </si>
  <si>
    <t>https://www.facebook.com/abc30</t>
  </si>
  <si>
    <t>http://abclocal.go.com/kfsn/index</t>
  </si>
  <si>
    <t>Fresno CBS</t>
  </si>
  <si>
    <t>@CBS47</t>
  </si>
  <si>
    <t>https://www.facebook.com/CBS47</t>
  </si>
  <si>
    <t>http://www.cbs47.tv/default.aspx</t>
  </si>
  <si>
    <t>Fresno NBC</t>
  </si>
  <si>
    <t>@KSEE24</t>
  </si>
  <si>
    <t>https://www.facebook.com/KSEE24</t>
  </si>
  <si>
    <t>http://www.ksee24.com/</t>
  </si>
  <si>
    <t>Los Angeles ABC</t>
  </si>
  <si>
    <t>@ABC7</t>
  </si>
  <si>
    <t>https://www.facebook.com/ABC7</t>
  </si>
  <si>
    <t>http://abclocal.go.com/kabc/index</t>
  </si>
  <si>
    <t>Los Angeles CBS</t>
  </si>
  <si>
    <t>@CBSLA</t>
  </si>
  <si>
    <t>https://www.facebook.com/CBSLA</t>
  </si>
  <si>
    <t>http://losangeles.cbslocal.com/</t>
  </si>
  <si>
    <t>San Diego CBS</t>
  </si>
  <si>
    <t>@CBS8</t>
  </si>
  <si>
    <t>https://www.facebook.com/News8</t>
  </si>
  <si>
    <t>http://www.cbs8.com/</t>
  </si>
  <si>
    <t>San Diego ABC</t>
  </si>
  <si>
    <t>@10news</t>
  </si>
  <si>
    <t>https://www.facebook.com/ABC10News</t>
  </si>
  <si>
    <t>http://www.10news.com/</t>
  </si>
  <si>
    <t>San Diego NBC</t>
  </si>
  <si>
    <t>@nbcsandiego</t>
  </si>
  <si>
    <t>https://www.facebook.com/NBCSanDiego</t>
  </si>
  <si>
    <t>http://www.nbcsandiego.com/</t>
  </si>
  <si>
    <t>San Jose NBC</t>
  </si>
  <si>
    <t>@nbcbayarea</t>
  </si>
  <si>
    <t>https://www.facebook.com/NBCBayArea</t>
  </si>
  <si>
    <t>http://www.nbcbayarea.com/</t>
  </si>
  <si>
    <t>California Seaports</t>
  </si>
  <si>
    <t>http://www.dot.ca.gov/hq/tpp/offices/ogm/seaports.html</t>
  </si>
  <si>
    <t>Includes links to ports' web sites</t>
  </si>
  <si>
    <t>Port of Long Beach</t>
  </si>
  <si>
    <t>@portoflongbeach</t>
  </si>
  <si>
    <t>https://www.facebook.com/PortofLB</t>
  </si>
  <si>
    <t>http://www.polb.com/default.asp</t>
  </si>
  <si>
    <t>Port of Los Angeles</t>
  </si>
  <si>
    <t>@PortofLA</t>
  </si>
  <si>
    <t>https://www.facebook.com/PortofLA</t>
  </si>
  <si>
    <t>http://www.portoflosangeles.org/</t>
  </si>
  <si>
    <t>Port of Richmond</t>
  </si>
  <si>
    <t>@CA_Richmond</t>
  </si>
  <si>
    <t>http://www.ci.richmond.ca.us/index.aspx?nid=102</t>
  </si>
  <si>
    <t>Port of Oakland</t>
  </si>
  <si>
    <t>@PortofOakland</t>
  </si>
  <si>
    <t>https://www.facebook.com/pages/Port-of-Oakland/114472528627092</t>
  </si>
  <si>
    <t>http://www.portofoakland.com/</t>
  </si>
  <si>
    <t>Port of San Diego</t>
  </si>
  <si>
    <t>@portofsandiego</t>
  </si>
  <si>
    <t>https://www.facebook.com/usa.portofsandiego</t>
  </si>
  <si>
    <t>http://www.portofsandiego.org/</t>
  </si>
  <si>
    <t>Port of Hueneme</t>
  </si>
  <si>
    <t>https://www.facebook.com/PortofHueneme</t>
  </si>
  <si>
    <t>http://www.portofhueneme.org/home.php</t>
  </si>
  <si>
    <t>Port of Redwood City</t>
  </si>
  <si>
    <t>@RedwoodCityPort</t>
  </si>
  <si>
    <t>https://www.facebook.com/pages/Port-of-Redwood-City/219653294727822</t>
  </si>
  <si>
    <t>http://www.redwoodcityport.com/</t>
  </si>
  <si>
    <t>Port of San Francisco</t>
  </si>
  <si>
    <t>http://www.sf-port.org/</t>
  </si>
  <si>
    <t>http://www.polb.com/</t>
  </si>
  <si>
    <t>Port of Stockton</t>
  </si>
  <si>
    <t>http://www.portofstockton.com/</t>
  </si>
  <si>
    <t>Port of West Sacramento</t>
  </si>
  <si>
    <t>@portofwestsac</t>
  </si>
  <si>
    <t>https://www.facebook.com/portofwestsacramento</t>
  </si>
  <si>
    <t>http://www.cityofwestsacramento.org/city/depts/pw/port/</t>
  </si>
  <si>
    <t>California Maritime Academy</t>
  </si>
  <si>
    <t>@Cal_Maritime</t>
  </si>
  <si>
    <t>https://www.facebook.com/californiamaritimeacademy</t>
  </si>
  <si>
    <t>https://www.csum.edu/web/mycampus/home;jsessionid=496D049195AC9923F0C27068068483A7</t>
  </si>
  <si>
    <t>Vallejo</t>
  </si>
  <si>
    <t>California Polytechnic State University</t>
  </si>
  <si>
    <t>@calpoly</t>
  </si>
  <si>
    <t>https://www.facebook.com/CaliforniaPolytechnic</t>
  </si>
  <si>
    <t>http://www.calpoly.edu/</t>
  </si>
  <si>
    <t>San Luis Obispo</t>
  </si>
  <si>
    <t>California State Polytechnic University, Pomona</t>
  </si>
  <si>
    <t>@calpolypomona</t>
  </si>
  <si>
    <t>https://www.facebook.com/calpolypomona</t>
  </si>
  <si>
    <t>http://www.csupomona.edu/</t>
  </si>
  <si>
    <t>Pomona</t>
  </si>
  <si>
    <t>California State University, Bakersfield</t>
  </si>
  <si>
    <t>@CSUBakersfield</t>
  </si>
  <si>
    <t>https://www.facebook.com/csubakersfield</t>
  </si>
  <si>
    <t>http://www.csub.edu/</t>
  </si>
  <si>
    <t>Bakersfield</t>
  </si>
  <si>
    <t>California State University, Channel Islands</t>
  </si>
  <si>
    <t>http://www.csuci.edu/</t>
  </si>
  <si>
    <t>Camarillo</t>
  </si>
  <si>
    <t>California State University, Chico</t>
  </si>
  <si>
    <t>@chicostate</t>
  </si>
  <si>
    <t>https://www.facebook.com/CaliforniaStateUniversityChico</t>
  </si>
  <si>
    <t>http://www.csuchico.edu/</t>
  </si>
  <si>
    <t>Chico</t>
  </si>
  <si>
    <t>California State University, Dominguez Hills</t>
  </si>
  <si>
    <t>@DominguezHills</t>
  </si>
  <si>
    <t>https://www.facebook.com/CSUDH</t>
  </si>
  <si>
    <t>http://www.csudh.edu/</t>
  </si>
  <si>
    <t>Carson</t>
  </si>
  <si>
    <t>California State University, East Bay</t>
  </si>
  <si>
    <t>http://www.csueastbay.edu/</t>
  </si>
  <si>
    <t>Hayward</t>
  </si>
  <si>
    <t>California State University, Fresno</t>
  </si>
  <si>
    <t>@Fresno_State</t>
  </si>
  <si>
    <t>https://www.facebook.com/FresnoState</t>
  </si>
  <si>
    <t>http://www.fresnostate.edu/</t>
  </si>
  <si>
    <t>Fresno</t>
  </si>
  <si>
    <t>California State University, Fullerton</t>
  </si>
  <si>
    <t>@csuf</t>
  </si>
  <si>
    <t>https://www.facebook.com/CSUFofficial</t>
  </si>
  <si>
    <t>http://www.fullerton.edu/</t>
  </si>
  <si>
    <t>Fullerton</t>
  </si>
  <si>
    <t>California State University, Long Beach</t>
  </si>
  <si>
    <t>@csulb</t>
  </si>
  <si>
    <t>https://www.facebook.com/csulb</t>
  </si>
  <si>
    <t>http://www.csulb.edu/</t>
  </si>
  <si>
    <t>Long Beach</t>
  </si>
  <si>
    <t>California State University, Los Angeles</t>
  </si>
  <si>
    <t>@CalStateLA</t>
  </si>
  <si>
    <t>https://www.facebook.com/CSULAnews</t>
  </si>
  <si>
    <t>http://www.calstatela.edu/</t>
  </si>
  <si>
    <t>Los Angeles</t>
  </si>
  <si>
    <t>California State University, Monterey Bay</t>
  </si>
  <si>
    <t>@CSUMB</t>
  </si>
  <si>
    <t>https://www.facebook.com/CSUMB</t>
  </si>
  <si>
    <t>http://csumb.edu/</t>
  </si>
  <si>
    <t>Seaside</t>
  </si>
  <si>
    <t>California State University, Northridge</t>
  </si>
  <si>
    <t>@csunorthridge</t>
  </si>
  <si>
    <t>https://www.facebook.com/calstatenorthridge</t>
  </si>
  <si>
    <t>http://www.csun.edu/</t>
  </si>
  <si>
    <t>Northridge</t>
  </si>
  <si>
    <t>California State University, Sacramento</t>
  </si>
  <si>
    <t>@sacstate</t>
  </si>
  <si>
    <t>https://www.facebook.com/sacstate</t>
  </si>
  <si>
    <t>http://www.csus.edu/</t>
  </si>
  <si>
    <t>Sacramento</t>
  </si>
  <si>
    <t>California State University, San Bernardino</t>
  </si>
  <si>
    <t>@CSUSBNews</t>
  </si>
  <si>
    <t>https://www.facebook.com/CSUSB</t>
  </si>
  <si>
    <t>http://www.csusb.edu/</t>
  </si>
  <si>
    <t>San Bernardino</t>
  </si>
  <si>
    <t>California State University, San Marcos</t>
  </si>
  <si>
    <t>@csusmnews</t>
  </si>
  <si>
    <t>https://www.facebook.com/csusm</t>
  </si>
  <si>
    <t>http://www.csusm.edu/</t>
  </si>
  <si>
    <t>San Marcos</t>
  </si>
  <si>
    <t>California State University, Stanislaus</t>
  </si>
  <si>
    <t>@CSUStan</t>
  </si>
  <si>
    <t>https://www.facebook.com/stanstate</t>
  </si>
  <si>
    <t>http://www.csustan.edu/</t>
  </si>
  <si>
    <t>Turlock</t>
  </si>
  <si>
    <t>Humboldt State University</t>
  </si>
  <si>
    <t>@humboldtstate</t>
  </si>
  <si>
    <t>https://www.facebook.com/HumboldtState</t>
  </si>
  <si>
    <t>http://www.humboldt.edu/</t>
  </si>
  <si>
    <t>Arcata</t>
  </si>
  <si>
    <t>San Diego State University</t>
  </si>
  <si>
    <t>@SDSU_NewsTeam</t>
  </si>
  <si>
    <t>https://www.facebook.com/SanDiegoState</t>
  </si>
  <si>
    <t>http://www.sdsu.edu/</t>
  </si>
  <si>
    <t>San Diego</t>
  </si>
  <si>
    <t>San Francisco State University</t>
  </si>
  <si>
    <t>@SFSU</t>
  </si>
  <si>
    <t>https://www.facebook.com/sanfranciscostate</t>
  </si>
  <si>
    <t>http://www.sfsu.edu/</t>
  </si>
  <si>
    <t>San Francisco</t>
  </si>
  <si>
    <t>San Jose State University</t>
  </si>
  <si>
    <t>@SJSU</t>
  </si>
  <si>
    <t>https://www.facebook.com/sanjosestate</t>
  </si>
  <si>
    <t>http://www.sjsu.edu/</t>
  </si>
  <si>
    <t>San Jose</t>
  </si>
  <si>
    <t>Sonoma State University</t>
  </si>
  <si>
    <t>@SSU_1961</t>
  </si>
  <si>
    <t>https://www.facebook.com/sonomastateuniversity</t>
  </si>
  <si>
    <t>http://www.sonoma.edu/</t>
  </si>
  <si>
    <t>Rohnert Park</t>
  </si>
  <si>
    <t>University of California, Berkeley</t>
  </si>
  <si>
    <t>@UCBerkeley</t>
  </si>
  <si>
    <t>https://www.facebook.com/UCBerkeley</t>
  </si>
  <si>
    <t>http://www.berkeley.edu/index.html</t>
  </si>
  <si>
    <t>Berkeley</t>
  </si>
  <si>
    <t>University of California, Davis</t>
  </si>
  <si>
    <t>@ucdavis</t>
  </si>
  <si>
    <t>https://www.facebook.com/UCDavis</t>
  </si>
  <si>
    <t>http://www.ucdavis.edu/</t>
  </si>
  <si>
    <t>Davis</t>
  </si>
  <si>
    <t>University of California, Irvine</t>
  </si>
  <si>
    <t>@UCIrvine</t>
  </si>
  <si>
    <t>https://www.facebook.com/UCIrvine</t>
  </si>
  <si>
    <t>http://www.uci.edu/</t>
  </si>
  <si>
    <t>Irvine</t>
  </si>
  <si>
    <t>University of California, Los Angeles</t>
  </si>
  <si>
    <t>@UCLA</t>
  </si>
  <si>
    <t>https://www.facebook.com/uclabruins</t>
  </si>
  <si>
    <t>http://www.ucla.edu/</t>
  </si>
  <si>
    <t>University of California, Merced</t>
  </si>
  <si>
    <t>@ucmerced</t>
  </si>
  <si>
    <t>https://www.facebook.com/ucmerced</t>
  </si>
  <si>
    <t>http://www.ucmerced.edu/</t>
  </si>
  <si>
    <t>Merced</t>
  </si>
  <si>
    <t>University of California, Riverside</t>
  </si>
  <si>
    <t>@UCRiverside</t>
  </si>
  <si>
    <t>https://www.facebook.com/UCRiverside</t>
  </si>
  <si>
    <t>http://www.ucr.edu/</t>
  </si>
  <si>
    <t>Riverside</t>
  </si>
  <si>
    <t>University of California, San Diego</t>
  </si>
  <si>
    <t>@UCSanDiego</t>
  </si>
  <si>
    <t>https://www.facebook.com/UCSanDiegoLife</t>
  </si>
  <si>
    <t>http://www.ucsd.edu/</t>
  </si>
  <si>
    <t>La Jolla, San Diego</t>
  </si>
  <si>
    <t>University of California, Santa Barbara</t>
  </si>
  <si>
    <t>@UCSBNews</t>
  </si>
  <si>
    <t>https://www.facebook.com/UCSBNews?v=wall</t>
  </si>
  <si>
    <t>http://www.ucsb.edu/</t>
  </si>
  <si>
    <t>Santa Barbara-Goleta</t>
  </si>
  <si>
    <t>University of California, Santa Cruz</t>
  </si>
  <si>
    <t>@ucsc</t>
  </si>
  <si>
    <t>https://www.facebook.com/ucsantacruz</t>
  </si>
  <si>
    <t>http://www.ucsc.edu/</t>
  </si>
  <si>
    <t>Santa Cruz</t>
  </si>
  <si>
    <t>Academy of Art University</t>
  </si>
  <si>
    <t>@academy_of_art</t>
  </si>
  <si>
    <t>https://www.facebook.com/AcademyofArtUniversity</t>
  </si>
  <si>
    <t>http://www.academyart.edu/</t>
  </si>
  <si>
    <t>Alliant International University</t>
  </si>
  <si>
    <t>@AlliantU</t>
  </si>
  <si>
    <t>https://www.facebook.com/AlliantInternationalUniversity</t>
  </si>
  <si>
    <t>http://www.alliant.edu/</t>
  </si>
  <si>
    <t>Allied American University</t>
  </si>
  <si>
    <t>@AAUniversity</t>
  </si>
  <si>
    <t>https://www.facebook.com/AlliedAmericanUniversity</t>
  </si>
  <si>
    <t>http://www.allied.edu/</t>
  </si>
  <si>
    <t>Laguna Hills</t>
  </si>
  <si>
    <t>American Heritage University of Southern California</t>
  </si>
  <si>
    <t>http://www.amheritageuniv.net/</t>
  </si>
  <si>
    <t>American Jewish University</t>
  </si>
  <si>
    <t>http://www.aju.edu/</t>
  </si>
  <si>
    <t>American Sports University</t>
  </si>
  <si>
    <t>https://www.facebook.com/AmericanSportsUniversity</t>
  </si>
  <si>
    <t>http://www.americansportsuniversity.com/</t>
  </si>
  <si>
    <t>Anaheim University</t>
  </si>
  <si>
    <t>@AnaheimU</t>
  </si>
  <si>
    <t>https://www.facebook.com/AnaheimUniversity</t>
  </si>
  <si>
    <t>http://www.anaheim.edu/</t>
  </si>
  <si>
    <t>Anaheim</t>
  </si>
  <si>
    <t>Antioch University</t>
  </si>
  <si>
    <t>https://www.facebook.com/AntiochUniversityLA</t>
  </si>
  <si>
    <t>http://www.antioch.edu/</t>
  </si>
  <si>
    <t>Culver City</t>
  </si>
  <si>
    <t>Apollos University</t>
  </si>
  <si>
    <t>@Apollos_U</t>
  </si>
  <si>
    <t>https://www.facebook.com/ApollosUniversity</t>
  </si>
  <si>
    <t>http://www.apollosuniversity.edu/Default.aspx</t>
  </si>
  <si>
    <t>Huntington Beach</t>
  </si>
  <si>
    <t>Alameda</t>
  </si>
  <si>
    <t>Art Center College of Design</t>
  </si>
  <si>
    <t>@art_center</t>
  </si>
  <si>
    <t>https://www.facebook.com/artcenter.edu?sk=wall</t>
  </si>
  <si>
    <t>http://www.artcenter.edu/accd/index.jsp</t>
  </si>
  <si>
    <t>Pasadena</t>
  </si>
  <si>
    <t>The Art Institute of California</t>
  </si>
  <si>
    <t>http://www.artinstitutes.edu/los-angeles/</t>
  </si>
  <si>
    <t>Azusa Pacific University</t>
  </si>
  <si>
    <t>@azusapacifi</t>
  </si>
  <si>
    <t>https://www.facebook.com/azusapacific</t>
  </si>
  <si>
    <t>http://www.apu.edu/</t>
  </si>
  <si>
    <t>Azusa</t>
  </si>
  <si>
    <t>Berean Bible College</t>
  </si>
  <si>
    <t>http://www.bereanbiblecollege.net/Berean_Bible_College/Home.html</t>
  </si>
  <si>
    <t>Poway</t>
  </si>
  <si>
    <t>Biola University</t>
  </si>
  <si>
    <t>@biolau</t>
  </si>
  <si>
    <t>https://www.facebook.com/Biola</t>
  </si>
  <si>
    <t>http://www.biola.edu/</t>
  </si>
  <si>
    <t>La Mirada</t>
  </si>
  <si>
    <t>Brandman University</t>
  </si>
  <si>
    <t>@BrandmanU</t>
  </si>
  <si>
    <t>https://www.facebook.com/BrandmanUniversity</t>
  </si>
  <si>
    <t>http://www.brandman.edu/</t>
  </si>
  <si>
    <t>Brooks Institute</t>
  </si>
  <si>
    <t>@BrooksInstitute</t>
  </si>
  <si>
    <t>https://www.facebook.com/BrooksInstitute</t>
  </si>
  <si>
    <t>http://www.brooks.edu/</t>
  </si>
  <si>
    <t>Santa Barbara</t>
  </si>
  <si>
    <t>California Baptist University</t>
  </si>
  <si>
    <t>@calbaptist</t>
  </si>
  <si>
    <t>https://www.facebook.com/CalBaptist</t>
  </si>
  <si>
    <t>http://www.calbaptist.edu/</t>
  </si>
  <si>
    <t>California Coast University</t>
  </si>
  <si>
    <t>@calcoastu</t>
  </si>
  <si>
    <t>https://www.facebook.com/californiacoastuniversity</t>
  </si>
  <si>
    <t>http://www.calcoast.edu/</t>
  </si>
  <si>
    <t>Santa Ana</t>
  </si>
  <si>
    <t>California College of the Arts</t>
  </si>
  <si>
    <t>@CACollegeofArts</t>
  </si>
  <si>
    <t>https://www.facebook.com/CaliforniaCollegeoftheArts</t>
  </si>
  <si>
    <t>http://www.cca.edu/</t>
  </si>
  <si>
    <t>California College San Diego (CCSD)</t>
  </si>
  <si>
    <t>@calicollegesd</t>
  </si>
  <si>
    <t>https://www.facebook.com/californiacollegeSD</t>
  </si>
  <si>
    <t>http://www.cc-sd.edu/</t>
  </si>
  <si>
    <t>California Desert Trial Academy College of Law</t>
  </si>
  <si>
    <t>@CDTALaw</t>
  </si>
  <si>
    <t>https://www.facebook.com/pages/California-Desert-Trial-Academy-CDTA/202977449727905</t>
  </si>
  <si>
    <t>http://www.cdtalaw.com/index.php</t>
  </si>
  <si>
    <t>Indio</t>
  </si>
  <si>
    <t>California Institute of the Arts</t>
  </si>
  <si>
    <t>@CalArts</t>
  </si>
  <si>
    <t>https://www.facebook.com/calarts</t>
  </si>
  <si>
    <t>http://calarts.edu/</t>
  </si>
  <si>
    <t>Valencia</t>
  </si>
  <si>
    <t>California Institute of Integral Studies</t>
  </si>
  <si>
    <t>@IntegralEd</t>
  </si>
  <si>
    <t>https://www.facebook.com/ciissf</t>
  </si>
  <si>
    <t>http://www.ciis.edu/</t>
  </si>
  <si>
    <t>California Institute of Technology</t>
  </si>
  <si>
    <t>@Caltech</t>
  </si>
  <si>
    <t>https://www.facebook.com/californiainstituteoftechnology</t>
  </si>
  <si>
    <t>http://www.caltech.edu/</t>
  </si>
  <si>
    <t>California InterContinental University</t>
  </si>
  <si>
    <t>@CalUniversity</t>
  </si>
  <si>
    <t>https://www.facebook.com/CalUniversity</t>
  </si>
  <si>
    <t>http://www.caluniversity.edu/</t>
  </si>
  <si>
    <t>Diamond Bar</t>
  </si>
  <si>
    <t>International Technological University</t>
  </si>
  <si>
    <t>@ITU_Tweets</t>
  </si>
  <si>
    <t>https://www.facebook.com/ITUSJ</t>
  </si>
  <si>
    <t>http://itu.edu/</t>
  </si>
  <si>
    <t>California Lutheran University</t>
  </si>
  <si>
    <t>@CalLutheran</t>
  </si>
  <si>
    <t>https://www.facebook.com/callutheran</t>
  </si>
  <si>
    <t>http://www.callutheran.edu/</t>
  </si>
  <si>
    <t>Thousand Oaks</t>
  </si>
  <si>
    <t>California Miramar University (formerly Pacific Western University)</t>
  </si>
  <si>
    <t>https://www.facebook.com/CaliforniaMiramarUniversity</t>
  </si>
  <si>
    <t>http://www.calmu.edu/</t>
  </si>
  <si>
    <t>California Pacific University</t>
  </si>
  <si>
    <t>http://www.cpu.edu/</t>
  </si>
  <si>
    <t>Escondido</t>
  </si>
  <si>
    <t>California South Bay University</t>
  </si>
  <si>
    <t>http://www.csbu.us/new/</t>
  </si>
  <si>
    <t>Sunnyvale</t>
  </si>
  <si>
    <t>California Southern Law School</t>
  </si>
  <si>
    <t>https://www.facebook.com/CSLawSchool</t>
  </si>
  <si>
    <t>http://www.cslawschool.com/</t>
  </si>
  <si>
    <t>California Southern University</t>
  </si>
  <si>
    <t>@CalSouthern</t>
  </si>
  <si>
    <t>https://www.facebook.com/calsouthern</t>
  </si>
  <si>
    <t>http://www.calsouthern.edu/</t>
  </si>
  <si>
    <t>California University of Management and Technology</t>
  </si>
  <si>
    <t>https://www.facebook.com/pages/California-University-of-Management-and-Technology/73260007278</t>
  </si>
  <si>
    <t>http://calmat.us/</t>
  </si>
  <si>
    <t>California University of Management and Sciences</t>
  </si>
  <si>
    <t>http://www.calums.edu/web2/an/00_home.htm</t>
  </si>
  <si>
    <t>Chapman University</t>
  </si>
  <si>
    <t>@ChapmanU</t>
  </si>
  <si>
    <t>https://www.facebook.com/ChapmanUniversity</t>
  </si>
  <si>
    <t>http://www.chapman.edu/</t>
  </si>
  <si>
    <t>Orange</t>
  </si>
  <si>
    <t>Charles R. Drew University of Medicine and Science</t>
  </si>
  <si>
    <t>http://www.cdrewu.edu/</t>
  </si>
  <si>
    <t>Claremont Colleges</t>
  </si>
  <si>
    <t>http://www.claremont.edu/</t>
  </si>
  <si>
    <t>Claremont</t>
  </si>
  <si>
    <t>Claremont McKenna College</t>
  </si>
  <si>
    <t>@CMCnews</t>
  </si>
  <si>
    <t>https://www.facebook.com/ClaremontMcKennaCollege</t>
  </si>
  <si>
    <t>http://www.claremontmckenna.edu/discovercmc/index.php</t>
  </si>
  <si>
    <t>Harvey Mudd College</t>
  </si>
  <si>
    <t>@harveymudd</t>
  </si>
  <si>
    <t>https://www.facebook.com/harveymuddcollege</t>
  </si>
  <si>
    <t>http://www.hmc.edu/</t>
  </si>
  <si>
    <t>Pitzer College</t>
  </si>
  <si>
    <t>@pitzercollege</t>
  </si>
  <si>
    <t>https://www.facebook.com/PitzerCollege</t>
  </si>
  <si>
    <t>http://www.pitzer.edu/</t>
  </si>
  <si>
    <t>Pomona College</t>
  </si>
  <si>
    <t>@pomonacollege</t>
  </si>
  <si>
    <t>https://www.facebook.com/pomonacollege</t>
  </si>
  <si>
    <t>http://www.pomona.edu/</t>
  </si>
  <si>
    <t>Scripps College</t>
  </si>
  <si>
    <t>@scrippscollege</t>
  </si>
  <si>
    <t>https://www.facebook.com/scrippscollege</t>
  </si>
  <si>
    <t>http://www.scrippscollege.edu/</t>
  </si>
  <si>
    <t>Claremont Graduate University</t>
  </si>
  <si>
    <t>@CGUnews</t>
  </si>
  <si>
    <t>https://www.facebook.com/claremontgraduateuniversity</t>
  </si>
  <si>
    <t>http://www.cgu.edu/pages/1.asp</t>
  </si>
  <si>
    <t>Keck Graduate Institute of Applied Life Sciences</t>
  </si>
  <si>
    <t>@KeckGrad</t>
  </si>
  <si>
    <t>https://www.facebook.com/KeckGraduateInstitute</t>
  </si>
  <si>
    <t>http://www.kgi.edu/</t>
  </si>
  <si>
    <t>Cogswell College</t>
  </si>
  <si>
    <t>@CogswellCollege</t>
  </si>
  <si>
    <t>https://www.facebook.com/cogswellcollege</t>
  </si>
  <si>
    <t>http://www.cogswell.edu/</t>
  </si>
  <si>
    <t>Concordia University Irvine</t>
  </si>
  <si>
    <t>@ConcordiaIrvine</t>
  </si>
  <si>
    <t>https://www.facebook.com/concordiairvine</t>
  </si>
  <si>
    <t>http://www.cui.edu/</t>
  </si>
  <si>
    <t>Culinary Institute of America at Greystone</t>
  </si>
  <si>
    <t>@CIACulinary</t>
  </si>
  <si>
    <t>https://www.facebook.com/CIAchef</t>
  </si>
  <si>
    <t>http://www.ciachef.edu/california/</t>
  </si>
  <si>
    <t>St. Helena</t>
  </si>
  <si>
    <t>Deep Springs College</t>
  </si>
  <si>
    <t>http://www.deepsprings.edu/home</t>
  </si>
  <si>
    <t>Deep Springs</t>
  </si>
  <si>
    <t>Dominican University of California</t>
  </si>
  <si>
    <t>@DominicanCANews</t>
  </si>
  <si>
    <t>https://www.facebook.com/DominicanUniversityofCalifornia</t>
  </si>
  <si>
    <t>http://www.dominican.edu/</t>
  </si>
  <si>
    <t>San Rafael</t>
  </si>
  <si>
    <t>Drexel University</t>
  </si>
  <si>
    <t>@DrexelSac</t>
  </si>
  <si>
    <t>https://www.facebook.com/DrexelSac</t>
  </si>
  <si>
    <t>http://sacramento.drexel.edu/</t>
  </si>
  <si>
    <t>Design Institute of San Diego</t>
  </si>
  <si>
    <t>@DISanDiego</t>
  </si>
  <si>
    <t>https://www.facebook.com/DesignInstituteofSD</t>
  </si>
  <si>
    <t>http://www.disd.edu/index.php</t>
  </si>
  <si>
    <t>Epic Bible College (formerly Trinity Life Bible College)</t>
  </si>
  <si>
    <t>@EpicBible</t>
  </si>
  <si>
    <t>https://www.facebook.com/EpicBibleCollege</t>
  </si>
  <si>
    <t>https://www.epic.edu/</t>
  </si>
  <si>
    <t>Fresno Pacific University</t>
  </si>
  <si>
    <t>@fpu</t>
  </si>
  <si>
    <t>https://www.facebook.com/fresnopacific</t>
  </si>
  <si>
    <t>http://www.fresno.edu/</t>
  </si>
  <si>
    <t>Golden Gate University</t>
  </si>
  <si>
    <t>@GGU</t>
  </si>
  <si>
    <t>https://www.facebook.com/goldengateuniversity</t>
  </si>
  <si>
    <t>http://www.ggu.edu/</t>
  </si>
  <si>
    <t>Herguan University</t>
  </si>
  <si>
    <t>https://www.facebook.com/HerguanUniversitySunnyvale</t>
  </si>
  <si>
    <t>http://www.herguanuniversity.org/</t>
  </si>
  <si>
    <t>Holy Names University</t>
  </si>
  <si>
    <t>@HolyNamesUniv</t>
  </si>
  <si>
    <t>https://www.facebook.com/HolyNamesUniv</t>
  </si>
  <si>
    <t>http://www.hnu.edu/</t>
  </si>
  <si>
    <t>Oakland</t>
  </si>
  <si>
    <t>Hope International University</t>
  </si>
  <si>
    <t>@HIUnow</t>
  </si>
  <si>
    <t>https://www.facebook.com/HiuStudentAffairs</t>
  </si>
  <si>
    <t>http://www.hiu.edu/</t>
  </si>
  <si>
    <t>Hult International Business School</t>
  </si>
  <si>
    <t>@Hult_Biz</t>
  </si>
  <si>
    <t>https://www.facebook.com/HultIBS</t>
  </si>
  <si>
    <t>http://www.hult.edu/</t>
  </si>
  <si>
    <t>Humphreys College</t>
  </si>
  <si>
    <t>https://www.facebook.com/HumphreysCollege</t>
  </si>
  <si>
    <t>http://www.humphreys.edu/</t>
  </si>
  <si>
    <t>Stockton</t>
  </si>
  <si>
    <t>ICDC College</t>
  </si>
  <si>
    <t>@ICDCCOLLEGE</t>
  </si>
  <si>
    <t>https://www.facebook.com/ICDCCollege</t>
  </si>
  <si>
    <t>http://ww2.icdccollege.edu/</t>
  </si>
  <si>
    <t>Imago Dei College</t>
  </si>
  <si>
    <t>http://www.imagodeicollege.net/</t>
  </si>
  <si>
    <t>Oak Glen</t>
  </si>
  <si>
    <t>John F. Kennedy University</t>
  </si>
  <si>
    <t>https://www.facebook.com/JFKUniv</t>
  </si>
  <si>
    <t>http://www.jfku.edu/</t>
  </si>
  <si>
    <t>Pleasant Hill</t>
  </si>
  <si>
    <t>John Paul the Great Catholic University</t>
  </si>
  <si>
    <t>@JPCatholic</t>
  </si>
  <si>
    <t>https://www.facebook.com/JPCatholic</t>
  </si>
  <si>
    <t>http://www.jpcatholic.com/</t>
  </si>
  <si>
    <t>Laguna College of Art and Design</t>
  </si>
  <si>
    <t>@lcad</t>
  </si>
  <si>
    <t>https://www.facebook.com/LCADBFA</t>
  </si>
  <si>
    <t>http://www.lcad.edu/</t>
  </si>
  <si>
    <t>Laguna Beach</t>
  </si>
  <si>
    <t>La Sierra University</t>
  </si>
  <si>
    <t>https://www.lasierra.edu/</t>
  </si>
  <si>
    <t>Life Pacific College</t>
  </si>
  <si>
    <t>@LPCReps</t>
  </si>
  <si>
    <t>https://www.facebook.com/LifePacificCollege</t>
  </si>
  <si>
    <t>http://lifepacific.edu/</t>
  </si>
  <si>
    <t>San Dimas</t>
  </si>
  <si>
    <t>Lincoln University</t>
  </si>
  <si>
    <t>http://homepage.lincoln.edu/lincolnhomepage/</t>
  </si>
  <si>
    <t>Loma Linda University</t>
  </si>
  <si>
    <t>https://www.facebook.com/lomalindauniversity</t>
  </si>
  <si>
    <t>http://www.llu.edu/</t>
  </si>
  <si>
    <t>Loma Linda</t>
  </si>
  <si>
    <t>Loyola Marymount University</t>
  </si>
  <si>
    <t>@LoyolaMarymount</t>
  </si>
  <si>
    <t>https://www.facebook.com/lmula</t>
  </si>
  <si>
    <t>http://www.lmu.edu/</t>
  </si>
  <si>
    <t>Master's College</t>
  </si>
  <si>
    <t>@MastersCollege</t>
  </si>
  <si>
    <t>https://www.facebook.com/themasterscollege</t>
  </si>
  <si>
    <t>http://www.masters.edu/</t>
  </si>
  <si>
    <t>Newhall</t>
  </si>
  <si>
    <t>Marymount College</t>
  </si>
  <si>
    <t>http://www.marymountpv.edu/</t>
  </si>
  <si>
    <t>Palos Verdes, Rancho Palos Verdes</t>
  </si>
  <si>
    <t>Mayfield College</t>
  </si>
  <si>
    <t>http://www.mayfieldcollege.edu/</t>
  </si>
  <si>
    <t>Cathedral City</t>
  </si>
  <si>
    <t>Menlo College</t>
  </si>
  <si>
    <t>@menlocollege</t>
  </si>
  <si>
    <t>https://www.facebook.com/menlocollege</t>
  </si>
  <si>
    <t>http://www.menlo.edu/</t>
  </si>
  <si>
    <t>Atherton</t>
  </si>
  <si>
    <t>Mills College</t>
  </si>
  <si>
    <t>@MillsCollege</t>
  </si>
  <si>
    <t>https://www.facebook.com/millscollege</t>
  </si>
  <si>
    <t>http://www.mills.edu/</t>
  </si>
  <si>
    <t>Monterey Institute of International Studies</t>
  </si>
  <si>
    <t>@MIIS</t>
  </si>
  <si>
    <t>https://www.facebook.com/montereyinstitute</t>
  </si>
  <si>
    <t>http://www.miis.edu/</t>
  </si>
  <si>
    <t>Monterey</t>
  </si>
  <si>
    <t>Mount St. Mary's College</t>
  </si>
  <si>
    <t>@msmcla</t>
  </si>
  <si>
    <t>https://www.facebook.com/msmcla</t>
  </si>
  <si>
    <t>http://www.msmc.la.edu/index.asp</t>
  </si>
  <si>
    <t>National Hispanic University</t>
  </si>
  <si>
    <t>https://www.facebook.com/nhufamilia</t>
  </si>
  <si>
    <t>http://www.nhu.edu/</t>
  </si>
  <si>
    <t>National University</t>
  </si>
  <si>
    <t>@NatUniv</t>
  </si>
  <si>
    <t>https://www.facebook.com/nationaluniversity</t>
  </si>
  <si>
    <t>http://www.nu.edu/</t>
  </si>
  <si>
    <t>San Diego (La Jolla, San Diego)</t>
  </si>
  <si>
    <t>NewSchool of Architecture and Design</t>
  </si>
  <si>
    <t>@NewSchoolArch</t>
  </si>
  <si>
    <t>https://www.facebook.com/NewSchoolArch</t>
  </si>
  <si>
    <t>http://www.newschoolarch.edu/</t>
  </si>
  <si>
    <t>New York Film Academy</t>
  </si>
  <si>
    <t>@NYFA</t>
  </si>
  <si>
    <t>https://www.facebook.com/NewYorkFilmAcademySchoolofFilmandActing</t>
  </si>
  <si>
    <t>http://www.nyfa.edu/</t>
  </si>
  <si>
    <t>Universal City</t>
  </si>
  <si>
    <t>Northwestern Polytechnic University</t>
  </si>
  <si>
    <t>@NPUadmissions</t>
  </si>
  <si>
    <t>https://www.facebook.com/NPUadmissions</t>
  </si>
  <si>
    <t>http://www.npu.edu/</t>
  </si>
  <si>
    <t>Fremont</t>
  </si>
  <si>
    <t>Notre Dame de Namur University</t>
  </si>
  <si>
    <t>@NDNU</t>
  </si>
  <si>
    <t>https://www.facebook.com/NDNUBelmont</t>
  </si>
  <si>
    <t>http://www.ndnu.edu/</t>
  </si>
  <si>
    <t>Belmont</t>
  </si>
  <si>
    <t>Occidental College</t>
  </si>
  <si>
    <t>@OxyNews</t>
  </si>
  <si>
    <t>https://www.facebook.com/occidental</t>
  </si>
  <si>
    <t>http://www.oxy.edu/</t>
  </si>
  <si>
    <t>Otis College of Art and Design</t>
  </si>
  <si>
    <t>@OtisCollege</t>
  </si>
  <si>
    <t>https://www.facebook.com/Otis.College</t>
  </si>
  <si>
    <t>http://www.otis.edu/</t>
  </si>
  <si>
    <t>http://otisemergency.com/</t>
  </si>
  <si>
    <t>Pacific Oaks College</t>
  </si>
  <si>
    <t>@pacificoaks</t>
  </si>
  <si>
    <t>https://www.facebook.com/PacificOaks</t>
  </si>
  <si>
    <t>http://www.pacificoaks.edu/Home</t>
  </si>
  <si>
    <t>Pacific Union College</t>
  </si>
  <si>
    <t>@PUCNow</t>
  </si>
  <si>
    <t>https://www.facebook.com/pacificunioncollege</t>
  </si>
  <si>
    <t>http://www.puc.edu/</t>
  </si>
  <si>
    <t>Angwin</t>
  </si>
  <si>
    <t>Patten University</t>
  </si>
  <si>
    <t>@PattenU</t>
  </si>
  <si>
    <t>https://www.facebook.com/PattenU</t>
  </si>
  <si>
    <t>http://patten.edu/</t>
  </si>
  <si>
    <t>Pepperdine University</t>
  </si>
  <si>
    <t>http://www.pepperdine.edu/</t>
  </si>
  <si>
    <t>Malibu</t>
  </si>
  <si>
    <t>http://emergency.pepperdine.edu/</t>
  </si>
  <si>
    <t>Point Loma Nazarene University</t>
  </si>
  <si>
    <t>@PLNU</t>
  </si>
  <si>
    <t>https://www.facebook.com/go2PLNU</t>
  </si>
  <si>
    <t>http://www.pointloma.edu/</t>
  </si>
  <si>
    <t>http://emergency.pointloma.edu/</t>
  </si>
  <si>
    <t>San Francisco Institute of Architecture</t>
  </si>
  <si>
    <t>http://www.sfia.net/</t>
  </si>
  <si>
    <t>Saint Mary's College of California</t>
  </si>
  <si>
    <t>@stmarysca</t>
  </si>
  <si>
    <t>https://www.facebook.com/stmarysca</t>
  </si>
  <si>
    <t>http://www.stmarys-ca.edu/</t>
  </si>
  <si>
    <t>Moraga</t>
  </si>
  <si>
    <t>Samuel Merritt University</t>
  </si>
  <si>
    <t>@SamuelMerrittU</t>
  </si>
  <si>
    <t>https://www.facebook.com/SamuelMerrittUniversity</t>
  </si>
  <si>
    <t>http://www.samuelmerritt.edu/</t>
  </si>
  <si>
    <t>http://www.samuelmerritt.edu/smu_alert</t>
  </si>
  <si>
    <t>San Diego University for Integrative Studies</t>
  </si>
  <si>
    <t>@SDUISadmissions</t>
  </si>
  <si>
    <t>https://www.facebook.com/sduis.edu</t>
  </si>
  <si>
    <t>http://sduis.edu/</t>
  </si>
  <si>
    <t>San Diego Christian College</t>
  </si>
  <si>
    <t>@SDChristian</t>
  </si>
  <si>
    <t>https://www.facebook.com/sdcchawks</t>
  </si>
  <si>
    <t>http://www.sdcc.edu/</t>
  </si>
  <si>
    <t>El Cajon</t>
  </si>
  <si>
    <t>San Joaquin College of Law</t>
  </si>
  <si>
    <t>https://www.facebook.com/sanjoaquincollegeoflaw</t>
  </si>
  <si>
    <t>http://www.sjcl.edu/campus/</t>
  </si>
  <si>
    <t>Clovis</t>
  </si>
  <si>
    <t>Santa Clara University</t>
  </si>
  <si>
    <t>@SantaClaraUniv</t>
  </si>
  <si>
    <t>https://www.facebook.com/SantaClaraUniversity</t>
  </si>
  <si>
    <t>http://www.scu.edu/</t>
  </si>
  <si>
    <t>Santa Clara</t>
  </si>
  <si>
    <t>Saybrook University</t>
  </si>
  <si>
    <t>@SaybrookU</t>
  </si>
  <si>
    <t>https://www.facebook.com/SaybrookU</t>
  </si>
  <si>
    <t>http://www.saybrook.edu/</t>
  </si>
  <si>
    <t>Silicon Valley University</t>
  </si>
  <si>
    <t>@SVUCA</t>
  </si>
  <si>
    <t>https://www.facebook.com/SiliconValleyUniversity</t>
  </si>
  <si>
    <t>http://www.svuca.edu/home/</t>
  </si>
  <si>
    <t>Simpson University</t>
  </si>
  <si>
    <t>http://simpsonu.edu/</t>
  </si>
  <si>
    <t>Redding</t>
  </si>
  <si>
    <t>Soka University of America</t>
  </si>
  <si>
    <t>@SokaUniv</t>
  </si>
  <si>
    <t>https://www.facebook.com/Soka.University.of.America#SUA Facebook</t>
  </si>
  <si>
    <t>http://www.soka.edu/</t>
  </si>
  <si>
    <t>Aliso Viejo</t>
  </si>
  <si>
    <t>Southern California Institute of Architecture</t>
  </si>
  <si>
    <t>@sciarcnews</t>
  </si>
  <si>
    <t>https://www.facebook.com/sciarc</t>
  </si>
  <si>
    <t>http://www.sciarc.edu/</t>
  </si>
  <si>
    <t>St. Mary's College of California</t>
  </si>
  <si>
    <t>Stanford University</t>
  </si>
  <si>
    <t>@Stanford</t>
  </si>
  <si>
    <t>https://www.facebook.com/stanford</t>
  </si>
  <si>
    <t>http://www.stanford.edu/</t>
  </si>
  <si>
    <t>Stanford</t>
  </si>
  <si>
    <t>http://emergency.stanford.edu/</t>
  </si>
  <si>
    <t>Starr King School for the Ministry</t>
  </si>
  <si>
    <t>https://www.facebook.com/pages/Starr-King-School-for-the-Ministry/108552131897</t>
  </si>
  <si>
    <t>http://www.sksm.edu/</t>
  </si>
  <si>
    <t>Thomas Aquinas College</t>
  </si>
  <si>
    <t>@TACollege</t>
  </si>
  <si>
    <t>https://www.facebook.com/ThomasAquinasCollege</t>
  </si>
  <si>
    <t>http://www.thomasaquinas.edu/</t>
  </si>
  <si>
    <t>Santa Paula</t>
  </si>
  <si>
    <t>Trinity International University</t>
  </si>
  <si>
    <t>@TrinityLawCA</t>
  </si>
  <si>
    <t>https://www.facebook.com/trinitylawschool</t>
  </si>
  <si>
    <t>http://lawschool.tiu.edu/</t>
  </si>
  <si>
    <t>Touro University California</t>
  </si>
  <si>
    <t>http://www.tu.edu/</t>
  </si>
  <si>
    <t>Trident University International (TUI)</t>
  </si>
  <si>
    <t>@TridentUniv</t>
  </si>
  <si>
    <t>https://www.facebook.com/tridentuniv?sk=app_190322544333196</t>
  </si>
  <si>
    <t>http://www.trident.edu/</t>
  </si>
  <si>
    <t>Cypress</t>
  </si>
  <si>
    <t>University of La Verne</t>
  </si>
  <si>
    <t>@ULaVerne</t>
  </si>
  <si>
    <t>https://www.facebook.com/theuniversityoflaverne</t>
  </si>
  <si>
    <t>http://laverne.edu/</t>
  </si>
  <si>
    <t>La Verne</t>
  </si>
  <si>
    <t>University of Northern California</t>
  </si>
  <si>
    <t>https://www.facebook.com/pages/University-of-Northern-California-Community-Clinic/370170043022957</t>
  </si>
  <si>
    <t>http://www.uncm.edu/</t>
  </si>
  <si>
    <t>Santa Rosa</t>
  </si>
  <si>
    <t>University of Northern California, Lorenzo Patiño School of Law</t>
  </si>
  <si>
    <t>University of Redlands</t>
  </si>
  <si>
    <t>http://www.redlands.edu/</t>
  </si>
  <si>
    <t>Redlands</t>
  </si>
  <si>
    <t>University of the Pacific</t>
  </si>
  <si>
    <t>@UOPacific</t>
  </si>
  <si>
    <t>https://www.facebook.com/universityofthepacific</t>
  </si>
  <si>
    <t>http://www.pacific.edu/</t>
  </si>
  <si>
    <t>http://www.pacific.edu/Campus-Life/Safety-and-Conduct/Emergency-Preparedness.html</t>
  </si>
  <si>
    <t>University of San Diego</t>
  </si>
  <si>
    <t>@uofsandiego</t>
  </si>
  <si>
    <t>https://www.facebook.com/usandiego</t>
  </si>
  <si>
    <t>http://www.sandiego.edu/</t>
  </si>
  <si>
    <t>http://www.sandiego.edu/emergency/</t>
  </si>
  <si>
    <t>University of San Francisco</t>
  </si>
  <si>
    <t>@usfca</t>
  </si>
  <si>
    <t>https://www.facebook.com/University.of.San.Francisco</t>
  </si>
  <si>
    <t>http://www.usfca.edu/</t>
  </si>
  <si>
    <t>University of Southern California</t>
  </si>
  <si>
    <t>@USC</t>
  </si>
  <si>
    <t>https://www.facebook.com/usc</t>
  </si>
  <si>
    <t>http://www.usc.edu/</t>
  </si>
  <si>
    <t>University of West Los Angeles</t>
  </si>
  <si>
    <t>@UWLA</t>
  </si>
  <si>
    <t>https://www.facebook.com/universityofwestlosangeles</t>
  </si>
  <si>
    <t>http://www.uwla.edu/</t>
  </si>
  <si>
    <t>Inglewood; Woodland Hills</t>
  </si>
  <si>
    <t>University of the West</t>
  </si>
  <si>
    <t>@u_west</t>
  </si>
  <si>
    <t>https://www.facebook.com/universityofthewest</t>
  </si>
  <si>
    <t>http://www.uwest.edu/site/</t>
  </si>
  <si>
    <t>Rosemead</t>
  </si>
  <si>
    <t>Vanguard University of Southern California</t>
  </si>
  <si>
    <t>@VanguardU</t>
  </si>
  <si>
    <t>https://www.facebook.com/vanguarduniversity</t>
  </si>
  <si>
    <t>http://www.vanguard.edu/</t>
  </si>
  <si>
    <t>Costa Mesa</t>
  </si>
  <si>
    <t>Western University of Health Sciences</t>
  </si>
  <si>
    <t>@WesternUNews</t>
  </si>
  <si>
    <t>https://www.facebook.com/WesternUniversityofHealthSciences</t>
  </si>
  <si>
    <t>http://www.westernu.edu/</t>
  </si>
  <si>
    <t>Westmont College</t>
  </si>
  <si>
    <t>@WestmontNews</t>
  </si>
  <si>
    <t>https://www.facebook.com/westmont</t>
  </si>
  <si>
    <t>http://www.westmont.edu/</t>
  </si>
  <si>
    <t>https://www.westmont.edu/emergency/</t>
  </si>
  <si>
    <t>Whittier College</t>
  </si>
  <si>
    <t>@WhittierCollege</t>
  </si>
  <si>
    <t>https://www.facebook.com/WhittierCollege</t>
  </si>
  <si>
    <t>http://www.whittier.edu/</t>
  </si>
  <si>
    <t>Whittier</t>
  </si>
  <si>
    <t>William Howard Taft University</t>
  </si>
  <si>
    <t>http://www.taft.edu/</t>
  </si>
  <si>
    <t>William Jessup University</t>
  </si>
  <si>
    <t>@williamjessup</t>
  </si>
  <si>
    <t>https://www.facebook.com/williamjessupuniversity</t>
  </si>
  <si>
    <t>http://www.jessup.edu/</t>
  </si>
  <si>
    <t>Rocklin</t>
  </si>
  <si>
    <t>Woodbury University</t>
  </si>
  <si>
    <t>@WoodburyU</t>
  </si>
  <si>
    <t>https://www.facebook.com/WoodburyU</t>
  </si>
  <si>
    <t>http://www.woodbury.edu/</t>
  </si>
  <si>
    <t>Burbank</t>
  </si>
  <si>
    <t>Zaytuna College</t>
  </si>
  <si>
    <t>http://www.zaytunacollege.org/</t>
  </si>
  <si>
    <t>Colorado State Website</t>
  </si>
  <si>
    <t>@coloradogov</t>
  </si>
  <si>
    <t>https://www.facebook.com/Colorado.gov</t>
  </si>
  <si>
    <t>http://www.colorado.gov/</t>
  </si>
  <si>
    <t>Colorado OEM</t>
  </si>
  <si>
    <t>@COEmergency</t>
  </si>
  <si>
    <t>https://www.facebook.com/COEmergency</t>
  </si>
  <si>
    <t>Colorado DHSEM</t>
  </si>
  <si>
    <t>http://www.colorado.gov/homelandsecurity</t>
  </si>
  <si>
    <t>Colordao Wildlife Rescue</t>
  </si>
  <si>
    <t>http://wildlife.rescueshelter.com/Colorado</t>
  </si>
  <si>
    <t>Colorado Ready.gov</t>
  </si>
  <si>
    <t>@READYColorado</t>
  </si>
  <si>
    <t>https://www.facebook.com/READYColorado</t>
  </si>
  <si>
    <t>http://www.readycolorado.com/</t>
  </si>
  <si>
    <t>Colorado DOT</t>
  </si>
  <si>
    <t>@ColoradoDOT</t>
  </si>
  <si>
    <t>https://www.facebook.com/coloradodot</t>
  </si>
  <si>
    <t>http://www.coloradodot.info/</t>
  </si>
  <si>
    <t>Colorado Directory of Colleges &amp; Universities</t>
  </si>
  <si>
    <t>http://highered.colorado.gov/Academics/Colleges/default.html</t>
  </si>
  <si>
    <t>Colorado Dept. of Higher Education</t>
  </si>
  <si>
    <t>http://highered.colorado.gov/dhedefault.html</t>
  </si>
  <si>
    <t>Colorado Dept. of Education</t>
  </si>
  <si>
    <t>@codepted</t>
  </si>
  <si>
    <t>https://www.facebook.com/codepted</t>
  </si>
  <si>
    <t>http://www.cde.state.co.us/index_home.htm</t>
  </si>
  <si>
    <t>@MayorHancock</t>
  </si>
  <si>
    <t>https://www.facebook.com/CityandCountyofDenver</t>
  </si>
  <si>
    <t>http://www.denvergov.org/CityGovernment/tabid/443228/Default.aspx</t>
  </si>
  <si>
    <t>City/County of Denver</t>
  </si>
  <si>
    <t>@springsgov</t>
  </si>
  <si>
    <t>https://www.facebook.com/springsgov</t>
  </si>
  <si>
    <t>http://www.springsgov.com/</t>
  </si>
  <si>
    <t>El Paso County</t>
  </si>
  <si>
    <t>@AuroraGov</t>
  </si>
  <si>
    <t>https://www.facebook.com/auroragov</t>
  </si>
  <si>
    <t>https://www.auroragov.org/</t>
  </si>
  <si>
    <t>Arapahoe, Adams, Douglas Counties</t>
  </si>
  <si>
    <t>@fortcollinsgov</t>
  </si>
  <si>
    <t>https://www.facebook.com/pages/City-of-Fort-Collins-Colorado-Government/222090906663</t>
  </si>
  <si>
    <t>http://www.fcgov.com/</t>
  </si>
  <si>
    <t>Larimer</t>
  </si>
  <si>
    <t>@LakewoodColo</t>
  </si>
  <si>
    <t>https://www.facebook.com/lakewoodgov</t>
  </si>
  <si>
    <t>http://www.lakewood.org/#feature=news</t>
  </si>
  <si>
    <t>Jefferson</t>
  </si>
  <si>
    <t>@adamscountygov</t>
  </si>
  <si>
    <t>http://www.co.adams.co.us/</t>
  </si>
  <si>
    <t>@AlamosaCountyEM</t>
  </si>
  <si>
    <t>http://www.alamosacounty.org/</t>
  </si>
  <si>
    <t>@ArapahoeCounty</t>
  </si>
  <si>
    <t>https://www.co.arapahoe.co.us/</t>
  </si>
  <si>
    <t>http://www.archuletacounty.org/</t>
  </si>
  <si>
    <t>@cityofaspen</t>
  </si>
  <si>
    <t>http://www.facebook.com/CityofAspen</t>
  </si>
  <si>
    <t>http://www.aspenpitkin.com/</t>
  </si>
  <si>
    <t>@Bacadem @Springfld_CO</t>
  </si>
  <si>
    <t>http://www.springfieldcolorado.com/bacacountygov.html</t>
  </si>
  <si>
    <t>@bouldercounty</t>
  </si>
  <si>
    <t>http://www.facebook.com/BoulderCounty</t>
  </si>
  <si>
    <t>http://www.bouldercounty.org/pages/default.aspx</t>
  </si>
  <si>
    <t>@broomfield</t>
  </si>
  <si>
    <t>http://www.facebook.com/Broomfield</t>
  </si>
  <si>
    <t>http://www.broomfield.org/</t>
  </si>
  <si>
    <t>Has emer. mgmnt. website but no info.</t>
  </si>
  <si>
    <t>http://www.chaffeecounty.org/</t>
  </si>
  <si>
    <t>http://www.co.cheyenne.co.us/</t>
  </si>
  <si>
    <t>@ClearCreekCnty</t>
  </si>
  <si>
    <t>https://www.facebook.com/pages/Clear-Creek-County-Colorado/130701711250</t>
  </si>
  <si>
    <t>http://www.co.clear-creek.co.us/</t>
  </si>
  <si>
    <t>http://www.conejoscounty.org/</t>
  </si>
  <si>
    <t>http://www.colorado.gov/cs/Satellite/CNTY-Costilla/CBON/1251592888581</t>
  </si>
  <si>
    <t>http://www.crowleycounty.net/</t>
  </si>
  <si>
    <t>http://www.custercountygov.com/</t>
  </si>
  <si>
    <t>http://www.deltacounty.com/</t>
  </si>
  <si>
    <t>http://www.denvergov.org/</t>
  </si>
  <si>
    <t>http://www.dolorescounty.org/</t>
  </si>
  <si>
    <t>@douglascountyco</t>
  </si>
  <si>
    <t>https://www.facebook.com/Douglas.co.us</t>
  </si>
  <si>
    <t>http://www.douglas.co.us/</t>
  </si>
  <si>
    <t>@EagleCount</t>
  </si>
  <si>
    <t>http://www.eaglecounty.us/</t>
  </si>
  <si>
    <t>@epcpio  @EPCSheriff  @epcsar</t>
  </si>
  <si>
    <t>https://www.facebook.com/ElPasoCountyCO</t>
  </si>
  <si>
    <t>http://www.elpasoco.com/Pages/default.aspx</t>
  </si>
  <si>
    <t>epcsar = El Paso Search &amp; Rescue</t>
  </si>
  <si>
    <t>@ElbertCountyOEM</t>
  </si>
  <si>
    <t>http://www.elbertcounty-co.gov/</t>
  </si>
  <si>
    <t>http://www.fremontco.com/</t>
  </si>
  <si>
    <t>@GarcoEmergency</t>
  </si>
  <si>
    <t>https://www.facebook.com/pages/Garfield-County-Colorado/216180468431</t>
  </si>
  <si>
    <t>http://www.garfield-county.com/</t>
  </si>
  <si>
    <t>@GilpinCounty</t>
  </si>
  <si>
    <t>https://www.facebook.com/GilpinCountyColorado</t>
  </si>
  <si>
    <t>http://www.co.gilpin.co.us/</t>
  </si>
  <si>
    <t>@GrandCountyOEM</t>
  </si>
  <si>
    <t>http://www.facebook.com/GrandCountyColorado</t>
  </si>
  <si>
    <t>http://www.co.grand.co.us/</t>
  </si>
  <si>
    <t>@Gunnison_County</t>
  </si>
  <si>
    <t>https://www.facebook.com/pages/Gunnison-County-CO-Government/280318459672</t>
  </si>
  <si>
    <t>http://www.gunnisoncounty.org/</t>
  </si>
  <si>
    <t>http://hinsdalecountycolorado.us/</t>
  </si>
  <si>
    <t>@Huerfano_911</t>
  </si>
  <si>
    <t>http://www.huerfano.us/</t>
  </si>
  <si>
    <t>Jackson County Sheriff's Office - (970) 723-4242</t>
  </si>
  <si>
    <t>@JeffcoColorado</t>
  </si>
  <si>
    <t>https://www.facebook.com/JeffcoColorado</t>
  </si>
  <si>
    <t>https://www.co.jefferson.co.us/</t>
  </si>
  <si>
    <t>@kcso  @kcdem</t>
  </si>
  <si>
    <t>Kiowa DEM  719-438-2288,  719-438-5503</t>
  </si>
  <si>
    <t>http://www.kitcarsoncounty.org/</t>
  </si>
  <si>
    <t>@LPC_OEM</t>
  </si>
  <si>
    <t>http://co.laplata.co.us/</t>
  </si>
  <si>
    <t>www.lakecountyco.com/</t>
  </si>
  <si>
    <t>@LarimerCounty  @LCSAR  @LarimerSheriff</t>
  </si>
  <si>
    <t>http://www.facebook.com/LarimerCounty</t>
  </si>
  <si>
    <t>http://www.larimer.org/</t>
  </si>
  <si>
    <t>http://www.lasanimascounty.net/</t>
  </si>
  <si>
    <t>http://www.lincolncountyco.us/</t>
  </si>
  <si>
    <t>http://www.logancountyco.gov/</t>
  </si>
  <si>
    <t>@MesaCountyNews  @SheriffMesaColo</t>
  </si>
  <si>
    <t>https://www.facebook.com/mesacounty</t>
  </si>
  <si>
    <t>http://www.mesacounty.us/</t>
  </si>
  <si>
    <t>http://www.mineralcountycolorado.com/</t>
  </si>
  <si>
    <t>http://www.colorado.gov/cs/Satellite/CNTY-Moffat/CBON/1251574649345</t>
  </si>
  <si>
    <t>http://www.co.montezuma.co.us/</t>
  </si>
  <si>
    <t>https://www.facebook.com/pages/Montrose-County/129274483774555</t>
  </si>
  <si>
    <t>http://www.co.montrose.co.us/</t>
  </si>
  <si>
    <t>http://www.co.morgan.co.us/</t>
  </si>
  <si>
    <t>@oterosheriff</t>
  </si>
  <si>
    <t>http://www.oterogov.com/</t>
  </si>
  <si>
    <t>http://ouraycountyco.gov/</t>
  </si>
  <si>
    <t>@ParkCounty</t>
  </si>
  <si>
    <t>https://www.facebook.com/pages/Park-County-Colorado/113362122028271</t>
  </si>
  <si>
    <t>http://www.parkco.us/</t>
  </si>
  <si>
    <t>http://www.colorado.gov/cs/Satellite/CNTY-Phillips/CBON/1251603341907</t>
  </si>
  <si>
    <t>@pitkincounty  @PitkinSheriff  @cityofaspen</t>
  </si>
  <si>
    <t>http://www.facebook.com/pitkincounty</t>
  </si>
  <si>
    <t>http://www.prowerscounty.net/</t>
  </si>
  <si>
    <t>@PuebloCounty</t>
  </si>
  <si>
    <t>http://www.facebook.com/PuebloCounty</t>
  </si>
  <si>
    <t>http://county.pueblo.org/</t>
  </si>
  <si>
    <t>http://www.co.rio-blanco.co.us/</t>
  </si>
  <si>
    <t>http://www.riograndecounty.org/</t>
  </si>
  <si>
    <t>@RouttOEM</t>
  </si>
  <si>
    <t>http://www.facebook.com/routtcounty</t>
  </si>
  <si>
    <t>http://www.co.routt.co.us/</t>
  </si>
  <si>
    <t>http://www.saguachecounty.net/</t>
  </si>
  <si>
    <t>http://www.sanjuancountycolorado.us/</t>
  </si>
  <si>
    <t>http://www.sanmiguelcounty.org/</t>
  </si>
  <si>
    <t>http://sedgwickcountygov.net/</t>
  </si>
  <si>
    <t>@SummitCountyGov</t>
  </si>
  <si>
    <t>https://www.facebook.com/pages/Summit-County-Colorado/192261100819932</t>
  </si>
  <si>
    <t>http://www.co.summit.co.us/</t>
  </si>
  <si>
    <t>@E911PIO</t>
  </si>
  <si>
    <t>http://www.co.teller.co.us/</t>
  </si>
  <si>
    <t>http://www.co.washington.co.us/</t>
  </si>
  <si>
    <t>@CSP_Weld</t>
  </si>
  <si>
    <t>http://www.co.weld.co.us/</t>
  </si>
  <si>
    <t>http://www.yumacounty.net/</t>
  </si>
  <si>
    <t>Roger Brown, Emergency Manager, yumaoem@wycomm.org</t>
  </si>
  <si>
    <t>Colorado Public Utilities Commission</t>
  </si>
  <si>
    <t>http://www.colorado.gov/cs/Satellite/DORA-PUC/CBON/DORA/1251614750747</t>
  </si>
  <si>
    <t>Company and locality contacts in linked Excel spreadsheet &amp; PDF file</t>
  </si>
  <si>
    <t>Aurora Water</t>
  </si>
  <si>
    <t>https://www.facebook.com/AuroraWater</t>
  </si>
  <si>
    <t>https://www.auroragov.org/LivingHere/Water/index.htm</t>
  </si>
  <si>
    <t>Colorado Springs Utilities</t>
  </si>
  <si>
    <t>@CSUtilities</t>
  </si>
  <si>
    <t>https://www.facebook.com/coloradospringsutilities</t>
  </si>
  <si>
    <t>https://www.csu.org/Pages/default.aspx</t>
  </si>
  <si>
    <t>Denver Water</t>
  </si>
  <si>
    <t>@DenverWater</t>
  </si>
  <si>
    <t>http://www.denverwater.org/</t>
  </si>
  <si>
    <t>Holy Cross Energy Company</t>
  </si>
  <si>
    <t>@holycrossenergy</t>
  </si>
  <si>
    <t>https://www.facebook.com/HolyCrossEnergy</t>
  </si>
  <si>
    <t>http://www.holycross.com/</t>
  </si>
  <si>
    <t>Xcel Energy</t>
  </si>
  <si>
    <t>@XcelEnergyCO</t>
  </si>
  <si>
    <t>https://www.facebook.com/XcelEnergyCO</t>
  </si>
  <si>
    <t>http://www.xcelenergy.com/</t>
  </si>
  <si>
    <t>United Power Inc</t>
  </si>
  <si>
    <t>@unitedpowercoop</t>
  </si>
  <si>
    <t>https://www.facebook.com/UnitedPower</t>
  </si>
  <si>
    <t>http://www.unitedpower.com/home.aspx</t>
  </si>
  <si>
    <t>List of airports in Colorado (Wikipedia)</t>
  </si>
  <si>
    <t>http://en.wikipedia.org/wiki/List_of_airports_in_Colorado</t>
  </si>
  <si>
    <t>CO DOT Airport Map w/links</t>
  </si>
  <si>
    <t>http://www.coloradodot.info/programs/aeronautics/colorado-airport-system/ColoradoAirportMap</t>
  </si>
  <si>
    <t>AIR-NAV-CO</t>
  </si>
  <si>
    <t>http://airnav.com/airports/us/CO</t>
  </si>
  <si>
    <t>Aspen-Pitkin County Airport (Sardy Field)</t>
  </si>
  <si>
    <t>@FlyAspenAirport</t>
  </si>
  <si>
    <t>http://www.facebook.com/FlyAspenSnowmass</t>
  </si>
  <si>
    <t>http://www.aspenairport.com/</t>
  </si>
  <si>
    <t>City of Colorado Springs Municipal Airport</t>
  </si>
  <si>
    <t>http://www.springsgov.com/airportindex.aspx</t>
  </si>
  <si>
    <t>Denver International Airport</t>
  </si>
  <si>
    <t>@DENAirport</t>
  </si>
  <si>
    <t>http://www.facebook.com/denverinternationalairport</t>
  </si>
  <si>
    <t>http://www.flydenver.com/</t>
  </si>
  <si>
    <t>Durango-La Plata County Airport</t>
  </si>
  <si>
    <t>https://www.facebook.com/pages/Durango-La-Plata-County-Airport/150297798316415</t>
  </si>
  <si>
    <t>http://www.durangogov.org/index.aspx?nid=202</t>
  </si>
  <si>
    <t>Eagle County Regional Airport</t>
  </si>
  <si>
    <t>https://www.facebook.com/pages/Eagle-County-Regional-Airport/138860449482831</t>
  </si>
  <si>
    <t>http://www.eaglecounty.us/airport/</t>
  </si>
  <si>
    <t>Fort Collins-Loveland Municipal Airport</t>
  </si>
  <si>
    <t>@fortloveair</t>
  </si>
  <si>
    <t>https://www.facebook.com/fortloveair</t>
  </si>
  <si>
    <t>http://www.fortloveair.com/</t>
  </si>
  <si>
    <t>Grand Junction Regional Airport (Walker Field)</t>
  </si>
  <si>
    <t>@GJAirport</t>
  </si>
  <si>
    <t>https://www.facebook.com/gjairport?ref=sgm</t>
  </si>
  <si>
    <t>http://www.gjairport.com/</t>
  </si>
  <si>
    <t>Gunnison-Crested Butte Regional Airport</t>
  </si>
  <si>
    <t>@GCBTA</t>
  </si>
  <si>
    <t>http://www.facebook.com/GCBTA</t>
  </si>
  <si>
    <t>http://www.gunnisoncrestedbutte.com/area-tour/gunnison-crested-butte-regional-airport</t>
  </si>
  <si>
    <t>Yampa Valley Regional Aiprot (Routt County)</t>
  </si>
  <si>
    <t>https://www.facebook.com/routtcounty</t>
  </si>
  <si>
    <t>http://www.co.routt.co.us/index.aspx?NID=114</t>
  </si>
  <si>
    <t>Montrose Regional Airport</t>
  </si>
  <si>
    <t>http://www.montrosecounty.net/index.aspx?NID=194</t>
  </si>
  <si>
    <t>Pueblo Memorial Airport</t>
  </si>
  <si>
    <t>@flypueblo</t>
  </si>
  <si>
    <t>http://www.facebook.com/flypueblo</t>
  </si>
  <si>
    <t>http://www.flypueblo.com/</t>
  </si>
  <si>
    <t>Silverwest Airport</t>
  </si>
  <si>
    <t>http://silverwestairport.custercountygov.com/</t>
  </si>
  <si>
    <t>Granby/Grand County Airport</t>
  </si>
  <si>
    <t>http://www.granbyairport.com/</t>
  </si>
  <si>
    <t>NEWS LINK - Colorado TV stations</t>
  </si>
  <si>
    <t>http://www.newslink.org/cotele.html</t>
  </si>
  <si>
    <t>NEWS LINK - Colorado Radio stations</t>
  </si>
  <si>
    <t>http://www.newslink.org/coradi.html</t>
  </si>
  <si>
    <t>NEWS LINK - Colorado Newspapers</t>
  </si>
  <si>
    <t>http://www.newslink.org/conews.html</t>
  </si>
  <si>
    <t>Denver Post</t>
  </si>
  <si>
    <t>DenverPost</t>
  </si>
  <si>
    <t>https://www.facebook.com/denverpost</t>
  </si>
  <si>
    <t>http://www.denverpost.com/</t>
  </si>
  <si>
    <t>Colorado Springs Gazette</t>
  </si>
  <si>
    <t>@csgazette</t>
  </si>
  <si>
    <t>https://www.facebook.com/springsgazette</t>
  </si>
  <si>
    <t>http://www.gazette.com/</t>
  </si>
  <si>
    <t>Colorado Springs Independent</t>
  </si>
  <si>
    <t>@csindependent</t>
  </si>
  <si>
    <t>https://www.facebook.com/csindependent</t>
  </si>
  <si>
    <t>http://www.csindy.com/</t>
  </si>
  <si>
    <t>Aurora Sentinel</t>
  </si>
  <si>
    <t>@aurorasentinel</t>
  </si>
  <si>
    <t>https://www.facebook.com/theaurorasentinel</t>
  </si>
  <si>
    <t>http://www.aurorasentinel.com/</t>
  </si>
  <si>
    <t>Boulder Colorado Daily</t>
  </si>
  <si>
    <t>@coloradodaily</t>
  </si>
  <si>
    <t>https://www.facebook.com/coloradodaily</t>
  </si>
  <si>
    <t>http://www.coloradodaily.com/#axzz2QUCReyIx</t>
  </si>
  <si>
    <t>Colorado Springs CBS</t>
  </si>
  <si>
    <t>@kktv11news</t>
  </si>
  <si>
    <t>https://www.facebook.com/kktv11news</t>
  </si>
  <si>
    <t>http://www.kktv.com/#</t>
  </si>
  <si>
    <t>Colorado Springs Fox</t>
  </si>
  <si>
    <t>@FOX21News</t>
  </si>
  <si>
    <t>https://www.facebook.com/FOX21NewsColorado</t>
  </si>
  <si>
    <t>http://www.fox21news.com/</t>
  </si>
  <si>
    <t>Colleges and Universities</t>
  </si>
  <si>
    <t>Emergency Site</t>
  </si>
  <si>
    <t>Wikipedia list of Colorado colleges and universities</t>
  </si>
  <si>
    <t>http://en.wikipedia.org/wiki/Colorado_colleges_and_universities</t>
  </si>
  <si>
    <t>Wikipeddia - check links!</t>
  </si>
  <si>
    <t>Adams State University</t>
  </si>
  <si>
    <t>@adamsstate</t>
  </si>
  <si>
    <t>https://www.facebook.com/adamsstate</t>
  </si>
  <si>
    <t>http://www.adams.edu/</t>
  </si>
  <si>
    <t>Alamosa</t>
  </si>
  <si>
    <t>http://www.adams.edu/about/alerts.php</t>
  </si>
  <si>
    <t>Colorado Mesa University</t>
  </si>
  <si>
    <t>@ColoradoMesaU</t>
  </si>
  <si>
    <t>https://www.facebook.com/ColoradoMesaU</t>
  </si>
  <si>
    <t>http://www.coloradomesa.edu/</t>
  </si>
  <si>
    <t>Grand Junction</t>
  </si>
  <si>
    <t>http://www.coloradomesa.edu/security/emergencynotification.html</t>
  </si>
  <si>
    <t>Colorado School of Mines</t>
  </si>
  <si>
    <t>@minespr</t>
  </si>
  <si>
    <t>https://www.facebook.com/ColoradoSchoolofMines</t>
  </si>
  <si>
    <t>http://www.mines.edu/</t>
  </si>
  <si>
    <t>Golden</t>
  </si>
  <si>
    <t>Colorado State University</t>
  </si>
  <si>
    <t>@ColoradoStateU</t>
  </si>
  <si>
    <t>https://www.facebook.com/coloradostateuniversity</t>
  </si>
  <si>
    <t>http://www.colostate.edu/</t>
  </si>
  <si>
    <t>Fort Collins, Colorado</t>
  </si>
  <si>
    <t>Colorado State University-Pueblo</t>
  </si>
  <si>
    <t>@CSUPueblo</t>
  </si>
  <si>
    <t>https://www.facebook.com/ColoradoStateUniversityPueblo</t>
  </si>
  <si>
    <t>http://www.colostate-pueblo.edu/Pages/default.aspx</t>
  </si>
  <si>
    <t>Pueblo, Colorado</t>
  </si>
  <si>
    <t>Fort Lewis College</t>
  </si>
  <si>
    <t>@FLC_Durango</t>
  </si>
  <si>
    <t>https://www.facebook.com/FortLewis</t>
  </si>
  <si>
    <t>http://www.fortlewis.edu/</t>
  </si>
  <si>
    <t>Durango, Colorado</t>
  </si>
  <si>
    <t>http://www.fortlewis.edu/emergency/</t>
  </si>
  <si>
    <t>Metropolitan State University of Denver</t>
  </si>
  <si>
    <t>@msudenver</t>
  </si>
  <si>
    <t>https://www.facebook.com/msudenver</t>
  </si>
  <si>
    <t>http://www.msudenver.edu/</t>
  </si>
  <si>
    <t>Denver</t>
  </si>
  <si>
    <t>http://www.msudenver.edu/emergency/</t>
  </si>
  <si>
    <t>University of Colorado Boulder</t>
  </si>
  <si>
    <t>@CUBoulder</t>
  </si>
  <si>
    <t>https://www.facebook.com/cuboulder</t>
  </si>
  <si>
    <t>http://www.colorado.edu/</t>
  </si>
  <si>
    <t>Boulder, Colorado</t>
  </si>
  <si>
    <t>http://alerts.colorado.edu/</t>
  </si>
  <si>
    <t>University of Colorado Colorado Springs</t>
  </si>
  <si>
    <t>@UCCS</t>
  </si>
  <si>
    <t>https://www.facebook.com/pages/UCCS/243117181362</t>
  </si>
  <si>
    <t>http://www.uccs.edu/</t>
  </si>
  <si>
    <t>Colorado Springs, Colorado</t>
  </si>
  <si>
    <t>http://www.uccs.edu/~alert/</t>
  </si>
  <si>
    <t>University of Colorado Denver</t>
  </si>
  <si>
    <t>@CUDenver</t>
  </si>
  <si>
    <t>https://www.facebook.com/CUAnschutzMed</t>
  </si>
  <si>
    <t>http://www.ucdenver.edu/pages/ucdwelcomepage.aspx</t>
  </si>
  <si>
    <t>Denver and Aurora</t>
  </si>
  <si>
    <t>University of Northern Colorado</t>
  </si>
  <si>
    <t>@UNCo_edu</t>
  </si>
  <si>
    <t>https://www.facebook.com/universitynortherncolorado</t>
  </si>
  <si>
    <t>http://www.unco.edu/</t>
  </si>
  <si>
    <t>Greeley, Colorado</t>
  </si>
  <si>
    <t>http://www.unco.edu/safety/</t>
  </si>
  <si>
    <t>Western State Colorado University</t>
  </si>
  <si>
    <t>@WSCUniv</t>
  </si>
  <si>
    <t>https://www.facebook.com/WesternStateColoradoUniversity</t>
  </si>
  <si>
    <t>http://www.western.edu/</t>
  </si>
  <si>
    <t>Gunnison, Colorado</t>
  </si>
  <si>
    <t>http://www.western.edu/administration/security-services/campus-security-services.html</t>
  </si>
  <si>
    <t>Colorado Community College System</t>
  </si>
  <si>
    <t>@GoCCCS</t>
  </si>
  <si>
    <t>https://www.facebook.com/gocccs</t>
  </si>
  <si>
    <t>http://www.cccs.edu/</t>
  </si>
  <si>
    <t>Multi</t>
  </si>
  <si>
    <t>http://www.cccs.edu/Security/main.html</t>
  </si>
  <si>
    <t>Aims Community College</t>
  </si>
  <si>
    <t>https://www.facebook.com/aimsfan</t>
  </si>
  <si>
    <t>http://www.aims.edu/</t>
  </si>
  <si>
    <t>Greeley, Colorado, Loveland, Colorado, Fort Lupton, Colorado</t>
  </si>
  <si>
    <t>Colorado Mountain College</t>
  </si>
  <si>
    <t>http://www.coloradomtn.edu/</t>
  </si>
  <si>
    <t>Glenwood Springs, Colorado</t>
  </si>
  <si>
    <t>Colorado Northwestern Community College</t>
  </si>
  <si>
    <t>https://www.facebook.com/CNCC.SPARTANS</t>
  </si>
  <si>
    <t>http://www.cncc.edu/cms/</t>
  </si>
  <si>
    <t>Craig; Rangly</t>
  </si>
  <si>
    <t>Community College of Aurora</t>
  </si>
  <si>
    <t>@CCAurora</t>
  </si>
  <si>
    <t>https://www.facebook.com/ccaurora</t>
  </si>
  <si>
    <t>http://www.ccaurora.edu/</t>
  </si>
  <si>
    <t>Aurora</t>
  </si>
  <si>
    <t>Lamar Community College</t>
  </si>
  <si>
    <t>http://www.lamarcc.edu/</t>
  </si>
  <si>
    <t>http://www.lamarcc.edu/contact/contact_emergency.html</t>
  </si>
  <si>
    <t>Morgan Community College</t>
  </si>
  <si>
    <t>@MorganCC</t>
  </si>
  <si>
    <t>https://www.facebook.com/morgancommunitycollege</t>
  </si>
  <si>
    <t>http://www.morgancc.edu/</t>
  </si>
  <si>
    <t>Fort Morgan</t>
  </si>
  <si>
    <t>Northeastern Junior College</t>
  </si>
  <si>
    <t>https://www.facebook.com/northeastern.junior.college</t>
  </si>
  <si>
    <t>http://www.njc.edu/</t>
  </si>
  <si>
    <t>Sterling</t>
  </si>
  <si>
    <t>http://www.njc.edu/Technology/Emergency-Notification</t>
  </si>
  <si>
    <t>Trinidad State Junior College</t>
  </si>
  <si>
    <t>@trinidadstate</t>
  </si>
  <si>
    <t>https://www.facebook.com/pages/Trinidad-State-Junior-College/204290419427</t>
  </si>
  <si>
    <t>http://www.trinidadstate.edu/</t>
  </si>
  <si>
    <t>Trinidad</t>
  </si>
  <si>
    <t>Western Colorado Community College</t>
  </si>
  <si>
    <t>http://www.coloradomesa.edu/wccc/</t>
  </si>
  <si>
    <t>Colorado Christian University</t>
  </si>
  <si>
    <t>@ccuadmissions</t>
  </si>
  <si>
    <t>https://www.facebook.com/myCCU</t>
  </si>
  <si>
    <t>http://www.ccu.edu/</t>
  </si>
  <si>
    <t>Lakewood</t>
  </si>
  <si>
    <t>Colorado College</t>
  </si>
  <si>
    <t>http://www.coloradocollege.edu/</t>
  </si>
  <si>
    <t>Colorado Springs</t>
  </si>
  <si>
    <t>Johnson &amp; Wales University</t>
  </si>
  <si>
    <t>@JWUProvidence</t>
  </si>
  <si>
    <t>https://www.facebook.com/johnsonandwales</t>
  </si>
  <si>
    <t>http://www.jwu.edu/</t>
  </si>
  <si>
    <t>Nazarene Bible College</t>
  </si>
  <si>
    <t>@NazBibleCollege</t>
  </si>
  <si>
    <t>https://www.facebook.com/pages/Nazarene-Bible-College/116754300810</t>
  </si>
  <si>
    <t>http://www.nbc.edu/</t>
  </si>
  <si>
    <t>Colorado Springs</t>
  </si>
  <si>
    <t>Naropa University</t>
  </si>
  <si>
    <t>@NaropaU</t>
  </si>
  <si>
    <t>https://www.facebook.com/NaropaUniversity</t>
  </si>
  <si>
    <t>http://www.naropa.edu/</t>
  </si>
  <si>
    <t>Boulder</t>
  </si>
  <si>
    <t>Regis University</t>
  </si>
  <si>
    <t>@RegisUniversity</t>
  </si>
  <si>
    <t>https://www.facebook.com/regisuniversity</t>
  </si>
  <si>
    <t>http://www.regis.edu/</t>
  </si>
  <si>
    <t>University of Denver</t>
  </si>
  <si>
    <t>@uofdenver</t>
  </si>
  <si>
    <t>https://www.facebook.com/uofdenver</t>
  </si>
  <si>
    <t>http://www.du.edu/</t>
  </si>
  <si>
    <t>http://www.du.edu/emergency/index.html</t>
  </si>
  <si>
    <t>Colorado Technical University</t>
  </si>
  <si>
    <t>@ctuniversity</t>
  </si>
  <si>
    <t>https://www.facebook.com/coloradotech</t>
  </si>
  <si>
    <t>http://www.coloradotech.edu/</t>
  </si>
  <si>
    <t>Colorado Springs, Denver</t>
  </si>
  <si>
    <t>Colorado Springs, Greenwood, Westminister</t>
  </si>
  <si>
    <t>Jones International University,</t>
  </si>
  <si>
    <t>@JonesIntlUniv</t>
  </si>
  <si>
    <t>https://www.facebook.com/jonesinternationaluniversity</t>
  </si>
  <si>
    <t>http://www.jiu.edu/</t>
  </si>
  <si>
    <t>Centennial</t>
  </si>
  <si>
    <t>Rocky Mountain College of Art and Design</t>
  </si>
  <si>
    <t>@RMCAD</t>
  </si>
  <si>
    <t>https://www.facebook.com/pages/Rocky-Mountain-College-of-Art-Design-RMCAD/332804308434</t>
  </si>
  <si>
    <t>http://www.rmcad.edu/</t>
  </si>
  <si>
    <t>Connecticut State Website</t>
  </si>
  <si>
    <t>@GovMalloyOffice</t>
  </si>
  <si>
    <t>http://www.facebook.com/GovMalloyOffice</t>
  </si>
  <si>
    <t>http://www.ct.gov/</t>
  </si>
  <si>
    <t>Connecticut DOT</t>
  </si>
  <si>
    <t>http://www.ct.gov/dot/site/default.asp</t>
  </si>
  <si>
    <t>Connecticut Wildlife Rescue</t>
  </si>
  <si>
    <t>http://wildlife.rescueshelter.com/Connecticut</t>
  </si>
  <si>
    <t>CT Dept. of Education</t>
  </si>
  <si>
    <t>http://www.sde.ct.gov/sde/site/default.asp</t>
  </si>
  <si>
    <t>CT Education Directory</t>
  </si>
  <si>
    <t>http://www.csde.state.ct.us/public/csde/Connecticut%20State%20Department%20of%20Education4.htm?sdePNavCtr=|#45474</t>
  </si>
  <si>
    <t>Includes K-12, postsecondary, public and private</t>
  </si>
  <si>
    <t>Connecticut DEMHS</t>
  </si>
  <si>
    <t>@CTDEMHS</t>
  </si>
  <si>
    <t>http://www.facebook.com/CTEMHS</t>
  </si>
  <si>
    <t>http://www.ct.gov/demhs/cwp/view.asp?a=1939&amp;q=308364&amp;demhsNavPage=%7C</t>
  </si>
  <si>
    <t>Connecticut organizes emergency managment by regions not counties.The Regional Coordinators are available 24/7 and are responsible for coordinating all requests for assistance between the requesting jurisdiction and the state or the assisting jurisdiction."</t>
  </si>
  <si>
    <t>Region I - Bridgeport</t>
  </si>
  <si>
    <t>http://www.ct.gov/demhs/cwp/view.asp?a=1917&amp;q=295348</t>
  </si>
  <si>
    <t>Region 2 - Middletown</t>
  </si>
  <si>
    <t>http://www.ct.gov/demhs/cwp/view.asp?a=1918&amp;q=295352</t>
  </si>
  <si>
    <t>Region 3 - Hartford</t>
  </si>
  <si>
    <t>http://www.ct.gov/demhs/cwp/view.asp?a=1919&amp;q=295354</t>
  </si>
  <si>
    <t>Region 4 - Colchester</t>
  </si>
  <si>
    <t>http://www.ct.gov/demhs/cwp/view.asp?a=1920&amp;q=295358</t>
  </si>
  <si>
    <t>Region 5 - Waterbury</t>
  </si>
  <si>
    <t>http://www.ct.gov/demhs/cwp/view.asp?a=1921&amp;q=295362</t>
  </si>
  <si>
    <t>Towns &amp; Cities in CT</t>
  </si>
  <si>
    <t>http://www.ct.gov/ctportal/cwp/view.asp?a=843&amp;q=257266</t>
  </si>
  <si>
    <t>@CityofBptC</t>
  </si>
  <si>
    <t>https://www.facebook.com/pages/City-of-Bridgeport-CT-Government/348103748292</t>
  </si>
  <si>
    <t>http://www.bridgeportct.gov/</t>
  </si>
  <si>
    <t>@MayorDeStefano</t>
  </si>
  <si>
    <t>http://www.facebook.com/CityofNewHaven</t>
  </si>
  <si>
    <t>http://www.cityofnewhaven.com/</t>
  </si>
  <si>
    <t>@HartfordMayor</t>
  </si>
  <si>
    <t>http://www.hartford.gov/</t>
  </si>
  <si>
    <t>@CityofStamford</t>
  </si>
  <si>
    <t>http://www.stamfordct.gov/</t>
  </si>
  <si>
    <t>@MayorOLeary</t>
  </si>
  <si>
    <t>https://www.facebook.com/mayoroleary</t>
  </si>
  <si>
    <t>http://www.waterburyct.org/</t>
  </si>
  <si>
    <t>Connecticut Towns Listed by County</t>
  </si>
  <si>
    <t>http://www.ct.gov/ecd/cwp/view.asp?a=1106&amp;q=250994</t>
  </si>
  <si>
    <t>Connecticut has NO county governments</t>
  </si>
  <si>
    <t>http://www.visitfairfieldcountyct.com/</t>
  </si>
  <si>
    <t>New London</t>
  </si>
  <si>
    <t>http://tollandcountyct.org/index.htm</t>
  </si>
  <si>
    <t>CT Energy Information - Suppliers and Aggregators</t>
  </si>
  <si>
    <t>http://www.ctenergyinfo.com/all_suppliers.htm</t>
  </si>
  <si>
    <t>CT offcicial list of suppliers and aggregators with links</t>
  </si>
  <si>
    <t>North American Power</t>
  </si>
  <si>
    <t>@AmbitEnergy</t>
  </si>
  <si>
    <t>https://www.facebook.com/powerforchange</t>
  </si>
  <si>
    <t>http://www.napower.com/</t>
  </si>
  <si>
    <t>Constellation Energy</t>
  </si>
  <si>
    <t>@ConstellationEG</t>
  </si>
  <si>
    <t>https://www.facebook.com/ConstellationEnergy</t>
  </si>
  <si>
    <t>http://www.constellation.com/pages/default.aspx</t>
  </si>
  <si>
    <t>Clearview Energy</t>
  </si>
  <si>
    <t>@ClearviewEnergy</t>
  </si>
  <si>
    <t>https://www.facebook.com/ClearviewEnergy</t>
  </si>
  <si>
    <t>https://clearviewenergy.com/index.html</t>
  </si>
  <si>
    <t>Northeast Utilities (including Connecticut Light &amp; Power)</t>
  </si>
  <si>
    <t>@NEUtilities</t>
  </si>
  <si>
    <t>http://www.facebook.com/northeastutilities</t>
  </si>
  <si>
    <t>http://www.nu.com/</t>
  </si>
  <si>
    <t>Spark Energy</t>
  </si>
  <si>
    <t>@SparkEnergy</t>
  </si>
  <si>
    <t>https://www.facebook.com/SparkEnergyCT</t>
  </si>
  <si>
    <t>http://www.sparkenergy.com/</t>
  </si>
  <si>
    <t>Choice Energy</t>
  </si>
  <si>
    <t>http://www.4choiceenergy.com/</t>
  </si>
  <si>
    <t>United Illuminating Company</t>
  </si>
  <si>
    <t>@UnitedIllum</t>
  </si>
  <si>
    <t>http://www.facebook.com/uilholdings</t>
  </si>
  <si>
    <t>https://www.uinet.com/wps/portal/uinet/home/!ut/p/c5/4_SB8K8xLLM9MSSzPy8xBz9CPos3gff93X2dzTfPsEBTA8TT6NA_yBnQwMDA_1wkA5kFcFmJkAVro7mIZ5-Bu6GRhB5AxzAUDfzyM_N1W_IDs7zdFRUREAHP4guA!!/dl3/d3/L2dBISEvZFBIS9nQSEh/</t>
  </si>
  <si>
    <t>Wallingford Electric</t>
  </si>
  <si>
    <t>http://www.town.wallingford.ct.us/Content/Electric_Division.asp</t>
  </si>
  <si>
    <t>HOP Energy</t>
  </si>
  <si>
    <t>@ESGINFO</t>
  </si>
  <si>
    <t>http://www.hopenergy.com/Home.aspx</t>
  </si>
  <si>
    <t>PALMco</t>
  </si>
  <si>
    <t>http://www.palmcoenergy.com/index.cfm</t>
  </si>
  <si>
    <t>People's Power &amp; Gas</t>
  </si>
  <si>
    <t>@PeoplesPowerGas</t>
  </si>
  <si>
    <t>https://www.facebook.com/pages/Peoples-Power-Gas/137663089652854</t>
  </si>
  <si>
    <t>http://www.peoplespower.com/</t>
  </si>
  <si>
    <t>Low Cost Power (Verde Energy)</t>
  </si>
  <si>
    <t>https://www.facebook.com/pages/Low-Cost-Power/204261363572?ref=br_tf</t>
  </si>
  <si>
    <t>http://www.lowcostpower.com/about/</t>
  </si>
  <si>
    <t>Discount Power</t>
  </si>
  <si>
    <t>@DiscountPowerCt</t>
  </si>
  <si>
    <t>https://www.facebook.com/pages/Discount-Power-Inc/460056644009695</t>
  </si>
  <si>
    <t>http://www.discountpowerinc.com/newdpi/index.php</t>
  </si>
  <si>
    <t>ConEdison Solutions</t>
  </si>
  <si>
    <t>@ConEdSolutions</t>
  </si>
  <si>
    <t>https://www.facebook.com/conedsolutions</t>
  </si>
  <si>
    <t>http://www.conedsolutions.com/Residential/OurPlans/ConnecticutResidential.aspx</t>
  </si>
  <si>
    <t>Abest Power &amp; Gas</t>
  </si>
  <si>
    <t>@AbestPowerGas</t>
  </si>
  <si>
    <t>https://www.facebook.com/pages/Abest-Power-Gas/576395582390898</t>
  </si>
  <si>
    <t>http://www.abestpower.com/news.html</t>
  </si>
  <si>
    <t>Connecticut Light &amp; Power</t>
  </si>
  <si>
    <t>@CTLightandPower</t>
  </si>
  <si>
    <t>https://www.facebook.com/CTLightandPower</t>
  </si>
  <si>
    <t>http://www.cl-p.com/Home</t>
  </si>
  <si>
    <t>Levco Energy</t>
  </si>
  <si>
    <t>http://www.levcoenergy.com/</t>
  </si>
  <si>
    <t>Townsquare Energy</t>
  </si>
  <si>
    <t>@TownEnergy</t>
  </si>
  <si>
    <t>http://townsquareenergy.com/</t>
  </si>
  <si>
    <t>Gulf electricity</t>
  </si>
  <si>
    <t>@GulfOil</t>
  </si>
  <si>
    <t>https://www.facebook.com/GulfElectricity?fref=ts</t>
  </si>
  <si>
    <t>http://www.gulfelectricity.com/</t>
  </si>
  <si>
    <t>Viridian Energy</t>
  </si>
  <si>
    <t>@ViridianEnergy</t>
  </si>
  <si>
    <t>https://www.facebook.com/liveviridian</t>
  </si>
  <si>
    <t>http://www.viridian.com/</t>
  </si>
  <si>
    <t>Direct Energy</t>
  </si>
  <si>
    <t>@DirectEnergy</t>
  </si>
  <si>
    <t>https://www.facebook.com/DirectEnergy</t>
  </si>
  <si>
    <t>http://directenergy.gesc.com/Products/Signup.aspx?sc=RES&amp;state=CT&amp;promo=CTEIN</t>
  </si>
  <si>
    <t>Aequitas Energy</t>
  </si>
  <si>
    <t>http://aequitasenergy.com/</t>
  </si>
  <si>
    <t>WATER &amp; WASTE MANAGEMENT</t>
  </si>
  <si>
    <t>Ct.gov - list of water utilities</t>
  </si>
  <si>
    <t>http://www.ct.gov/pura/lib/pura/water/List_of_Water_Utilities_with_Addresses.pdf</t>
  </si>
  <si>
    <t>Regional Water Authority (New Haven)</t>
  </si>
  <si>
    <t>http://www.rwater.com/</t>
  </si>
  <si>
    <t>Metropolitan District Commission (Hartford)</t>
  </si>
  <si>
    <t>http://www.themdc.com/</t>
  </si>
  <si>
    <t>NATURAL GAS</t>
  </si>
  <si>
    <t>Yankee Gas</t>
  </si>
  <si>
    <t>@YankeeGas</t>
  </si>
  <si>
    <t>http://www.facebook.com/YankeeGas</t>
  </si>
  <si>
    <t>http://www.yankeegas.com/</t>
  </si>
  <si>
    <t>Southern Connecticut Gas Company</t>
  </si>
  <si>
    <t>@UILHoldings</t>
  </si>
  <si>
    <t>https://www.soconngas.com/wps/portal/scg/home/!ut/p/c5/4_SB8K8xLLM9MSSzPy8xBz9CPos3gff93X2dzTfHUBNjA8PVycDT3cvAzdvY_1wkA4kFYHuLq5AFd7ObpbensYmjiYQeQMcwNFA388jPzdVvyA7O83RUVERAFojmG4!/dl3/d3/L2dBISEvZFBIS9nQSEh/</t>
  </si>
  <si>
    <t>Connecticut Natural Gas</t>
  </si>
  <si>
    <t>https://www.cngcorp.com/wps/portal/cng/home/!ut/p/c5/4_SB8K8xLLM9MSSzPy8xBz9CPos3gff93X2dzTcjCzNnA_L4FBfEwM_D1MzQ_1wkA4kFY6hJsYGnh6uTgae7l7ugT6mEHkDHMDRQN_PIz83Vb8gOzvNVFREQCOxEWr/dl3/d3/L2dBISEvZFBIS9nQSEh/</t>
  </si>
  <si>
    <t>List of airports in Connecticut (Wikipedia)</t>
  </si>
  <si>
    <t>http://en.wikipedia.org/wiki/List_of_airports_in_Connecticut</t>
  </si>
  <si>
    <t>Wikipedia source - check links</t>
  </si>
  <si>
    <t>ConDOT.gov - Airports</t>
  </si>
  <si>
    <t>http://www.ct.gov/dot/cwp/view.asp?a=1390&amp;Q=292426&amp;dotPNavCtr=|40038|#40038</t>
  </si>
  <si>
    <t>Bradley International</t>
  </si>
  <si>
    <t>@Bradley_Airport</t>
  </si>
  <si>
    <t>http://www.bradleyairport.com/home/</t>
  </si>
  <si>
    <t>Tweed New Haven</t>
  </si>
  <si>
    <t>@FlyTweed</t>
  </si>
  <si>
    <t>http://www.facebook.com/flytweed</t>
  </si>
  <si>
    <t>http://www.flytweed.com/</t>
  </si>
  <si>
    <t>Ports</t>
  </si>
  <si>
    <t>Port of New Haven</t>
  </si>
  <si>
    <t>http://www.ct.gov/dot/cwp/view.asp?a=1380&amp;Q=259730&amp;dotPNavCtr=|40046|#40048</t>
  </si>
  <si>
    <t>Port of Bridgeport</t>
  </si>
  <si>
    <t>http://www.ct.gov/dot/cwp/view.asp?a=1380&amp;Q=259718&amp;dotPNavCtr=|40046|#40047</t>
  </si>
  <si>
    <t>NEWS LINK - Connecticut TV stations</t>
  </si>
  <si>
    <t>http://www.newslink.org/cttele.html</t>
  </si>
  <si>
    <t>NEWS LINK - Connecticut Radio stations</t>
  </si>
  <si>
    <t>NEWS LINK - Connecticut Newspapers</t>
  </si>
  <si>
    <t>http://www.newslink.org/ctnews.html</t>
  </si>
  <si>
    <t>WFSB 3 (Hartford)</t>
  </si>
  <si>
    <t>@WFSBnews</t>
  </si>
  <si>
    <t>http://www.facebook.com/WFSB3</t>
  </si>
  <si>
    <t>http://www.wfsb.com/</t>
  </si>
  <si>
    <t>Fox CT (Hartford)</t>
  </si>
  <si>
    <t>@FoxCT</t>
  </si>
  <si>
    <t>https://www.facebook.com/FOXCT</t>
  </si>
  <si>
    <t>http://www.ctnow.com/</t>
  </si>
  <si>
    <t>NBC CT (New Britian)</t>
  </si>
  <si>
    <t>@NBCConnecticut</t>
  </si>
  <si>
    <t>http://www.facebook.com/NBCConnecticut</t>
  </si>
  <si>
    <t>http://www.nbcconnecticut.com/</t>
  </si>
  <si>
    <t>WTNH CT 8 (New Haven)</t>
  </si>
  <si>
    <t>@WTNH</t>
  </si>
  <si>
    <t>http://www.facebook.com/WTNH8</t>
  </si>
  <si>
    <t>http://www.wtnh.com/</t>
  </si>
  <si>
    <t>New Haven Register</t>
  </si>
  <si>
    <t>@nhregister</t>
  </si>
  <si>
    <t>http://www.facebook.com/NewHavenRegister</t>
  </si>
  <si>
    <t>http://www.nhregister.com/</t>
  </si>
  <si>
    <t>Fairfield Citizen</t>
  </si>
  <si>
    <t>@ffldcitizen</t>
  </si>
  <si>
    <t>http://www.facebook.com/fairfieldcitizen</t>
  </si>
  <si>
    <t>http://www.fairfieldcitizenonline.com/</t>
  </si>
  <si>
    <t>Hartford Courant</t>
  </si>
  <si>
    <t>@hartfordcourant</t>
  </si>
  <si>
    <t>http://www.facebook.com/hartfordcourant</t>
  </si>
  <si>
    <t>http://www.courant.com/</t>
  </si>
  <si>
    <t>Norfolk Citizen</t>
  </si>
  <si>
    <t>@Norwalkcitizen</t>
  </si>
  <si>
    <t>http://www.facebook.com/norwalkcitizen</t>
  </si>
  <si>
    <t>http://www.norwalkcitizenonline.com/</t>
  </si>
  <si>
    <t>WDRC 12.9 (Hartford)</t>
  </si>
  <si>
    <t>http://www.facebook.com/129DRCFM</t>
  </si>
  <si>
    <t>http://www.wdrc.com/</t>
  </si>
  <si>
    <t>WELI 96 AM (New Haven)</t>
  </si>
  <si>
    <t>@96weli</t>
  </si>
  <si>
    <t>http://www.facebook.com/96WELI</t>
  </si>
  <si>
    <t>http://www.96weli.com/main.html</t>
  </si>
  <si>
    <t>http://en.wikipedia.org/wiki/List_of_colleges_and_universities_in_Connecticut</t>
  </si>
  <si>
    <t>Albertus Magnus College</t>
  </si>
  <si>
    <t>@AlbertusSocial</t>
  </si>
  <si>
    <t>https://www.facebook.com/AlbertusMagnusCT</t>
  </si>
  <si>
    <t>http://www.albertus.edu/</t>
  </si>
  <si>
    <t>New Haven</t>
  </si>
  <si>
    <t>Connecticut College</t>
  </si>
  <si>
    <t>@ConnCollege</t>
  </si>
  <si>
    <t>https://www.facebook.com/ConnecticutCollege</t>
  </si>
  <si>
    <t>http://www.conncoll.edu/</t>
  </si>
  <si>
    <t>Eastern Connecticut State University</t>
  </si>
  <si>
    <t>@EasternCTStateU</t>
  </si>
  <si>
    <t>https://www.facebook.com/pages/Eastern-Connecticut-State-University-Registrars-Office/255192097852707</t>
  </si>
  <si>
    <t>http://www.easternct.edu/</t>
  </si>
  <si>
    <t>Willimantic</t>
  </si>
  <si>
    <t>http://www.easternct.edu/easternalert/</t>
  </si>
  <si>
    <t>Central Connecticut State University</t>
  </si>
  <si>
    <t>@CCSU</t>
  </si>
  <si>
    <t>https://www.facebook.com/CentralConnecticutStateUniversity</t>
  </si>
  <si>
    <t>http://www.ccsu.edu/</t>
  </si>
  <si>
    <t>New Britain</t>
  </si>
  <si>
    <t>Charter Oak State College</t>
  </si>
  <si>
    <t>https://www.facebook.com/CharterOak</t>
  </si>
  <si>
    <t>http://www.charteroak.edu/</t>
  </si>
  <si>
    <t>University of Saint Joseph</t>
  </si>
  <si>
    <t>@USJCT</t>
  </si>
  <si>
    <t>https://www.facebook.com/SaintJosephCollege</t>
  </si>
  <si>
    <t>http://www.usj.edu/</t>
  </si>
  <si>
    <t>West Hartford</t>
  </si>
  <si>
    <t>Southern Connecticut State University</t>
  </si>
  <si>
    <t>@SCSUtweet</t>
  </si>
  <si>
    <t>https://www.facebook.com/southernct</t>
  </si>
  <si>
    <t>http://www.southernct.edu/</t>
  </si>
  <si>
    <t>Trinity College</t>
  </si>
  <si>
    <t>@trinitycollege</t>
  </si>
  <si>
    <t>https://www.facebook.com/TrinityCollege</t>
  </si>
  <si>
    <t>http://www.trincoll.edu/Pages/default.aspx</t>
  </si>
  <si>
    <t>Hartford</t>
  </si>
  <si>
    <t>Wesleyan University</t>
  </si>
  <si>
    <t>@wesleyan_u</t>
  </si>
  <si>
    <t>https://www.facebook.com/wesleyan.university</t>
  </si>
  <si>
    <t>http://www.wesleyan.edu/</t>
  </si>
  <si>
    <t>Middletown</t>
  </si>
  <si>
    <t>Western Connecticut State University</t>
  </si>
  <si>
    <t>@WestConn</t>
  </si>
  <si>
    <t>https://www.facebook.com/WestConn</t>
  </si>
  <si>
    <t>http://www.wcsu.edu/</t>
  </si>
  <si>
    <t>Danbury</t>
  </si>
  <si>
    <t>http://www.wcsu.edu/ens/</t>
  </si>
  <si>
    <t>Berkeley Divinity School</t>
  </si>
  <si>
    <t>https://www.facebook.com/berkeleydivinity</t>
  </si>
  <si>
    <t>http://berkeleydivinity.net/</t>
  </si>
  <si>
    <t>Lincoln College of New England</t>
  </si>
  <si>
    <t>https://www.facebook.com/lincolngroupofschools?v=wall</t>
  </si>
  <si>
    <t>http://www.lincolncollegene.edu/</t>
  </si>
  <si>
    <t>Southington</t>
  </si>
  <si>
    <t>University of Bridgeport</t>
  </si>
  <si>
    <t>@UB_Admissions</t>
  </si>
  <si>
    <t>https://www.facebook.com/UBridgeportAdmissions?v=app_10442206389#</t>
  </si>
  <si>
    <t>http://www.bridgeport.edu/</t>
  </si>
  <si>
    <t>Bridgeport</t>
  </si>
  <si>
    <t>Fairfield University</t>
  </si>
  <si>
    <t>@FairfieldU</t>
  </si>
  <si>
    <t>https://www.facebook.com/FairfieldUniversity?utm_source=fairfieldsite&amp;utm_medium=web&amp;utm_campaign=int_footer_social;</t>
  </si>
  <si>
    <t>http://www.fairfield.edu/</t>
  </si>
  <si>
    <t>Goodwin College</t>
  </si>
  <si>
    <t>@GoodwinCollege</t>
  </si>
  <si>
    <t>https://www.facebook.com/GoodwinCollegeCT</t>
  </si>
  <si>
    <t>http://www.goodwin.edu/</t>
  </si>
  <si>
    <t>East Hartford</t>
  </si>
  <si>
    <t>Hartford Seminary</t>
  </si>
  <si>
    <t>@HartSem</t>
  </si>
  <si>
    <t>https://www.facebook.com/hartsem?ref=search&amp;sid=100001125994488.1642326784..1</t>
  </si>
  <si>
    <t>http://www.hartsem.edu/</t>
  </si>
  <si>
    <t>University of Hartford</t>
  </si>
  <si>
    <t>http://www.hartford.edu/</t>
  </si>
  <si>
    <t>Holy Apostles College and Seminary</t>
  </si>
  <si>
    <t>http://www.holyapostles.edu/</t>
  </si>
  <si>
    <t>Cromwell</t>
  </si>
  <si>
    <t>Lyme Academy College of Fine Arts</t>
  </si>
  <si>
    <t>@LymeAcademy</t>
  </si>
  <si>
    <t>https://www.facebook.com/pages/Lyme-Academy-College-of-Fine-Arts/23033132390</t>
  </si>
  <si>
    <t>http://www.lymeacademy.edu/</t>
  </si>
  <si>
    <t>Old Lyme</t>
  </si>
  <si>
    <t>Mitchell College</t>
  </si>
  <si>
    <t>@MitchellCollege</t>
  </si>
  <si>
    <t>https://www.facebook.com/MitchellCollege</t>
  </si>
  <si>
    <t>https://community.mitchell.edu/</t>
  </si>
  <si>
    <t>University of New Haven</t>
  </si>
  <si>
    <t>@UNH</t>
  </si>
  <si>
    <t>https://www.facebook.com/unewhaven</t>
  </si>
  <si>
    <t>http://www.newhaven.edu/</t>
  </si>
  <si>
    <t>West Haven</t>
  </si>
  <si>
    <t>http://www.newhaven.edu/student-life/18645/</t>
  </si>
  <si>
    <t>Paier College of Art</t>
  </si>
  <si>
    <t>https://www.facebook.com/pages/Paier-College-of-Art/153681104702430</t>
  </si>
  <si>
    <t>http://www.paiercollegeofart.edu/</t>
  </si>
  <si>
    <t>Hamden</t>
  </si>
  <si>
    <t>Post University</t>
  </si>
  <si>
    <t>@PostUniversity</t>
  </si>
  <si>
    <t>https://www.facebook.com/PostUniversity?ref=s</t>
  </si>
  <si>
    <t>http://www.post.edu/</t>
  </si>
  <si>
    <t>Waterbury</t>
  </si>
  <si>
    <t>Quinnipiac University</t>
  </si>
  <si>
    <t>@QuinnipiacU</t>
  </si>
  <si>
    <t>https://www.facebook.com/QuinnipiacUniversity</t>
  </si>
  <si>
    <t>http://www.quinnipiac.edu/</t>
  </si>
  <si>
    <t>Rensselaer at Hartford</t>
  </si>
  <si>
    <t>@RPI_Hartford</t>
  </si>
  <si>
    <t>https://www.facebook.com/pages/Rensselaer-Hartford-Campus/216532895053858?sk=wall</t>
  </si>
  <si>
    <t>http://www.ewp.rpi.edu/</t>
  </si>
  <si>
    <t>Sacred Heart University</t>
  </si>
  <si>
    <t>@sacredheartuniv</t>
  </si>
  <si>
    <t>https://www.facebook.com/SacredHeartUniversity</t>
  </si>
  <si>
    <t>http://www.sacredheart.edu/</t>
  </si>
  <si>
    <t>Yale University</t>
  </si>
  <si>
    <t>@Yale</t>
  </si>
  <si>
    <t>https://www.facebook.com/YaleUniversity</t>
  </si>
  <si>
    <t>http://www.yale.edu/</t>
  </si>
  <si>
    <t>United States Coast Guard Academy</t>
  </si>
  <si>
    <t>@CoastGuardBears</t>
  </si>
  <si>
    <t>https://www.facebook.com/CoastGuardAcademy</t>
  </si>
  <si>
    <t>http://www.cga.edu/</t>
  </si>
  <si>
    <t>http://www.cga.edu/academystatus/</t>
  </si>
  <si>
    <t>University of Connecticut</t>
  </si>
  <si>
    <t>@UConn</t>
  </si>
  <si>
    <t>https://www.facebook.com/UConn</t>
  </si>
  <si>
    <t>http://www.uconn.edu/</t>
  </si>
  <si>
    <t>Storrs</t>
  </si>
  <si>
    <t>Asnuntuck Community College</t>
  </si>
  <si>
    <t>https://www.facebook.com/Asnuntuck</t>
  </si>
  <si>
    <t>http://www.asnuntuck.edu/</t>
  </si>
  <si>
    <t>Enfield</t>
  </si>
  <si>
    <t>Capital Community College</t>
  </si>
  <si>
    <t>https://www.facebook.com/pages/Capital-Community-College/118631708188064?rf=106006986098158</t>
  </si>
  <si>
    <t>http://www.ccc.commnet.edu/</t>
  </si>
  <si>
    <t>Gateway Community College</t>
  </si>
  <si>
    <t>@GatewayNewHaven</t>
  </si>
  <si>
    <t>https://www.facebook.com/Go2GCC?rf=111249858899986</t>
  </si>
  <si>
    <t>http://www.gatewayct.edu/</t>
  </si>
  <si>
    <t>Housatonic Community College</t>
  </si>
  <si>
    <t>@HCCinfo</t>
  </si>
  <si>
    <t>https://www.facebook.com/HousatonicCommunityCollege</t>
  </si>
  <si>
    <t>http://www.hcc.commnet.edu/</t>
  </si>
  <si>
    <t>Manchester Community College</t>
  </si>
  <si>
    <t>@MCC_CT</t>
  </si>
  <si>
    <t>https://www.facebook.com/myMCC</t>
  </si>
  <si>
    <t>http://www.mcc.commnet.edu/</t>
  </si>
  <si>
    <t>Manchester</t>
  </si>
  <si>
    <t>Middlesex Community College</t>
  </si>
  <si>
    <t>@MxCC_CT</t>
  </si>
  <si>
    <t>http://www.mxcc.commnet.edu/</t>
  </si>
  <si>
    <t>Middletown</t>
  </si>
  <si>
    <t>Naugatuck Valley Community College</t>
  </si>
  <si>
    <t>@NaugatuckValley</t>
  </si>
  <si>
    <t>https://www.facebook.com/NaugatuckValleyCommunityCollege</t>
  </si>
  <si>
    <t>http://www.nv.edu/</t>
  </si>
  <si>
    <t>Waterbury</t>
  </si>
  <si>
    <t>Northwestern Connecticut Community College</t>
  </si>
  <si>
    <t>http://www.nwcc.commnet.edu/</t>
  </si>
  <si>
    <t>Winsted</t>
  </si>
  <si>
    <t>Norwalk Community College</t>
  </si>
  <si>
    <t>https://www.facebook.com/pages/Norwalk-Community-College-NCC-Norwalk-CT/137354652986528</t>
  </si>
  <si>
    <t>http://www.ncc.commnet.edu/default.asp</t>
  </si>
  <si>
    <t>Norwalk</t>
  </si>
  <si>
    <t>Quinebaug Valley Community College</t>
  </si>
  <si>
    <t>@QVCC</t>
  </si>
  <si>
    <t>https://www.facebook.com/myQVCC</t>
  </si>
  <si>
    <t>http://www.qvcc.commnet.edu/</t>
  </si>
  <si>
    <t>Danielson</t>
  </si>
  <si>
    <t>Three Rivers Community College</t>
  </si>
  <si>
    <t>@3RiversCC</t>
  </si>
  <si>
    <t>https://www.facebook.com/ThreeRiversCC</t>
  </si>
  <si>
    <t>http://www.trcc.commnet.edu/</t>
  </si>
  <si>
    <t>Norwich</t>
  </si>
  <si>
    <t>Tunxis Community College</t>
  </si>
  <si>
    <t>@tunxiscc</t>
  </si>
  <si>
    <t>https://www.facebook.com/tunxis</t>
  </si>
  <si>
    <t>http://tunxis.edu/</t>
  </si>
  <si>
    <t>Farmington</t>
  </si>
  <si>
    <t>Notes/Other</t>
  </si>
  <si>
    <t>@delaware_gov</t>
  </si>
  <si>
    <t>http://www.facebook.com/delaware.gov</t>
  </si>
  <si>
    <t>http://delaware.gov/</t>
  </si>
  <si>
    <t>Delaware.gov - Social Media List</t>
  </si>
  <si>
    <t>http://www.delaware.gov/topics/socialmedia.shtml</t>
  </si>
  <si>
    <t>Delaware EMA</t>
  </si>
  <si>
    <t>@DelawareEMA</t>
  </si>
  <si>
    <t>http://www.facebook.com/DelawareEmergencyManagementAgency</t>
  </si>
  <si>
    <t>http://dema.delaware.gov/</t>
  </si>
  <si>
    <t>Delaware Disaster Preparedness</t>
  </si>
  <si>
    <t>http://dema.delaware.gov/services/disaster_prep.shtml</t>
  </si>
  <si>
    <t>Delaware Wildlife Rescue</t>
  </si>
  <si>
    <t>http://wildlife.rescueshelter.com/Delaware</t>
  </si>
  <si>
    <t>Delaware State Police</t>
  </si>
  <si>
    <t>@DEStatePolice</t>
  </si>
  <si>
    <t>http://www.facebook.com/DSPNewsroom</t>
  </si>
  <si>
    <t>http://dsp.delaware.gov/</t>
  </si>
  <si>
    <t>Delaware Dept of Transportation</t>
  </si>
  <si>
    <t>@DelawareDOT</t>
  </si>
  <si>
    <t>http://www.facebook.com/delawaredot</t>
  </si>
  <si>
    <t>http://www.deldot.gov/</t>
  </si>
  <si>
    <t>Traffic info - WTMC 1380 AM</t>
  </si>
  <si>
    <t>Delaware Dept. of Education</t>
  </si>
  <si>
    <t>@DEDeptofEd</t>
  </si>
  <si>
    <t>https://www.facebook.com/DeDeptEducation</t>
  </si>
  <si>
    <t>http://www.doe.k12.de.us/</t>
  </si>
  <si>
    <t>Delaware Public School on the Web</t>
  </si>
  <si>
    <t>http://www.k12.de.us/</t>
  </si>
  <si>
    <t>links to schools and districts</t>
  </si>
  <si>
    <t>Delaware River &amp; Bay Authority</t>
  </si>
  <si>
    <t>@demembridge</t>
  </si>
  <si>
    <t>http://www.drba.net/</t>
  </si>
  <si>
    <t>@wilmingtondegov</t>
  </si>
  <si>
    <t>https://www.facebook.com/WilmingtonDEgov</t>
  </si>
  <si>
    <t>http://www.ci.wilmington.de.us/</t>
  </si>
  <si>
    <t>New Castle</t>
  </si>
  <si>
    <t>@CityOfDoverDE</t>
  </si>
  <si>
    <t>https://www.facebook.com/pages/City-of-Dover-Delaware-City-Hall/286493779685</t>
  </si>
  <si>
    <t>http://www.cityofdover.com/</t>
  </si>
  <si>
    <t>Kent</t>
  </si>
  <si>
    <t>@CityofNewarkDE</t>
  </si>
  <si>
    <t>https://www.facebook.com/CityOfNewarkDelaware</t>
  </si>
  <si>
    <t>http://www.cityofnewarkde.us/</t>
  </si>
  <si>
    <t>@NewarkDEPD</t>
  </si>
  <si>
    <t>http://www.middletownde.org/</t>
  </si>
  <si>
    <t>@townofsmyrna</t>
  </si>
  <si>
    <t>https://www.facebook.com/smyrna.delaware</t>
  </si>
  <si>
    <t>http://www.smyrna.delaware.gov/</t>
  </si>
  <si>
    <t>Kent &amp; New Castle</t>
  </si>
  <si>
    <t>http://www.co.kent.de.us/</t>
  </si>
  <si>
    <t>@ncco_de</t>
  </si>
  <si>
    <t>https://www.facebook.com/pages/New-Castle-County-Government/327180824858</t>
  </si>
  <si>
    <t>http://www2.nccde.org/Home/default.aspx</t>
  </si>
  <si>
    <t>@sussex_pio   @SussexCtyDE_EOC</t>
  </si>
  <si>
    <t>https://www.facebook.com/SussexCountyDE</t>
  </si>
  <si>
    <t>http://www.sussexcountyde.gov/</t>
  </si>
  <si>
    <t>Delaware.gov - Incorporated Municipalities</t>
  </si>
  <si>
    <t>http://www.delaware.gov/municipalities/</t>
  </si>
  <si>
    <t>Delaware Public Service Commission</t>
  </si>
  <si>
    <t>@DelawarePSC</t>
  </si>
  <si>
    <t>http://www.facebook.com/DelawarePSC</t>
  </si>
  <si>
    <t>http://www.depsc.delaware.gov/</t>
  </si>
  <si>
    <t>Delaware PSC - Certified Electric Suppliers</t>
  </si>
  <si>
    <t>http://depsc.delaware.gov/electric/elecsupplierinfo.pdf</t>
  </si>
  <si>
    <t>Delaware Municipal Electric Corporation</t>
  </si>
  <si>
    <t>@DEMECinc</t>
  </si>
  <si>
    <t>https://www.facebook.com/pages/Delaware-Municipal-Electric-Corporation/109132979154156</t>
  </si>
  <si>
    <t>http://www.demecinc.net/</t>
  </si>
  <si>
    <t>Delmarva Power</t>
  </si>
  <si>
    <t>@DelmarvaConnect</t>
  </si>
  <si>
    <t>https://www.facebook.com/DelmarvaPower</t>
  </si>
  <si>
    <t>http://www.delmarva.com/home/</t>
  </si>
  <si>
    <t>City of Milford Electric Department</t>
  </si>
  <si>
    <t>Delaware Electric Cooperative,</t>
  </si>
  <si>
    <t>@DEElectricCoop</t>
  </si>
  <si>
    <t>https://www.facebook.com/delawareelectric</t>
  </si>
  <si>
    <t>http://www.delaware.coop/</t>
  </si>
  <si>
    <t>Town of Clayton - electric</t>
  </si>
  <si>
    <t>http://www.clayton.delaware.gov/index.aspx?nid=94</t>
  </si>
  <si>
    <t>City of Dover - Electricity Dept</t>
  </si>
  <si>
    <t>http://www.cityofdover.com/Public-Utilities/</t>
  </si>
  <si>
    <t>City of Seaford - Electric</t>
  </si>
  <si>
    <t>http://www.seafordde.com/index.cfm?ref=45100</t>
  </si>
  <si>
    <t>City of Newark - Electric</t>
  </si>
  <si>
    <t>http://www.cityofnewarkde.us/index.aspx?nid=18</t>
  </si>
  <si>
    <t>Town of Smyrna - Electric</t>
  </si>
  <si>
    <t>http://www.smyrna.delaware.gov/index.aspx?nid=81</t>
  </si>
  <si>
    <t>City of Milford - electric</t>
  </si>
  <si>
    <t>http://www.cityofmilford.com/?nid=23</t>
  </si>
  <si>
    <t>Gas</t>
  </si>
  <si>
    <t>Chesapeake Utilities</t>
  </si>
  <si>
    <t>http://www.chpkgas.com/</t>
  </si>
  <si>
    <t>Suburban Natural Gas Company</t>
  </si>
  <si>
    <t>http://sngco.com/</t>
  </si>
  <si>
    <t>Water</t>
  </si>
  <si>
    <t>Artesian Water Company, Inc.</t>
  </si>
  <si>
    <t>http://www.artesianwater.com/</t>
  </si>
  <si>
    <t>Sussex Shores Water Co.</t>
  </si>
  <si>
    <t>http://www.sussexshoreswater.com/</t>
  </si>
  <si>
    <t>Tidewater Utilities, Inc.</t>
  </si>
  <si>
    <t>http://www.middlesexwater.com/family/tidewater-utilities-inc</t>
  </si>
  <si>
    <t>United Water Delaware</t>
  </si>
  <si>
    <t>http://www.unitedwater.com/delaware/locallanding.aspx</t>
  </si>
  <si>
    <t>Delaware River and Bay Authority Airports</t>
  </si>
  <si>
    <t>http://www.drbaairports.com/</t>
  </si>
  <si>
    <t>AirNav - Delaware</t>
  </si>
  <si>
    <t>http://www.airnav.com/airports/us/DE</t>
  </si>
  <si>
    <t>Delaware River Port Authority</t>
  </si>
  <si>
    <t>@DRPA_PAandNJ</t>
  </si>
  <si>
    <t>http://www.drpa.org/</t>
  </si>
  <si>
    <t>Port of Wilmington</t>
  </si>
  <si>
    <t>http://www.portofwilmington.com/</t>
  </si>
  <si>
    <t>NEWS LINK - Delaware TV stations</t>
  </si>
  <si>
    <t>http://www.newslink.org/detele.html</t>
  </si>
  <si>
    <t>NEWS LINK - Delaware Radio stations</t>
  </si>
  <si>
    <t>http://www.newslink.org/deradi.html</t>
  </si>
  <si>
    <t>NEWS LINK - Delaware Newspapers</t>
  </si>
  <si>
    <t>http://www.newslink.org/denews.html</t>
  </si>
  <si>
    <t>WBOC 16 (DELMARVA)</t>
  </si>
  <si>
    <t>@wboc</t>
  </si>
  <si>
    <t>http://www.facebook.com/WBOCTV16</t>
  </si>
  <si>
    <t>http://www.wboc.com/</t>
  </si>
  <si>
    <t>6 ABC (Philadelphia)</t>
  </si>
  <si>
    <t>@6abc</t>
  </si>
  <si>
    <t>http://www.facebook.com/6abc.ActionNews?ref=ts</t>
  </si>
  <si>
    <t>http://abclocal.go.com/wpvi/index</t>
  </si>
  <si>
    <t>WDEL 115AM (Wilmington)</t>
  </si>
  <si>
    <t>@WDEL</t>
  </si>
  <si>
    <t>http://www.facebook.com/115AMWDEL</t>
  </si>
  <si>
    <t>http://www.wdel.com/</t>
  </si>
  <si>
    <t>WGMD 92.7 (DELMARVA)</t>
  </si>
  <si>
    <t>http://www.facebook.com/WGMD927</t>
  </si>
  <si>
    <t>http://www.wgmd.com/</t>
  </si>
  <si>
    <t>News Journal (Wilmington)</t>
  </si>
  <si>
    <t>@delawareonline</t>
  </si>
  <si>
    <t>http://www.delawareonline.com/</t>
  </si>
  <si>
    <t>Delaware State News (Dover)</t>
  </si>
  <si>
    <t>@TheStateNews</t>
  </si>
  <si>
    <t>http://www.facebook.com/DelawareStateNews</t>
  </si>
  <si>
    <t>http://delaware.newszap.com/delawarestatenews/</t>
  </si>
  <si>
    <t>College and Universities</t>
  </si>
  <si>
    <t>Delaware.gov - Colleges &amp; Universities</t>
  </si>
  <si>
    <t>http://www.doe.k12.de.us/infosuites/students_family/dheo/dcu.shtml</t>
  </si>
  <si>
    <t>Links and phone numbers</t>
  </si>
  <si>
    <t>District of Columbia State Website</t>
  </si>
  <si>
    <t>@mayorvincegray</t>
  </si>
  <si>
    <t>http://www.facebook.com/dcgov</t>
  </si>
  <si>
    <t>http://dc.gov/DC/</t>
  </si>
  <si>
    <t>DC Fire and EMS</t>
  </si>
  <si>
    <t>@dcfireems</t>
  </si>
  <si>
    <t>https://www.facebook.com/DCFireAndEMS</t>
  </si>
  <si>
    <t>http://fems.dc.gov/DC/FEMS/</t>
  </si>
  <si>
    <t>DC Emergency Info. - 72hours</t>
  </si>
  <si>
    <t>http://72hours.dc.gov/eic/site/default.asp</t>
  </si>
  <si>
    <t>Distric of Columbia  DHS</t>
  </si>
  <si>
    <t>@DC_HSEMA</t>
  </si>
  <si>
    <t>http://www.facebook.com/HSEMADC</t>
  </si>
  <si>
    <t>http://hsema.dc.gov/</t>
  </si>
  <si>
    <t>Distric of Columbia Wildlife Rescue</t>
  </si>
  <si>
    <t>http://wildlife.rescueshelter.com/DC</t>
  </si>
  <si>
    <t>Follow DC Government on Twitter</t>
  </si>
  <si>
    <t>http://subscribe.dc.gov/DC/Subscribe/Social+Networks/Twitter</t>
  </si>
  <si>
    <t>List of DC Govt. Twitter accounts</t>
  </si>
  <si>
    <t>DC Government on Facebook</t>
  </si>
  <si>
    <t>http://subscribe.dc.gov/DC/Subscribe/Social+Networks/Facebook</t>
  </si>
  <si>
    <t>List of DC Govt. FB accounts</t>
  </si>
  <si>
    <t>DC Public Schools</t>
  </si>
  <si>
    <t>@dcpublicschools</t>
  </si>
  <si>
    <t>https://www.facebook.com/dcpublicschools</t>
  </si>
  <si>
    <t>http://dcps.dc.gov/DCPS/About+DCPS</t>
  </si>
  <si>
    <t>DC Public Schools Directory</t>
  </si>
  <si>
    <t>http://profiles.dcps.dc.gov/</t>
  </si>
  <si>
    <t>DC State Superintendent of Educ.</t>
  </si>
  <si>
    <t>@OSSEDC</t>
  </si>
  <si>
    <t>https://www.facebook.com/OSSEDC</t>
  </si>
  <si>
    <t>http://osse.dc.gov/</t>
  </si>
  <si>
    <t>District Department of Transportation</t>
  </si>
  <si>
    <t>@DDOTDC</t>
  </si>
  <si>
    <t>https://www.facebook.com/DDOTDC</t>
  </si>
  <si>
    <t>http://ddot.dc.gov/DC/DDOT/</t>
  </si>
  <si>
    <t>Metropolitan Police Department</t>
  </si>
  <si>
    <t>@DCPoliceDept</t>
  </si>
  <si>
    <t>https://www.facebook.com/DCPolice</t>
  </si>
  <si>
    <t>http://mpdc.dc.gov/</t>
  </si>
  <si>
    <t>DC Water &amp; Sewer</t>
  </si>
  <si>
    <t>@dcwater</t>
  </si>
  <si>
    <t>http://www.facebook.com/mydcwater</t>
  </si>
  <si>
    <t>http://www.dcwater.com/</t>
  </si>
  <si>
    <t>Washington Gas</t>
  </si>
  <si>
    <t>https://eservice.washgas.com/</t>
  </si>
  <si>
    <t>Pepco Electric</t>
  </si>
  <si>
    <t>@PepcoConnect</t>
  </si>
  <si>
    <t>http://www.facebook.com/PepcoConnect</t>
  </si>
  <si>
    <t>http://www.pepco.com/home/</t>
  </si>
  <si>
    <t>http://www.facebook.com/ConstellationEnergy</t>
  </si>
  <si>
    <t>Transportation</t>
  </si>
  <si>
    <t>METRO (Subway)</t>
  </si>
  <si>
    <t>@wmata</t>
  </si>
  <si>
    <t>http://www.facebook.com/MetroForward</t>
  </si>
  <si>
    <t>http://www.wmata.com/</t>
  </si>
  <si>
    <t>Amtrak</t>
  </si>
  <si>
    <t>@Amtrak</t>
  </si>
  <si>
    <t>http://www.facebook.com/Amtrak</t>
  </si>
  <si>
    <t>http://www.amtrak.com/home</t>
  </si>
  <si>
    <t>Virgina Railway Express (local rail)</t>
  </si>
  <si>
    <t>@VaRailXpress</t>
  </si>
  <si>
    <t>http://www.facebook.com/pages/Virginia-Railway-Express/5383637185</t>
  </si>
  <si>
    <t>http://www.vre.org/</t>
  </si>
  <si>
    <t>MARC (local rail)</t>
  </si>
  <si>
    <t>@mtamaryland</t>
  </si>
  <si>
    <t>http://www.facebook.com/mtamaryland</t>
  </si>
  <si>
    <t>http://mta.maryland.gov/marc-train</t>
  </si>
  <si>
    <t>Dulles International Airport</t>
  </si>
  <si>
    <t>@dcairports</t>
  </si>
  <si>
    <t>http://www.metwashairports.com/dulles/dulles.htm</t>
  </si>
  <si>
    <t>Ronald Reagan Washington National Airport</t>
  </si>
  <si>
    <t>http://www.metwashairports.com/reagan/reagan.htm</t>
  </si>
  <si>
    <t>Baltimore-Washington Airport (BWI)</t>
  </si>
  <si>
    <t>@BWI_Airport</t>
  </si>
  <si>
    <t>https://www.facebook.com/pages/BWI-Thurgood-Marshall-Airport-BWI/101280343252797</t>
  </si>
  <si>
    <t>http://www.bwiairport.com/en</t>
  </si>
  <si>
    <t>NEWS LINK - DC TV stations</t>
  </si>
  <si>
    <t>http://www.newslink.org/dctele.html</t>
  </si>
  <si>
    <t>NEWS LINK - DC Radio stations</t>
  </si>
  <si>
    <t>http://www.newslink.org/dcradi.html</t>
  </si>
  <si>
    <t>NEWS LINK - DC Newspapers</t>
  </si>
  <si>
    <t>http://www.newslink.org/dcnews.html</t>
  </si>
  <si>
    <t>WTOP 13.5 FM</t>
  </si>
  <si>
    <t>@WTOP</t>
  </si>
  <si>
    <t>http://www.facebook.com/wtopnews</t>
  </si>
  <si>
    <t>http://wtop.com/</t>
  </si>
  <si>
    <t>WUSA 9</t>
  </si>
  <si>
    <t>@wusa9</t>
  </si>
  <si>
    <t>http://www.facebook.com/WUSA9</t>
  </si>
  <si>
    <t>http://www.wusa9.com/</t>
  </si>
  <si>
    <t>News Channel 8</t>
  </si>
  <si>
    <t>@ABC7News</t>
  </si>
  <si>
    <t>http://www.facebook.com/wjlatv</t>
  </si>
  <si>
    <t>http://www.wjla.com/news/newschannel-8/</t>
  </si>
  <si>
    <t>Fox DC</t>
  </si>
  <si>
    <t>@myfoxdc</t>
  </si>
  <si>
    <t>https://www.facebook.com/myfoxdc</t>
  </si>
  <si>
    <t>http://www.myfoxdc.com/</t>
  </si>
  <si>
    <t>Washington Post</t>
  </si>
  <si>
    <t>@washingtonpost</t>
  </si>
  <si>
    <t>http://www.facebook.com/washingtonpost</t>
  </si>
  <si>
    <t>http://www.washingtonpost.com/regional</t>
  </si>
  <si>
    <t>WMAL 15.9 FM</t>
  </si>
  <si>
    <t>@wmalnews</t>
  </si>
  <si>
    <t>http://www.facebook.com/WMALDC</t>
  </si>
  <si>
    <t>http://www.wmal.com/</t>
  </si>
  <si>
    <t>American University</t>
  </si>
  <si>
    <t>@AmericanU</t>
  </si>
  <si>
    <t>https://www.facebook.com/AmericanUniversity</t>
  </si>
  <si>
    <t>http://www.american.edu/</t>
  </si>
  <si>
    <t>Catholic Univ of America</t>
  </si>
  <si>
    <t>@CatholicUniv</t>
  </si>
  <si>
    <t>https://www.facebook.com/CatholicUniversity</t>
  </si>
  <si>
    <t>http://www.cua.edu/</t>
  </si>
  <si>
    <t>Corcoran College of Art &amp; Design</t>
  </si>
  <si>
    <t>@CorcoranDC</t>
  </si>
  <si>
    <t>https://www.facebook.com/CorcoranDC</t>
  </si>
  <si>
    <t>http://www.corcoran.edu/home</t>
  </si>
  <si>
    <t>Galludet Univ.</t>
  </si>
  <si>
    <t>@GallaudetU</t>
  </si>
  <si>
    <t>https://www.facebook.com/Gallaudet1864</t>
  </si>
  <si>
    <t>http://www.gallaudet.edu/</t>
  </si>
  <si>
    <t>George Washington Univ.</t>
  </si>
  <si>
    <t>@GWtweets</t>
  </si>
  <si>
    <t>https://www.facebook.com/georgewashingtonuniversity</t>
  </si>
  <si>
    <t>http://www.gwu.edu/</t>
  </si>
  <si>
    <t>Georgetown Univ.</t>
  </si>
  <si>
    <t>@Georgetown</t>
  </si>
  <si>
    <t>https://www.facebook.com/georgetownuniv</t>
  </si>
  <si>
    <t>http://www.georgetown.edu/</t>
  </si>
  <si>
    <t>Howard Univ.</t>
  </si>
  <si>
    <t>@HowardU</t>
  </si>
  <si>
    <t>https://www.facebook.com/howarduniversity</t>
  </si>
  <si>
    <t>http://www.howard.edu/</t>
  </si>
  <si>
    <t>@TrinityDC</t>
  </si>
  <si>
    <t>https://www.facebook.com/trinitydc</t>
  </si>
  <si>
    <t>http://www.trinitydc.edu/</t>
  </si>
  <si>
    <t>Univ. of the District of Columbia</t>
  </si>
  <si>
    <t>@udc_edu</t>
  </si>
  <si>
    <t>https://www.facebook.com/UofDC</t>
  </si>
  <si>
    <t>http://www.udc.edu/</t>
  </si>
  <si>
    <t>Notes / Other</t>
  </si>
  <si>
    <t>http://www.myflorida.com/</t>
  </si>
  <si>
    <t>Florida Disaster /EMA</t>
  </si>
  <si>
    <t>@FLSERT</t>
  </si>
  <si>
    <t>http://www.facebook.com/FloridaSERT</t>
  </si>
  <si>
    <t>http://www.floridadisaster.org/index.asp</t>
  </si>
  <si>
    <t>Florida  Law Enforcement</t>
  </si>
  <si>
    <t>http://www.facebook.com/FDLEpage</t>
  </si>
  <si>
    <t>http://www.fdle.state.fl.us/Content/home.aspx</t>
  </si>
  <si>
    <t>Florida Wildlife Rescue</t>
  </si>
  <si>
    <t>@MyFWC</t>
  </si>
  <si>
    <t>http://www.facebook.com/MyFWC</t>
  </si>
  <si>
    <t>http://myfwc.com</t>
  </si>
  <si>
    <t>Florida Dept. of Education</t>
  </si>
  <si>
    <t>@EducationFL</t>
  </si>
  <si>
    <t>https://www.facebook.com/EducationFL</t>
  </si>
  <si>
    <t>http://www.fldoe.org/</t>
  </si>
  <si>
    <t>Florida School Districts Directory</t>
  </si>
  <si>
    <t>http://www.fldoe.org/schools/schoolmap/flash/schoolmap_text.asp</t>
  </si>
  <si>
    <t>links to schools by county</t>
  </si>
  <si>
    <t>Department of Highway Safety and Motor Vehicles</t>
  </si>
  <si>
    <t>@FDHSMV</t>
  </si>
  <si>
    <t>https://www.facebook.com/pages/Department-of-Highway-Safety-and-Motor-Vehicles/128186000582950?v=wall</t>
  </si>
  <si>
    <t>http://www.flhsmv.gov/</t>
  </si>
  <si>
    <t>@CityofJax</t>
  </si>
  <si>
    <t>https://www.facebook.com/CityofJacksonville</t>
  </si>
  <si>
    <t>http://www.coj.net/</t>
  </si>
  <si>
    <t>Duval</t>
  </si>
  <si>
    <t>@CityofMiami</t>
  </si>
  <si>
    <t>https://www.facebook.com/cityofmiamibeach</t>
  </si>
  <si>
    <t>http://www.miamigov.com/home/</t>
  </si>
  <si>
    <t>Miami-Dade</t>
  </si>
  <si>
    <t>@CityofTamp</t>
  </si>
  <si>
    <t>https://www.facebook.com/TampaGov</t>
  </si>
  <si>
    <t>http://www.tampagov.net/</t>
  </si>
  <si>
    <t>Hillsborough</t>
  </si>
  <si>
    <t>@StPeteFL   @StpetePD</t>
  </si>
  <si>
    <t>https://www.facebook.com/pages/City-of-St-Petersburg-Florida-USA/196596577315</t>
  </si>
  <si>
    <t>http://www.stpete.org/</t>
  </si>
  <si>
    <t>http://www.stpete.org/police/crime-prev/homeland-prepare.html</t>
  </si>
  <si>
    <t>Pinellas</t>
  </si>
  <si>
    <t>@citybeautiful</t>
  </si>
  <si>
    <t>https://www.facebook.com/cityoforlando</t>
  </si>
  <si>
    <t>http://www.cityoforlando.net/</t>
  </si>
  <si>
    <t>@cityofhialeah</t>
  </si>
  <si>
    <t>https://www.facebook.com/cityofhialeah</t>
  </si>
  <si>
    <t>http://www.hialeahfl.gov/index.php?lang=en</t>
  </si>
  <si>
    <t>@COTNews</t>
  </si>
  <si>
    <t>https://www.facebook.com/COTNews</t>
  </si>
  <si>
    <t>http://www.talgov.com/Main/Home.aspx</t>
  </si>
  <si>
    <t>Leon</t>
  </si>
  <si>
    <t>@FTLCityNews</t>
  </si>
  <si>
    <t>http://www.fortlauderdale.gov/</t>
  </si>
  <si>
    <t>Broward</t>
  </si>
  <si>
    <t>MyFlorida.gov - List of counties</t>
  </si>
  <si>
    <t>http://www.myflorida.com/counties/</t>
  </si>
  <si>
    <t>with links</t>
  </si>
  <si>
    <t>MyFlorida.gov - List of cities</t>
  </si>
  <si>
    <t>http://www.myflorida.com/cities/</t>
  </si>
  <si>
    <t>@AlachuaCounty</t>
  </si>
  <si>
    <t>http://www.facebook.com/pages/Alachua-County/127834428453</t>
  </si>
  <si>
    <t>http://www.alachuacounty.us/Pages/AlachuaCounty.aspx</t>
  </si>
  <si>
    <t>http://www.bakercountyfl.org</t>
  </si>
  <si>
    <t>http://www.co.bay.fl.us</t>
  </si>
  <si>
    <t>http://www.bradford-co-fla.org</t>
  </si>
  <si>
    <t>@BrevardCo_FL</t>
  </si>
  <si>
    <t>http://www.facebook.com/BrevardCountyGovt?fref=ts</t>
  </si>
  <si>
    <t>http://www.brevardcounty.us</t>
  </si>
  <si>
    <t>@ReadyBroward</t>
  </si>
  <si>
    <t>http://www.broward.org/Pages/Welcome.aspx</t>
  </si>
  <si>
    <t>@CCOEM</t>
  </si>
  <si>
    <t>http://www.charlottecountyfl.gov/Pages/default.aspx</t>
  </si>
  <si>
    <t>@CitrusConnects</t>
  </si>
  <si>
    <t>https://www.facebook.com/CitrusCountyBOCC</t>
  </si>
  <si>
    <t>http://www.bocc.citrus.fl.us/government.htm</t>
  </si>
  <si>
    <t>@ClayCounty_EM</t>
  </si>
  <si>
    <t>https://www.facebook.com/ClayCtyBCC</t>
  </si>
  <si>
    <t>http://www.claycountygov.com</t>
  </si>
  <si>
    <t>@CollierEM</t>
  </si>
  <si>
    <t>http://www.facebook.com/CollierGov</t>
  </si>
  <si>
    <t>http://www.colliergov.net</t>
  </si>
  <si>
    <t>@ColumbiaSheriff</t>
  </si>
  <si>
    <t>https://www.facebook.com/pages/Columbia-County-Sheriffs-Office/160149727474851</t>
  </si>
  <si>
    <t>http://www.columbiacountyfla.com</t>
  </si>
  <si>
    <t>@DeSotoCountyEM</t>
  </si>
  <si>
    <t>http://www.facebook.com/pages/DeSoto-County-Government/207994822559819</t>
  </si>
  <si>
    <t>http://www.co.desoto.fl.us</t>
  </si>
  <si>
    <t>http://dixie.fl.gov</t>
  </si>
  <si>
    <t>http://www.coj.net</t>
  </si>
  <si>
    <t>@myescambia</t>
  </si>
  <si>
    <t>http://www.co.escambia.fl.us</t>
  </si>
  <si>
    <t>@FlaglerEM</t>
  </si>
  <si>
    <t>http://www.flaglercounty.org</t>
  </si>
  <si>
    <t>http://www.franklincountyflorida.com</t>
  </si>
  <si>
    <t>http://www.gadsdengov.net</t>
  </si>
  <si>
    <t>http://gilchrist.fl.us</t>
  </si>
  <si>
    <t>@GladesCountyEM</t>
  </si>
  <si>
    <t>http://www.myglades.com</t>
  </si>
  <si>
    <t>@GulfCountyEM</t>
  </si>
  <si>
    <t>http://www.facebook.com/GulfCountyEmergencyManagement</t>
  </si>
  <si>
    <t>http://www.gulfcounty-fl.gov</t>
  </si>
  <si>
    <t>http://www.hamiltoncountyflorida.com</t>
  </si>
  <si>
    <t>@hcsheriff</t>
  </si>
  <si>
    <t>http://www.hardeecounty.net</t>
  </si>
  <si>
    <t>http://www.hendryfla.net</t>
  </si>
  <si>
    <t>@HernandoSheriff</t>
  </si>
  <si>
    <t>https://www.facebook.com/HernandoCoGov</t>
  </si>
  <si>
    <t>http://www.co.hernando.fl.us</t>
  </si>
  <si>
    <t>http://www.hcbcc.net/</t>
  </si>
  <si>
    <t>@HillsboroughFL</t>
  </si>
  <si>
    <t>http://www.facebook.com/HillsboroughCountyFL</t>
  </si>
  <si>
    <t>http://www.hillsboroughcounty.org</t>
  </si>
  <si>
    <t>http://www.holmescountyfl.org</t>
  </si>
  <si>
    <t>@IRCGOV</t>
  </si>
  <si>
    <t>https://www.facebook.com/IRCGOV</t>
  </si>
  <si>
    <t>http://www.ircgov.com</t>
  </si>
  <si>
    <t>https://www.facebook.com/pages/Jackson-County-Sheriffs-Office/177386959076019</t>
  </si>
  <si>
    <t>http://www.jacksoncountyfl.net</t>
  </si>
  <si>
    <t>http://www.jeffersoncountyfl.gov</t>
  </si>
  <si>
    <t>http://www.lafayettecountyflorida.org</t>
  </si>
  <si>
    <t>@lakegov</t>
  </si>
  <si>
    <t>http://www.facebook.com/LakeCountyFLBCC?v=wall</t>
  </si>
  <si>
    <t>http://www.lakecountyfl.gov</t>
  </si>
  <si>
    <t>@LeeEOC</t>
  </si>
  <si>
    <t>http://www.facebook.com/LCEMFL</t>
  </si>
  <si>
    <t>http://www.leegov.com/Pages/default.aspx</t>
  </si>
  <si>
    <t>@LeonCounty</t>
  </si>
  <si>
    <t>https://www.facebook.com/pages/Leon-County/140978009255170</t>
  </si>
  <si>
    <t>http://cms.leoncountyfl.gov</t>
  </si>
  <si>
    <t>@Levysostar</t>
  </si>
  <si>
    <t>http://www.levycounty.org</t>
  </si>
  <si>
    <t>http://libertybocc.com</t>
  </si>
  <si>
    <t>http://www.madisoncountyfl.com</t>
  </si>
  <si>
    <t>@ManateeGov</t>
  </si>
  <si>
    <t>http://www.facebook.com/manatee.county.fl</t>
  </si>
  <si>
    <t>http://www.mymanatee.org</t>
  </si>
  <si>
    <t>@MarionCountyFL</t>
  </si>
  <si>
    <t>http://www.facebook.com/MarionCountyFlorida</t>
  </si>
  <si>
    <t>http://www.marioncountyfl.org</t>
  </si>
  <si>
    <t>@MartinCountyFl</t>
  </si>
  <si>
    <t>https://www.facebook.com/MartinCountyBoardofCountyCommissioners</t>
  </si>
  <si>
    <t>http://www.martin.fl.us/</t>
  </si>
  <si>
    <t>@MiamiDadeCounty</t>
  </si>
  <si>
    <t>http://www.facebook.com/miami.dade.county?fref=ts</t>
  </si>
  <si>
    <t>http://miamidade.gov/</t>
  </si>
  <si>
    <t>@monroecounty</t>
  </si>
  <si>
    <t>http://www.facebook.com/pages/Monroe-County-Florida/157345984315128</t>
  </si>
  <si>
    <t>http://www.monroecounty-fl.gov</t>
  </si>
  <si>
    <t>@NassauCOFL</t>
  </si>
  <si>
    <t>http://www.facebook.com/pages/Nassau-County-FL/94813812325</t>
  </si>
  <si>
    <t>http://www.nassaucountyfl.com</t>
  </si>
  <si>
    <t>@OCSOALERTS</t>
  </si>
  <si>
    <t>http://www.facebook.com/OkaloosaSheriff</t>
  </si>
  <si>
    <t>http://www.co.okaloosa.fl.us/index.asp</t>
  </si>
  <si>
    <t>@okeechobeeeoc</t>
  </si>
  <si>
    <t>https://www.facebook.com/okeechobeesheriff</t>
  </si>
  <si>
    <t>http://www.co.okeechobee.fl.us</t>
  </si>
  <si>
    <t>@OrangeCoFL</t>
  </si>
  <si>
    <t>http://www.facebook.com/OrangeCountyFL</t>
  </si>
  <si>
    <t>http://www.ocfl.net</t>
  </si>
  <si>
    <t>@OsceolaCountyFl</t>
  </si>
  <si>
    <t>http://www.facebook.com/OsceolaCountyFL?rf=143599492317136</t>
  </si>
  <si>
    <t>http://www.osceola.org</t>
  </si>
  <si>
    <t>@PBCDEM</t>
  </si>
  <si>
    <t>http://www.facebook.com/PBCDEM</t>
  </si>
  <si>
    <t>http://www.co.palm-beach.fl.us</t>
  </si>
  <si>
    <t>@PascoCounty_FL</t>
  </si>
  <si>
    <t>http://www.facebook.com/PascoCountyFloridaConnection</t>
  </si>
  <si>
    <t>http://www.pascocountyfl.net</t>
  </si>
  <si>
    <t>@PinellasCounty</t>
  </si>
  <si>
    <t>http://www.facebook.com/PinellasCountyNews?ref=ts&amp;fref=ts</t>
  </si>
  <si>
    <t>http://pinellascounty.org</t>
  </si>
  <si>
    <t>@PolkCountyFL</t>
  </si>
  <si>
    <t>http://www.facebook.com/polkcountygovfl</t>
  </si>
  <si>
    <t>http://www.polk-county.net</t>
  </si>
  <si>
    <t>@PutnamCountyEM</t>
  </si>
  <si>
    <t>https://www.facebook.com/PutnamCountySheriffsOffice</t>
  </si>
  <si>
    <t>http://www.putnam-fl.com/bocc/</t>
  </si>
  <si>
    <t>@SRCBOCC</t>
  </si>
  <si>
    <t>https://www.facebook.com/santarosasheriff</t>
  </si>
  <si>
    <t>http://www.santarosa.fl.gov</t>
  </si>
  <si>
    <t>@CityofSarasota  @scgovEOC</t>
  </si>
  <si>
    <t>https://www.facebook.com/SarasotaCountySheriff</t>
  </si>
  <si>
    <t>https://www.scgov.net/Pages/default.aspx</t>
  </si>
  <si>
    <t>@seminolecounty</t>
  </si>
  <si>
    <t>http://www.facebook.com/SeminoleCounty</t>
  </si>
  <si>
    <t>http://www.seminolecountyfl.gov/index.aspx</t>
  </si>
  <si>
    <t>@StJohnsCounty</t>
  </si>
  <si>
    <t>https://www.facebook.com/SJCFL</t>
  </si>
  <si>
    <t>http://www.co.st-johns.fl.us</t>
  </si>
  <si>
    <t>https://www.facebook.com/stluciesheriff</t>
  </si>
  <si>
    <t>http://www.stlucieco.gov</t>
  </si>
  <si>
    <t>@SCSOFL</t>
  </si>
  <si>
    <t>http://sumtercountyfl.gov</t>
  </si>
  <si>
    <t>http://www.suwcounty.org</t>
  </si>
  <si>
    <t>http://www.taylorcountygov.com</t>
  </si>
  <si>
    <t>http://www.unionsheriff.us</t>
  </si>
  <si>
    <t>@VCEmergencyInfo</t>
  </si>
  <si>
    <t>http://www.facebook.com/VolusiaCountyEmergencyManagement</t>
  </si>
  <si>
    <t>http://www.volusia.org</t>
  </si>
  <si>
    <t>https://www.facebook.com/pages/Wakulla-County-Sheriffs-Office/133036833383243</t>
  </si>
  <si>
    <t>http://www.mywakulla.com</t>
  </si>
  <si>
    <t>https://www.facebook.com/WaltonCountySheriff</t>
  </si>
  <si>
    <t>http://www.co.walton.fl.us</t>
  </si>
  <si>
    <t>http://www.washingtonfl.com</t>
  </si>
  <si>
    <t>PSC Regulated Electric Companies</t>
  </si>
  <si>
    <t>http://www.floridapsc.com/utilities/mcd/Display.aspx?numPerPage=50</t>
  </si>
  <si>
    <t>PSC Regulated Gas Companies</t>
  </si>
  <si>
    <t>PSC Water/Wastewater Companies</t>
  </si>
  <si>
    <t>Orlando Utilities Commission</t>
  </si>
  <si>
    <t>@OUCreliableone</t>
  </si>
  <si>
    <t>http://www.facebook.com/oucthereliableone</t>
  </si>
  <si>
    <t>http://www.ouc.com/en/homepage.aspx</t>
  </si>
  <si>
    <t>Florida Power &amp; Light</t>
  </si>
  <si>
    <t>@insideFPL</t>
  </si>
  <si>
    <t>http://www.facebook.com/fplconnect</t>
  </si>
  <si>
    <t>http://www.fpl.com</t>
  </si>
  <si>
    <t>TECO</t>
  </si>
  <si>
    <t>@TECOEnergy</t>
  </si>
  <si>
    <t>http://www.facebook.com/tecoenergyinc</t>
  </si>
  <si>
    <t>http://www.tecoenergy.com</t>
  </si>
  <si>
    <t>Progress Energy Florida</t>
  </si>
  <si>
    <t>@ProgEnergyFL</t>
  </si>
  <si>
    <t>https://www.facebook.com/ProgressEnergyFlorida</t>
  </si>
  <si>
    <t>https://www.progress-energy.com/index.page</t>
  </si>
  <si>
    <t>Lake Worth Utilities</t>
  </si>
  <si>
    <t>http://www.lakeworth.org/index.asp?Type=B_BASIC&amp;SEC=%7BDED3ACD3-8D7E-4939-8A8D-62D9D838FB43%7D</t>
  </si>
  <si>
    <t>JEA</t>
  </si>
  <si>
    <t>@NewsfromJEA</t>
  </si>
  <si>
    <t>https://www.jea.com</t>
  </si>
  <si>
    <t>Lakeland Electric</t>
  </si>
  <si>
    <t>http://www.lakelandelectric.com</t>
  </si>
  <si>
    <t>Gulf Power, a part of the Southern Company</t>
  </si>
  <si>
    <t>@GulfPower</t>
  </si>
  <si>
    <t>http://www.facebook.com/GulfPowerCompany?ref=sgm</t>
  </si>
  <si>
    <t>http://www.gulfpower.com</t>
  </si>
  <si>
    <t>Kissimmee Utility Authority</t>
  </si>
  <si>
    <t>http://www.kua.com</t>
  </si>
  <si>
    <t>Ocala Electric</t>
  </si>
  <si>
    <t>@OUSinfo</t>
  </si>
  <si>
    <t>http://www.facebook.com/OcalaUtilityServices</t>
  </si>
  <si>
    <t>http://www.ocalafl.org/us/</t>
  </si>
  <si>
    <t>Florida Public Utility Company Palm Beach</t>
  </si>
  <si>
    <t>http://www.fpuc.com</t>
  </si>
  <si>
    <t>Florida Municipal Power Agency</t>
  </si>
  <si>
    <t>http://www.fmpa.com</t>
  </si>
  <si>
    <t>LCEC</t>
  </si>
  <si>
    <t>@LCECSWFL</t>
  </si>
  <si>
    <t>http://www.facebook.com/LCEC1?fref=ts</t>
  </si>
  <si>
    <t>https://www.lcec.net</t>
  </si>
  <si>
    <t>Gainesville Regional Utilities</t>
  </si>
  <si>
    <t>@GRUStormCentral</t>
  </si>
  <si>
    <t>http://www.facebook.com/gru4u?fref=ts</t>
  </si>
  <si>
    <t>https://www.gru.com</t>
  </si>
  <si>
    <t>City of Tallahassee utilities</t>
  </si>
  <si>
    <t>http://www.talgov.com/you/yourownutilitieshome.aspx</t>
  </si>
  <si>
    <t>Aqua America - Florida</t>
  </si>
  <si>
    <t>@Aqua_America</t>
  </si>
  <si>
    <t>https://www.aquaamerica.com/our-states/florida.aspx</t>
  </si>
  <si>
    <t>Hialeah Department of Water and Sewers</t>
  </si>
  <si>
    <t>Miami-Dade Water and Sewer Department</t>
  </si>
  <si>
    <t>http://www.facebook.com/miami.dade.county</t>
  </si>
  <si>
    <t>http://www.miamidade.gov/water/</t>
  </si>
  <si>
    <t>St. Petersburg Water Resources Department</t>
  </si>
  <si>
    <t>@StPeteFL</t>
  </si>
  <si>
    <t>http://www.facebook.com/pages/City-of-St-Petersburg-Florida-USA/196596577315?ref=ts&amp;fref=ts</t>
  </si>
  <si>
    <t>http://www.stpete.org/water/</t>
  </si>
  <si>
    <t>Tampa Water Department</t>
  </si>
  <si>
    <t>@CityofTampa</t>
  </si>
  <si>
    <t>http://www.facebook.com/TampaGov</t>
  </si>
  <si>
    <t>http://www.tampagov.net/dept_water/</t>
  </si>
  <si>
    <t>AirNav.com</t>
  </si>
  <si>
    <t>http://www.airnav.com/airports/us/FL</t>
  </si>
  <si>
    <t>Fl Aviation Office (FL DOT)</t>
  </si>
  <si>
    <t>http://www.dot.state.fl.us/aviation/default.shtml</t>
  </si>
  <si>
    <t>List of Florida airports</t>
  </si>
  <si>
    <t>http://en.wikipedia.org/wiki/List_of_airports_in_Florida</t>
  </si>
  <si>
    <t>Daytona Beach International Airport</t>
  </si>
  <si>
    <t>http://www.facebook.com/flydaytonafirst</t>
  </si>
  <si>
    <t>http://flydaytonafirst.com</t>
  </si>
  <si>
    <t>Fort Lauderdale-Hollywood International Airport</t>
  </si>
  <si>
    <t>http://www.facebook.com/pages/Fort-Lauderdale-Hollywood-International-Airport-FLL/180125238675743</t>
  </si>
  <si>
    <t>http://www.broward.org/airport/Pages/Default.aspx</t>
  </si>
  <si>
    <t>Southwest Florida International Airport</t>
  </si>
  <si>
    <t>http://www.facebook.com/flyRSW</t>
  </si>
  <si>
    <t>http://flylcpa.com</t>
  </si>
  <si>
    <t>Gainesville Regional Airport</t>
  </si>
  <si>
    <t>@GNVAirport</t>
  </si>
  <si>
    <t>http://www.facebook.com/pages/Gainesville-Regional-Airport/73800806200</t>
  </si>
  <si>
    <t>http://www.gra-gnv.com</t>
  </si>
  <si>
    <t>Jacksonville International Airport</t>
  </si>
  <si>
    <t>@JAXairport</t>
  </si>
  <si>
    <t>http://www.facebook.com/flyjacksonville</t>
  </si>
  <si>
    <t>http://www.flyjax.com</t>
  </si>
  <si>
    <t>Key West International Airport</t>
  </si>
  <si>
    <t>http://www.keywestinternationalairport.com</t>
  </si>
  <si>
    <t>Melbourne International Airport</t>
  </si>
  <si>
    <t>@FlyMLB</t>
  </si>
  <si>
    <t>http://www.facebook.com/FlyOrlandoMelbourne</t>
  </si>
  <si>
    <t>http://www.mlbair.com</t>
  </si>
  <si>
    <t>Miami International Airport</t>
  </si>
  <si>
    <t>@Miami_Airport</t>
  </si>
  <si>
    <t>http://www.miami-airport.com</t>
  </si>
  <si>
    <t>Orlando International Airport</t>
  </si>
  <si>
    <t>@MCO</t>
  </si>
  <si>
    <t>http://www.facebook.com/OrlandoInternationalAirport</t>
  </si>
  <si>
    <t>http://www.orlandoairports.net</t>
  </si>
  <si>
    <t>Orlando Sanford International Airport</t>
  </si>
  <si>
    <t>@SFB_Airport</t>
  </si>
  <si>
    <t>http://www.facebook.com/pages/Orlando-Sanford-International-Airport-SFB/128587715488</t>
  </si>
  <si>
    <t>http://www.orlandosanfordairport.com</t>
  </si>
  <si>
    <t>Northwest Florida Beaches International Airport</t>
  </si>
  <si>
    <t>@IFlyBeaches</t>
  </si>
  <si>
    <t>https://www.facebook.com/iflybeaches</t>
  </si>
  <si>
    <t>http://www.iflybeaches.com</t>
  </si>
  <si>
    <t>Pensacola International Airport</t>
  </si>
  <si>
    <t>@flypensacola</t>
  </si>
  <si>
    <t>http://www.facebook.com/FlyPensacola</t>
  </si>
  <si>
    <t>http://www.flypensacola.com</t>
  </si>
  <si>
    <t>Charlotte County Airport</t>
  </si>
  <si>
    <t>http://www.flypgd.com</t>
  </si>
  <si>
    <t>Sarasota-Bradenton International Airport</t>
  </si>
  <si>
    <t>https://www.facebook.com/pages/Sarasota-Bradenton-International-Airport-SRQ/212953122061993?sk=wall</t>
  </si>
  <si>
    <t>http://www.srq-airport.com</t>
  </si>
  <si>
    <t>Northeast Florida Regional Airport (was St. Augustine Airport)</t>
  </si>
  <si>
    <t>@flyust</t>
  </si>
  <si>
    <t>http://www.facebook.com/pages/Northeast-Florida-Regional-Airport/150187361673054</t>
  </si>
  <si>
    <t>http://www.flynfra.com</t>
  </si>
  <si>
    <t>St. Petersburg-Clearwater International Airport</t>
  </si>
  <si>
    <t>http://www.facebook.com/Fly2PIE</t>
  </si>
  <si>
    <t>http://www.fly2pie.com</t>
  </si>
  <si>
    <t>Tallahassee Regional Airport</t>
  </si>
  <si>
    <t>@iFlyTallahassee</t>
  </si>
  <si>
    <t>http://www.facebook.com/FlyTallahassee</t>
  </si>
  <si>
    <t>http://www.talgov.com/airport/airporthome.aspx</t>
  </si>
  <si>
    <t>Tampa International Airport</t>
  </si>
  <si>
    <t>@FlyTPA</t>
  </si>
  <si>
    <t>http://www.facebook.com/FlyTPA</t>
  </si>
  <si>
    <t>http://www.tampaairport.com</t>
  </si>
  <si>
    <t>Northwest Florida Regional Airport / Eglin Air Force Base</t>
  </si>
  <si>
    <t>@FlyVPS</t>
  </si>
  <si>
    <t>http://www.facebook.com/flyvps?fref=ts</t>
  </si>
  <si>
    <t>http://www.flyvps.com</t>
  </si>
  <si>
    <t>Palm Beach International Airport</t>
  </si>
  <si>
    <t>http://www.facebook.com/pages/Palm-Beach-International-Airport-PBI/160698254009105</t>
  </si>
  <si>
    <t>http://www.pbia.org</t>
  </si>
  <si>
    <t>Florida Seaports</t>
  </si>
  <si>
    <t>http://www.flaports.org/Sub_Content2.aspx?id=3</t>
  </si>
  <si>
    <t>Port of Fernandina</t>
  </si>
  <si>
    <t>http://www.portoffernandina.org/</t>
  </si>
  <si>
    <t>Port of Fort Pierce</t>
  </si>
  <si>
    <t>http://www.flaports.org/Sub_Content3.aspx?id=18&amp;pid=3</t>
  </si>
  <si>
    <t>Port of Jacksonville</t>
  </si>
  <si>
    <t>@JAXPORT</t>
  </si>
  <si>
    <t>https://www.facebook.com/JacksonvillePortAuthority</t>
  </si>
  <si>
    <t>http://www.jaxport.com/home</t>
  </si>
  <si>
    <t>Port of Key West</t>
  </si>
  <si>
    <t>http://www.flaports.org/Sub_Content3.aspx?id=20&amp;pid=3</t>
  </si>
  <si>
    <t>Port of Panama City</t>
  </si>
  <si>
    <t>http://www.portpanamacityusa.com/</t>
  </si>
  <si>
    <t>Port of Port St. Joe</t>
  </si>
  <si>
    <t>http://www.portofportstjoe.com/</t>
  </si>
  <si>
    <t>Port of Pensacola</t>
  </si>
  <si>
    <t>http://portofpensacola.com/</t>
  </si>
  <si>
    <t>Port of St. Petersburg</t>
  </si>
  <si>
    <t>http://www.stpete.org/port/</t>
  </si>
  <si>
    <t>Port of Tampa</t>
  </si>
  <si>
    <t>@portoftampa</t>
  </si>
  <si>
    <t>https://www.facebook.com/TampaPortAuthority</t>
  </si>
  <si>
    <t>http://www.tampaport.com/</t>
  </si>
  <si>
    <t>Port of Palm Beach</t>
  </si>
  <si>
    <t>https://www.facebook.com/PortofPalmBeachDistrict</t>
  </si>
  <si>
    <t>http://www.portofpalmbeach.com/</t>
  </si>
  <si>
    <t>Port Miami</t>
  </si>
  <si>
    <t>http://www.miamidade.gov/portmiami/</t>
  </si>
  <si>
    <t>Port Citrus</t>
  </si>
  <si>
    <t>http://portcitrus.com/</t>
  </si>
  <si>
    <t>Port Everglades</t>
  </si>
  <si>
    <t>@PortEverglades</t>
  </si>
  <si>
    <t>https://www.facebook.com/port.everglades</t>
  </si>
  <si>
    <t>http://www.porteverglades.net/about-us/</t>
  </si>
  <si>
    <t>Port Canveral</t>
  </si>
  <si>
    <t>@canaveralport</t>
  </si>
  <si>
    <t>https://www.facebook.com/portcanaveral</t>
  </si>
  <si>
    <t>http://www.portcanaveral.com/</t>
  </si>
  <si>
    <t>NEWS LINK - Florida newspapers</t>
  </si>
  <si>
    <t>http://www.newslink.org/flnews.html</t>
  </si>
  <si>
    <t>NEWS LINK - Florida radio stations</t>
  </si>
  <si>
    <t>http://www.newslink.org/flradi.html</t>
  </si>
  <si>
    <t>NEWS LINK - Florida TV stations</t>
  </si>
  <si>
    <t>http://www.newslink.org/fltele.html</t>
  </si>
  <si>
    <t>Miami Hearld</t>
  </si>
  <si>
    <t>@MiamiHerald</t>
  </si>
  <si>
    <t>https://www.facebook.com/pages/The-Miami-Herald/38925837299</t>
  </si>
  <si>
    <t>http://www.miamiherald.com/</t>
  </si>
  <si>
    <t>Miami Times</t>
  </si>
  <si>
    <t>@TheMiamiTimes</t>
  </si>
  <si>
    <t>https://www.facebook.com/pages/The-Miami-Times/302328453110742</t>
  </si>
  <si>
    <t>http://miamitimesonline.com/</t>
  </si>
  <si>
    <t>Orlando Sentinel</t>
  </si>
  <si>
    <t>@orlandosentinel</t>
  </si>
  <si>
    <t>https://www.facebook.com/orlandosentinel</t>
  </si>
  <si>
    <t>http://www.orlandosentinel.com/</t>
  </si>
  <si>
    <t>Jacksonville Florida Star</t>
  </si>
  <si>
    <t>@TheFloridaStar</t>
  </si>
  <si>
    <t>https://www.facebook.com/TheFloridaStarNewspaper?v=wall</t>
  </si>
  <si>
    <t>http://www.thefloridastar.com/</t>
  </si>
  <si>
    <t>Jacksonville Florida Times-Union</t>
  </si>
  <si>
    <t>@jaxdotcom</t>
  </si>
  <si>
    <t>https://www.facebook.com/FLTimesUnion</t>
  </si>
  <si>
    <t>http://jacksonville.com/</t>
  </si>
  <si>
    <t>Tampa Tribune</t>
  </si>
  <si>
    <t>@TBOcom</t>
  </si>
  <si>
    <t>http://tbo.com/</t>
  </si>
  <si>
    <t>Tampa Bay Times (St. Petersburg)</t>
  </si>
  <si>
    <t>@tb_times</t>
  </si>
  <si>
    <t>https://www.facebook.com/tampabaycom</t>
  </si>
  <si>
    <t>http://www.tampabay.com/</t>
  </si>
  <si>
    <t>Jacksonville Fox WAWS</t>
  </si>
  <si>
    <t>@FACEofFOX30</t>
  </si>
  <si>
    <t>https://www.facebook.com/ActionNewsJacksonville</t>
  </si>
  <si>
    <t>http://www.fox30jax.com/default.aspx</t>
  </si>
  <si>
    <t>Jacksonville ABC/NBC Affliates</t>
  </si>
  <si>
    <t>@FCN2go</t>
  </si>
  <si>
    <t>https://www.facebook.com/FirstCoastNews</t>
  </si>
  <si>
    <t>http://www.firstcoastnews.com/</t>
  </si>
  <si>
    <t>Jacksonville News 4</t>
  </si>
  <si>
    <t>@wjxt4</t>
  </si>
  <si>
    <t>https://www.facebook.com/WJXT4TheLocalStation</t>
  </si>
  <si>
    <t>http://www.news4jax.com/</t>
  </si>
  <si>
    <t>Miami CBS</t>
  </si>
  <si>
    <t>@CBSMiami</t>
  </si>
  <si>
    <t>https://www.facebook.com/CBSMiami</t>
  </si>
  <si>
    <t>http://miami.cbslocal.com/</t>
  </si>
  <si>
    <t>Miami Local 10</t>
  </si>
  <si>
    <t>@WPLGLocal10</t>
  </si>
  <si>
    <t>https://www.facebook.com/WPLGLocal10</t>
  </si>
  <si>
    <t>http://www.local10.com/</t>
  </si>
  <si>
    <t>Miami 7 News</t>
  </si>
  <si>
    <t>@wsvn</t>
  </si>
  <si>
    <t>https://www.facebook.com/7NewsMiami</t>
  </si>
  <si>
    <t>http://www.wsvn.com/</t>
  </si>
  <si>
    <t>Miami NBC</t>
  </si>
  <si>
    <t>@nbc6</t>
  </si>
  <si>
    <t>https://www.facebook.com/NBCMiami</t>
  </si>
  <si>
    <t>http://www.nbcmiami.com/</t>
  </si>
  <si>
    <t>Orlando NBC</t>
  </si>
  <si>
    <t>@WESH</t>
  </si>
  <si>
    <t>https://www.facebook.com/wesh2news</t>
  </si>
  <si>
    <t>http://www.wesh.com/</t>
  </si>
  <si>
    <t>Orlando ABC</t>
  </si>
  <si>
    <t>@WFTV</t>
  </si>
  <si>
    <t>https://www.facebook.com/wftv</t>
  </si>
  <si>
    <t>http://www.wftv.com/</t>
  </si>
  <si>
    <t>Orlando Fox</t>
  </si>
  <si>
    <t>@MyFoxOrlando</t>
  </si>
  <si>
    <t>https://www.facebook.com/FOX35News</t>
  </si>
  <si>
    <t>http://www.myfoxorlando.com/</t>
  </si>
  <si>
    <t>Tampa NBC</t>
  </si>
  <si>
    <t>@wflatampa</t>
  </si>
  <si>
    <t>https://www.facebook.com/WFLANewsChannel8</t>
  </si>
  <si>
    <t>http://www.wfla.com/</t>
  </si>
  <si>
    <t>Tampa ABC</t>
  </si>
  <si>
    <t>@abcactionnews</t>
  </si>
  <si>
    <t>https://www.facebook.com/tampabaynews</t>
  </si>
  <si>
    <t>http://www.abcactionnews.com/</t>
  </si>
  <si>
    <t>Tampa Fox</t>
  </si>
  <si>
    <t>@MyFoxTampaBay</t>
  </si>
  <si>
    <t>https://www.facebook.com/FOX13TampaBay</t>
  </si>
  <si>
    <t>http://www.myfoxtampabay.com/</t>
  </si>
  <si>
    <t>Florida College System Directory</t>
  </si>
  <si>
    <t>http://data.fldoe.org/workforce/contacts/default.cfm?action=showList&amp;ListID=52</t>
  </si>
  <si>
    <t>links to schools</t>
  </si>
  <si>
    <t>FL State University System</t>
  </si>
  <si>
    <t>@FLBOG</t>
  </si>
  <si>
    <t>https://www.facebook.com/FLBOG</t>
  </si>
  <si>
    <t>http://www.flbog.edu/aboutsus/universities/</t>
  </si>
  <si>
    <t>links to universities</t>
  </si>
  <si>
    <t>wikipedia list - check links</t>
  </si>
  <si>
    <t>Other / notes</t>
  </si>
  <si>
    <t>@georgiagov</t>
  </si>
  <si>
    <t>http://www.facebook.com/georgiagov</t>
  </si>
  <si>
    <t>http://georgia.gov/</t>
  </si>
  <si>
    <t>Georgia EMA</t>
  </si>
  <si>
    <t>@GeorgiaEMA</t>
  </si>
  <si>
    <t>http://www.facebook.com/GEMA.OHS?ref=ts</t>
  </si>
  <si>
    <t>http://georgia.gov/agencies/georgia-emergency-management-agency</t>
  </si>
  <si>
    <t>Georgia Wildlife Rescue</t>
  </si>
  <si>
    <t>Georgia Highway Safety</t>
  </si>
  <si>
    <t>@gohsgeorgia</t>
  </si>
  <si>
    <t>https://www.facebook.com/GAHighwaySafety</t>
  </si>
  <si>
    <t>http://www.gahighwaysafety.org/</t>
  </si>
  <si>
    <t>Georgia DOE</t>
  </si>
  <si>
    <t>http://georgia.gov/agencies/georgia-department-education</t>
  </si>
  <si>
    <t>Georgia Ports Authority</t>
  </si>
  <si>
    <t>http://www.gaports.com/</t>
  </si>
  <si>
    <t>Georgia DOT</t>
  </si>
  <si>
    <t>@GADeptofTrans</t>
  </si>
  <si>
    <t>https://www.facebook.com/GeorgiaDOT</t>
  </si>
  <si>
    <t>http://www.dot.ga.gov/Pages/default.aspx</t>
  </si>
  <si>
    <t>@Cityofatlanta</t>
  </si>
  <si>
    <t>https://www.facebook.com/cityofatlanta</t>
  </si>
  <si>
    <t>http://www.atlantaga.gov/</t>
  </si>
  <si>
    <t>Fulton</t>
  </si>
  <si>
    <t>@accgov</t>
  </si>
  <si>
    <t>https://www.facebook.com/accgov?ref=mf</t>
  </si>
  <si>
    <t>http://www.athensclarkecounty.com/</t>
  </si>
  <si>
    <t>Clarke</t>
  </si>
  <si>
    <t>@Columbus_GA</t>
  </si>
  <si>
    <t>http://www.columbusga.org/</t>
  </si>
  <si>
    <t>Muscogee</t>
  </si>
  <si>
    <t>@MayorReichert</t>
  </si>
  <si>
    <t>https://www.facebook.com/mayorreichert</t>
  </si>
  <si>
    <t>http://www.cityofmacon.net/</t>
  </si>
  <si>
    <t>Bibb</t>
  </si>
  <si>
    <t>@cityofsavannah</t>
  </si>
  <si>
    <t>https://www.facebook.com/cityofsavannah</t>
  </si>
  <si>
    <t>http://www.savannahga.gov/</t>
  </si>
  <si>
    <t>Chatham</t>
  </si>
  <si>
    <t>Cities &amp; Counties - georgia.gov list</t>
  </si>
  <si>
    <t>http://georgia.gov/municipality-list</t>
  </si>
  <si>
    <t>w/local info. &amp; links</t>
  </si>
  <si>
    <t>The municipalities listed below merged with their counties to form consolidated city-counties.</t>
  </si>
  <si>
    <t>http://www.baxley.org/</t>
  </si>
  <si>
    <t>http://www.atkinsonga.org/</t>
  </si>
  <si>
    <t>http://www.almaone.com/</t>
  </si>
  <si>
    <t>http://www.bakercountyga.org/</t>
  </si>
  <si>
    <t>http://www.baldwincountyga.com/</t>
  </si>
  <si>
    <t>https://www.facebook.com/pages/Banks-County-Sheriffs-Office/443442442388518</t>
  </si>
  <si>
    <t>http://www.bankscountyga.org/</t>
  </si>
  <si>
    <t>https://www.facebook.com/pages/Barrow-County-Emergency-Services/230247247012720</t>
  </si>
  <si>
    <t>http://www.barrowga.org/</t>
  </si>
  <si>
    <t>https://www.facebook.com/pages/Bartow-County-Sheriffs-Office-Official/197099780388466</t>
  </si>
  <si>
    <t>http://www.bartowga.org/</t>
  </si>
  <si>
    <t>http://www.benhillcounty.com/</t>
  </si>
  <si>
    <t>http://www.berriencountygeorgia.com/</t>
  </si>
  <si>
    <t>@BibbCounty</t>
  </si>
  <si>
    <t>https://www.facebook.com/bcboc</t>
  </si>
  <si>
    <t>http://www.co.bibb.ga.us/</t>
  </si>
  <si>
    <t>http://www.bleckley.org/</t>
  </si>
  <si>
    <t>http://www.brantleycountyga.blogspot.com/</t>
  </si>
  <si>
    <t>http://www.brookscountyga.us/</t>
  </si>
  <si>
    <t>@BryanCountyEMA</t>
  </si>
  <si>
    <t>https://www.facebook.com/pages/Bryan-County-Commissioners-Office/110975788968541</t>
  </si>
  <si>
    <t>http://www.bryancountyga.org/</t>
  </si>
  <si>
    <t>@Bulloch_County</t>
  </si>
  <si>
    <t>https://www.facebook.com/pages/Bulloch-County-Public-SafetyEMA/549668325066065</t>
  </si>
  <si>
    <t>http://bullochcounty.net/</t>
  </si>
  <si>
    <t>https://www.facebook.com/pages/Burke-County/103089683062333</t>
  </si>
  <si>
    <t>http://www.burkecounty-ga.gov/</t>
  </si>
  <si>
    <t>@ButtsCountyGov</t>
  </si>
  <si>
    <t>https://www.facebook.com/ButtsCounty?ref=ts</t>
  </si>
  <si>
    <t>http://buttscountyga.com/</t>
  </si>
  <si>
    <t>http://calhouncountyga.com/</t>
  </si>
  <si>
    <t>@CamdenCountyGA</t>
  </si>
  <si>
    <t>https://www.facebook.com/CamdenCountyGA?sk=wall</t>
  </si>
  <si>
    <t>http://www.co.camden.ga.us/</t>
  </si>
  <si>
    <t>http://www.metter-candler.com/</t>
  </si>
  <si>
    <t>@carrollcountyga</t>
  </si>
  <si>
    <t>https://www.facebook.com/carrollcountyga</t>
  </si>
  <si>
    <t>http://www.carrollcountyga.com/</t>
  </si>
  <si>
    <t>@CatoosaGa</t>
  </si>
  <si>
    <t>https://www.facebook.com/CatoosaCountySheriffsOffice</t>
  </si>
  <si>
    <t>http://www.catoosa.com/</t>
  </si>
  <si>
    <t>@CharltonCoEMA</t>
  </si>
  <si>
    <t>http://www.charltoncountyga.us/</t>
  </si>
  <si>
    <t>Chatham</t>
  </si>
  <si>
    <t>@ChathamEMA</t>
  </si>
  <si>
    <t>https://www.facebook.com/ChathamCounty?fref=ts&amp;rf=126184060757475</t>
  </si>
  <si>
    <t>http://www.chathamcounty.org/</t>
  </si>
  <si>
    <t>@yoloneco659</t>
  </si>
  <si>
    <t>http://www.ugoccc.us/</t>
  </si>
  <si>
    <t>Cusseta-Chattahoochee County</t>
  </si>
  <si>
    <t>@ChattoogaGA</t>
  </si>
  <si>
    <t>https://www.facebook.com/Chattooga</t>
  </si>
  <si>
    <t>http://chattoogacountyga.com/</t>
  </si>
  <si>
    <t>@CherokeeE911</t>
  </si>
  <si>
    <t>https://www.facebook.com/CherokeeCountyGa?ref=ts</t>
  </si>
  <si>
    <t>http://www.cherokeega.com/</t>
  </si>
  <si>
    <t>Athens-Clarke County</t>
  </si>
  <si>
    <t>http://www.claycountyga.org/</t>
  </si>
  <si>
    <t>@ClaytonCountyGa</t>
  </si>
  <si>
    <t>https://www.facebook.com/ClaytonCountyGeorgia</t>
  </si>
  <si>
    <t>http://www.claytoncountyga.gov/</t>
  </si>
  <si>
    <t>http://georgia.gov/cities-counties/clinch-county</t>
  </si>
  <si>
    <t>@cobbcountygovt</t>
  </si>
  <si>
    <t>https://www.facebook.com/pages/Cobb-County-Government/68050802558</t>
  </si>
  <si>
    <t>http://portal.cobbcountyga.gov/index.php</t>
  </si>
  <si>
    <t>http://ccboc.com/</t>
  </si>
  <si>
    <t>@columbiacntygov</t>
  </si>
  <si>
    <t>https://www.facebook.com/pages/Choose-Columbia-County-GA/56627197518?fref=ts</t>
  </si>
  <si>
    <t>http://www.columbiacountyga.gov/</t>
  </si>
  <si>
    <t>@cowetageorgia</t>
  </si>
  <si>
    <t>https://www.facebook.com/pages/Coweta-County/161794923838908</t>
  </si>
  <si>
    <t>http://www.coweta.ga.us/</t>
  </si>
  <si>
    <t>http://www.crawfordcountyga.org/site/index.php</t>
  </si>
  <si>
    <t>http://www.crispcounty.com/</t>
  </si>
  <si>
    <t>https://www.facebook.com/DadeGeorgia</t>
  </si>
  <si>
    <t>http://www.dadecounty-ga.gov/</t>
  </si>
  <si>
    <t>https://www.facebook.com/DawsonCountyGovernment</t>
  </si>
  <si>
    <t>http://www.dawsoncounty.org/</t>
  </si>
  <si>
    <t>https://www.facebook.com/pages/Decatur-County-Sheriff-Office-Georgia/151739828180168</t>
  </si>
  <si>
    <t>http://www.decaturcountyga.org/</t>
  </si>
  <si>
    <t>@DeKalbCountyGA</t>
  </si>
  <si>
    <t>http://www.dekalbcountyga.gov/</t>
  </si>
  <si>
    <t>http://www.dodgecountyga.com/</t>
  </si>
  <si>
    <t>http://doolycountyga.com/</t>
  </si>
  <si>
    <t>@CityofAlbanyGA</t>
  </si>
  <si>
    <t>http://www.albany.ga.us/content/1800/default.aspx</t>
  </si>
  <si>
    <t>Albany-Dougherty County</t>
  </si>
  <si>
    <t>https://www.facebook.com/douglas.county.happenings</t>
  </si>
  <si>
    <t>http://www.celebratedouglascounty.com/</t>
  </si>
  <si>
    <t>https://www.facebook.com/Echols.County?ref=ts</t>
  </si>
  <si>
    <t>http://www.echolscountygeorgia.com/</t>
  </si>
  <si>
    <t>https://www.facebook.com/EffinghamCountySO</t>
  </si>
  <si>
    <t>http://www.effinghamcounty.org/</t>
  </si>
  <si>
    <t>https://www.facebook.com/pages/Elberton-Elbert-County-Georgia-USA/120281629107</t>
  </si>
  <si>
    <t>http://www.elbertco.net/</t>
  </si>
  <si>
    <t>http://georgia.gov/cities-counties/emanuel-county</t>
  </si>
  <si>
    <t>http://www.evanscountyga.com/</t>
  </si>
  <si>
    <t>https://www.facebook.com/FanninCountyEMA</t>
  </si>
  <si>
    <t>http://fannincountyga.org/</t>
  </si>
  <si>
    <t>https://www.facebook.com/pages/Fayette-County-Georgia-Sheriffs-Office/132745640160063</t>
  </si>
  <si>
    <t>http://www.fayettecountyga.gov/default.htm</t>
  </si>
  <si>
    <t>@FloydCountyGovt</t>
  </si>
  <si>
    <t>https://www.facebook.com/FloydCoEMA</t>
  </si>
  <si>
    <t>http://www.romefloyd.com/</t>
  </si>
  <si>
    <t>Rome-Floyd County</t>
  </si>
  <si>
    <t>@ForsythCountyGa</t>
  </si>
  <si>
    <t>https://www.facebook.com/ForsythCountySO</t>
  </si>
  <si>
    <t>http://www.forsythco.com/</t>
  </si>
  <si>
    <t>http://www.franklincountyga.com/</t>
  </si>
  <si>
    <t>@FultonInfo</t>
  </si>
  <si>
    <t>https://www.facebook.com/pages/Fulton-County-Government/46520703030</t>
  </si>
  <si>
    <t>http://georgia.gov/cities-counties/fulton-county</t>
  </si>
  <si>
    <t>http://www.gilmercounty-ga.gov/</t>
  </si>
  <si>
    <t>http://www.glascockcountyga.com/</t>
  </si>
  <si>
    <t>@Sharing_Glynn</t>
  </si>
  <si>
    <t>https://www.facebook.com/pages/Glynn-County-Board-of-Commissioners/131203025771</t>
  </si>
  <si>
    <t>https://glynncounty.org/</t>
  </si>
  <si>
    <t>@GordonCountyGov</t>
  </si>
  <si>
    <t>https://www.facebook.com/GordonCountyGov</t>
  </si>
  <si>
    <t>http://www.gordoncounty.org/</t>
  </si>
  <si>
    <t>http://www.gradycountyga.gov/</t>
  </si>
  <si>
    <t>@GreeneCountyGA</t>
  </si>
  <si>
    <t>https://www.facebook.com/pages/Greene-County-Board-of-Commissioners/291109687588083?sk=wall</t>
  </si>
  <si>
    <t>http://www.greenecountyga.gov/</t>
  </si>
  <si>
    <t>@GCgov</t>
  </si>
  <si>
    <t>https://www.facebook.com/gwinnettsheriff</t>
  </si>
  <si>
    <t>http://www.gwinnettcounty.com/portal/gwinnett/Home</t>
  </si>
  <si>
    <t>@HabershamCo</t>
  </si>
  <si>
    <t>https://www.facebook.com/pages/Habersham-County-GA-Government/130561143666815?fref=ts</t>
  </si>
  <si>
    <t>http://www.co.habersham.ga.us/</t>
  </si>
  <si>
    <t>@hallcountygov</t>
  </si>
  <si>
    <t>https://www.facebook.com/HallCountyGovernment</t>
  </si>
  <si>
    <t>http://www.hallcounty.org/</t>
  </si>
  <si>
    <t>http://www.hancockcountyga.gov/</t>
  </si>
  <si>
    <t>https://www.facebook.com/pages/Haralson-County-Tourism/152468803802</t>
  </si>
  <si>
    <t>http://georgia.gov/cities-counties/haralson-county</t>
  </si>
  <si>
    <t>http://harriscountyga.gov/</t>
  </si>
  <si>
    <t>http://www.hartcountyga.org/</t>
  </si>
  <si>
    <t>https://www.facebook.com/pages/Heard-County-Fire-Emergency-Services/130916706964754</t>
  </si>
  <si>
    <t>http://www.heardcountyga.com/</t>
  </si>
  <si>
    <t>@HenryCounty</t>
  </si>
  <si>
    <t>http://www.co.henry.ga.us/</t>
  </si>
  <si>
    <t>@HoustonCountyGA</t>
  </si>
  <si>
    <t>http://www.houstoncountyga.com/</t>
  </si>
  <si>
    <t>http://georgia.gov/cities-counties/irwin-county</t>
  </si>
  <si>
    <t>https://www.facebook.com/JacksonCounty?fref=ts</t>
  </si>
  <si>
    <t>http://www.jacksoncountygov.com/</t>
  </si>
  <si>
    <t>@JasperCountyGA</t>
  </si>
  <si>
    <t>http://www.jaspercountyga.org/</t>
  </si>
  <si>
    <t>http://georgia.gov/cities-counties/jeff-davis-county</t>
  </si>
  <si>
    <t>http://www.jeffersoncountyga.gov/</t>
  </si>
  <si>
    <t>http://www.jenkinscountyga.com/</t>
  </si>
  <si>
    <t>https://www.facebook.com/JohnsonCountyGA</t>
  </si>
  <si>
    <t>http://johnsonco.org/</t>
  </si>
  <si>
    <t>http://www.jonescountyga.org/</t>
  </si>
  <si>
    <t>http://lamarcountyga.com/</t>
  </si>
  <si>
    <t>http://www.laniercountyboc.com/</t>
  </si>
  <si>
    <t>http://laurenscoga.org/</t>
  </si>
  <si>
    <t>@LeeCountyGA</t>
  </si>
  <si>
    <t>https://www.facebook.com/leecountyga</t>
  </si>
  <si>
    <t>http://www.lee.ga.us/</t>
  </si>
  <si>
    <t>@libertycounty</t>
  </si>
  <si>
    <t>https://www.facebook.com/libertycounty</t>
  </si>
  <si>
    <t>http://www.libertycountyga.com/</t>
  </si>
  <si>
    <t>@LincolnCountyGA</t>
  </si>
  <si>
    <t>http://www.lcgagov.org/</t>
  </si>
  <si>
    <t>http://georgia.gov/cities-counties/long-county</t>
  </si>
  <si>
    <t>@CityofValdosta</t>
  </si>
  <si>
    <t>http://www.lowndescounty.com/</t>
  </si>
  <si>
    <t>Lowndes - Valdosta</t>
  </si>
  <si>
    <t>@DahlonegaGA</t>
  </si>
  <si>
    <t>http://www.lumpkincounty.gov/</t>
  </si>
  <si>
    <t>Lumpkin - Dahlonega</t>
  </si>
  <si>
    <t>http://www.maconcountyga.gov/</t>
  </si>
  <si>
    <t>http://www.madisoncountyga.us/</t>
  </si>
  <si>
    <t>http://www.marioncountyga.org/</t>
  </si>
  <si>
    <t>https://www.facebook.com/ExploreMcDuffie</t>
  </si>
  <si>
    <t>http://www.thomson-mcduffie.com/</t>
  </si>
  <si>
    <t>McDuffie - Thompson</t>
  </si>
  <si>
    <t>http://www.mcintoshcountyga.com/</t>
  </si>
  <si>
    <t>http://meriwethercountyga.us/</t>
  </si>
  <si>
    <t>http://www.millercountyga.org/</t>
  </si>
  <si>
    <t>http://mitchellcountyga.net/</t>
  </si>
  <si>
    <t>@MonroeCountyEMA</t>
  </si>
  <si>
    <t>http://monroecountygeorgia.com/</t>
  </si>
  <si>
    <t>http://www.montgomerycountyga.com/</t>
  </si>
  <si>
    <t>@Morgan_GA</t>
  </si>
  <si>
    <t>https://www.facebook.com/pages/Morgan-County-GA-Government/547727088590973</t>
  </si>
  <si>
    <t>http://www.morganga.org/</t>
  </si>
  <si>
    <t>@MurrayCounty_GA</t>
  </si>
  <si>
    <t>https://www.facebook.com/pages/Murray-County-GA/149129695098575</t>
  </si>
  <si>
    <t>http://www.murraycountyga.org/</t>
  </si>
  <si>
    <t>http://www.columbusga.com/</t>
  </si>
  <si>
    <t>Columbus-Muscogee County</t>
  </si>
  <si>
    <t>@NewtonCountyCR</t>
  </si>
  <si>
    <t>http://www.co.newton.ga.us/</t>
  </si>
  <si>
    <t>@VisitOconeeGa</t>
  </si>
  <si>
    <t>https://www.facebook.com/oconeesheriff</t>
  </si>
  <si>
    <t>http://www.oconeecounty.com/</t>
  </si>
  <si>
    <t>https://www.facebook.com/pages/Oglethorpe-County-Emergency-Management-Agency/351626228202602</t>
  </si>
  <si>
    <t>http://www.onlineoglethorpe.com/</t>
  </si>
  <si>
    <t>@Paulding911</t>
  </si>
  <si>
    <t>https://www.facebook.com/pages/Paulding-County-Ga/256447391090784</t>
  </si>
  <si>
    <t>http://www.paulding.gov/</t>
  </si>
  <si>
    <t>https://www.facebook.com/pages/Peach-County-Sheriffs-Office/172133666193936</t>
  </si>
  <si>
    <t>http://www.peachcounty.net/</t>
  </si>
  <si>
    <t>@PickensCountyGA</t>
  </si>
  <si>
    <t>http://pickenscountyga.gov/government/</t>
  </si>
  <si>
    <t>@piercecountyga</t>
  </si>
  <si>
    <t>https://www.facebook.com/piercega</t>
  </si>
  <si>
    <t>http://www.piercecountyga.org/home.html</t>
  </si>
  <si>
    <t>http://www.pikecounty.ga.gov/</t>
  </si>
  <si>
    <t>http://www.polkgeorgia.org/</t>
  </si>
  <si>
    <t>http://www.pulaskico.com/</t>
  </si>
  <si>
    <t>http://www.putnamcountyga.us/</t>
  </si>
  <si>
    <t>http://georgetown-quitman.com/</t>
  </si>
  <si>
    <t>Georgetown-Quitman County</t>
  </si>
  <si>
    <t>https://www.facebook.com/RabunSheriff</t>
  </si>
  <si>
    <t>http://rabuncounty.ga.gov/</t>
  </si>
  <si>
    <t>http://georgia.gov/cities-counties/randolph-county</t>
  </si>
  <si>
    <t>@CityofAugusta</t>
  </si>
  <si>
    <t>https://www.facebook.com/augustaga.gov</t>
  </si>
  <si>
    <t>http://www.augustaga.gov/</t>
  </si>
  <si>
    <t>Augusta-Richmond County</t>
  </si>
  <si>
    <t>http://www.rockdalecounty.org/</t>
  </si>
  <si>
    <t>https://www.facebook.com/pages/City-of-Ellaville/206277629401432</t>
  </si>
  <si>
    <t>http://georgia.gov/cities-counties/schley-county</t>
  </si>
  <si>
    <t>Schley - Ellaville</t>
  </si>
  <si>
    <t>https://www.facebook.com/screvensheriff</t>
  </si>
  <si>
    <t>http://georgia.gov/cities-counties/screven-county</t>
  </si>
  <si>
    <t>https://www.facebook.com/pages/Seminole-County-Georgia-Sheriffs-Office/233615123438666</t>
  </si>
  <si>
    <t>http://www.seminolecountyga.com/</t>
  </si>
  <si>
    <t>@SpaldingCoBOC</t>
  </si>
  <si>
    <t>https://www.facebook.com/SpaldingCountyGovernment</t>
  </si>
  <si>
    <t>http://www.spaldingcounty.com/</t>
  </si>
  <si>
    <t>http://www.stephenscountyga.com/index.cfm?lid=168</t>
  </si>
  <si>
    <t>http://www.stewartcountyga.gov/</t>
  </si>
  <si>
    <t>http://www.sumtercountyga.us/index.aspx</t>
  </si>
  <si>
    <t>http://talbotcountyga.org/</t>
  </si>
  <si>
    <t>https://www.facebook.com/pages/City-of-Crawfordville-Taliaferro-County/252387744814134</t>
  </si>
  <si>
    <t>http://taliaferrocountyga.org/</t>
  </si>
  <si>
    <t>http://www.tattnall.com/</t>
  </si>
  <si>
    <t>http://www.taylorga.us/</t>
  </si>
  <si>
    <t>http://georgia.gov/cities-counties/telfair-county</t>
  </si>
  <si>
    <t>https://www.facebook.com/terrellcountygeorgia</t>
  </si>
  <si>
    <t>http://www.terrellcounty-ga.com/</t>
  </si>
  <si>
    <t>https://www.facebook.com/ThomasCountyGa?fref=ts</t>
  </si>
  <si>
    <t>http://www.thomascountyboc.org/</t>
  </si>
  <si>
    <t>https://www.facebook.com/TiftCountySheriffsOffice</t>
  </si>
  <si>
    <t>http://www.tiftcounty.org/</t>
  </si>
  <si>
    <t>http://www.toombscountyga.gov/</t>
  </si>
  <si>
    <t>@TownsCountyGA</t>
  </si>
  <si>
    <t>https://www.facebook.com/pages/Towns-County-Sheriffs-Office/247726758579887?fref=ts</t>
  </si>
  <si>
    <t>http://www.townscountyga.com/</t>
  </si>
  <si>
    <t>http://www.soperton-treutlen.org/</t>
  </si>
  <si>
    <t>Treutlen - Soperton</t>
  </si>
  <si>
    <t>@tcGSgis</t>
  </si>
  <si>
    <t>https://www.facebook.com/pages/Troup-County/131204776199</t>
  </si>
  <si>
    <t>http://www.troupcountyga.org/</t>
  </si>
  <si>
    <t>http://georgia.gov/cities-counties/turner-county</t>
  </si>
  <si>
    <t>http://www.twiggscounty.us/</t>
  </si>
  <si>
    <t>@UnionCountyGA</t>
  </si>
  <si>
    <t>http://www.unioncountyga.gov/</t>
  </si>
  <si>
    <t>http://www.upsoncountyga.org/</t>
  </si>
  <si>
    <t>@WalkerCountyGa</t>
  </si>
  <si>
    <t>https://www.facebook.com/WalkerCounty</t>
  </si>
  <si>
    <t>http://www.walkerga.us/</t>
  </si>
  <si>
    <t>@waltoncountyga</t>
  </si>
  <si>
    <t>http://www.waltoncountyga.gov/</t>
  </si>
  <si>
    <t>http://www.warecounty.com/</t>
  </si>
  <si>
    <t>http://www.warrencountyga.org/Home.aspx</t>
  </si>
  <si>
    <t>http://www.washingtoncountyga.gov/</t>
  </si>
  <si>
    <t>@waynecoga</t>
  </si>
  <si>
    <t>http://www.co.wayne.ga.us/</t>
  </si>
  <si>
    <t>http://www.webstercountyga.org/</t>
  </si>
  <si>
    <t>http://georgia.gov/cities-counties/wheeler-county</t>
  </si>
  <si>
    <t>http://www.whitecounty.net/</t>
  </si>
  <si>
    <t>@WhitfieldGA</t>
  </si>
  <si>
    <t>https://www.facebook.com/WhitfieldCountyGA</t>
  </si>
  <si>
    <t>http://www.whitfieldcountyga.com/</t>
  </si>
  <si>
    <t>http://www.wilcoxcountygeorgia.com/</t>
  </si>
  <si>
    <t>http://georgia.gov/cities-counties/wilkes-county</t>
  </si>
  <si>
    <t>Wilkes - Washington</t>
  </si>
  <si>
    <t>http://www.wilkinsoncounty.net/</t>
  </si>
  <si>
    <t>http://worthcountyboc.com/</t>
  </si>
  <si>
    <t>Port Bainbridge</t>
  </si>
  <si>
    <t>http://www.gaports.com/Facilities/PortBainbridge.aspx</t>
  </si>
  <si>
    <t>Bainbridge</t>
  </si>
  <si>
    <t>Port of Brunswick</t>
  </si>
  <si>
    <t>http://www.gaports.com/Home.aspx</t>
  </si>
  <si>
    <t>Brunswick</t>
  </si>
  <si>
    <t>Port of Columbus</t>
  </si>
  <si>
    <t>http://www.gaports.com/Facilities/PortColumbus.aspx</t>
  </si>
  <si>
    <t>Columbus</t>
  </si>
  <si>
    <t>Port of Savannah</t>
  </si>
  <si>
    <t>Savannah</t>
  </si>
  <si>
    <t>Port Wentworth</t>
  </si>
  <si>
    <t>List of airports in Georgia</t>
  </si>
  <si>
    <t>http://en.wikipedia.org/wiki/List_of_airports_in_Georgia_(U.S._state)</t>
  </si>
  <si>
    <t>AIR-NAV - Georgia</t>
  </si>
  <si>
    <t>http://www.airnav.com/airports/us/GA</t>
  </si>
  <si>
    <t>Georgia Aviation Authority</t>
  </si>
  <si>
    <t>http://gaa.georgia.gov/</t>
  </si>
  <si>
    <t>Athens-Ben Epps Airport</t>
  </si>
  <si>
    <t>http://www.athensclarkecounty.com/index.aspx?nid=203</t>
  </si>
  <si>
    <t>Atlanta-Hartsfield Airport</t>
  </si>
  <si>
    <t>@Atlanta_Airport</t>
  </si>
  <si>
    <t>https://www.facebook.com/hartsfieldjackson</t>
  </si>
  <si>
    <t>http://atlanta-airport.com</t>
  </si>
  <si>
    <t>Georgia Public Service Commission</t>
  </si>
  <si>
    <t>http://www.psc.state.ga.us/</t>
  </si>
  <si>
    <t>PSC ELECTRICAL SUPPLIERS FOR GEORGIA CITIES</t>
  </si>
  <si>
    <t>http://www.psc.state.ga.us/electric/designated_electrical_suppliers_for_georgia_cities.pdf</t>
  </si>
  <si>
    <t>Tennessee Valley Authority</t>
  </si>
  <si>
    <t>@TVA_Newsroom</t>
  </si>
  <si>
    <t>https://www.facebook.com/TVA</t>
  </si>
  <si>
    <t>http://www.tva.gov/</t>
  </si>
  <si>
    <t>Flint Energies</t>
  </si>
  <si>
    <t>@flintenergies</t>
  </si>
  <si>
    <t>https://www.facebook.com/flintenergies</t>
  </si>
  <si>
    <t>http://www.flintenergies.com/</t>
  </si>
  <si>
    <t>Georgia Power, a part of the Southern Company</t>
  </si>
  <si>
    <t>@GeorgiaPower</t>
  </si>
  <si>
    <t>https://www.facebook.com/GeorgiaPower?WT.svl=fb1</t>
  </si>
  <si>
    <t>http://georgiapower.com/</t>
  </si>
  <si>
    <t>Cobb EMC - 770-429-2100</t>
  </si>
  <si>
    <t>@cobb_emc</t>
  </si>
  <si>
    <t>https://www.facebook.com/cobbemc</t>
  </si>
  <si>
    <t>https://www.cobbemc.com/</t>
  </si>
  <si>
    <t>Marietta Power - 770-794-5150</t>
  </si>
  <si>
    <t>@cityofmarietta</t>
  </si>
  <si>
    <t>https://www.facebook.com/CityofMarietta</t>
  </si>
  <si>
    <t>http://www.mariettapower.com</t>
  </si>
  <si>
    <t>Georgia's Electrical Cooperatives</t>
  </si>
  <si>
    <t>http://www.georgiaemc.com/about_us.aspx</t>
  </si>
  <si>
    <t>Can search EMCs of Georgia by county, by map, by name</t>
  </si>
  <si>
    <t>Oglethorpe Power Corporation</t>
  </si>
  <si>
    <t>http://www.opc.com/index.htm</t>
  </si>
  <si>
    <t>Georgia Transmission Corp.</t>
  </si>
  <si>
    <t>http://www.gatrans.com/index.htm</t>
  </si>
  <si>
    <t>Water Companies</t>
  </si>
  <si>
    <t>Atlanta Department of Watershed Management</t>
  </si>
  <si>
    <t>@ATLWatershed</t>
  </si>
  <si>
    <t>https://www.facebook.com/atlwatershed</t>
  </si>
  <si>
    <t>http://www.atlantawatershed.org/</t>
  </si>
  <si>
    <t>Atlanta Bureau of Drinking Water</t>
  </si>
  <si>
    <t>http://www.atlantawatershed.org/bureaus/drink/drink.htm</t>
  </si>
  <si>
    <t>Austell Water System</t>
  </si>
  <si>
    <t>@CityofAustell</t>
  </si>
  <si>
    <t>https://www.facebook.com/cityofaustell?ref=ts</t>
  </si>
  <si>
    <t>http://www.austellga.gov/index.asp?Type=B_BASIC&amp;SEC=%7B9564E08E-5381-449A-A431-C297CDF76CFC%7D</t>
  </si>
  <si>
    <t>Cobb County Water System</t>
  </si>
  <si>
    <t>http://water.cobbcountyga.gov/</t>
  </si>
  <si>
    <t>Cherokee County Water &amp; Sewer</t>
  </si>
  <si>
    <t>http://www.ccwsa.com/</t>
  </si>
  <si>
    <t>Dekalb County Watershed Management</t>
  </si>
  <si>
    <t>http://www.dekalbwatershed.com/</t>
  </si>
  <si>
    <t>Etowah Water and Sewer Authority</t>
  </si>
  <si>
    <t>http://www.etowahwater.org/</t>
  </si>
  <si>
    <t>Fulton County Water Services</t>
  </si>
  <si>
    <t>http://www.fultoncountyga.gov/pw-water-services</t>
  </si>
  <si>
    <t>Gwinnett County Water Resources</t>
  </si>
  <si>
    <t>http://www.gwinnettcounty.com/portal/gwinnett/Departments/PublicUtilities</t>
  </si>
  <si>
    <t>Marietta Water</t>
  </si>
  <si>
    <t>http://www.mariettaga.gov/city/mpw-home/water</t>
  </si>
  <si>
    <t>Paulding Water System</t>
  </si>
  <si>
    <t>http://www.paulding.gov/index.aspx?nid=225</t>
  </si>
  <si>
    <t>Powder Springs Water Dept.</t>
  </si>
  <si>
    <t>http://www.cityofpowdersprings.org/index.aspx?NID=91</t>
  </si>
  <si>
    <t>Roswell Water Utility</t>
  </si>
  <si>
    <t>@CityofRoswellGA</t>
  </si>
  <si>
    <t>https://www.facebook.com/CityofRoswellGA</t>
  </si>
  <si>
    <t>http://www.roswellgov.com/index.aspx?nid=1021</t>
  </si>
  <si>
    <t>Douglas County &amp; Douglasville Water&amp;Sewer</t>
  </si>
  <si>
    <t>http://www.ddcwsa.com/</t>
  </si>
  <si>
    <t>Natural Gas Providers</t>
  </si>
  <si>
    <t>Atlanta Gas Light</t>
  </si>
  <si>
    <t>http://www.atlantagaslight.com/</t>
  </si>
  <si>
    <t>Austell Natural Gas System</t>
  </si>
  <si>
    <t>http://austellgas.com/</t>
  </si>
  <si>
    <t>Georgia Natural Gas</t>
  </si>
  <si>
    <t>http://www.onlygng.com/</t>
  </si>
  <si>
    <t>Scana Energy</t>
  </si>
  <si>
    <t>@scanaenergy</t>
  </si>
  <si>
    <t>https://www.facebook.com/scanaenergy</t>
  </si>
  <si>
    <t>http://www.scanaenergy.com/en/</t>
  </si>
  <si>
    <t>Georgia Telephone Companies</t>
  </si>
  <si>
    <t>http://www.gta.org/telephonecompanies.html</t>
  </si>
  <si>
    <t>wikipedia</t>
  </si>
  <si>
    <t>NEWS LINK - Georgia TV stations</t>
  </si>
  <si>
    <t>http://www.newslink.org/gatele.html</t>
  </si>
  <si>
    <t>NEWS LINK - Georgia Radio stations</t>
  </si>
  <si>
    <t>http://www.newslink.org/garadi.html</t>
  </si>
  <si>
    <t>NEWS LINK -Georgia Newspapers</t>
  </si>
  <si>
    <t>http://www.newslink.org/ganews.html</t>
  </si>
  <si>
    <t>Georgia Public Broadcasting</t>
  </si>
  <si>
    <t>http://www.gpb.org/</t>
  </si>
  <si>
    <t>WTFM - TV Columbus</t>
  </si>
  <si>
    <t>http://www.wtvm.com/</t>
  </si>
  <si>
    <t>WJCL - WTGS - Savannah</t>
  </si>
  <si>
    <t>http://www.thecoastalsource.com/default.aspx</t>
  </si>
  <si>
    <t>WRDW - Augusta</t>
  </si>
  <si>
    <t>http://www.wrdw.com/</t>
  </si>
  <si>
    <t>WRBL - Columbus</t>
  </si>
  <si>
    <t>http://www2.wrbl.com/</t>
  </si>
  <si>
    <t>WMAZ - Macon</t>
  </si>
  <si>
    <t>http://www.13wmaz.com/</t>
  </si>
  <si>
    <t>WTOC - TV - Savannah</t>
  </si>
  <si>
    <t>http://www.wtoc.com/</t>
  </si>
  <si>
    <t>WFXL - SW Georgia</t>
  </si>
  <si>
    <t>http://www.mysouthwestga.com/</t>
  </si>
  <si>
    <t>WFXG - Augusta</t>
  </si>
  <si>
    <t>http://www.wfxg.com/</t>
  </si>
  <si>
    <t>FOX 24</t>
  </si>
  <si>
    <t>http://www.newscentralga.com/</t>
  </si>
  <si>
    <t>PEACHTREE TV</t>
  </si>
  <si>
    <t>http://www.peachtreetv.com/</t>
  </si>
  <si>
    <t>WALB - TV</t>
  </si>
  <si>
    <t>http://www.walb.com/</t>
  </si>
  <si>
    <t>WXIX - TV</t>
  </si>
  <si>
    <t>http://www.11alive.com/</t>
  </si>
  <si>
    <t>WAGT-TV</t>
  </si>
  <si>
    <t>http://www2.nbc26.tv/</t>
  </si>
  <si>
    <t>WLTZ-38</t>
  </si>
  <si>
    <t>http://www.wltz.com/</t>
  </si>
  <si>
    <t>WMGT-41</t>
  </si>
  <si>
    <t>http://www.41nbc.com/</t>
  </si>
  <si>
    <t>WSB-TV - Atlanta</t>
  </si>
  <si>
    <t>http://www.wsbtv.com/</t>
  </si>
  <si>
    <t>WJBF - TV Augusta</t>
  </si>
  <si>
    <t>http://www2.wjbf.com/</t>
  </si>
  <si>
    <t>USG Institutions</t>
  </si>
  <si>
    <t>http://www.usg.edu/inst/group</t>
  </si>
  <si>
    <t>w/links &amp; phone numbers</t>
  </si>
  <si>
    <t>Univ. System of Georgia (USG)</t>
  </si>
  <si>
    <t>@BORUSG</t>
  </si>
  <si>
    <t>https://www.facebook.com/BORUSG</t>
  </si>
  <si>
    <t>http://www.usg.edu/</t>
  </si>
  <si>
    <t>http://portal.ehawaii.gov/</t>
  </si>
  <si>
    <t>Hawaii Public Safety Dept.</t>
  </si>
  <si>
    <t>http://hawaii.gov/psd</t>
  </si>
  <si>
    <t>Hawaii Wildlife Rescue</t>
  </si>
  <si>
    <t>https://www.facebook.com/hawaiiwildlifecenter?ref=br_rs</t>
  </si>
  <si>
    <t>Hawaii State Dept. of Education</t>
  </si>
  <si>
    <t>https://www.facebook.com/HIDepartmentofEducation?ref=br_rs</t>
  </si>
  <si>
    <t>http://www.hawaiipublicschools.org/Pages/home.aspx</t>
  </si>
  <si>
    <t>Hawaii Public Utilities Comm.</t>
  </si>
  <si>
    <t>http://puc.hawaii.gov/</t>
  </si>
  <si>
    <t>HAWAII VOST</t>
  </si>
  <si>
    <t>https://www.facebook.com/groups/hawaiivost/</t>
  </si>
  <si>
    <t>@HonoluluGov</t>
  </si>
  <si>
    <t>https://www.facebook.com/honolulu.gov</t>
  </si>
  <si>
    <t>http://www.honolulu.gov/government/</t>
  </si>
  <si>
    <t>https://www.facebook.com/OahuDEM</t>
  </si>
  <si>
    <t>http://www.hawaiicounty.gov/</t>
  </si>
  <si>
    <t>@Kailua_HI</t>
  </si>
  <si>
    <t>Islands</t>
  </si>
  <si>
    <t>http://www.co.maui.hi.us/</t>
  </si>
  <si>
    <t>@OahuVB</t>
  </si>
  <si>
    <t>https://www.facebook.com/OahuHawaii</t>
  </si>
  <si>
    <t>Hawaii</t>
  </si>
  <si>
    <t>Maui</t>
  </si>
  <si>
    <t>@CountyofMaui</t>
  </si>
  <si>
    <t>https://www.facebook.com/maui.hawaii.guide</t>
  </si>
  <si>
    <t>http://www.co.maui.hi.us/index.aspx?nid=7</t>
  </si>
  <si>
    <t>Honolulu</t>
  </si>
  <si>
    <t>@hnl_mayor</t>
  </si>
  <si>
    <t>http://www.facebook.com/OahuDEM</t>
  </si>
  <si>
    <t>http://www1.honolulu.gov/esd/</t>
  </si>
  <si>
    <t>Kauai</t>
  </si>
  <si>
    <t>http://www.facebook.com/CountyofKauai</t>
  </si>
  <si>
    <t>http://www.kauai.gov/Government/Departments/CivilDefenseAgency/tabid/9/Default.aspx</t>
  </si>
  <si>
    <t>Ohau</t>
  </si>
  <si>
    <t>@Oahu_DEM</t>
  </si>
  <si>
    <t>Honolulu Board of Water Supply</t>
  </si>
  <si>
    <t>@BWSHonolulu</t>
  </si>
  <si>
    <t>http://www.facebook.com/BWSHonolulu</t>
  </si>
  <si>
    <t>http://www.hbws.org/cssweb/</t>
  </si>
  <si>
    <t>Maui County Water Supply</t>
  </si>
  <si>
    <t>http://co.maui.hi.us/index.aspx?NID=126</t>
  </si>
  <si>
    <t>Hawaiian Electric Industries, Inc.</t>
  </si>
  <si>
    <t>http://www.hei.com/hei.html</t>
  </si>
  <si>
    <t>Hawaiian Electric Company (“HECO”), Oahu</t>
  </si>
  <si>
    <t>http://www.hawaiianelectric.com/portal/site/heco</t>
  </si>
  <si>
    <t>Maui Electric Company (“MECO”), Maui, Lanai, and Molokai</t>
  </si>
  <si>
    <t>Hawaii Electric Light Company, (“HELCO”),  island of Hawaii</t>
  </si>
  <si>
    <t>Kauai Island Utility Cooperative (“KIUC”), s island of Kauai</t>
  </si>
  <si>
    <t>@KIUC</t>
  </si>
  <si>
    <t>https://www.facebook.com/KauaiCoop</t>
  </si>
  <si>
    <t>http://website.kiuc.coop/</t>
  </si>
  <si>
    <t>Hawaiian Telcom</t>
  </si>
  <si>
    <t>WORLDPORTS</t>
  </si>
  <si>
    <t>http://www.worldportsource.com/ports/USA_HI.php</t>
  </si>
  <si>
    <t>Hilo Harbor, Hawaii</t>
  </si>
  <si>
    <t>http://hidot.hawaii.gov/harbors/</t>
  </si>
  <si>
    <t>Hilo</t>
  </si>
  <si>
    <t>Pearl Harbor</t>
  </si>
  <si>
    <t>Nawiliwili Harbor, Kauai</t>
  </si>
  <si>
    <t>Nawiliwili</t>
  </si>
  <si>
    <t>Honolulu Harbor, Oahu</t>
  </si>
  <si>
    <t>Kahului Harbor, Maui</t>
  </si>
  <si>
    <t>Kahului</t>
  </si>
  <si>
    <t>Port Allen Harbor, Kauai</t>
  </si>
  <si>
    <t>Port Allen</t>
  </si>
  <si>
    <t>Barbers Point Terminal</t>
  </si>
  <si>
    <t>Barbers Point</t>
  </si>
  <si>
    <t>Kalaeloa Barbers Point Harbor, Oahu</t>
  </si>
  <si>
    <t>Kewalo Basin, Oahu</t>
  </si>
  <si>
    <t>Ala Wai Harbor, Ohau</t>
  </si>
  <si>
    <t>Port of Kailua Kona</t>
  </si>
  <si>
    <t>Kailua Kona</t>
  </si>
  <si>
    <t>Kaumalapau Harbor, Lanai</t>
  </si>
  <si>
    <t>Kaumalapau</t>
  </si>
  <si>
    <t>Kawaihae Harbor, Hawaii</t>
  </si>
  <si>
    <t>Kawaihae</t>
  </si>
  <si>
    <t>Kaunakakai Harbor, Molokai</t>
  </si>
  <si>
    <t>Kaunakakai</t>
  </si>
  <si>
    <t>Lahaina Harbor, Maui</t>
  </si>
  <si>
    <t>Lahaina</t>
  </si>
  <si>
    <t>Hilo International</t>
  </si>
  <si>
    <t>http://hawaii.gov/ito</t>
  </si>
  <si>
    <t>Honolulu International</t>
  </si>
  <si>
    <t>http://hawaii.gov/hnl</t>
  </si>
  <si>
    <t>Kahului Airport</t>
  </si>
  <si>
    <t>http://hawaii.gov/ogg</t>
  </si>
  <si>
    <t>Kona International Airport at Keahole</t>
  </si>
  <si>
    <t>http://hawaii.gov/koa</t>
  </si>
  <si>
    <t>Molokai Airport</t>
  </si>
  <si>
    <t>http://hawaii.gov/mkk</t>
  </si>
  <si>
    <t>Lanai Airport</t>
  </si>
  <si>
    <t>http://hawaii.gov/lny</t>
  </si>
  <si>
    <t>Lihue Airport</t>
  </si>
  <si>
    <t>http://hawaii.gov/lih</t>
  </si>
  <si>
    <t>KBIG 97.9 (Hilo)</t>
  </si>
  <si>
    <t>http://www.facebook.com/KBIGfm</t>
  </si>
  <si>
    <t>http://www.kbigfm.com/</t>
  </si>
  <si>
    <t>Power 14.3 (Honolulu)</t>
  </si>
  <si>
    <t>@power143</t>
  </si>
  <si>
    <t>http://www.facebook.com/power143</t>
  </si>
  <si>
    <t>http://www.power143.com/</t>
  </si>
  <si>
    <t>Kong 93.5 (Kauai)</t>
  </si>
  <si>
    <t>http://www.facebook.com/pages/Kauais-Kong-Radio-FM-935/289139641284</t>
  </si>
  <si>
    <t>http://www.kongradio.com/</t>
  </si>
  <si>
    <t>KGMB &amp; KHNL (Hilo &amp; Honolulu)</t>
  </si>
  <si>
    <t>@HawaiiNewsNow</t>
  </si>
  <si>
    <t>https://www.facebook.com/HawaiiNewsNow</t>
  </si>
  <si>
    <t>http://www.hawaiinewsnow.com/</t>
  </si>
  <si>
    <t>KHON 2 (Honolulu)</t>
  </si>
  <si>
    <t>@KHONnews</t>
  </si>
  <si>
    <t>http://www.facebook.com/khon2news</t>
  </si>
  <si>
    <t>http://www.khon2.com/default.aspx</t>
  </si>
  <si>
    <t>KITV 4 (Honolulu)</t>
  </si>
  <si>
    <t>@KITV4</t>
  </si>
  <si>
    <t>https://www.facebook.com/KITV4</t>
  </si>
  <si>
    <t>http://www.kitv.com/</t>
  </si>
  <si>
    <t>Hawaii Tribune Herald (Hilo)</t>
  </si>
  <si>
    <t>http://www.facebook.com/hawaiitribuneherald</t>
  </si>
  <si>
    <t>http://hawaiitribune-herald.com/</t>
  </si>
  <si>
    <t>Hawaii Star (Honolulu)</t>
  </si>
  <si>
    <t>http://www.facebook.com/hawaiinews</t>
  </si>
  <si>
    <t>http://www.hawaiistar.com/</t>
  </si>
  <si>
    <t>Hawaii Reporter (Honolulu)</t>
  </si>
  <si>
    <t>@HawaiiReporter</t>
  </si>
  <si>
    <t>http://www.facebook.com/hawaiireporter</t>
  </si>
  <si>
    <t>http://www.hawaiireporter.com/</t>
  </si>
  <si>
    <t>Maui News (Maui)</t>
  </si>
  <si>
    <t>@TheMauiNewsHI</t>
  </si>
  <si>
    <t>http://www.facebook.com/MauiNews</t>
  </si>
  <si>
    <t>http://www.mauinews.com/</t>
  </si>
  <si>
    <t>Hawaii Public Radio</t>
  </si>
  <si>
    <t>https://www.facebook.com/hawaiipublicradio?ref=br_rs</t>
  </si>
  <si>
    <t>College</t>
  </si>
  <si>
    <t>Hawaii Community College</t>
  </si>
  <si>
    <t>Hilo</t>
  </si>
  <si>
    <t>Honolulu Community College</t>
  </si>
  <si>
    <t>Kapiolani Community College</t>
  </si>
  <si>
    <t>Kauai Community College</t>
  </si>
  <si>
    <t>Līhu'e</t>
  </si>
  <si>
    <t>Leeward Community College</t>
  </si>
  <si>
    <t>Pearl City</t>
  </si>
  <si>
    <t>Windward Community College</t>
  </si>
  <si>
    <t>Kāne'ohe</t>
  </si>
  <si>
    <t>University of Hawaii at Hilo</t>
  </si>
  <si>
    <t>University of Hawaii at Manoa</t>
  </si>
  <si>
    <t>University of Hawaii-West Oahu</t>
  </si>
  <si>
    <t>University of Hawaii Maui College</t>
  </si>
  <si>
    <t>Brigham Young University Hawaii</t>
  </si>
  <si>
    <t>Lā'ie</t>
  </si>
  <si>
    <t>Chaminade University of Honolulu</t>
  </si>
  <si>
    <t>Hawaii Pacific University</t>
  </si>
  <si>
    <t>Hawaii Tokai International College</t>
  </si>
  <si>
    <t>Remington College</t>
  </si>
  <si>
    <t>WIKIPEDIA LIST OF COLLEGES</t>
  </si>
  <si>
    <t>http://en.wikipedia.org/wiki/List_of_colleges_and_universities_in_Hawaii</t>
  </si>
  <si>
    <t>@IDAHOgov</t>
  </si>
  <si>
    <t>http://www.idaho.gov/</t>
  </si>
  <si>
    <t>Idaho Bureau of Homeland Security</t>
  </si>
  <si>
    <t>https://www.facebook.com/pages/Idaho-Bureau-of-Homeland-Security/181583595191054</t>
  </si>
  <si>
    <t>http://www.bhs.idaho.gov/</t>
  </si>
  <si>
    <t>Idaho Wildlife Rescue</t>
  </si>
  <si>
    <t>@idfg</t>
  </si>
  <si>
    <t>Idaho State Dept. of Educ.</t>
  </si>
  <si>
    <t>http://www.sde.idaho.gov/</t>
  </si>
  <si>
    <t>List of cities in Idaho by population (wikipedia)</t>
  </si>
  <si>
    <t>http://en.wikipedia.org/wiki/List_of_cities_in_Idaho</t>
  </si>
  <si>
    <t>Idaho.gov - List of cities</t>
  </si>
  <si>
    <t>http://www.idaho.gov/aboutidaho/cities.html</t>
  </si>
  <si>
    <t>Boise</t>
  </si>
  <si>
    <t>@CityOfBoise</t>
  </si>
  <si>
    <t>https://www.facebook.com/pages/City-of-Boise-Mayors-Office/102597609787637</t>
  </si>
  <si>
    <t>http://www.cityofboise.org/</t>
  </si>
  <si>
    <t>Ada</t>
  </si>
  <si>
    <t>Nampa</t>
  </si>
  <si>
    <t>Canyon</t>
  </si>
  <si>
    <t>Meridian</t>
  </si>
  <si>
    <t>@MeridianIdaho</t>
  </si>
  <si>
    <t>https://www.facebook.com/MeridianCity</t>
  </si>
  <si>
    <t>http://www.meridiancity.org/</t>
  </si>
  <si>
    <t>Idaho Falls</t>
  </si>
  <si>
    <t>http://www.idahofallsidaho.gov/</t>
  </si>
  <si>
    <t>Bonneville</t>
  </si>
  <si>
    <t>Pocatello</t>
  </si>
  <si>
    <t>https://www.facebook.com/cityofpocatello</t>
  </si>
  <si>
    <t>http://www.pocatello.us/</t>
  </si>
  <si>
    <t>Bannock</t>
  </si>
  <si>
    <t>Idaho.gov - List of counties</t>
  </si>
  <si>
    <t>@Ada_County</t>
  </si>
  <si>
    <t>https://www.facebook.com/AdaCountyCommissioners</t>
  </si>
  <si>
    <t>http://www.adaweb.net/</t>
  </si>
  <si>
    <t>http://www.co.adams.id.us/</t>
  </si>
  <si>
    <t>https://www.facebook.com/BannockSheriff</t>
  </si>
  <si>
    <t>http://www.co.bannock.id.us/index.htm</t>
  </si>
  <si>
    <t>http://www.bearlakecounty.info/</t>
  </si>
  <si>
    <t>http://www.idaho.gov/aboutidaho/county/benewah.html</t>
  </si>
  <si>
    <t>http://www.co.bingham.id.us/</t>
  </si>
  <si>
    <t>http://www.co.blaine.id.us/</t>
  </si>
  <si>
    <t>@boiseid511</t>
  </si>
  <si>
    <t>http://www.boisecounty.us/Department/243/visit_boise_county_page.aspx</t>
  </si>
  <si>
    <t>http://www.co.bonner.id.us/</t>
  </si>
  <si>
    <t>http://www.co.bonneville.id.us/</t>
  </si>
  <si>
    <t>@boundaryid511</t>
  </si>
  <si>
    <t>http://boundarycountyid.org/</t>
  </si>
  <si>
    <t>http://www.idaho.gov/aboutidaho/county/butte.html</t>
  </si>
  <si>
    <t>@FairfieldIdaho</t>
  </si>
  <si>
    <t>https://www.facebook.com/pages/Fairfield-Idaho/231358263594526</t>
  </si>
  <si>
    <t>http://www.fairfieldidaho.net/</t>
  </si>
  <si>
    <t>@CanyonCo</t>
  </si>
  <si>
    <t>https://www.facebook.com/pages/Canyon-County-Idaho/75367449417?ref=ts&amp;fref=ts</t>
  </si>
  <si>
    <t>http://www.canyonco.org/default.aspx</t>
  </si>
  <si>
    <t>http://www.co.caribou.id.us/</t>
  </si>
  <si>
    <t>@Cassia_County</t>
  </si>
  <si>
    <t>https://www.facebook.com/pages/Cassia-County/188124581225504?ref=ts&amp;fref=ts</t>
  </si>
  <si>
    <t>http://www.cassiacounty.org/about-cassia-county/index.htm</t>
  </si>
  <si>
    <t>http://www.clark-co.id.gov/</t>
  </si>
  <si>
    <t>@ClearwaterCount</t>
  </si>
  <si>
    <t>https://www.facebook.com/pages/Clearwater-County-Idaho/121033934652357</t>
  </si>
  <si>
    <t>www.clearwatercounty.org</t>
  </si>
  <si>
    <t>http://co.custer.id.us/</t>
  </si>
  <si>
    <t>https://www.facebook.com/pages/Elmore-County-Sheriff/196136886025</t>
  </si>
  <si>
    <t>http://www.elmorecounty.org/</t>
  </si>
  <si>
    <t>https://www.facebook.com/franklin.countyidaho?ref=ts&amp;fref=ts</t>
  </si>
  <si>
    <t>http://www.franklincountyidaho.org/</t>
  </si>
  <si>
    <t>Fremont</t>
  </si>
  <si>
    <t>@FremontSnow</t>
  </si>
  <si>
    <t>https://www.facebook.com/pages/Fremont-County/132081146827397?ref=ts&amp;fref=ts&amp;rf=126168130760078</t>
  </si>
  <si>
    <t>http://www.co.fremont.id.us/index.htm</t>
  </si>
  <si>
    <t>stopped here</t>
  </si>
  <si>
    <t>Gem</t>
  </si>
  <si>
    <t>https://www.facebook.com/pages/Gem-County-Idaho/23199525585</t>
  </si>
  <si>
    <t>http://www.co.gem.id.us/</t>
  </si>
  <si>
    <t>Gooding</t>
  </si>
  <si>
    <t>http://goodingcounty.org/</t>
  </si>
  <si>
    <t>@yoloneco751</t>
  </si>
  <si>
    <t>https://www.facebook.com/pages/Idaho-County-Idaho/137156432971268?ref=ts&amp;fref=ts</t>
  </si>
  <si>
    <t>Jefferson</t>
  </si>
  <si>
    <t>https://www.facebook.com/pages/Jefferson-County-Idaho/473439620143?ref=ts&amp;fref=ts</t>
  </si>
  <si>
    <t>http://www.idaho.gov/aboutidaho/county/jefferson.html</t>
  </si>
  <si>
    <t>Jerome</t>
  </si>
  <si>
    <t>https://www.facebook.com/pages/Jerome-County-Idaho/115729098474711?ref=ts&amp;fref=ts</t>
  </si>
  <si>
    <t>http://jeromecountyid.us/index.asp?Type=B_BASIC&amp;SEC={4C5CAB16-C997-421B-ACA-31856843679}</t>
  </si>
  <si>
    <t>Kootenai</t>
  </si>
  <si>
    <t>https://www.facebook.com/pages/Kootenai-County-Idaho/143706918973613?ref=ts&amp;fref=ts</t>
  </si>
  <si>
    <t>http://www.kootenai-county.com/</t>
  </si>
  <si>
    <t>Latah</t>
  </si>
  <si>
    <t>@yoloneco746</t>
  </si>
  <si>
    <t>https://www.facebook.com/pages/Latah-County-Idaho/132142036824299?ref=ts&amp;fref=ts</t>
  </si>
  <si>
    <t>http://www.latah.id.us/index.php</t>
  </si>
  <si>
    <t>Lemhi</t>
  </si>
  <si>
    <t>https://www.facebook.com/pages/Lemhi-County-Idaho/102311283158085?ref=ts&amp;fref=ts</t>
  </si>
  <si>
    <t>http://lemhicountyidaho.org/index.htm</t>
  </si>
  <si>
    <t>Lewis</t>
  </si>
  <si>
    <t>https://www.facebook.com/pages/Lewis-County/137296889623702?ref=ts&amp;fref=ts&amp;rf=106620322734348</t>
  </si>
  <si>
    <t>http://lewiscountyid.us/</t>
  </si>
  <si>
    <t>Lincoln</t>
  </si>
  <si>
    <t>https://www.facebook.com/pages/Lincoln-County-Idaho/143667145646911#</t>
  </si>
  <si>
    <t>http://www.idaho.gov/aboutidaho/county/lincoln.html</t>
  </si>
  <si>
    <t>Madison</t>
  </si>
  <si>
    <t>https://www.facebook.com/pages/Madison-County-Idaho/138861056133141</t>
  </si>
  <si>
    <t>http://www.co.madison.id.us/</t>
  </si>
  <si>
    <t>Minidoka</t>
  </si>
  <si>
    <t>https://www.facebook.com/pages/Minidoka-County-Idaho/138922666135561?ref=ts&amp;fref=ts&amp;rf=135829413114222</t>
  </si>
  <si>
    <t>http://www.minidoka.id.us/</t>
  </si>
  <si>
    <t>Nez Perce</t>
  </si>
  <si>
    <t>https://www.facebook.com/pages/Nez-Perce-County-Idaho/136815933007300?ref=ts&amp;fref=ts&amp;rf=134679919897959</t>
  </si>
  <si>
    <t>http://www.co.nezperce.id.us/HOME.aspx</t>
  </si>
  <si>
    <t>Oneida</t>
  </si>
  <si>
    <t>https://www.facebook.com/pages/Oneida-County/142467115769433?ref=ts&amp;fref=ts</t>
  </si>
  <si>
    <t>http://oneidacountyid.com/?doing_wp_cron=1358115196.1829569339752197265625</t>
  </si>
  <si>
    <t>Owyhee</t>
  </si>
  <si>
    <t>https://www.facebook.com/pages/Owyhee-County-Idaho/112609565417839?ref=ts&amp;fref=ts</t>
  </si>
  <si>
    <t>http://www.owyheecounty.net/index1.php?home</t>
  </si>
  <si>
    <t>Payette</t>
  </si>
  <si>
    <t>@yoloneco758</t>
  </si>
  <si>
    <t>https://www.facebook.com/pages/Payette-County-Idaho/126315570745794?ref=ts&amp;fref=ts&amp;rf=119356698111016</t>
  </si>
  <si>
    <t>http://payettecounty.org/</t>
  </si>
  <si>
    <t>Power</t>
  </si>
  <si>
    <t>https://www.facebook.com/pages/Power-County/137030312984857?ref=ts&amp;fref=ts</t>
  </si>
  <si>
    <t>http://en.wikipedia.org/wiki/Power_County,_Idaho</t>
  </si>
  <si>
    <t>Shoshone</t>
  </si>
  <si>
    <t>https://twitter.com/yoloneco733</t>
  </si>
  <si>
    <t>https://www.facebook.com/pages/Shoshone-County-Idaho/138785446145299?ref=ts&amp;fref=ts&amp;rf=136433883045970</t>
  </si>
  <si>
    <t>http://shoshonecounty.org/</t>
  </si>
  <si>
    <t>Teton</t>
  </si>
  <si>
    <t>https://www.facebook.com/pages/Teton-County-Idaho/138048182889409?ref=ts&amp;fref=ts</t>
  </si>
  <si>
    <t>http://www.tetoncountyidaho.gov/</t>
  </si>
  <si>
    <t>Twin Falls</t>
  </si>
  <si>
    <t>https://twitter.com/TwinFalls_Buzz</t>
  </si>
  <si>
    <t>https://www.facebook.com/pages/Twin-Falls-Idaho/106098172753874?ref=ts&amp;fref=ts</t>
  </si>
  <si>
    <t>http://www.tfid.org/</t>
  </si>
  <si>
    <t>Valley</t>
  </si>
  <si>
    <t>https://www.facebook.com/pages/Valley-County-Idaho/134917749873677?ref=ts&amp;fref=ts</t>
  </si>
  <si>
    <t>http://www.co.valley.id.us/</t>
  </si>
  <si>
    <t>https://www.facebook.com/pages/Washington-County-Idaho/137797042915973?ref=ts&amp;fref=ts</t>
  </si>
  <si>
    <t>http://co.washington.id.us/</t>
  </si>
  <si>
    <t>IDACORP</t>
  </si>
  <si>
    <t>http://www.idacorpinc.com/</t>
  </si>
  <si>
    <t>Clearwater Power</t>
  </si>
  <si>
    <t>@ClearwaterPower</t>
  </si>
  <si>
    <t>https://www.facebook.com/ClearwaterPower</t>
  </si>
  <si>
    <t>http://www.clearwaterpower.com/</t>
  </si>
  <si>
    <t>PacifiCorp (Rocky Mountain Power)</t>
  </si>
  <si>
    <t>@RMP_Idaho</t>
  </si>
  <si>
    <t>https://www.facebook.com/rockymountainpower</t>
  </si>
  <si>
    <t>http://www.rockymountainpower.net/index.html</t>
  </si>
  <si>
    <t>Falls Water Company, Inc.</t>
  </si>
  <si>
    <t>http://www.fallswater.com/</t>
  </si>
  <si>
    <t>Pocatello Water Pollution Control Department</t>
  </si>
  <si>
    <t>http://www.pocatello.us/wpc/</t>
  </si>
  <si>
    <t>Pocatello Water Department</t>
  </si>
  <si>
    <t>http://www.pocatello.us/water/</t>
  </si>
  <si>
    <t>United Water Idaho</t>
  </si>
  <si>
    <t>http://www.unitedwater.com/idaho/locallanding.aspx</t>
  </si>
  <si>
    <t>Boise Airport (Boise Air Terminal) (Gowen Field)</t>
  </si>
  <si>
    <t>@iflyboise</t>
  </si>
  <si>
    <t>https://www.facebook.com/pages/Boise-Airport/123654648368</t>
  </si>
  <si>
    <t>http://www.iflyboise.com/</t>
  </si>
  <si>
    <t>Friedman Memorial Airport</t>
  </si>
  <si>
    <t>http://www.iflysun.com/</t>
  </si>
  <si>
    <t>Idaho Falls Regional Airport (Fanning Field)</t>
  </si>
  <si>
    <t>http://www.idahofallsidaho.gov/city/city-departments/idaho-falls-regional-airport.html</t>
  </si>
  <si>
    <t>Lewiston-Nez Perce County Airport</t>
  </si>
  <si>
    <t>http://www.facebook.com/pages/Lewiston-Nez-Perce-County-Regional-Airport/183642261697987</t>
  </si>
  <si>
    <t>http://www.lcairport.net/</t>
  </si>
  <si>
    <t>Pocatello Regional Airport</t>
  </si>
  <si>
    <t>http://iflypocatello.com/</t>
  </si>
  <si>
    <t>Magic Valley Regional Airport (Joslin Field)</t>
  </si>
  <si>
    <t>http://www.tfid.org/index.aspx?NID=136</t>
  </si>
  <si>
    <t>Council Municipal Airport</t>
  </si>
  <si>
    <t>www.councilidaho.com/airport.html</t>
  </si>
  <si>
    <t>New Meadows Airport</t>
  </si>
  <si>
    <t>WORLDPORTS</t>
  </si>
  <si>
    <t>Port of Lewiston</t>
  </si>
  <si>
    <t>http://www.portoflewiston.com/</t>
  </si>
  <si>
    <t>Lewiston</t>
  </si>
  <si>
    <t>Boise CBS</t>
  </si>
  <si>
    <t>@KBOITV</t>
  </si>
  <si>
    <t>https://www.facebook.com/kboi2</t>
  </si>
  <si>
    <t>http://www.kboi2.com/</t>
  </si>
  <si>
    <t>Boise Fox</t>
  </si>
  <si>
    <t>@IdahoOnYourSide</t>
  </si>
  <si>
    <t>https://www.facebook.com/IdahoOnYourSide</t>
  </si>
  <si>
    <t>http://www.kivitv.com/</t>
  </si>
  <si>
    <t>Boise NBC</t>
  </si>
  <si>
    <t>@KTVB</t>
  </si>
  <si>
    <t>https://www.facebook.com/KTVB7</t>
  </si>
  <si>
    <t>http://www.ktvb.com/</t>
  </si>
  <si>
    <t>Idaho Falls Local 8</t>
  </si>
  <si>
    <t>@localnews8</t>
  </si>
  <si>
    <t>https://www.facebook.com/LocalNews8</t>
  </si>
  <si>
    <t>http://www.localnews8.com/</t>
  </si>
  <si>
    <t>Lewiston CBS</t>
  </si>
  <si>
    <t>@KLEWNews</t>
  </si>
  <si>
    <t>https://www.facebook.com/KLEWNews</t>
  </si>
  <si>
    <t>http://www.klewtv.com/</t>
  </si>
  <si>
    <t>Pocatello NBC</t>
  </si>
  <si>
    <t>@KPVI</t>
  </si>
  <si>
    <t>https://www.facebook.com/kpvi6</t>
  </si>
  <si>
    <t>http://www.kpvi.com/default.aspx</t>
  </si>
  <si>
    <t>Twin Falls Fox/CBS</t>
  </si>
  <si>
    <t>@KMVTNews</t>
  </si>
  <si>
    <t>https://www.facebook.com/KMVTNews11</t>
  </si>
  <si>
    <t>http://www.kmvt.com/</t>
  </si>
  <si>
    <t>Boise Idaho Statesman</t>
  </si>
  <si>
    <t>@IdahoStatesman</t>
  </si>
  <si>
    <t>https://www.facebook.com/idahostatesman?ref=ts</t>
  </si>
  <si>
    <t>http://www.idahostatesman.com/</t>
  </si>
  <si>
    <t>Coeur d Arlene Press</t>
  </si>
  <si>
    <t>@cdapresscom</t>
  </si>
  <si>
    <t>https://www.facebook.com/CDAPress</t>
  </si>
  <si>
    <t>http://www.cdapress.com/</t>
  </si>
  <si>
    <t>Coeur d Arlene Spokesman-Review</t>
  </si>
  <si>
    <t>@SpokesmanReview</t>
  </si>
  <si>
    <t>https://www.facebook.com/spokesmanreview</t>
  </si>
  <si>
    <t>http://www.spokesman.com/</t>
  </si>
  <si>
    <t>Idaho Falls Post Register</t>
  </si>
  <si>
    <t>https://www.facebook.com/pages/Post-Register/440983490430</t>
  </si>
  <si>
    <t>http://www.postregister.com/</t>
  </si>
  <si>
    <t>Lewiston Tribune</t>
  </si>
  <si>
    <t>@LewistonTribune</t>
  </si>
  <si>
    <t>https://www.facebook.com/lewistontribune</t>
  </si>
  <si>
    <t>http://lmtribune.com/</t>
  </si>
  <si>
    <t>Nampa Idaho Press-Tribune</t>
  </si>
  <si>
    <t>@IdahoPressTrib</t>
  </si>
  <si>
    <t>https://www.facebook.com/Idaho.Press.Tribune</t>
  </si>
  <si>
    <t>http://www.idahopress.com/</t>
  </si>
  <si>
    <t>Pocatello Idaho State Journal</t>
  </si>
  <si>
    <t>@IdahoStateJ</t>
  </si>
  <si>
    <t>https://www.facebook.com/idahostatejournal</t>
  </si>
  <si>
    <t>http://www.idahostatejournal.com/</t>
  </si>
  <si>
    <t>Idaho Colleges and Universities</t>
  </si>
  <si>
    <t>http://www.idaho.gov/education/suniv.html</t>
  </si>
  <si>
    <t>Includes links to websites</t>
  </si>
  <si>
    <t>Illinois State Website</t>
  </si>
  <si>
    <t>http://www2.illinois.gov/Pages/default.aspx</t>
  </si>
  <si>
    <t>Illinois EMA</t>
  </si>
  <si>
    <t>http://www.facebook.com/ReadyIllinois</t>
  </si>
  <si>
    <t>http://ready.illinois.gov/</t>
  </si>
  <si>
    <t>Illinois Wildlife Rescue</t>
  </si>
  <si>
    <t>List of cities in Illinois by population</t>
  </si>
  <si>
    <t>http://en.wikipedia.org/wiki/Template:Largest_cities_of_Illinois</t>
  </si>
  <si>
    <t>Chicago</t>
  </si>
  <si>
    <t>@ChicagosMayor</t>
  </si>
  <si>
    <t>https://www.facebook.com/ChicagoMayorsOffice</t>
  </si>
  <si>
    <t>http://www.cityofchicago.org/city/en.html</t>
  </si>
  <si>
    <t>Cook</t>
  </si>
  <si>
    <t>@CityofAuroraI</t>
  </si>
  <si>
    <t>https://www.facebook.com/cityofaurorail</t>
  </si>
  <si>
    <t>http://www.aurora-il.org/index.php</t>
  </si>
  <si>
    <t>Kane</t>
  </si>
  <si>
    <t>Rockford</t>
  </si>
  <si>
    <t>@CityofRockford</t>
  </si>
  <si>
    <t>http://www.ci.rockford.il.us/</t>
  </si>
  <si>
    <t>Winnebago</t>
  </si>
  <si>
    <t>Joliet</t>
  </si>
  <si>
    <t>@JolietPolice</t>
  </si>
  <si>
    <t>https://www.facebook.com/jolietpolice</t>
  </si>
  <si>
    <t>http://www.visitjoliet.org/</t>
  </si>
  <si>
    <t>Will</t>
  </si>
  <si>
    <t>Naperville</t>
  </si>
  <si>
    <t>@NapervilleIL</t>
  </si>
  <si>
    <t>https://www.facebook.com/NapervilleIL</t>
  </si>
  <si>
    <t>http://www.naperville.il.us/</t>
  </si>
  <si>
    <t>DuPage</t>
  </si>
  <si>
    <t>Adams</t>
  </si>
  <si>
    <t>https://www.facebook.com/AdamsCountyIllinois</t>
  </si>
  <si>
    <t>http://www.co.adams.il.us/</t>
  </si>
  <si>
    <t>Alexander</t>
  </si>
  <si>
    <t>http://en.wikipedia.org/wiki/Alexander_County,_Illinois</t>
  </si>
  <si>
    <t>Bond</t>
  </si>
  <si>
    <t>http://bondcountyil.com/Home.html</t>
  </si>
  <si>
    <t>Boone</t>
  </si>
  <si>
    <t>http://www.boonecountyil.org/</t>
  </si>
  <si>
    <t>Brown</t>
  </si>
  <si>
    <t>http://www.browncountyil.com/</t>
  </si>
  <si>
    <t>Bureau</t>
  </si>
  <si>
    <t>http://www.bureaucounty.us/</t>
  </si>
  <si>
    <t>Calhoun</t>
  </si>
  <si>
    <t>http://en.wikipedia.org/wiki/Calhoun_County,_Illinois</t>
  </si>
  <si>
    <t>Carroll</t>
  </si>
  <si>
    <t>http://www.carroll-county.net/</t>
  </si>
  <si>
    <t>Cass</t>
  </si>
  <si>
    <t>http://en.wikipedia.org/wiki/Cass_County,_Illinois</t>
  </si>
  <si>
    <t>Champaign</t>
  </si>
  <si>
    <t>@ccilgov</t>
  </si>
  <si>
    <t>http://www.co.champaign.il.us</t>
  </si>
  <si>
    <t>Christian</t>
  </si>
  <si>
    <t>https://www.facebook.com/ChristianCountyIl</t>
  </si>
  <si>
    <t>http://christiancountyil.com/</t>
  </si>
  <si>
    <t>Clark</t>
  </si>
  <si>
    <t>http://clarkcountyil.org/</t>
  </si>
  <si>
    <t>Clay</t>
  </si>
  <si>
    <t>http://claycountyillinois.org/</t>
  </si>
  <si>
    <t>Clinton</t>
  </si>
  <si>
    <t>https://www.facebook.com/clintoncounty</t>
  </si>
  <si>
    <t>https://www.clintonco.illinois.gov/</t>
  </si>
  <si>
    <t>Coles</t>
  </si>
  <si>
    <t>http://www.co.coles.il.us/</t>
  </si>
  <si>
    <t>Cook</t>
  </si>
  <si>
    <t>https://twitter.com/cookcountygov</t>
  </si>
  <si>
    <t>http://www.co.cook.il.us</t>
  </si>
  <si>
    <t>Crawford</t>
  </si>
  <si>
    <t>http://www.crawfordcountycentral.com/</t>
  </si>
  <si>
    <t>Cumberland</t>
  </si>
  <si>
    <t>http://en.wikipedia.org/wiki/Cumberland_County,_Illinois</t>
  </si>
  <si>
    <t>DeKalb</t>
  </si>
  <si>
    <t>@dekalbco_online</t>
  </si>
  <si>
    <t>http://dekalbcounty.org/</t>
  </si>
  <si>
    <t>DeWitt</t>
  </si>
  <si>
    <t>http://www.dewittcountyill.com/</t>
  </si>
  <si>
    <t>Douglas</t>
  </si>
  <si>
    <t>http://www.douglascountyil.com/community.html</t>
  </si>
  <si>
    <t>DuPage</t>
  </si>
  <si>
    <t>@DuPageCounty</t>
  </si>
  <si>
    <t>http://www.dupageco.org/</t>
  </si>
  <si>
    <t>Edgar</t>
  </si>
  <si>
    <t>https://www.facebook.com/EdgarCountyIllinois</t>
  </si>
  <si>
    <t>http://edgarcountyillinois.com/</t>
  </si>
  <si>
    <t>Edwards</t>
  </si>
  <si>
    <t>https://www.facebook.com/pages/Edwards-County-Illinois/137218439631523</t>
  </si>
  <si>
    <t>http://en.wikipedia.org/wiki/Edwards_County,_Illinois</t>
  </si>
  <si>
    <t>Effingham</t>
  </si>
  <si>
    <t>@Effingham_IL</t>
  </si>
  <si>
    <t>http://en.wikipedia.org/wiki/Effingham,_Illinois?oldid=0</t>
  </si>
  <si>
    <t>Fayette</t>
  </si>
  <si>
    <t>https://www.facebook.com/pages/Fayette-County-Illinois/110878388963808</t>
  </si>
  <si>
    <t>http://en.wikipedia.org/wiki/Fayette_County,_Illinois</t>
  </si>
  <si>
    <t>Ford</t>
  </si>
  <si>
    <t>http://www.fordcountycourthouse.com/</t>
  </si>
  <si>
    <t>Franklin</t>
  </si>
  <si>
    <t>@FCEMA</t>
  </si>
  <si>
    <t>http://franklincountyil.org/</t>
  </si>
  <si>
    <t>Fulton</t>
  </si>
  <si>
    <t>http://en.wikipedia.org/wiki/Fulton_County,_Illinois</t>
  </si>
  <si>
    <t>Gallatin</t>
  </si>
  <si>
    <t>https://www.facebook.com/pages/Gallatin-County-Illinois/102323049823459</t>
  </si>
  <si>
    <t>http://en.wikipedia.org/wiki/Gallatin_County,_Illinois</t>
  </si>
  <si>
    <t>Greene</t>
  </si>
  <si>
    <t>http://www.greenecountyil.com/</t>
  </si>
  <si>
    <t>Grundy</t>
  </si>
  <si>
    <t>http://www.grundyco.org/</t>
  </si>
  <si>
    <t>Hamilton</t>
  </si>
  <si>
    <t>http://en.wikipedia.org/wiki/Hamilton_County,_Illinois</t>
  </si>
  <si>
    <t>Hancock</t>
  </si>
  <si>
    <t>http://en.wikipedia.org/wiki/Hancock_County,_Illinois</t>
  </si>
  <si>
    <t>Hardin</t>
  </si>
  <si>
    <t>http://hardincountyil.org/</t>
  </si>
  <si>
    <t>Henderson</t>
  </si>
  <si>
    <t>http://en.wikipedia.org/wiki/Henderson_County,_Illinois</t>
  </si>
  <si>
    <t>Henry</t>
  </si>
  <si>
    <t>http://www.henrycty.com/</t>
  </si>
  <si>
    <t>Iroquois</t>
  </si>
  <si>
    <t>@yoloneco811</t>
  </si>
  <si>
    <t>http://www.co.iroquois.il.us/</t>
  </si>
  <si>
    <t>Jackson</t>
  </si>
  <si>
    <t>http://jacksoncounty-il.gov/</t>
  </si>
  <si>
    <t>Jasper</t>
  </si>
  <si>
    <t>http://jaspercountyillinois.org/</t>
  </si>
  <si>
    <t>http://www.jeffil.us/</t>
  </si>
  <si>
    <t>Jersey</t>
  </si>
  <si>
    <t>http://en.wikipedia.org/wiki/Jersey_County,_Illinois</t>
  </si>
  <si>
    <t>Jo Daviess</t>
  </si>
  <si>
    <t>http://www.jodaviess.org/</t>
  </si>
  <si>
    <t>Johnson</t>
  </si>
  <si>
    <t>@johnsoncountyil</t>
  </si>
  <si>
    <t>http://en.wikipedia.org/wiki/Johnson_County,_Illinois</t>
  </si>
  <si>
    <t>Kane</t>
  </si>
  <si>
    <t>http://countyofkane.org/Pages/default.aspx</t>
  </si>
  <si>
    <t>Kankakee</t>
  </si>
  <si>
    <t>http://www.co.kankakee.il.us/</t>
  </si>
  <si>
    <t>Kendall</t>
  </si>
  <si>
    <t>http://www.co.kendall.il.us/</t>
  </si>
  <si>
    <t>Knox</t>
  </si>
  <si>
    <t>http://www.knoxcountyil.com/</t>
  </si>
  <si>
    <t>Lake</t>
  </si>
  <si>
    <t>@SheriffCurran</t>
  </si>
  <si>
    <t>https://www.facebook.com/LakeCoILSheriff</t>
  </si>
  <si>
    <t>http://www.lakecountyil.gov/Pages/default.aspx</t>
  </si>
  <si>
    <t>LaSalle</t>
  </si>
  <si>
    <t>@LascoEMA</t>
  </si>
  <si>
    <t>https://www.facebook.com/LaSalleCountyEmergencyManagementAgency</t>
  </si>
  <si>
    <t>http://www.lasallecounty.org/frm_set_index.htm</t>
  </si>
  <si>
    <t>Lawrence</t>
  </si>
  <si>
    <t>http://www.lawrencecountyillinois.com/</t>
  </si>
  <si>
    <t>Lee</t>
  </si>
  <si>
    <t>http://www.leecountyil.com/</t>
  </si>
  <si>
    <t>Livingston</t>
  </si>
  <si>
    <t>http://livingstoncountyil.gov/</t>
  </si>
  <si>
    <t>Logan</t>
  </si>
  <si>
    <t>http://www.co.logan.il.us/</t>
  </si>
  <si>
    <t>Macon</t>
  </si>
  <si>
    <t>http://www.co.macon.il.us/</t>
  </si>
  <si>
    <t>Macoupin</t>
  </si>
  <si>
    <t>http://www.macoupincountyil.gov/</t>
  </si>
  <si>
    <t>http://www.co.madison.il.us/</t>
  </si>
  <si>
    <t>Marion</t>
  </si>
  <si>
    <t>http://www.marioncounty911.com/</t>
  </si>
  <si>
    <t>Marshall</t>
  </si>
  <si>
    <t>http://www.marshallcountyillinois.com/</t>
  </si>
  <si>
    <t>Mason</t>
  </si>
  <si>
    <t>http://www.masoncountyil.org/</t>
  </si>
  <si>
    <t>Massac</t>
  </si>
  <si>
    <t>McDonough</t>
  </si>
  <si>
    <t>http://www.macomb.com/government.html</t>
  </si>
  <si>
    <t>McHenry</t>
  </si>
  <si>
    <t>http://www.co.mchenry.il.us/Pages/index.aspx</t>
  </si>
  <si>
    <t>McLean</t>
  </si>
  <si>
    <t>@McLeanCoIL</t>
  </si>
  <si>
    <t>http://www.mcleancountyil.gov/</t>
  </si>
  <si>
    <t>Menard</t>
  </si>
  <si>
    <t>http://menardcountyil.com/</t>
  </si>
  <si>
    <t>Mercer</t>
  </si>
  <si>
    <t>Monroe</t>
  </si>
  <si>
    <t>http://www.monroecountyil.org/</t>
  </si>
  <si>
    <t>Montgomery</t>
  </si>
  <si>
    <t>Morgan</t>
  </si>
  <si>
    <t>http://www.morgancounty-il.com/</t>
  </si>
  <si>
    <t>Moultrie</t>
  </si>
  <si>
    <t>Ogle</t>
  </si>
  <si>
    <t>http://www.oglecounty.org/</t>
  </si>
  <si>
    <t>Peoria</t>
  </si>
  <si>
    <t>Perry</t>
  </si>
  <si>
    <t>Piatt</t>
  </si>
  <si>
    <t>http://www.piattcounty.org/</t>
  </si>
  <si>
    <t>Pike</t>
  </si>
  <si>
    <t>http://www.pikeil.org/</t>
  </si>
  <si>
    <t>Pope</t>
  </si>
  <si>
    <t>http://www.popeco.net/</t>
  </si>
  <si>
    <t>Pulaski</t>
  </si>
  <si>
    <t>Putnam</t>
  </si>
  <si>
    <t>http://www.co.putnam.il.us/</t>
  </si>
  <si>
    <t>Randolph</t>
  </si>
  <si>
    <t>http://www.randolphco.org/gov/</t>
  </si>
  <si>
    <t>Richland</t>
  </si>
  <si>
    <t>Rock Island</t>
  </si>
  <si>
    <t>http://www.rockislandcounty.org/</t>
  </si>
  <si>
    <t>Saline</t>
  </si>
  <si>
    <t>Sangamon</t>
  </si>
  <si>
    <t>http://www.co.sangamon.il.us/</t>
  </si>
  <si>
    <t>Schuyler</t>
  </si>
  <si>
    <t>http://www.schuylercountyillinois.com/</t>
  </si>
  <si>
    <t>Scott</t>
  </si>
  <si>
    <t>Shelby</t>
  </si>
  <si>
    <t>http://www.shelbycounty-il.com/</t>
  </si>
  <si>
    <t>St. Clair</t>
  </si>
  <si>
    <t>http://www.co.st-clair.il.us/Pages/default.aspx</t>
  </si>
  <si>
    <t>Stark</t>
  </si>
  <si>
    <t>http://starkcountyillinois.com/</t>
  </si>
  <si>
    <t>Stephenson</t>
  </si>
  <si>
    <t>http://www.co.stephenson.il.us/</t>
  </si>
  <si>
    <t>Tazewell</t>
  </si>
  <si>
    <t>http://www.tazewell.com/</t>
  </si>
  <si>
    <t>Union</t>
  </si>
  <si>
    <t>@unioncountyil</t>
  </si>
  <si>
    <t>https://www.facebook.com/pages/County-of-Union-Illinois/262051797231362</t>
  </si>
  <si>
    <t>http://blog.unioncountyil.gov/</t>
  </si>
  <si>
    <t>Vermilion</t>
  </si>
  <si>
    <t>http://www.co.vermilion.il.us/</t>
  </si>
  <si>
    <t>Wabash</t>
  </si>
  <si>
    <t>Warren</t>
  </si>
  <si>
    <t>http://www.warrencountyil.com/</t>
  </si>
  <si>
    <t>Wayne</t>
  </si>
  <si>
    <t>White</t>
  </si>
  <si>
    <t>http://www.whitecounty-il.gov/</t>
  </si>
  <si>
    <t>Whiteside</t>
  </si>
  <si>
    <t>http://www.whiteside.org/</t>
  </si>
  <si>
    <t>Will</t>
  </si>
  <si>
    <t>http://www.willcountyillinois.com/</t>
  </si>
  <si>
    <t>Williamson</t>
  </si>
  <si>
    <t>Winnebago</t>
  </si>
  <si>
    <t>http://wincoil.us/</t>
  </si>
  <si>
    <t>Woodford</t>
  </si>
  <si>
    <t>http://www.woodford-county.org/index.php?section=1</t>
  </si>
  <si>
    <t>Aqua America - Illinois</t>
  </si>
  <si>
    <t>https://www.aquaamerica.com/our-states/illinois.aspx</t>
  </si>
  <si>
    <t>Aurora Department of Public Works</t>
  </si>
  <si>
    <t>https://www.auroragov.org/Departments/PublicWorks/index.htm</t>
  </si>
  <si>
    <t>Chicago Department of Water Management</t>
  </si>
  <si>
    <t>http://www.cityofchicago.org/city/en/depts/water.html</t>
  </si>
  <si>
    <t>Illinois American Water</t>
  </si>
  <si>
    <t>@ilamwater</t>
  </si>
  <si>
    <t>http://www.amwater.com/ilaw/</t>
  </si>
  <si>
    <t>Rockford Department of Public Works</t>
  </si>
  <si>
    <t>http://www.rockfordil.gov/public-works.aspx</t>
  </si>
  <si>
    <t>Ameren</t>
  </si>
  <si>
    <t>http://www.ameren.com/Pages/Home.aspx</t>
  </si>
  <si>
    <t>Springfield City Water, Light &amp; Power</t>
  </si>
  <si>
    <t>@CWLP_</t>
  </si>
  <si>
    <t>https://www.facebook.com/4CWLP</t>
  </si>
  <si>
    <t>http://www.cwlp.com/</t>
  </si>
  <si>
    <t>ComEd</t>
  </si>
  <si>
    <t>@ComEd</t>
  </si>
  <si>
    <t>https://www.facebook.com/ComEd</t>
  </si>
  <si>
    <t>https://www.comed.com/Pages/default.aspx</t>
  </si>
  <si>
    <t>Batavia Municipal Electric</t>
  </si>
  <si>
    <t>ComEd Electric Company</t>
  </si>
  <si>
    <t>Central Illinois Regional Airport at Bloomington-Normal</t>
  </si>
  <si>
    <t>@Fly_CIRA</t>
  </si>
  <si>
    <t>https://www.facebook.com/FlyCIRA</t>
  </si>
  <si>
    <t>http://www.cira.com/</t>
  </si>
  <si>
    <t>University of Illinois - Willard Airport</t>
  </si>
  <si>
    <t>http://www.flycmi.com/</t>
  </si>
  <si>
    <t>Chicago O'Hare International Airport</t>
  </si>
  <si>
    <t>@fly2ohare</t>
  </si>
  <si>
    <t>https://www.facebook.com/ohareairport</t>
  </si>
  <si>
    <t>http://www.flychicago.com/ohare/en/home/Pages/default.aspx</t>
  </si>
  <si>
    <t>Chicago Midway International Airport</t>
  </si>
  <si>
    <t>@fly2midway</t>
  </si>
  <si>
    <t>https://www.facebook.com/pages/Chicago-Midway-International-Airport/191598657592131</t>
  </si>
  <si>
    <t>http://www.flychicago.com/midway/en/home/Pages/default.aspx</t>
  </si>
  <si>
    <t>Quad City International Airport</t>
  </si>
  <si>
    <t>http://www.qcairport.com/</t>
  </si>
  <si>
    <t>General Downing - Peoria International Airport</t>
  </si>
  <si>
    <t>https://www.facebook.com/FlyPeoria</t>
  </si>
  <si>
    <t>http://www.flypia.com/</t>
  </si>
  <si>
    <t>Chicago Rockford International Airport</t>
  </si>
  <si>
    <t>http://www.flyrfd.com/</t>
  </si>
  <si>
    <t>Abraham Lincoln Capital Airport</t>
  </si>
  <si>
    <t>http://www.flyspi.com/</t>
  </si>
  <si>
    <t>http://www.worldportsource.com/ports/index/USA_IL.php</t>
  </si>
  <si>
    <t>Port of Beardstown</t>
  </si>
  <si>
    <t>http://www.midamericaport.com/</t>
  </si>
  <si>
    <t>Beardstown</t>
  </si>
  <si>
    <t>Calumet Harbor</t>
  </si>
  <si>
    <t>Calumet</t>
  </si>
  <si>
    <t>DuSable Harbor</t>
  </si>
  <si>
    <t>@chicagoharbors</t>
  </si>
  <si>
    <t>https://www.facebook.com/chicagoharbors</t>
  </si>
  <si>
    <t>http://www.chicagoharbors.info/</t>
  </si>
  <si>
    <t>Port of Chicago</t>
  </si>
  <si>
    <t>Port of Channahon</t>
  </si>
  <si>
    <t>Channahon</t>
  </si>
  <si>
    <t>Port of Granite City</t>
  </si>
  <si>
    <t>http://www.americascentralport.com/</t>
  </si>
  <si>
    <t>Granite City</t>
  </si>
  <si>
    <t>Port of Joliet</t>
  </si>
  <si>
    <t>Port of Lemont</t>
  </si>
  <si>
    <t>Lemont</t>
  </si>
  <si>
    <t>Port of Peoria</t>
  </si>
  <si>
    <t>Peoria</t>
  </si>
  <si>
    <t>Port of Quincy</t>
  </si>
  <si>
    <t>Quincy</t>
  </si>
  <si>
    <t>Port of Waukegan</t>
  </si>
  <si>
    <t>Waukegan</t>
  </si>
  <si>
    <t>Chicago Journal</t>
  </si>
  <si>
    <t>@ChiJournal</t>
  </si>
  <si>
    <t>https://www.facebook.com/ChicagoJournal</t>
  </si>
  <si>
    <t>http://www.chicagojournal.com/</t>
  </si>
  <si>
    <t>Chicago Sun Times</t>
  </si>
  <si>
    <t>@Suntimes</t>
  </si>
  <si>
    <t>https://www.facebook.com/thechicagosuntimes</t>
  </si>
  <si>
    <t>http://www.suntimes.com/</t>
  </si>
  <si>
    <t>Chicago Tribune</t>
  </si>
  <si>
    <t>@chicagotribune</t>
  </si>
  <si>
    <t>https://www.facebook.com/chicagotribune</t>
  </si>
  <si>
    <t>http://www.chicagotribune.com/</t>
  </si>
  <si>
    <t>Hyde Park Hearld</t>
  </si>
  <si>
    <t>@HydeParkHerald</t>
  </si>
  <si>
    <t>https://www.facebook.com/HydeParkHerald</t>
  </si>
  <si>
    <t>http://hpherald.com/</t>
  </si>
  <si>
    <t>Aurora Beacon News</t>
  </si>
  <si>
    <t>@BeaconNews</t>
  </si>
  <si>
    <t>https://www.facebook.com/TheBeaconNews</t>
  </si>
  <si>
    <t>http://beaconnews.suntimes.com/</t>
  </si>
  <si>
    <t>Rockford Register Star</t>
  </si>
  <si>
    <t>@rrstar</t>
  </si>
  <si>
    <t>https://www.facebook.com/rockfordregisterstar</t>
  </si>
  <si>
    <t>http://www.rrstar.com/</t>
  </si>
  <si>
    <t>Peoria Star</t>
  </si>
  <si>
    <t>@pjstar</t>
  </si>
  <si>
    <t>https://www.facebook.com/journalstar</t>
  </si>
  <si>
    <t>http://www.pjstar.com/</t>
  </si>
  <si>
    <t>Joliet Hearld-News</t>
  </si>
  <si>
    <t>@Joliet_HN</t>
  </si>
  <si>
    <t>https://www.facebook.com/pages/Joliet-herald-news/161154433900950</t>
  </si>
  <si>
    <t>http://heraldnews.suntimes.com/</t>
  </si>
  <si>
    <t>Naperville Reporter</t>
  </si>
  <si>
    <t>@MySuburbanLife</t>
  </si>
  <si>
    <t>https://www.facebook.com/mysuburbanlife</t>
  </si>
  <si>
    <t>http://www.mysuburbanlife.com/naperville/</t>
  </si>
  <si>
    <t>Naperville Sun</t>
  </si>
  <si>
    <t>@NapervilleSun</t>
  </si>
  <si>
    <t>https://www.facebook.com/napervillesun</t>
  </si>
  <si>
    <t>http://napervillesun.suntimes.com/</t>
  </si>
  <si>
    <t>Chicago CBS</t>
  </si>
  <si>
    <t>@cbschicago</t>
  </si>
  <si>
    <t>https://www.facebook.com/cbschicago</t>
  </si>
  <si>
    <t>http://chicago.cbslocal.com/</t>
  </si>
  <si>
    <t>Chicago Fox</t>
  </si>
  <si>
    <t>@fox32news</t>
  </si>
  <si>
    <t>https://www.facebook.com/FoxChicagoNews</t>
  </si>
  <si>
    <t>http://www.myfoxchicago.com/</t>
  </si>
  <si>
    <t>Chicago ABC</t>
  </si>
  <si>
    <t>@ABC7Chicago</t>
  </si>
  <si>
    <t>https://www.facebook.com/pages/ABC-7-Chicago/165583971161</t>
  </si>
  <si>
    <t>http://abclocal.go.com/wls/index</t>
  </si>
  <si>
    <t>Chicago NBC</t>
  </si>
  <si>
    <t>@nbcchicago</t>
  </si>
  <si>
    <t>https://www.facebook.com/nbcchicago</t>
  </si>
  <si>
    <t>http://www.nbcchicago.com/</t>
  </si>
  <si>
    <t>Rockford ABC/Fox</t>
  </si>
  <si>
    <t>@MyStateline</t>
  </si>
  <si>
    <t>https://www.facebook.com/wtvochannel17news/app_213243978691437</t>
  </si>
  <si>
    <t>http://mystateline.com/</t>
  </si>
  <si>
    <t>Rockford NBC</t>
  </si>
  <si>
    <t>@13WREX</t>
  </si>
  <si>
    <t>https://www.facebook.com/wrextv</t>
  </si>
  <si>
    <t>http://www.wrex.com/</t>
  </si>
  <si>
    <t>Springfield ABC</t>
  </si>
  <si>
    <t>@wics_abc20</t>
  </si>
  <si>
    <t>https://www.facebook.com/WICSABC20</t>
  </si>
  <si>
    <t>http://www.wics.com/</t>
  </si>
  <si>
    <t>Springfield Fox</t>
  </si>
  <si>
    <t>@foxillinois</t>
  </si>
  <si>
    <t>https://www.facebook.com/FoxIllinois</t>
  </si>
  <si>
    <t>http://www.foxillinois.com/</t>
  </si>
  <si>
    <t>Peoria NBC/ABC</t>
  </si>
  <si>
    <t>@News25Update</t>
  </si>
  <si>
    <t>https://www.facebook.com/News25Today</t>
  </si>
  <si>
    <t>http://www.cinewsnow.com/</t>
  </si>
  <si>
    <t>Indiana State Website</t>
  </si>
  <si>
    <t>@IN_gov</t>
  </si>
  <si>
    <t>http://www.facebook.com/IndianaGovernment?WT.cg_n=Footer&amp;WT.cg_s=Home</t>
  </si>
  <si>
    <t>http://www.in.gov/core/?WT.cg_n=Header&amp;WT.cg_s=Home</t>
  </si>
  <si>
    <t>Indiana DHS</t>
  </si>
  <si>
    <t>@IDHS</t>
  </si>
  <si>
    <t>http://www.facebook.com/pages/Indiana-Department-of-Homeland-Security/22183791246</t>
  </si>
  <si>
    <t>Indiana Wildlife Rescue</t>
  </si>
  <si>
    <t>EMA/Sherrif's Office</t>
  </si>
  <si>
    <t>http://www.co.adams.in.us/</t>
  </si>
  <si>
    <t>http://www.co.adams.in.us/county-offices/view/emergency-management-agency</t>
  </si>
  <si>
    <t>Allen</t>
  </si>
  <si>
    <t>@allencountyinfo</t>
  </si>
  <si>
    <t>https://www.facebook.com/pages/Allen-County-INfo/126720380721772</t>
  </si>
  <si>
    <t>http://www.allencounty.us/</t>
  </si>
  <si>
    <t>http://www.allencounty.us/homeland/</t>
  </si>
  <si>
    <t>Bartholomew</t>
  </si>
  <si>
    <t>@bceoc</t>
  </si>
  <si>
    <t>http://www.bartholomew.in.gov/</t>
  </si>
  <si>
    <t>http://www.bartholomew.in.gov/index.php/emergency-management-about-us</t>
  </si>
  <si>
    <t>Benton</t>
  </si>
  <si>
    <t>http://www.bentoncounty.in.gov/</t>
  </si>
  <si>
    <t>http://www.bentoncounty.in.gov/sheriff</t>
  </si>
  <si>
    <t>Blackford</t>
  </si>
  <si>
    <t>https://www.facebook.com/pages/Blackford-County-Emergency-Management/266633656721585</t>
  </si>
  <si>
    <t>http://www.blackfordcounty.com/</t>
  </si>
  <si>
    <t>http://www.blackfordema.org/page1.aspx</t>
  </si>
  <si>
    <t>http://boonecounty.in.gov/</t>
  </si>
  <si>
    <t>http://www.boonecountyindianasheriff.com/c/index.php</t>
  </si>
  <si>
    <t>http://www.browncounty-in.gov/</t>
  </si>
  <si>
    <t>http://browncounty-in.gov/Departments/EmergencyManagement.aspx</t>
  </si>
  <si>
    <t>http://www.carrollcountyindiana.com/index.php?option=com_content&amp;view=article&amp;id=183&amp;Itemid=146</t>
  </si>
  <si>
    <t>http://www.carrollcountyindiana.com/index.php?option=com_content&amp;view=article&amp;id=188&amp;Itemid=239</t>
  </si>
  <si>
    <t>http://www.co.cass.in.us/dav/</t>
  </si>
  <si>
    <t>http://www.co.cass.in.us/dav/e911/e911.html</t>
  </si>
  <si>
    <t>http://www.co.clark.in.us/</t>
  </si>
  <si>
    <t>http://www.clarkcosheriff.com/</t>
  </si>
  <si>
    <t>http://www.claycountyin.gov/</t>
  </si>
  <si>
    <t>http://www.claycountyin.gov/index.pl?id=4200;isa=Category;op=show</t>
  </si>
  <si>
    <t>https://www.facebook.com/pages/Clinton-County-Sheriffs-Office/165197249678</t>
  </si>
  <si>
    <t>http://www.clintonco.com/</t>
  </si>
  <si>
    <t>http://www.clintoncountysheriff.com/</t>
  </si>
  <si>
    <t>Daviess</t>
  </si>
  <si>
    <t>Dearborn</t>
  </si>
  <si>
    <t>http://www.dearborncounty.org/</t>
  </si>
  <si>
    <t>http://www.dearborncounty.org/Government/County-Offices/Emergency-Management-Agency</t>
  </si>
  <si>
    <t>Decatur</t>
  </si>
  <si>
    <t>http://www.decaturcounty.in.gov/</t>
  </si>
  <si>
    <t>http://www.decaturcounty.in.gov/ema/ema.htm</t>
  </si>
  <si>
    <t>http://www.co.dekalb.in.us/</t>
  </si>
  <si>
    <t>http://www.co.dekalb.in.us/department/?fDD=33-0</t>
  </si>
  <si>
    <t>Delaware</t>
  </si>
  <si>
    <t>https://www.facebook.com/groups/DCHSEMA/</t>
  </si>
  <si>
    <t>http://www.co.delaware.in.us/</t>
  </si>
  <si>
    <t>http://www.co.delaware.in.us/department/?fDD=11-0</t>
  </si>
  <si>
    <t>Dubois</t>
  </si>
  <si>
    <t>http://www.duboiscountyin.org/</t>
  </si>
  <si>
    <t>http://www.duboiscountyin.org/offices/emergency.html</t>
  </si>
  <si>
    <t>Elkhart</t>
  </si>
  <si>
    <t>http://www.elkhartcountyindiana.com/</t>
  </si>
  <si>
    <t>http://www.elkhartcountyindiana.com/Departments/EMA/index.htm</t>
  </si>
  <si>
    <t>http://www.co.fayette.in.us/</t>
  </si>
  <si>
    <t>http://www.co.fayette.in.us/Emergency%20Planning.htm</t>
  </si>
  <si>
    <t>Floyd</t>
  </si>
  <si>
    <t>http://www.floydcounty.in.gov/</t>
  </si>
  <si>
    <t>http://www.floydcounty.in.gov/county%20offices/EMA.htm</t>
  </si>
  <si>
    <t>Fountain</t>
  </si>
  <si>
    <t>http://www.franklincounty.in.gov/</t>
  </si>
  <si>
    <t>http://www.franklincounty.in.gov/countyoffices/sheriff/</t>
  </si>
  <si>
    <t>http://www.co.fulton.in.us/</t>
  </si>
  <si>
    <t>http://www.co.fulton.in.us/emergency/</t>
  </si>
  <si>
    <t>Gibson</t>
  </si>
  <si>
    <t>http://www.gibsoncounty-in.gov/default.aspx</t>
  </si>
  <si>
    <t>http://www.gibsoncounty-in.gov/departments/ema/default.aspx</t>
  </si>
  <si>
    <t>Grant</t>
  </si>
  <si>
    <t>http://www.grantcounty.net/</t>
  </si>
  <si>
    <t>http://ema.grantcounty27.us/</t>
  </si>
  <si>
    <t>@HamcoIndiana</t>
  </si>
  <si>
    <t>https://www.facebook.com/pages/Hamilton-County-Indiana-Government/321558502803</t>
  </si>
  <si>
    <t>http://www.hamiltoncounty.in.gov/</t>
  </si>
  <si>
    <t>http://www.hamiltoncounty.in.gov/department/index.php?structureid=16</t>
  </si>
  <si>
    <t>http://www.hancockcoingov.org/</t>
  </si>
  <si>
    <t>http://www.hancockcoingov.org/hancock-county-government-departments/hancock-county-indiana-emergency-management.html</t>
  </si>
  <si>
    <t>http://harrisoncounty.in.gov/</t>
  </si>
  <si>
    <t>http://harrisoncounty.in.gov/index.php/local-government-our-offices-and-leadership/office-listings/emergency-management</t>
  </si>
  <si>
    <t>Hendricks</t>
  </si>
  <si>
    <t>http://www.co.hendricks.in.us/</t>
  </si>
  <si>
    <t>http://www.co.hendricks.in.us/emergency_management.html</t>
  </si>
  <si>
    <t>http://www.henryco.net/</t>
  </si>
  <si>
    <t>http://www.henrycoema.org/</t>
  </si>
  <si>
    <t>Howard</t>
  </si>
  <si>
    <t>http://www.co.howard.in.us/</t>
  </si>
  <si>
    <t>http://co.howard.in.us/ema/Index.htm</t>
  </si>
  <si>
    <t>Huntington</t>
  </si>
  <si>
    <t>http://www.huntington.in.us/</t>
  </si>
  <si>
    <t>http://www.huntington.in.us/county/department/?fDD=37-0</t>
  </si>
  <si>
    <t>Jackson</t>
  </si>
  <si>
    <t>@JacksonCountyIN</t>
  </si>
  <si>
    <t>http://www.jacksoncounty.in.gov/</t>
  </si>
  <si>
    <t>http://www.jacksoncounty.in.gov/index.aspx?NID=93</t>
  </si>
  <si>
    <t>http://jaspercountyin.gov/</t>
  </si>
  <si>
    <t>http://jaspercountyin.gov/Default.aspx?tabid=64</t>
  </si>
  <si>
    <t>Jay</t>
  </si>
  <si>
    <t>http://www.jaycountysheriff.org/</t>
  </si>
  <si>
    <t>http://jeffersoncounty.in.gov/</t>
  </si>
  <si>
    <t>http://jeffersoncounty.in.gov/ema/index.php</t>
  </si>
  <si>
    <t>Jennings</t>
  </si>
  <si>
    <t>@JCE911</t>
  </si>
  <si>
    <t>https://www.facebook.com/jenningscounty911</t>
  </si>
  <si>
    <t>http://www.jenningscounty-in.gov/</t>
  </si>
  <si>
    <t>http://www.jenningscounty-in.gov/911/index.php</t>
  </si>
  <si>
    <t>http://co.johnson.in.us/</t>
  </si>
  <si>
    <t>http://co.johnson.in.us/ema/</t>
  </si>
  <si>
    <t>https://www.facebook.com/knoxcountyema</t>
  </si>
  <si>
    <t>http://www.knoxcounty.in.gov/</t>
  </si>
  <si>
    <t>http://www.knoxcounty.in.gov/departments/public-safety/emergency-management</t>
  </si>
  <si>
    <t>Kosciusko</t>
  </si>
  <si>
    <t>http://www.kcgov.com/</t>
  </si>
  <si>
    <t>http://www.kcgov.com/department/?fDD=11-0</t>
  </si>
  <si>
    <t>LaGrange</t>
  </si>
  <si>
    <t>http://www.lagrangecounty.org/</t>
  </si>
  <si>
    <t>http://www.lagrangecounty.org/index.php?option=com_content&amp;task=category&amp;sectionid=11&amp;id=89&amp;Itemid=158</t>
  </si>
  <si>
    <t>http://www.lakecountyin.org/</t>
  </si>
  <si>
    <t>http://www.lakecountyin.org/portal/media-type/html/group/sheriff/page/default.psml</t>
  </si>
  <si>
    <t>LaPorte</t>
  </si>
  <si>
    <t>https://www.facebook.com/pages/LaPorte-County-Emergency-Management/194433680600659</t>
  </si>
  <si>
    <t>http://www.laportecounty.org/default.html</t>
  </si>
  <si>
    <t>http://www.laportecountysheriff.com/</t>
  </si>
  <si>
    <t>http://www.lawrencecountysheriff.com/</t>
  </si>
  <si>
    <t>http://www.madisoncty.com/#</t>
  </si>
  <si>
    <t>http://www.madisoncountyema.org/</t>
  </si>
  <si>
    <t>@DHSIndianapolis</t>
  </si>
  <si>
    <t>https://www.facebook.com/IndianapolisDHS</t>
  </si>
  <si>
    <t>http://www.indy.gov/eGov/County/Pages/home.aspx</t>
  </si>
  <si>
    <t>http://www.indy.gov/egov/city/dps/dhs/Pages/home.aspx</t>
  </si>
  <si>
    <t>http://www.co.marshall.in.us/</t>
  </si>
  <si>
    <t>http://www.co.marshall.in.us/?page_id=1134</t>
  </si>
  <si>
    <t>Martin</t>
  </si>
  <si>
    <t>Miami</t>
  </si>
  <si>
    <t>http://www.miamicountyin.gov/</t>
  </si>
  <si>
    <t>http://www.miamicountyin.gov/Departments/EMA/index.html</t>
  </si>
  <si>
    <t>http://www.co.monroe.in.us/tsd/</t>
  </si>
  <si>
    <t>http://www.co.monroe.in.us/tsd/Community/EmergencyManagement.aspx</t>
  </si>
  <si>
    <t>http://www.montgomeryco.net/</t>
  </si>
  <si>
    <t>http://www.montgomeryco.net/department/?fDD=37-0</t>
  </si>
  <si>
    <t>http://www.morgancounty.in.gov/</t>
  </si>
  <si>
    <t>http://morgancountyinema.org/</t>
  </si>
  <si>
    <t>Newton</t>
  </si>
  <si>
    <t>http://www.newtoncounty.in.gov/</t>
  </si>
  <si>
    <t>http://www.newtoncounty.in.gov/serviceema.html</t>
  </si>
  <si>
    <t>Noble</t>
  </si>
  <si>
    <t>http://nobleco.squarespace.com/</t>
  </si>
  <si>
    <t>http://www.noblecountysheriff.org/</t>
  </si>
  <si>
    <t>Orange</t>
  </si>
  <si>
    <t>http://www.co.orange.in.us/</t>
  </si>
  <si>
    <t>Owen</t>
  </si>
  <si>
    <t>http://www.owencounty.in.gov/</t>
  </si>
  <si>
    <t>http://www.owencounty.in.gov/index.php?q=content/ema</t>
  </si>
  <si>
    <t>Parke</t>
  </si>
  <si>
    <t>http://www.parkecounty-in.gov/</t>
  </si>
  <si>
    <t>http://www.parkecounty-in.gov/emo</t>
  </si>
  <si>
    <t>http://www.perrycounty.in.gov/</t>
  </si>
  <si>
    <t>http://www.perrycounty.in.gov/departments/emergency-management-agency.aspx</t>
  </si>
  <si>
    <t>http://www.pikecountyin.org/</t>
  </si>
  <si>
    <t>http://www.pikecountysheriffsoffice.com/</t>
  </si>
  <si>
    <t>Porter</t>
  </si>
  <si>
    <t>http://www2.porterco.org/</t>
  </si>
  <si>
    <t>http://www2.porterco.org/home/departments/ems/</t>
  </si>
  <si>
    <t>Posey</t>
  </si>
  <si>
    <t>http://www.indianasheriffs.org/ns/counties/Posey.php</t>
  </si>
  <si>
    <t>http://www.pulaskionline.org/</t>
  </si>
  <si>
    <t>http://www.pulaskionline.org/content/view/90/50/</t>
  </si>
  <si>
    <t>http://www.putnam-sheriff.org/</t>
  </si>
  <si>
    <t>http://www.randolphcounty.us/</t>
  </si>
  <si>
    <t>http://www.randolphcounty.us/departments/homeland-security</t>
  </si>
  <si>
    <t>Ripley</t>
  </si>
  <si>
    <t>@RipleyCountyEMA</t>
  </si>
  <si>
    <t>https://www.facebook.com/pages/Ripley-County-Indiana-EMA/180297285343250</t>
  </si>
  <si>
    <t>http://www.ripleycounty.com/</t>
  </si>
  <si>
    <t>http://www.ripleycounty.com/ema/</t>
  </si>
  <si>
    <t>Rush</t>
  </si>
  <si>
    <t>http://www.rushcounty.in.gov/Public/Home/index.cfm</t>
  </si>
  <si>
    <t>http://www.rushcounty.in.gov/Public/CountyOffices/EMA/index.cfm</t>
  </si>
  <si>
    <t>https://www.facebook.com/ScottCountyINSheriff</t>
  </si>
  <si>
    <t>http://www.scottcountysheriff.org/</t>
  </si>
  <si>
    <t>http://www.co.shelby.in.us/</t>
  </si>
  <si>
    <t>http://www.co.shelby.in.us/EmergencyManagement.aspx</t>
  </si>
  <si>
    <t>Spencer</t>
  </si>
  <si>
    <t>http://spencercounty.in.gov/</t>
  </si>
  <si>
    <t>http://spencercounty.in.gov/pages.cfm?Departmentid=401</t>
  </si>
  <si>
    <t>St. Joseph</t>
  </si>
  <si>
    <t>http://www.stjosephcountyindiana.com/</t>
  </si>
  <si>
    <t>http://www.stjosephcountyindiana.com/departments/SJCEMA/index.htm</t>
  </si>
  <si>
    <t>Starke</t>
  </si>
  <si>
    <t>http://www.co.starke.in.us/</t>
  </si>
  <si>
    <t>http://www.co.starke.in.us/departments/e-m-a/</t>
  </si>
  <si>
    <t>Steuben</t>
  </si>
  <si>
    <t>http://www.co.steuben.in.us/</t>
  </si>
  <si>
    <t>http://www.co.steuben.in.us/departments/em/emergency_management.aspx</t>
  </si>
  <si>
    <t>Sullivan</t>
  </si>
  <si>
    <t>http://www.sullivancountyindiana.us/</t>
  </si>
  <si>
    <t>Switzerland</t>
  </si>
  <si>
    <t>Tippecanoe</t>
  </si>
  <si>
    <t>http://www.tippecanoe.in.gov/</t>
  </si>
  <si>
    <t>http://www.tippecanoe.in.gov/department/?structureid=10</t>
  </si>
  <si>
    <t>Tipton</t>
  </si>
  <si>
    <t>http://www.tiptoncounty.in.gov/</t>
  </si>
  <si>
    <t>http://www.unioncountyin.gov/</t>
  </si>
  <si>
    <t>http://www.unioncountyin.gov/emergency-management</t>
  </si>
  <si>
    <t>Vanderburgh</t>
  </si>
  <si>
    <t>@MayorWinnecke</t>
  </si>
  <si>
    <t>https://www.facebook.com/LloydWinnecke</t>
  </si>
  <si>
    <t>http://www.vanderburghgov.org/</t>
  </si>
  <si>
    <t>http://www.vanderburghgov.org/index.aspx?page=51</t>
  </si>
  <si>
    <t>Vermillion</t>
  </si>
  <si>
    <t>http://www.vermilliongov.us/_index.php</t>
  </si>
  <si>
    <t>http://www.vermilliongov.us/sheriff.html</t>
  </si>
  <si>
    <t>Vigo</t>
  </si>
  <si>
    <t>http://www.vigocounty.in.gov/</t>
  </si>
  <si>
    <t>http://www.vigocounty.in.gov/department/?fDD=30-0</t>
  </si>
  <si>
    <t>http://www.wabashcounty.in.gov/</t>
  </si>
  <si>
    <t>http://ema.wabashcounty85.us/</t>
  </si>
  <si>
    <t>http://www.indianasheriffs.org/ns/counties/Warren.php</t>
  </si>
  <si>
    <t>Warrick</t>
  </si>
  <si>
    <t>https://www.facebook.com/WarrickCountyEmergencyManagementAgency</t>
  </si>
  <si>
    <t>http://www.warrickcounty.gov/</t>
  </si>
  <si>
    <t>http://www.warrickcounty.gov/Departments/EmergencyManagement.aspx</t>
  </si>
  <si>
    <t>http://www.washingtoncounty.in.gov/</t>
  </si>
  <si>
    <t>http://www.washingtoncounty.in.gov/washington-county-indiana-government/washington-county-indiana-health-and-safety/washington-county-indiana-emergency-management</t>
  </si>
  <si>
    <t>http://www.co.wayne.in.us/</t>
  </si>
  <si>
    <t>Wells</t>
  </si>
  <si>
    <t>http://www.wellscounty.org/</t>
  </si>
  <si>
    <t>http://www.wellscounty.org/emergency.htm</t>
  </si>
  <si>
    <t>http://home.whitecountyindiana.us/</t>
  </si>
  <si>
    <t>http://ema.whitecountyindiana.us/</t>
  </si>
  <si>
    <t>Whitley</t>
  </si>
  <si>
    <t>http://www.whitleygov.com/</t>
  </si>
  <si>
    <t>http://www.whitleygov.com/department/?fDD=15-0</t>
  </si>
  <si>
    <t>Aqua America - Indiana</t>
  </si>
  <si>
    <t>https://www.aquaamerica.com/</t>
  </si>
  <si>
    <t>Indiana American Water</t>
  </si>
  <si>
    <t>@inamwater</t>
  </si>
  <si>
    <t>https://www.facebook.com/IndianaAmericanWater</t>
  </si>
  <si>
    <t>http://www.amwater.com/inaw/</t>
  </si>
  <si>
    <t>Indianapolis Water</t>
  </si>
  <si>
    <t>@citizensenergy</t>
  </si>
  <si>
    <t>https://www.facebook.com/CitizensEnergyGroup</t>
  </si>
  <si>
    <t>http://www.citizensenergygroup.com/</t>
  </si>
  <si>
    <t>Duke Energy Indiana</t>
  </si>
  <si>
    <t>@DukeEnergyStorm</t>
  </si>
  <si>
    <t>https://www.facebook.com/DukeEnergyStorm</t>
  </si>
  <si>
    <t>http://www.duke-energy.com/indiana.asp</t>
  </si>
  <si>
    <t>Indianapolis Power &amp; Light</t>
  </si>
  <si>
    <t>http://www.iplpower.com/</t>
  </si>
  <si>
    <t>Northern Indiana Public Service Company</t>
  </si>
  <si>
    <t>https://www.facebook.com/nipsco</t>
  </si>
  <si>
    <t>http://www.nipsco.com/en/home.aspx</t>
  </si>
  <si>
    <t>American Electric Power</t>
  </si>
  <si>
    <t>@AEPnews</t>
  </si>
  <si>
    <t>https://www.facebook.com/americanelectricpower</t>
  </si>
  <si>
    <t>http://www.aep.com/</t>
  </si>
  <si>
    <t>Evansville Regional Airport</t>
  </si>
  <si>
    <t>@FlyEVV</t>
  </si>
  <si>
    <t>https://www.facebook.com/EVVairport</t>
  </si>
  <si>
    <t>http://www.evvairport.com/</t>
  </si>
  <si>
    <t>Fort Wayne International Airport</t>
  </si>
  <si>
    <t>@flyfwa</t>
  </si>
  <si>
    <t>https://www.facebook.com/flyfortwayne</t>
  </si>
  <si>
    <t>https://fwairport.com/</t>
  </si>
  <si>
    <t>Indianapolis International Airport</t>
  </si>
  <si>
    <t>@INDairport</t>
  </si>
  <si>
    <t>https://www.facebook.com/IndianapolisInternationalAirport</t>
  </si>
  <si>
    <t>http://www.indianapolisairport.com/</t>
  </si>
  <si>
    <t>South Bend Regional Airport</t>
  </si>
  <si>
    <t>@SBNairport</t>
  </si>
  <si>
    <t>https://www.facebook.com/FlySBN?v=wall</t>
  </si>
  <si>
    <t>http://www.flysbn.com/</t>
  </si>
  <si>
    <t>Indianapolis 8</t>
  </si>
  <si>
    <t>@WISH_TV</t>
  </si>
  <si>
    <t>https://www.facebook.com/wishtv</t>
  </si>
  <si>
    <t>http://www.wishtv.com/</t>
  </si>
  <si>
    <t>Indianapolis ABC</t>
  </si>
  <si>
    <t>@theindychannel</t>
  </si>
  <si>
    <t>https://www.facebook.com/WRTV6</t>
  </si>
  <si>
    <t>http://www.theindychannel.com/</t>
  </si>
  <si>
    <t>Indianapolis NBC</t>
  </si>
  <si>
    <t>@WTHRcom</t>
  </si>
  <si>
    <t>https://www.facebook.com/WTHR13</t>
  </si>
  <si>
    <t>http://www.wthr.com/</t>
  </si>
  <si>
    <t>Indianapolis FOX</t>
  </si>
  <si>
    <t>@FOX59</t>
  </si>
  <si>
    <t>https://www.facebook.com/pages/Fox-59-WXIN-Indianapolis/149126144574</t>
  </si>
  <si>
    <t>http://fox59.com/</t>
  </si>
  <si>
    <t>Fort Wayne Local</t>
  </si>
  <si>
    <t>@wane15</t>
  </si>
  <si>
    <t>https://www.facebook.com/wane15</t>
  </si>
  <si>
    <t>http://www.wane.com/</t>
  </si>
  <si>
    <t>Fort Wayne NewsCenter</t>
  </si>
  <si>
    <t>https://www.facebook.com/IndianasNewsCenter</t>
  </si>
  <si>
    <t>http://www.indianasnewscenter.com/</t>
  </si>
  <si>
    <t>Evansville Local ABC</t>
  </si>
  <si>
    <t>@WEHTWTVWlocal</t>
  </si>
  <si>
    <t>https://www.facebook.com/eyewitnessnewslocal</t>
  </si>
  <si>
    <t>http://tristatehomepage.com/</t>
  </si>
  <si>
    <t>Evansville CBS</t>
  </si>
  <si>
    <t>@WEVV</t>
  </si>
  <si>
    <t>https://www.facebook.com/CBS44</t>
  </si>
  <si>
    <t>http://www.wevv.com/</t>
  </si>
  <si>
    <t>Evansville NBC</t>
  </si>
  <si>
    <t>@14News</t>
  </si>
  <si>
    <t>https://www.facebook.com/14news</t>
  </si>
  <si>
    <t>http://www.14news.com/</t>
  </si>
  <si>
    <t>South Bend NBC</t>
  </si>
  <si>
    <t>@WNDU</t>
  </si>
  <si>
    <t>https://www.facebook.com/NewsCenter16</t>
  </si>
  <si>
    <t>http://www.wndu.com/</t>
  </si>
  <si>
    <t>South Bend Local</t>
  </si>
  <si>
    <t>@WSBT</t>
  </si>
  <si>
    <t>https://www.facebook.com/WSBTNews</t>
  </si>
  <si>
    <t>http://www.wsbt.com/</t>
  </si>
  <si>
    <t>Evansville Courier Press</t>
  </si>
  <si>
    <t>@courierpress</t>
  </si>
  <si>
    <t>https://www.facebook.com/courierpress</t>
  </si>
  <si>
    <t>http://www.courierpress.com/</t>
  </si>
  <si>
    <t>Fort Wayne Journal Gazette</t>
  </si>
  <si>
    <t>@JGfortwayne</t>
  </si>
  <si>
    <t>https://www.facebook.com/journalgazette</t>
  </si>
  <si>
    <t>http://www.journalgazette.net/</t>
  </si>
  <si>
    <t>Fort Wayne News Sentinel</t>
  </si>
  <si>
    <t>@newssentinel</t>
  </si>
  <si>
    <t>https://www.facebook.com/thenewssentinel</t>
  </si>
  <si>
    <t>http://www.news-sentinel.com/</t>
  </si>
  <si>
    <t>Indianapolis Recorder</t>
  </si>
  <si>
    <t>@IndyRecorder</t>
  </si>
  <si>
    <t>https://www.facebook.com/IndianapolisRecorder</t>
  </si>
  <si>
    <t>http://www.indianapolisrecorder.com/</t>
  </si>
  <si>
    <t>Indianapolis Star</t>
  </si>
  <si>
    <t>@indystar</t>
  </si>
  <si>
    <t>https://www.facebook.com/indianapolis.star</t>
  </si>
  <si>
    <t>http://www.indystar.com/</t>
  </si>
  <si>
    <t>South Bend Tribune</t>
  </si>
  <si>
    <t>@SBTribune</t>
  </si>
  <si>
    <t>https://www.facebook.com/southbendtribune</t>
  </si>
  <si>
    <t>http://www.southbendtribune.com/</t>
  </si>
  <si>
    <t>Iowa State Website</t>
  </si>
  <si>
    <t>http://www.iowa.gov/</t>
  </si>
  <si>
    <t>Iowa DHS</t>
  </si>
  <si>
    <t>Iowa Wildlife Rescue</t>
  </si>
  <si>
    <t>Iowa Road Conditions</t>
  </si>
  <si>
    <t>@statewideia511</t>
  </si>
  <si>
    <t>https://www.facebook.com/Iowa511</t>
  </si>
  <si>
    <t>http://511ia.org/</t>
  </si>
  <si>
    <t>EMA/Sheriff</t>
  </si>
  <si>
    <t>Adair</t>
  </si>
  <si>
    <t>@AdairGuthrieEMA</t>
  </si>
  <si>
    <t>https://www.facebook.com/adairguthrie.coema</t>
  </si>
  <si>
    <t>http://www.adaircountyiowa.org/</t>
  </si>
  <si>
    <t>http://www.adaircountyiowa.org/departments/emergency</t>
  </si>
  <si>
    <t>http://www.adamscountyia.com/</t>
  </si>
  <si>
    <t>http://www.adamscountyia.com/County%20&amp;%20State%20Employees.htm#Sheriff</t>
  </si>
  <si>
    <t>Allamakee</t>
  </si>
  <si>
    <t>http://www.co.allamakee.ia.us/</t>
  </si>
  <si>
    <t>http://www.co.allamakee.ia.us/sheriffs.htm</t>
  </si>
  <si>
    <t>Appanoose</t>
  </si>
  <si>
    <t>http://www.appanoosecounty.net/</t>
  </si>
  <si>
    <t>http://www.appanoosecounty.net/emergency/emergency-management.php</t>
  </si>
  <si>
    <t>Audubon</t>
  </si>
  <si>
    <t>http://www.auduboncounty.com/</t>
  </si>
  <si>
    <t>http://www.auduboncounty.com/emergency_mgmt.asp</t>
  </si>
  <si>
    <t>@BentonCountyIA</t>
  </si>
  <si>
    <t>https://www.facebook.com/pages/Benton-County-Iowa/227656617255712</t>
  </si>
  <si>
    <t>http://www.bentoncountyiowa.com/</t>
  </si>
  <si>
    <t>http://www.cobentoniaus.com/Sheriff/sheriff.htm</t>
  </si>
  <si>
    <t>Black Hawk</t>
  </si>
  <si>
    <t>http://www.co.black-hawk.ia.us/</t>
  </si>
  <si>
    <t>http://www.bhciaema.com/</t>
  </si>
  <si>
    <t>http://www.co.boone.ia.us/</t>
  </si>
  <si>
    <t>http://www.co.boone.ia.us/index.aspx?page=103</t>
  </si>
  <si>
    <t>Bremer</t>
  </si>
  <si>
    <t>https://www.facebook.com/pages/Bremer-County-Emergency-Management/106499959379651</t>
  </si>
  <si>
    <t>http://www.co.bremer.ia.us/</t>
  </si>
  <si>
    <t>http://www.co.bremer.ia.us/emergency-management/default.aspx</t>
  </si>
  <si>
    <t>Buchanan</t>
  </si>
  <si>
    <t>http://www.co.buchanan.ia.us/</t>
  </si>
  <si>
    <t>http://buchananem.com/</t>
  </si>
  <si>
    <t>Buena Vista</t>
  </si>
  <si>
    <t>http://www.bvcountyiowa.com/</t>
  </si>
  <si>
    <t>http://www.bvcountyiowa.com/index.php/emergency_management</t>
  </si>
  <si>
    <t>Butler</t>
  </si>
  <si>
    <t>http://www.butlercoiowa.org/</t>
  </si>
  <si>
    <t>http://www.butlercoiowa.org/departments/emergencymanagement</t>
  </si>
  <si>
    <t>http://www.calhouncountyiowa.com/</t>
  </si>
  <si>
    <t>http://www.calhouncountyiowa.com/sheriff.htm</t>
  </si>
  <si>
    <t>@CarrollCoWeb</t>
  </si>
  <si>
    <t>https://www.facebook.com/pages/Carroll-County-Iowa/164347150319627</t>
  </si>
  <si>
    <t>http://www.co.carroll.ia.us/</t>
  </si>
  <si>
    <t>http://www.co.carroll.ia.us/EMS/EMS.htm</t>
  </si>
  <si>
    <t>http://www.casscountyiowa.us/</t>
  </si>
  <si>
    <t>http://www.casscountyiowa.us/resources.htm</t>
  </si>
  <si>
    <t>Cedar</t>
  </si>
  <si>
    <t>http://www.cedarcounty.org/</t>
  </si>
  <si>
    <t>http://www.cedarcounty.org/resources.htm</t>
  </si>
  <si>
    <t>Cerro Gordo</t>
  </si>
  <si>
    <t>@cgcounty</t>
  </si>
  <si>
    <t>http://www.co.cerro-gordo.ia.us/</t>
  </si>
  <si>
    <t>http://www.co.cerro-gordo.ia.us/Emergency/EMA_Overview.cfm</t>
  </si>
  <si>
    <t>Cherokee</t>
  </si>
  <si>
    <t>http://www.cherokeecountyiowa.com/</t>
  </si>
  <si>
    <t>http://www.cherokeecountyiowa.com/resources.htm</t>
  </si>
  <si>
    <t>Chickasaw</t>
  </si>
  <si>
    <t>http://www.chickasawcoia.org/</t>
  </si>
  <si>
    <t>http://www.chickasawcoia.org/emergency/</t>
  </si>
  <si>
    <t>Clarke</t>
  </si>
  <si>
    <t>http://www.clarkecountyia.org/ClarkeCounty/mainhome.do;jsessionid=6CD02B6CEDC48FA6E4BB6426C79F7319</t>
  </si>
  <si>
    <t>http://www.clarkecountyia.org/ClarkeCounty/mainhome.do</t>
  </si>
  <si>
    <t>http://www.co.clay.ia.us/</t>
  </si>
  <si>
    <t>http://www.co.clay.ia.us/resources.htm</t>
  </si>
  <si>
    <t>Clayton</t>
  </si>
  <si>
    <t>http://www.claytoncountyiowa.net/</t>
  </si>
  <si>
    <t>http://www.claytoncountyia.gov/departments/emergency-management/emergency-management-agency.html</t>
  </si>
  <si>
    <t>https://www.facebook.com/pages/Clinton-County-Iowa/179061103266</t>
  </si>
  <si>
    <t>http://www.clintoncounty-ia.gov/</t>
  </si>
  <si>
    <t>http://www.clintoncounty-ia.gov/Page/EMA.aspx?nt=481</t>
  </si>
  <si>
    <t>http://www.crawfordcounty.org/</t>
  </si>
  <si>
    <t>Dallas</t>
  </si>
  <si>
    <t>http://www.co.dallas.ia.us/</t>
  </si>
  <si>
    <t>http://www.co.dallas.ia.us/index.aspx?page=133</t>
  </si>
  <si>
    <t>Davis</t>
  </si>
  <si>
    <t>http://www.daviscountyiowa.org/</t>
  </si>
  <si>
    <t>http://www.daviscountyiowa.org/sheriff.htm</t>
  </si>
  <si>
    <t>http://www.co.delaware.ia.us/</t>
  </si>
  <si>
    <t>http://www.co.delaware.ia.us/resources.htm</t>
  </si>
  <si>
    <t>Des Moines</t>
  </si>
  <si>
    <t>https://www.facebook.com/pages/Des-Moines-County-Emergency-Management/312174064212?fref=ts</t>
  </si>
  <si>
    <t>http://www.dmcounty.com/</t>
  </si>
  <si>
    <t>http://www.dmcounty.com/index.aspx?nid=113</t>
  </si>
  <si>
    <t>Dickinson</t>
  </si>
  <si>
    <t>@dcoem</t>
  </si>
  <si>
    <t>https://www.facebook.com/pages/Dickinson-County-Emergency-Management/258032849565</t>
  </si>
  <si>
    <t>http://www.co.dickinson.ia.us/</t>
  </si>
  <si>
    <t>http://www.dcoem.org/</t>
  </si>
  <si>
    <t>Dubuque</t>
  </si>
  <si>
    <t>http://www.dubuquecounty.org/</t>
  </si>
  <si>
    <t>http://www.dubuquecounty.org/EmergencyManagement/tabid/97/Default.aspx</t>
  </si>
  <si>
    <t>Emmet</t>
  </si>
  <si>
    <t>http://www.emmetcountyia.com/</t>
  </si>
  <si>
    <t>http://www.emmetcountyia.com/emergencymanagement.html</t>
  </si>
  <si>
    <t>https://www.facebook.com/fayettecountyema</t>
  </si>
  <si>
    <t>http://fayettecountyiowa.org/</t>
  </si>
  <si>
    <t>http://fayettecountyiowa.org/EMA.html</t>
  </si>
  <si>
    <t>http://www.floydcoia.org/</t>
  </si>
  <si>
    <t>http://www.floydcoia.org/departments/emergencymanagement/index.asp</t>
  </si>
  <si>
    <t>http://co.franklin.ia.us/</t>
  </si>
  <si>
    <t>http://co.franklin.ia.us/pages/EMA</t>
  </si>
  <si>
    <t>http://www.co.fremont.ia.us/</t>
  </si>
  <si>
    <t>http://www.co.fremont.ia.us/fremontcoemergencymanagement.htm</t>
  </si>
  <si>
    <t>http://www.co.greene.ia.us/</t>
  </si>
  <si>
    <t>http://www.co.greene.ia.us/sheriff/sheriff.htm</t>
  </si>
  <si>
    <t>https://www.facebook.com/pages/Grundy-County-Iowa/231608593642906</t>
  </si>
  <si>
    <t>http://www.grundycounty.org/</t>
  </si>
  <si>
    <t>http://www.grundycounty.org/DEPARTMENTS/EMERGENCYMANAGEMENT/tabid/252/Default.aspx</t>
  </si>
  <si>
    <t>Guthrie</t>
  </si>
  <si>
    <t>http://www.guthriecounty.org/</t>
  </si>
  <si>
    <t>http://www.guthriecounty.org/emergmgmt/index.html</t>
  </si>
  <si>
    <t>http://www.hamiltoncounty.org/</t>
  </si>
  <si>
    <t>http://www.hamiltoncounty.org/page13.html</t>
  </si>
  <si>
    <t>http://www.hancockcountyia.org/</t>
  </si>
  <si>
    <t>http://www.hancockcountyia.org/emergencymgmt.htm</t>
  </si>
  <si>
    <t>http://www.co.hardin.ia.us/</t>
  </si>
  <si>
    <t>http://www.co.hardin.ia.us/pages/EMA</t>
  </si>
  <si>
    <t>Harrison</t>
  </si>
  <si>
    <t>http://www.harrisoncountyia.org/</t>
  </si>
  <si>
    <t>http://www.harrisoncountyia.org/#</t>
  </si>
  <si>
    <t>http://www.henrycountyiowa.us/</t>
  </si>
  <si>
    <t>http://www.henrycountyiowa.us/resources.htm</t>
  </si>
  <si>
    <t>http://www.co.howard.ia.us/</t>
  </si>
  <si>
    <t>http://www.co.howard.ia.us/resources.htm</t>
  </si>
  <si>
    <t>Humboldt</t>
  </si>
  <si>
    <t>http://www.humboldtcountyia.org/</t>
  </si>
  <si>
    <t>http://www.humboldtcountyia.org/office/emergency-management</t>
  </si>
  <si>
    <t>Ida</t>
  </si>
  <si>
    <t>http://www.co.iowa.ia.us/</t>
  </si>
  <si>
    <t>http://www.co.iowa.ia.us/resources.htm</t>
  </si>
  <si>
    <t>http://co.jackson.ia.us/</t>
  </si>
  <si>
    <t>http://co.jackson.ia.us/resources.htm</t>
  </si>
  <si>
    <t>http://www.co.jasper.ia.us/</t>
  </si>
  <si>
    <t>http://www.jasperema-hls.org/index.html</t>
  </si>
  <si>
    <t>http://www.jeffersoncountyiowa.com/</t>
  </si>
  <si>
    <t>http://www.jeffersoncountyiowa.com/sheriff.htm</t>
  </si>
  <si>
    <t>@JohnsonCoEMA</t>
  </si>
  <si>
    <t>https://www.facebook.com/pages/Johnson-County-Emergency-Management-Agency/109091442490106</t>
  </si>
  <si>
    <t>http://www.johnson-county.com/</t>
  </si>
  <si>
    <t>http://www.johnson-county.com/dept_emergency_home.aspx?id=737</t>
  </si>
  <si>
    <t>Jones</t>
  </si>
  <si>
    <t>http://www.jonescountyiowa.org/Pages/default.aspx</t>
  </si>
  <si>
    <t>http://www.jonescountyiowa.org/Pages/E911.aspx</t>
  </si>
  <si>
    <t>Keokuk</t>
  </si>
  <si>
    <t>http://www.keokukcountyia.com/</t>
  </si>
  <si>
    <t>http://www.keokukcountyia.com/Emergency%20Management/Emergency%20Management.htm</t>
  </si>
  <si>
    <t>Kossuth</t>
  </si>
  <si>
    <t>http://www.co.kossuth.ia.us/</t>
  </si>
  <si>
    <t>http://www.co.kossuth.ia.us/emergency_management/emergency_management.htm</t>
  </si>
  <si>
    <t>http://www.leecounty.org/</t>
  </si>
  <si>
    <t>http://www.leecounty.org/resources.htm</t>
  </si>
  <si>
    <t>Linn</t>
  </si>
  <si>
    <t>@LinnCounty</t>
  </si>
  <si>
    <t>http://www.linncounty.org/</t>
  </si>
  <si>
    <t>http://www.linncounty-ema.org/</t>
  </si>
  <si>
    <t>Louisa</t>
  </si>
  <si>
    <t>http://www.louisacountyiowa.org/</t>
  </si>
  <si>
    <t>http://www.louisacountyiowa.org/emergency/emergency.html</t>
  </si>
  <si>
    <t>Lucas</t>
  </si>
  <si>
    <t>Lyon</t>
  </si>
  <si>
    <t>http://www.lyoncountyiowa.com/</t>
  </si>
  <si>
    <t>http://www.lyoncountyiowa.com/emergency_management.htm</t>
  </si>
  <si>
    <t>http://www.madisoncoia.us/</t>
  </si>
  <si>
    <t>http://www.madisoncoia.us/resources.htm</t>
  </si>
  <si>
    <t>Mahaska</t>
  </si>
  <si>
    <t>http://www.mahaskacounty.org/</t>
  </si>
  <si>
    <t>http://www.mahaskaready.com/</t>
  </si>
  <si>
    <t>http://co.marion.ia.us/</t>
  </si>
  <si>
    <t>http://co.marion.ia.us/resources.htm</t>
  </si>
  <si>
    <t>http://www.co.marshall.ia.us/</t>
  </si>
  <si>
    <t>http://www.co.marshall.ia.us/departments/em/</t>
  </si>
  <si>
    <t>Mills</t>
  </si>
  <si>
    <t>http://www.millscoia.us/</t>
  </si>
  <si>
    <t>http://www.millscoia.us/resources.htm</t>
  </si>
  <si>
    <t>Mitchell</t>
  </si>
  <si>
    <t>http://www.mitchellcoia.us/</t>
  </si>
  <si>
    <t>http://www.mitchellcoia.us/index.php/departments/emergency-management.html</t>
  </si>
  <si>
    <t>Monona</t>
  </si>
  <si>
    <t>http://www.mononacounty.org/</t>
  </si>
  <si>
    <t>http://www.mononacounty.org/E_Mgt.html</t>
  </si>
  <si>
    <t>http://www.monroecoia.us/</t>
  </si>
  <si>
    <t>http://www.monroecoia.us/resources.htm</t>
  </si>
  <si>
    <t>https://www.facebook.com/MontgomeryEMA</t>
  </si>
  <si>
    <t>http://www.montgomerycountyiowa.com/</t>
  </si>
  <si>
    <t>http://www.montgomerycountyiowa.com/index.php/ema-home</t>
  </si>
  <si>
    <t>Muscatine</t>
  </si>
  <si>
    <t>http://www.co.muscatine.ia.us/</t>
  </si>
  <si>
    <t>http://www.co.muscatine.ia.us/departments/eme_cnt.shtml</t>
  </si>
  <si>
    <t>O'Brien</t>
  </si>
  <si>
    <t>http://www.obriencountysheriff.com/</t>
  </si>
  <si>
    <t>Osceola</t>
  </si>
  <si>
    <t>http://www.osceolacountyia.org/</t>
  </si>
  <si>
    <t>http://www.osceolacountyia.org/county/office/10</t>
  </si>
  <si>
    <t>Page</t>
  </si>
  <si>
    <t>http://co.page.ia.us/</t>
  </si>
  <si>
    <t>http://co.page.ia.us/resources.htm</t>
  </si>
  <si>
    <t>Palo Alto</t>
  </si>
  <si>
    <t>http://www.paloaltoiowa.com/</t>
  </si>
  <si>
    <t>Plymouth</t>
  </si>
  <si>
    <t>http://www.co.plymouth.ia.us/</t>
  </si>
  <si>
    <t>http://www.co.plymouth.ia.us/departments/ema.htm</t>
  </si>
  <si>
    <t>Pocahontas</t>
  </si>
  <si>
    <t>https://www.facebook.com/pages/Poky-County-Iowa/351257221551690</t>
  </si>
  <si>
    <t>http://www.pocahontas-county.com/</t>
  </si>
  <si>
    <t>http://www.pocahontas-county.com/emergency_management</t>
  </si>
  <si>
    <t>Polk</t>
  </si>
  <si>
    <t>@PCEmrgManAgency</t>
  </si>
  <si>
    <t>https://www.facebook.com/pages/Polk-County-Emergency-Management-Agency/194139479525</t>
  </si>
  <si>
    <t>http://www.polkcountyiowa.gov/</t>
  </si>
  <si>
    <t>http://www.polkcountyiowa.gov/emergency-management/</t>
  </si>
  <si>
    <t>Pottawattamie</t>
  </si>
  <si>
    <t>https://www.facebook.com/pages/Pottawattamie-County-Emergency-Management/185591368158770</t>
  </si>
  <si>
    <t>http://www.pottcounty.com/</t>
  </si>
  <si>
    <t>http://www.pottcounty.com/departments/emergency-management/overview/</t>
  </si>
  <si>
    <t>Poweshiek</t>
  </si>
  <si>
    <t>http://www.poweshiekcounty.org/</t>
  </si>
  <si>
    <t>http://www.poweshiekcounty.org/emergencyman1.htm</t>
  </si>
  <si>
    <t>Ringgold</t>
  </si>
  <si>
    <t>http://www.ringgoldcounty.us/</t>
  </si>
  <si>
    <t>Sac</t>
  </si>
  <si>
    <t>http://www.saccounty.org/</t>
  </si>
  <si>
    <t>http://www.saccounty.org/emergencymgt/index.asp</t>
  </si>
  <si>
    <t>@ScottCountyIowa</t>
  </si>
  <si>
    <t>https://www.facebook.com/scottcountyiowa</t>
  </si>
  <si>
    <t>http://www.scottcountyiowa.com/</t>
  </si>
  <si>
    <t>http://www.iascema.com/</t>
  </si>
  <si>
    <t>http://www.shco.org/</t>
  </si>
  <si>
    <t>http://www.shelbycountyema.com/</t>
  </si>
  <si>
    <t>Sioux</t>
  </si>
  <si>
    <t>@SiouxCounty</t>
  </si>
  <si>
    <t>https://www.facebook.com/pages/Sioux-County-Iowa/167057976430</t>
  </si>
  <si>
    <t>http://www.siouxcounty.org/</t>
  </si>
  <si>
    <t>http://www.siouxcounty.org/departments/emergency_management.php</t>
  </si>
  <si>
    <t>Story</t>
  </si>
  <si>
    <t>@storycountyiowa</t>
  </si>
  <si>
    <t>https://www.facebook.com/storycountyiowa</t>
  </si>
  <si>
    <t>http://www.storycountyiowa.gov/</t>
  </si>
  <si>
    <t>http://www.storycountyiowa.gov/index.aspx?nid=99</t>
  </si>
  <si>
    <t>Tama</t>
  </si>
  <si>
    <t>https://www.facebook.com/pages/Tama-County-Emergency-Management-Agency/156362171096409</t>
  </si>
  <si>
    <t>http://www.tamacounty.org/</t>
  </si>
  <si>
    <t>http://www.tamacounty.org/emerg.html</t>
  </si>
  <si>
    <t>Taylor</t>
  </si>
  <si>
    <t>https://www.facebook.com/pages/Taylor-County-Sheriffs-Office/122543314557180?rf=107704266008939</t>
  </si>
  <si>
    <t>http://www.bedfordia.org/pview.aspx?id=15859&amp;catid=148</t>
  </si>
  <si>
    <t>http://www.bedfordia.org/pView.aspx?id=15875&amp;catid=148</t>
  </si>
  <si>
    <t>https://www.facebook.com/UnionCountyIowa</t>
  </si>
  <si>
    <t>http://www.unioncountyiowa.org/</t>
  </si>
  <si>
    <t>http://www.unioncountyiowa.org/index.php?option=com_content&amp;view=article&amp;id=52&amp;Itemid=58</t>
  </si>
  <si>
    <t>Van Buren</t>
  </si>
  <si>
    <t>http://vanburencoia.org/</t>
  </si>
  <si>
    <t>http://vanburencoia.org/Emer_Mgmt.html</t>
  </si>
  <si>
    <t>Wapello</t>
  </si>
  <si>
    <t>https://www.facebook.com/pages/Wapello-County-Emergency-Management-Agency/114799695203288?ref=ts</t>
  </si>
  <si>
    <t>http://www.wapellocounty.org/</t>
  </si>
  <si>
    <t>http://www.wapellocounty.org/emergency/index.htm</t>
  </si>
  <si>
    <t>http://www.co.warren.ia.us/</t>
  </si>
  <si>
    <t>http://www.co.warren.ia.us/emergency_management.shtml</t>
  </si>
  <si>
    <t>http://co.washington.ia.us/</t>
  </si>
  <si>
    <t>http://co.washington.ia.us/departments/other/index.html</t>
  </si>
  <si>
    <t>http://www.waynecountyiowa.com/</t>
  </si>
  <si>
    <t>Webster</t>
  </si>
  <si>
    <t>http://www.webstercountyia.org/</t>
  </si>
  <si>
    <t>http://www.webstercountyia.org/Sheriff.htm</t>
  </si>
  <si>
    <t>http://www.winnebagocountyia.org/</t>
  </si>
  <si>
    <t>http://www.winnebagocountyia.org/departments.php?id=8</t>
  </si>
  <si>
    <t>Winneshiek</t>
  </si>
  <si>
    <t>https://www.facebook.com/pages/Winneshiek-County/190278182723</t>
  </si>
  <si>
    <t>http://www.winneshiekcounty.org/</t>
  </si>
  <si>
    <t>http://www.winneshiekcounty.org/emergency-management.html</t>
  </si>
  <si>
    <t>Woodbury</t>
  </si>
  <si>
    <t>https://www.facebook.com/WoodburyCountyIowa?fref=ts</t>
  </si>
  <si>
    <t>http://www.woodburyiowa.com/</t>
  </si>
  <si>
    <t>http://www.woodburyiowa.com/index.php?option=com_content&amp;view=article&amp;id=27&amp;Itemid=203</t>
  </si>
  <si>
    <t>Worth</t>
  </si>
  <si>
    <t>http://www.worthcounty.org/</t>
  </si>
  <si>
    <t>http://www.worthcounty.org/pView.aspx?id=2065&amp;catid=25</t>
  </si>
  <si>
    <t>Wright</t>
  </si>
  <si>
    <t>https://www.facebook.com/pages/Wright-County-Iowa/305762449547298?fref=ts</t>
  </si>
  <si>
    <t>http://www.wrightcounty.org/</t>
  </si>
  <si>
    <t>http://www.wrightcounty.org/departments/sheriff/index.php</t>
  </si>
  <si>
    <t>Des Moines Water Works</t>
  </si>
  <si>
    <t>@DSMH2O</t>
  </si>
  <si>
    <t>https://www.facebook.com/DesMoinesWaterWorks</t>
  </si>
  <si>
    <t>http://www.dmww.com/</t>
  </si>
  <si>
    <t>Iowa American Water</t>
  </si>
  <si>
    <t>@iaamwater</t>
  </si>
  <si>
    <t>https://www.facebook.com/pages/Iowa-American-Water/300490890050223</t>
  </si>
  <si>
    <t>http://www.amwater.com/iaaw/</t>
  </si>
  <si>
    <t>MidAmerican Energy</t>
  </si>
  <si>
    <t>@MidAm_EnergyCo</t>
  </si>
  <si>
    <t>https://www.facebook.com/pages/MidAmerican-Energy-Company/254494964563629</t>
  </si>
  <si>
    <t>http://www.midamericanenergy.com/</t>
  </si>
  <si>
    <t>Interstate Power and Light Company—a part of Alliant Energy</t>
  </si>
  <si>
    <t>http://www.alliantenergy.com/index.htm</t>
  </si>
  <si>
    <t>The Eastern Iowa Airport</t>
  </si>
  <si>
    <t>@EIAirport</t>
  </si>
  <si>
    <t>https://www.facebook.com/CRAirport</t>
  </si>
  <si>
    <t>http://www.eiairport.org/</t>
  </si>
  <si>
    <t>Des Moines International Airport</t>
  </si>
  <si>
    <t>@dsmairport</t>
  </si>
  <si>
    <t>https://www.facebook.com/pages/DSM-International-Airport/117331841643818#!/pages/DSM-International-Airport/117331841643818</t>
  </si>
  <si>
    <t>http://www.dsmairport.com/</t>
  </si>
  <si>
    <t>Dubuque Regional Airport</t>
  </si>
  <si>
    <t>@DubuqueAirpor</t>
  </si>
  <si>
    <t>https://www.facebook.com/pages/Dubuque-Airport/89873194688</t>
  </si>
  <si>
    <t>http://flydbq.com/site/home.aspx</t>
  </si>
  <si>
    <t>Mason City Municipal Airport</t>
  </si>
  <si>
    <t>http://www.flymcw.com/</t>
  </si>
  <si>
    <t>Sioux Gateway Airport (Col. Bud Day Field)</t>
  </si>
  <si>
    <t>https://www.facebook.com/pages/Sioux-Gateway-Airport/354344987942811</t>
  </si>
  <si>
    <t>http://www.flysux.com/contact-us/6-contact-us</t>
  </si>
  <si>
    <t>Waterloo Regional Airport</t>
  </si>
  <si>
    <t>http://www.flyalo.com/</t>
  </si>
  <si>
    <t>Des Moines Register</t>
  </si>
  <si>
    <t>@DMRegister</t>
  </si>
  <si>
    <t>https://www.facebook.com/DesMoinesRegister</t>
  </si>
  <si>
    <t>http://www.desmoinesregister.com/</t>
  </si>
  <si>
    <t>Cedar Rapids Gazette</t>
  </si>
  <si>
    <t>@gazettedotcom</t>
  </si>
  <si>
    <t>https://www.facebook.com/GazetteOnline</t>
  </si>
  <si>
    <t>http://thegazette.com/</t>
  </si>
  <si>
    <t>Davenport Quad City Times</t>
  </si>
  <si>
    <t>@qctimes</t>
  </si>
  <si>
    <t>https://www.facebook.com/qctimes</t>
  </si>
  <si>
    <t>http://qctimes.com/</t>
  </si>
  <si>
    <t>Sioux City Journal</t>
  </si>
  <si>
    <t>@scj</t>
  </si>
  <si>
    <t>https://www.facebook.com/SiouxCityJournal</t>
  </si>
  <si>
    <t>http://siouxcityjournal.com/</t>
  </si>
  <si>
    <t>Waterloo-Cedar Falls Courier</t>
  </si>
  <si>
    <t>@wcfcourier</t>
  </si>
  <si>
    <t>https://www.facebook.com/wcfcourier</t>
  </si>
  <si>
    <t>http://wcfcourier.com/</t>
  </si>
  <si>
    <t>Iowa City Press Citizen</t>
  </si>
  <si>
    <t>@presscitizen</t>
  </si>
  <si>
    <t>https://www.facebook.com/press.citizen</t>
  </si>
  <si>
    <t>http://www.press-citizen.com/</t>
  </si>
  <si>
    <t>Cedar Rapids ABC</t>
  </si>
  <si>
    <t>@KCRG</t>
  </si>
  <si>
    <t>https://www.facebook.com/kcrgtv9</t>
  </si>
  <si>
    <t>http://www.kcrg.com/</t>
  </si>
  <si>
    <t>Cedar Rapid CBS</t>
  </si>
  <si>
    <t>@cbs2iowa</t>
  </si>
  <si>
    <t>https://www.facebook.com/kgancbs2</t>
  </si>
  <si>
    <t>http://www.cbs2iowa.com/</t>
  </si>
  <si>
    <t>Davenport Fox</t>
  </si>
  <si>
    <t>https://www.facebook.com/pages/YOUR-FOX-18/117126051368</t>
  </si>
  <si>
    <t>http://www.kljb.com/</t>
  </si>
  <si>
    <t>Davenport NBC</t>
  </si>
  <si>
    <t>@kwqcnews</t>
  </si>
  <si>
    <t>https://www.facebook.com/kwqcnews</t>
  </si>
  <si>
    <t>http://www.kwqc.com/</t>
  </si>
  <si>
    <t>Des Moines Local 8</t>
  </si>
  <si>
    <t>https://www.facebook.com/kcci8</t>
  </si>
  <si>
    <t>http://www.kcci.com/</t>
  </si>
  <si>
    <t>Des Moines FOX</t>
  </si>
  <si>
    <t>https://www.facebook.com/KDSMFox17</t>
  </si>
  <si>
    <t>http://www.kdsm17.com/</t>
  </si>
  <si>
    <t>Des Moines NBC</t>
  </si>
  <si>
    <t>@WHOtv</t>
  </si>
  <si>
    <t>https://www.facebook.com/WHOHD</t>
  </si>
  <si>
    <t>http://whotv.com/</t>
  </si>
  <si>
    <t>Des Moines ABC</t>
  </si>
  <si>
    <t>@ABC5_WOI</t>
  </si>
  <si>
    <t>https://www.facebook.com/ABC5TV</t>
  </si>
  <si>
    <t>http://www.woi-tv.com/</t>
  </si>
  <si>
    <t>Iowa City CWB</t>
  </si>
  <si>
    <t>@KWKBTV201202</t>
  </si>
  <si>
    <t>https://www.facebook.com/pages/KWKB-TV/117845831605035</t>
  </si>
  <si>
    <t>http://www.kwkb.tv/</t>
  </si>
  <si>
    <t>Sioux City CBS/FOX</t>
  </si>
  <si>
    <t>@kmeg14</t>
  </si>
  <si>
    <t>https://www.facebook.com/SiouxlandNews</t>
  </si>
  <si>
    <t>http://www.siouxlandnews.com/</t>
  </si>
  <si>
    <t>Sioux City NBC</t>
  </si>
  <si>
    <t>@ktivnews</t>
  </si>
  <si>
    <t>https://www.facebook.com/ktiv4</t>
  </si>
  <si>
    <t>http://www.ktiv.com/</t>
  </si>
  <si>
    <t>Waterloo NBC</t>
  </si>
  <si>
    <t>@KWWL</t>
  </si>
  <si>
    <t>https://www.facebook.com/KWWL7</t>
  </si>
  <si>
    <t>http://www.kwwl.com/</t>
  </si>
  <si>
    <t>Kansas State Website</t>
  </si>
  <si>
    <t>@ksgovernment</t>
  </si>
  <si>
    <t>http://www.facebook.com/ksgovernment</t>
  </si>
  <si>
    <t>http://www.kansas.gov/</t>
  </si>
  <si>
    <t>Kansas EMA</t>
  </si>
  <si>
    <t>@KansasEmergency</t>
  </si>
  <si>
    <t>https://www.facebook.com/pages/Kansas-Division-of-Emergency-Management/67758892983</t>
  </si>
  <si>
    <t>http://www.kansastag.gov/kdem_default.asp</t>
  </si>
  <si>
    <t>Kansas Wildlife Rescue</t>
  </si>
  <si>
    <t>KSReady.Gov</t>
  </si>
  <si>
    <t>http://www.ksready.gov/</t>
  </si>
  <si>
    <t>KS Dept of Transportation</t>
  </si>
  <si>
    <t>@KDOTHQ</t>
  </si>
  <si>
    <t>https://www.facebook.com/KSDOTHQ?sk=wall</t>
  </si>
  <si>
    <t>http://www.ksdot.org/offTransInfo/511Info/511traffictravel.asp</t>
  </si>
  <si>
    <t>Kansas Cities on the Web</t>
  </si>
  <si>
    <t>http://www.lkm.org/links/local/cities.php</t>
  </si>
  <si>
    <t>Blue Skyways - links to counties (service of the State Library of Kansas)</t>
  </si>
  <si>
    <t>http://skyways.lib.ks.us/counties/</t>
  </si>
  <si>
    <t>http://www.allencounty.org/</t>
  </si>
  <si>
    <t>Anderson</t>
  </si>
  <si>
    <t>https://www.facebook.com/ACFire?fref=ts</t>
  </si>
  <si>
    <t>http://andersoncountyks.org/</t>
  </si>
  <si>
    <t>Atchison</t>
  </si>
  <si>
    <t>@AtchisonCountyK</t>
  </si>
  <si>
    <t>https://www.facebook.com/pages/Atchison-County/194443633915505</t>
  </si>
  <si>
    <t>http://www.atchisoncountyks.org/</t>
  </si>
  <si>
    <t>Barber</t>
  </si>
  <si>
    <t>Barton</t>
  </si>
  <si>
    <t>https://www.facebook.com/pages/Barton-County-Sheriffs-Office/361753310599437?fref=ts</t>
  </si>
  <si>
    <t>http://www.bartoncounty.org/</t>
  </si>
  <si>
    <t>Bourbon</t>
  </si>
  <si>
    <t>https://www.facebook.com/pages/Bourbon-County-Kansas/155271001279756</t>
  </si>
  <si>
    <t>http://www.bourboncountyks.org/</t>
  </si>
  <si>
    <t>http://ks-brown.manatron.com/</t>
  </si>
  <si>
    <t>@ButlerCountyKS</t>
  </si>
  <si>
    <t>https://www.facebook.com/BucoEMA?fref=ts</t>
  </si>
  <si>
    <t>http://www.bucoks.com/</t>
  </si>
  <si>
    <t>https://www.facebook.com/pages/Butler-County-Kansas-Government/257252784339048</t>
  </si>
  <si>
    <t>Chase</t>
  </si>
  <si>
    <t>http://www.chasecountyks.org/</t>
  </si>
  <si>
    <t>Chautauqua</t>
  </si>
  <si>
    <t>http://www.chautauquacountyks.com/</t>
  </si>
  <si>
    <t>http://cherokeecountyks.com/</t>
  </si>
  <si>
    <t>Cheyenne</t>
  </si>
  <si>
    <t>http://www.cheyennecounty.org/</t>
  </si>
  <si>
    <t>http://www.clarkcountyks.com/</t>
  </si>
  <si>
    <t>https://www.facebook.com/ClayCountyKansas</t>
  </si>
  <si>
    <t>http://www.claycountykansas.org/</t>
  </si>
  <si>
    <t>Cloud</t>
  </si>
  <si>
    <t>http://www.cloudcountyks.org/temp/Contact.aspx</t>
  </si>
  <si>
    <t>Coffey</t>
  </si>
  <si>
    <t>http://www.coffeycountyks.org/</t>
  </si>
  <si>
    <t>Comanche</t>
  </si>
  <si>
    <t>http://www.comanchecounty.com/</t>
  </si>
  <si>
    <t>Cowley</t>
  </si>
  <si>
    <t>https://www.facebook.com/pages/Cowley-County-Tourism-Kansas/159399367473319?fref=ts</t>
  </si>
  <si>
    <t>http://www.cowleycounty.org/</t>
  </si>
  <si>
    <t>@PittsburgKS</t>
  </si>
  <si>
    <t>http://www.crawfordcountykansas.org/</t>
  </si>
  <si>
    <t>Decatur - Oberlin</t>
  </si>
  <si>
    <t>https://www.facebook.com/pages/Decatur-County-Kansas-Emergency-Management/162330048737</t>
  </si>
  <si>
    <t>http://www.oberlinks.com/</t>
  </si>
  <si>
    <t>https://www.facebook.com/pages/Dickinson-County-Kansas/183363591711637</t>
  </si>
  <si>
    <t>http://www.dkcoks.org/</t>
  </si>
  <si>
    <t>Doniphan</t>
  </si>
  <si>
    <t>http://www.dpcountyks.com/</t>
  </si>
  <si>
    <t>@dgcoem  @douglascountyks</t>
  </si>
  <si>
    <t>https://www.facebook.com/douglascountyks</t>
  </si>
  <si>
    <t>http://www.douglas-county.com/</t>
  </si>
  <si>
    <t>http://www.edwardscounty.org/</t>
  </si>
  <si>
    <t>Elk</t>
  </si>
  <si>
    <t>http://www.elkcounty.org/</t>
  </si>
  <si>
    <t>Ellis</t>
  </si>
  <si>
    <t>@EllisCountyKS</t>
  </si>
  <si>
    <t>https://www.facebook.com/pages/Ellis-County-KS/100539610002678</t>
  </si>
  <si>
    <t>http://www.ellisco.net/</t>
  </si>
  <si>
    <t>Ellsworth</t>
  </si>
  <si>
    <t>http://www.ellsworthcounty.org/</t>
  </si>
  <si>
    <t>Finney</t>
  </si>
  <si>
    <t>@ficoema</t>
  </si>
  <si>
    <t>https://www.facebook.com/pages/Finney-County-KS/131803001370?v=box_3&amp;viewas=0</t>
  </si>
  <si>
    <t>http://www.finneycounty.org/</t>
  </si>
  <si>
    <t>https://www.facebook.com/fordcountyks</t>
  </si>
  <si>
    <t>http://www.fordcounty.net/</t>
  </si>
  <si>
    <t>http://www.franklincoks.org/</t>
  </si>
  <si>
    <t>Geary</t>
  </si>
  <si>
    <t>http://www.geary.kansasgov.com/</t>
  </si>
  <si>
    <t>Gove</t>
  </si>
  <si>
    <t>Graham</t>
  </si>
  <si>
    <t>http://www.grahamcountyks.com/</t>
  </si>
  <si>
    <t>@GrantCountyKS</t>
  </si>
  <si>
    <t>https://www.facebook.com/pages/Grant-County-KS/259528570733031</t>
  </si>
  <si>
    <t>http://www.grantcoks.org/</t>
  </si>
  <si>
    <t>Gray</t>
  </si>
  <si>
    <t>http://www.grayco.org/</t>
  </si>
  <si>
    <t>Greeley</t>
  </si>
  <si>
    <t>https://www.facebook.com/UnifiedGreeleyCounty</t>
  </si>
  <si>
    <t>http://www.greeleycounty.org/</t>
  </si>
  <si>
    <t>Greenwood</t>
  </si>
  <si>
    <t>http://www.greenwoodcounty.org/</t>
  </si>
  <si>
    <t>https://www.facebook.com/hmcosheriff</t>
  </si>
  <si>
    <t>Harper</t>
  </si>
  <si>
    <t>http://harpercountyks.gov/</t>
  </si>
  <si>
    <t>Harvey</t>
  </si>
  <si>
    <t>@NewtonKansas</t>
  </si>
  <si>
    <t>http://www.harveycounty.com/</t>
  </si>
  <si>
    <t>Haskell</t>
  </si>
  <si>
    <t>http://www.haskellcounty.org/</t>
  </si>
  <si>
    <t>Hodgeman</t>
  </si>
  <si>
    <t>http://www.hodgemancountyks.com/</t>
  </si>
  <si>
    <t>http://ks-jackson.manatron.com/</t>
  </si>
  <si>
    <t>@JFKSEM</t>
  </si>
  <si>
    <t>https://www.facebook.com/pages/Jefferson-County-Kansas-Situation-Room/332766400067750</t>
  </si>
  <si>
    <t>http://www.jfcountyks.com/</t>
  </si>
  <si>
    <t>Jewell</t>
  </si>
  <si>
    <t>http://www.nckcn.com/homepage/jewell_co/jewell.htm</t>
  </si>
  <si>
    <t>@JoCo_Emergency</t>
  </si>
  <si>
    <t>https://www.facebook.com/JohnsonCountyGovernment</t>
  </si>
  <si>
    <t>http://www.jocogov.org/</t>
  </si>
  <si>
    <t>Kearny</t>
  </si>
  <si>
    <t>http://www.kearnycountykansas.com/</t>
  </si>
  <si>
    <t>Kingman</t>
  </si>
  <si>
    <t>http://kingmancoks.com/</t>
  </si>
  <si>
    <t>Kiowa</t>
  </si>
  <si>
    <t>http://www.kiowacountyks.org/home.html</t>
  </si>
  <si>
    <t>Labette</t>
  </si>
  <si>
    <t>http://www.labettecounty.com/</t>
  </si>
  <si>
    <t>Lane</t>
  </si>
  <si>
    <t>Leavenworth</t>
  </si>
  <si>
    <t>http://www.leavenworthcounty.org/home.asp</t>
  </si>
  <si>
    <t>http://www.lincolncoks.com/</t>
  </si>
  <si>
    <t>@LinnCountyEMA</t>
  </si>
  <si>
    <t>http://www.linncountyks.com/</t>
  </si>
  <si>
    <t>Logan - Oakley</t>
  </si>
  <si>
    <t>@DiscoverOakley</t>
  </si>
  <si>
    <t>http://www.discoveroakley.com/</t>
  </si>
  <si>
    <t>@LyonCountyKs</t>
  </si>
  <si>
    <t>https://www.facebook.com/pages/Lyon-County-Emporia-Ks/199972110025693</t>
  </si>
  <si>
    <t>http://lyoncounty.org/index/</t>
  </si>
  <si>
    <t>http://www.marioncoks.net/</t>
  </si>
  <si>
    <t>http://www.marshall.kansasgov.com/</t>
  </si>
  <si>
    <t>McPherson</t>
  </si>
  <si>
    <t>http://www.mcphersoncountyks.us/</t>
  </si>
  <si>
    <t>Meade</t>
  </si>
  <si>
    <t>http://www.meadeco.org/</t>
  </si>
  <si>
    <t>@MiamiCoKSEMS</t>
  </si>
  <si>
    <t>https://www.facebook.com/MiamiCountyClerk</t>
  </si>
  <si>
    <t>http://www.miamicountyks.org/</t>
  </si>
  <si>
    <t>Mitchell - Beloit</t>
  </si>
  <si>
    <t>http://www.mcks.org/</t>
  </si>
  <si>
    <t>Montgomery - Independence</t>
  </si>
  <si>
    <t>@IndependenceKS</t>
  </si>
  <si>
    <t>https://www.facebook.com/pages/Montgomery-County-Kansas-Emergency-Management/134963423209997</t>
  </si>
  <si>
    <t>http://www.mgcountyks.org/</t>
  </si>
  <si>
    <t>Morris</t>
  </si>
  <si>
    <t>http://www.morriscountyks.org/</t>
  </si>
  <si>
    <t>Morton</t>
  </si>
  <si>
    <t>http://www.mtcoks.com/</t>
  </si>
  <si>
    <t>Nemaha</t>
  </si>
  <si>
    <t>http://www.nemaha.kansasgov.com/</t>
  </si>
  <si>
    <t>Neosho</t>
  </si>
  <si>
    <t>http://www.neoshocountyks.org/</t>
  </si>
  <si>
    <t>Ness</t>
  </si>
  <si>
    <t>http://nesscountyks.com/</t>
  </si>
  <si>
    <t>Norton</t>
  </si>
  <si>
    <t>https://www.facebook.com/pages/Norton-County-Emergency-Management-Kansas/179605782110132</t>
  </si>
  <si>
    <t>http://www.nortoncounty.net/</t>
  </si>
  <si>
    <t>Osage</t>
  </si>
  <si>
    <t>http://www.osageco.org/</t>
  </si>
  <si>
    <t>Osborne</t>
  </si>
  <si>
    <t>http://www.osbornecounty.org/</t>
  </si>
  <si>
    <t>Ottawa</t>
  </si>
  <si>
    <t>http://www.ottawacounty.org/</t>
  </si>
  <si>
    <t>Pawnee</t>
  </si>
  <si>
    <t>http://www.pawneecountykansas.com/</t>
  </si>
  <si>
    <t>Phillips</t>
  </si>
  <si>
    <t>https://www.facebook.com/pages/Phillips-County-Kansas-Emergency-Management/153365293179</t>
  </si>
  <si>
    <t>http://www.phillipscounty.org/</t>
  </si>
  <si>
    <t>Pottawatomie</t>
  </si>
  <si>
    <t>http://www.pottcounty.org/</t>
  </si>
  <si>
    <t>Pratt</t>
  </si>
  <si>
    <t>http://www.prattcounty.org/default.htm</t>
  </si>
  <si>
    <t>Rawlins - Atwood</t>
  </si>
  <si>
    <t>http://www.atwoodkansas.com/</t>
  </si>
  <si>
    <t>Reno</t>
  </si>
  <si>
    <t>@RenoCountyKS</t>
  </si>
  <si>
    <t>https://www.facebook.com/RenoCountyKS</t>
  </si>
  <si>
    <t>http://www.renogov.org/</t>
  </si>
  <si>
    <t>Republic</t>
  </si>
  <si>
    <t>http://www.republiccounty.org/</t>
  </si>
  <si>
    <t>Rice</t>
  </si>
  <si>
    <t>http://www.ricecounty.us/</t>
  </si>
  <si>
    <t>Riley</t>
  </si>
  <si>
    <t>@RileyCountyPD</t>
  </si>
  <si>
    <t>https://www.facebook.com/pages/Riley-County-KS/220002254759277</t>
  </si>
  <si>
    <t>http://www.rileycountyks.gov/</t>
  </si>
  <si>
    <t>Rooks</t>
  </si>
  <si>
    <t>http://www.rookscounty.net/</t>
  </si>
  <si>
    <t>http://www.rushcountykansas.org/</t>
  </si>
  <si>
    <t>Russell</t>
  </si>
  <si>
    <t>http://www.russell.kansasgov.com/</t>
  </si>
  <si>
    <t>@SalineSherriffKS</t>
  </si>
  <si>
    <t>https://www.facebook.com/pages/Saline-County-Kansas/185929728163191</t>
  </si>
  <si>
    <t>http://www.saline.org/</t>
  </si>
  <si>
    <t>http://ks-scott.manatron.com/</t>
  </si>
  <si>
    <t>Sedgwick</t>
  </si>
  <si>
    <t>@SedgwickCounty</t>
  </si>
  <si>
    <t>http://www.sedgwickcounty.org/</t>
  </si>
  <si>
    <t>Seward</t>
  </si>
  <si>
    <t>@SewardCountyKS</t>
  </si>
  <si>
    <t>http://www.sewardcountyks.org/</t>
  </si>
  <si>
    <t>Shawnee - Topeka</t>
  </si>
  <si>
    <t>@SnCoEmergency</t>
  </si>
  <si>
    <t>https://www.facebook.com/ShawneeCounty</t>
  </si>
  <si>
    <t>http://www.snco.us/</t>
  </si>
  <si>
    <t>Sheridan</t>
  </si>
  <si>
    <t>https://www.facebook.com/pages/Sheridan-County-Kansas-Emergency-Management/162123232359</t>
  </si>
  <si>
    <t>http://www.kansas.gov/sheridan/</t>
  </si>
  <si>
    <t>Sherman</t>
  </si>
  <si>
    <t>http://www.sherman.kansasgov.com/</t>
  </si>
  <si>
    <t>Smith</t>
  </si>
  <si>
    <t>https://www.facebook.com/pages/Smith-County-Kansas-Clerk/237353042991840</t>
  </si>
  <si>
    <t>http://www.smithcoks.com/</t>
  </si>
  <si>
    <t>Stafford</t>
  </si>
  <si>
    <t>http://staffordcounty.org/</t>
  </si>
  <si>
    <t>Stanton</t>
  </si>
  <si>
    <t>http://stantoncountyks.com/</t>
  </si>
  <si>
    <t>Stevens</t>
  </si>
  <si>
    <t>http://stevenscoks.org/</t>
  </si>
  <si>
    <t>Sumner</t>
  </si>
  <si>
    <t>http://www.co.sumner.ks.us/</t>
  </si>
  <si>
    <t>Thomas</t>
  </si>
  <si>
    <t>http://thomascountyks.com/</t>
  </si>
  <si>
    <t>Trego</t>
  </si>
  <si>
    <t>Wabaunsee</t>
  </si>
  <si>
    <t>http://www.wabaunsee.kansasgov.com/</t>
  </si>
  <si>
    <t>Wallace</t>
  </si>
  <si>
    <t>http://wallacecounty.net/</t>
  </si>
  <si>
    <t>https://www.facebook.com/pages/Washington-County-Kansas-Sheriffs-Department/146701832153120</t>
  </si>
  <si>
    <t>http://washingtoncountyks.net/</t>
  </si>
  <si>
    <t>Wichita - city &amp; county</t>
  </si>
  <si>
    <t>@WichitaPolice</t>
  </si>
  <si>
    <t>Wilson</t>
  </si>
  <si>
    <t>https://www.facebook.com/WCEMKS</t>
  </si>
  <si>
    <t>http://www.wilson.kansasgov.com/</t>
  </si>
  <si>
    <t>Woodson</t>
  </si>
  <si>
    <t>http://www.woodsoncounty.net/</t>
  </si>
  <si>
    <t>Wyandotte - Kansas City</t>
  </si>
  <si>
    <t>http://www.wycokck.org/</t>
  </si>
  <si>
    <t>Kansas City Board of Public Utilities</t>
  </si>
  <si>
    <t>@KCKBPU</t>
  </si>
  <si>
    <t>https://www.facebook.com/kckbpu</t>
  </si>
  <si>
    <t>http://www.bpu.com/</t>
  </si>
  <si>
    <t>Garden City Water Department</t>
  </si>
  <si>
    <t>Kansas City Water Services</t>
  </si>
  <si>
    <t>@KCMOwater</t>
  </si>
  <si>
    <t>https://www.facebook.com/KCMOWater?ref</t>
  </si>
  <si>
    <t>http://www.kcmo.org/CKCMO/Depts/WaterServices/index.htm</t>
  </si>
  <si>
    <t>Johnson County Wastewater - Surfin' the Sewers in Kansas.</t>
  </si>
  <si>
    <t>Water One (Johnson County)</t>
  </si>
  <si>
    <t>@MyWaterOne</t>
  </si>
  <si>
    <t>https://www.facebook.com/MyWaterOne?fref=ts</t>
  </si>
  <si>
    <t>http://www.waterone.org/</t>
  </si>
  <si>
    <t>Wichita Water &amp; Sewer Department</t>
  </si>
  <si>
    <t>http://www.wichita.gov/CityOffices/WaterAndSewer/</t>
  </si>
  <si>
    <t>Kansas City Power &amp; Light</t>
  </si>
  <si>
    <t>@KCPLDistrict</t>
  </si>
  <si>
    <t>https://www.facebook.com/KCPLConnect?ref=ts&amp;fref=ts</t>
  </si>
  <si>
    <t>http://www.kcpl.com/</t>
  </si>
  <si>
    <t>Westar Energy</t>
  </si>
  <si>
    <t>@WestarEnergy</t>
  </si>
  <si>
    <t>https://www.facebook.com/Westarenergyinc</t>
  </si>
  <si>
    <t>http://www.westarenergy.com/</t>
  </si>
  <si>
    <t>KEPCo - Kansas Electric Power Cooperative -members list</t>
  </si>
  <si>
    <t>https://www.facebook.com/KansasElectricCooperatives?ref=stream</t>
  </si>
  <si>
    <t>http://www.kepco.org/Home_Page/Map__Members.html</t>
  </si>
  <si>
    <t>Kansas Electric Utilities - list with links</t>
  </si>
  <si>
    <t>@KSEnergyInfo</t>
  </si>
  <si>
    <t>https://www.facebook.com/KansasEnergy</t>
  </si>
  <si>
    <t>http://www.kansasenergy.org/electricity.htm#IOUs</t>
  </si>
  <si>
    <t>Black Hills Energy</t>
  </si>
  <si>
    <t>http://www.blackhillsenergy.com/business/</t>
  </si>
  <si>
    <t>Atmos Energy</t>
  </si>
  <si>
    <t>@atmosenergy</t>
  </si>
  <si>
    <t>https://www.facebook.com/atmosenergy</t>
  </si>
  <si>
    <t>http://www.atmosenergy.com/index.html</t>
  </si>
  <si>
    <t>Kansas Gas Service</t>
  </si>
  <si>
    <t>@KansasGas</t>
  </si>
  <si>
    <t>https://www.facebook.com/ONEOKInc</t>
  </si>
  <si>
    <t>http://www.kansasgasservice.com/</t>
  </si>
  <si>
    <t>City of Manhattan, Kansas Public Utilities</t>
  </si>
  <si>
    <t>http://www.cityofmhk.com/index.aspx?NID=346</t>
  </si>
  <si>
    <t>City of Lawrence Water Utility</t>
  </si>
  <si>
    <t>https://lawrenceks.org/utilities/water_utility</t>
  </si>
  <si>
    <t>Leavenworth Water Department</t>
  </si>
  <si>
    <t>https://www.facebook.com/pages/Leavenworth-Water-Department/111064185622298?fref=ts</t>
  </si>
  <si>
    <t>http://www.lvnwater.com/</t>
  </si>
  <si>
    <t>Rural Water District Maps: WATER SYSTEMS IN KANSAS</t>
  </si>
  <si>
    <t>http://www.krwa.net/mapovers/index.shtml</t>
  </si>
  <si>
    <t>Garden City Regional Airport</t>
  </si>
  <si>
    <t>@GCKAirport</t>
  </si>
  <si>
    <t>https://www.facebook.com/pages/Garden-City-Regional-Airport-GCK/262976750418647</t>
  </si>
  <si>
    <t>http://www.fly2gck.com/gcrawebsite/homepage/homepagelayout.html?homepagecontent/main/main.html</t>
  </si>
  <si>
    <t>Manhattan Regional Airport</t>
  </si>
  <si>
    <t>Wichita Mid-Continent Airport</t>
  </si>
  <si>
    <t>KS Dept of Transportation - Aviation</t>
  </si>
  <si>
    <t>http://www.ksdot.org/divAviation/default.asp</t>
  </si>
  <si>
    <t>Kansas Airport Directory (KSDOT)</t>
  </si>
  <si>
    <t>http://www.ksdot.org/divAviation/PDF_Pic_Pages/Binder1.pdf</t>
  </si>
  <si>
    <t>Kansas AirNav</t>
  </si>
  <si>
    <t>http://www.airnav.com/airports/state/KS.html</t>
  </si>
  <si>
    <t>Osage County News</t>
  </si>
  <si>
    <t>https://www.facebook.com/OsageCountyNews</t>
  </si>
  <si>
    <t>Pratt County Tribune</t>
  </si>
  <si>
    <t>https://www.facebook.com/pages/The-Pratt-Tribune/86131669052</t>
  </si>
  <si>
    <t>NesLink - TV Stations - Kansas</t>
  </si>
  <si>
    <t>http://newslink.org/kstele.html</t>
  </si>
  <si>
    <t>Kansas First news (Fox)</t>
  </si>
  <si>
    <t>@KansasFirstNews</t>
  </si>
  <si>
    <t>http://www.kansasfirstnews.com/default.aspx</t>
  </si>
  <si>
    <t>KAKE-TV (Wichita)</t>
  </si>
  <si>
    <t>@KAKEnews</t>
  </si>
  <si>
    <t>https://www.facebook.com/KAKETV</t>
  </si>
  <si>
    <t>http://www.kake.com/</t>
  </si>
  <si>
    <t>KOAM TV</t>
  </si>
  <si>
    <t>@koamnews</t>
  </si>
  <si>
    <t>https://www.facebook.com/koamfox14</t>
  </si>
  <si>
    <t>http://www.koamtv.com/</t>
  </si>
  <si>
    <t>WIBW</t>
  </si>
  <si>
    <t>@wibw</t>
  </si>
  <si>
    <t>https://www.facebook.com/WIBWTV</t>
  </si>
  <si>
    <t>http://www.wibw.com/</t>
  </si>
  <si>
    <t>KWCH12</t>
  </si>
  <si>
    <t>@kwch12</t>
  </si>
  <si>
    <t>https://www.facebook.com/kwchnews</t>
  </si>
  <si>
    <t>http://www.kwch.com/</t>
  </si>
  <si>
    <t>KSNT</t>
  </si>
  <si>
    <t>https://www.facebook.com/KSNNews</t>
  </si>
  <si>
    <t>http://www.ksnt.com/default.aspx</t>
  </si>
  <si>
    <t>KCTU</t>
  </si>
  <si>
    <t>http://www.kctu.com/</t>
  </si>
  <si>
    <t>KSHB (Kansas City)</t>
  </si>
  <si>
    <t>@41ActionNews</t>
  </si>
  <si>
    <t>https://www.facebook.com/38theSpot</t>
  </si>
  <si>
    <t>http://www.kshb.com/subindex/entertainment/38_the_spot_kmci</t>
  </si>
  <si>
    <t>KTMJ</t>
  </si>
  <si>
    <t>https://www.facebook.com/pages/Kansas-First-News/227750827236117</t>
  </si>
  <si>
    <t>http://www.fox43topeka.com/default.aspx</t>
  </si>
  <si>
    <t>KPTS</t>
  </si>
  <si>
    <t>@KPTS</t>
  </si>
  <si>
    <t>https://www.facebook.com/KPTS.TV8?ref=search&amp;sid=1057253288.466443066..1&amp;v=wall</t>
  </si>
  <si>
    <t>http://www.kpts.org/home/</t>
  </si>
  <si>
    <t>Kentucky State Website</t>
  </si>
  <si>
    <t>@kygov</t>
  </si>
  <si>
    <t>http://www.facebook.com/kygov</t>
  </si>
  <si>
    <t>http://kentucky.gov/Pages/home.aspx</t>
  </si>
  <si>
    <t>Kentucky EMA</t>
  </si>
  <si>
    <t>@KYEMPIO</t>
  </si>
  <si>
    <t>http://www.facebook.com/KYEmergencyManagement</t>
  </si>
  <si>
    <t>http://kyem.ky.gov/Pages/default.aspx</t>
  </si>
  <si>
    <t>Kentucky DHS</t>
  </si>
  <si>
    <t>Kentucky Wildlife Rescue</t>
  </si>
  <si>
    <t>http://wildlife.rescueshelter.com/Kentucky</t>
  </si>
  <si>
    <t>EMA/E911</t>
  </si>
  <si>
    <t>http://www.adaircounty.ky.gov/</t>
  </si>
  <si>
    <t>http://www.adaircounty.ky.gov/cogov/departments/emd.htm</t>
  </si>
  <si>
    <t>Allen</t>
  </si>
  <si>
    <t>http://www.allencountykentucky.com/</t>
  </si>
  <si>
    <t>https://www.facebook.com/pages/Anderson-County-Department-of-Public-SafetyEMS/226815204119779</t>
  </si>
  <si>
    <t>http://www.andersoncounty.ky.gov/</t>
  </si>
  <si>
    <t>http://www.andersoncountydps.com/</t>
  </si>
  <si>
    <t>http://www.ballardcounty.ky.gov/</t>
  </si>
  <si>
    <t>Barren</t>
  </si>
  <si>
    <t>http://www.barrenco-ky.com/</t>
  </si>
  <si>
    <t>http://www.barrencountysheriff.com/</t>
  </si>
  <si>
    <t>Bath</t>
  </si>
  <si>
    <t>http://bathcounty.ky.gov/</t>
  </si>
  <si>
    <t>http://www.bathcounty.ky.gov/elected</t>
  </si>
  <si>
    <t>Bell</t>
  </si>
  <si>
    <t>http://www.bellcounty.ky.gov/</t>
  </si>
  <si>
    <t>http://www.bellcounty.ky.gov/departments/</t>
  </si>
  <si>
    <t>Boone</t>
  </si>
  <si>
    <t>http://www.boonecountyky.org/</t>
  </si>
  <si>
    <t>http://www.boonecountyky.org/EM/default.aspx</t>
  </si>
  <si>
    <t>http://www.bourbonky.com/</t>
  </si>
  <si>
    <t>http://bourbonsheriff.org/</t>
  </si>
  <si>
    <t>Boyd</t>
  </si>
  <si>
    <t>http://www.boydcountyky.gov/</t>
  </si>
  <si>
    <t>http://www.boydcountysheriff.com/</t>
  </si>
  <si>
    <t>Boyle</t>
  </si>
  <si>
    <t>http://www.boyleky.com/</t>
  </si>
  <si>
    <t>http://www.boyleky.com/EmergencyManagement.html</t>
  </si>
  <si>
    <t>http://www.brackencounty.ky.gov/</t>
  </si>
  <si>
    <t>http://www.brackencounty.ky.gov/dna.htm</t>
  </si>
  <si>
    <t>http://www.breathittcounty.ky.gov/</t>
  </si>
  <si>
    <t>http://www.breathittcounty.ky.gov/departments.htm</t>
  </si>
  <si>
    <t>http://www.breckinridgecountyky.com/</t>
  </si>
  <si>
    <t>http://www.breckinridgecountyky.com/index.php?page=emergency-management</t>
  </si>
  <si>
    <t>https://www.facebook.com/bullittsheriff</t>
  </si>
  <si>
    <t>http://bullitt.kysheriff.org/</t>
  </si>
  <si>
    <t>Butler</t>
  </si>
  <si>
    <t>http://www.butlercounty.ky.gov/</t>
  </si>
  <si>
    <t>http://www.butlercounty.ky.gov/elected/sheriff.htm</t>
  </si>
  <si>
    <t>Caldwell</t>
  </si>
  <si>
    <t>http://www.caldwellcounty.ky.gov/</t>
  </si>
  <si>
    <t>http://www.caldwellcounty.ky.gov/departments/emergency.htm</t>
  </si>
  <si>
    <t>http://www.callowaycounty-ky.gov/</t>
  </si>
  <si>
    <t>http://www.callkyso.com/</t>
  </si>
  <si>
    <t>Campbell</t>
  </si>
  <si>
    <t>http://www.campbellcountyky.org/</t>
  </si>
  <si>
    <t>http://www.campbellcountyky.org/home/services/public-safety/emergency-management.html</t>
  </si>
  <si>
    <t>http://www.carlislecounty.ky.gov/</t>
  </si>
  <si>
    <t>http://www.carlislecounty.ky.gov/departments/fire.htm</t>
  </si>
  <si>
    <t>http://www.carrollcountygov.us/</t>
  </si>
  <si>
    <t>http://www.carrollcountygov.us/emergency.asp</t>
  </si>
  <si>
    <t>http://www.cartercounty.ky.gov/</t>
  </si>
  <si>
    <t>http://www.cartercounty.ky.gov/departments.htm</t>
  </si>
  <si>
    <t>Casey</t>
  </si>
  <si>
    <t>http://www.caseycounty.ky.gov/</t>
  </si>
  <si>
    <t>Christian</t>
  </si>
  <si>
    <t>http://www.christiancountyky.gov/qcms/home.asp</t>
  </si>
  <si>
    <t>http://www.christiancountyky.gov/qcms/index.asp?Page=Emergency%20Management</t>
  </si>
  <si>
    <t>Clark</t>
  </si>
  <si>
    <t>http://www.clarkcoky.com/</t>
  </si>
  <si>
    <t>http://clarkcokysheriff.com/</t>
  </si>
  <si>
    <t>http://www.claycounty.ky.gov/</t>
  </si>
  <si>
    <t>http://www.claycounty.ky.gov/elected/county.htm</t>
  </si>
  <si>
    <t>Clinton</t>
  </si>
  <si>
    <t>http://www.clintoncounty.ky.gov/</t>
  </si>
  <si>
    <t>http://www.clintoncounty.ky.gov/dept.htm</t>
  </si>
  <si>
    <t>Cumberland</t>
  </si>
  <si>
    <t>http://www.cumberlandcounty.ky.gov/</t>
  </si>
  <si>
    <t>http://www.cumberlandcounty.ky.gov/elected/</t>
  </si>
  <si>
    <t>@DaviessKYEMA</t>
  </si>
  <si>
    <t>http://www.daviessky.org/homepage.asp</t>
  </si>
  <si>
    <t>http://www.dcema.us/</t>
  </si>
  <si>
    <t>Edmonson</t>
  </si>
  <si>
    <t>http://www.edmonsoncounty.ky.gov/</t>
  </si>
  <si>
    <t>http://www.edmonsoncounty.ky.gov/departments/</t>
  </si>
  <si>
    <t>http://www.elliottcounty.ky.gov/</t>
  </si>
  <si>
    <t>http://www.elliottcounty.ky.gov/elected.htm</t>
  </si>
  <si>
    <t>Estill</t>
  </si>
  <si>
    <t>@estillema</t>
  </si>
  <si>
    <t>https://www.facebook.com/pages/Estill-County-EMACSEPP/108405395869017</t>
  </si>
  <si>
    <t>http://www.estillky.com/</t>
  </si>
  <si>
    <t>http://www.estillcountyema.com/</t>
  </si>
  <si>
    <t>@lexkygov</t>
  </si>
  <si>
    <t>https://www.facebook.com/pages/Lexington-KY/191947568058</t>
  </si>
  <si>
    <t>http://www.lexingtonky.gov/index.aspx?page=1</t>
  </si>
  <si>
    <t>http://www.lexingtonky.gov/index.aspx?page=713</t>
  </si>
  <si>
    <t>Fleming</t>
  </si>
  <si>
    <t>http://www.flemingcountyky.org/articles/home.asp</t>
  </si>
  <si>
    <t>Floyd</t>
  </si>
  <si>
    <t>Franklin</t>
  </si>
  <si>
    <t>http://franklincounty.ky.gov/</t>
  </si>
  <si>
    <t>http://franklincounty.ky.gov/agencies/sheriff/</t>
  </si>
  <si>
    <t>http://www.fultoncounty.ky.gov/</t>
  </si>
  <si>
    <t>http://www.fultoncounty.ky.gov/contactem.htm</t>
  </si>
  <si>
    <t>http://www.gallatincounty.ky.gov/</t>
  </si>
  <si>
    <t>http://gallatincounty.ky.gov/elected/</t>
  </si>
  <si>
    <t>http://www.garrardcounty.ky.gov/</t>
  </si>
  <si>
    <t>http://garrardema.com/</t>
  </si>
  <si>
    <t>Grant</t>
  </si>
  <si>
    <t>http://grantcounty.ky.gov/</t>
  </si>
  <si>
    <t>http://www.grantcountysheriff.com/</t>
  </si>
  <si>
    <t>http://www.gravescounty.ky.gov/</t>
  </si>
  <si>
    <t>http://www.gravescounty.ky.gov/elected/</t>
  </si>
  <si>
    <t>Grayson</t>
  </si>
  <si>
    <t>http://www.graysoncounty.ky.gov/</t>
  </si>
  <si>
    <t>http://www.graysoncounty.ky.gov/elected/</t>
  </si>
  <si>
    <t>Green</t>
  </si>
  <si>
    <t>http://www.greencounty.ky.gov/</t>
  </si>
  <si>
    <t>http://www.greencounty.ky.gov/departments/</t>
  </si>
  <si>
    <t>Greenup</t>
  </si>
  <si>
    <t>http://www.greenupcounty.ky.gov/</t>
  </si>
  <si>
    <t>http://www.greenupcounty.ky.gov/elected/</t>
  </si>
  <si>
    <t>https://www.facebook.com/pages/Living-in-Hancock-County-Kentucky/297500850349773</t>
  </si>
  <si>
    <t>http://hancockky.us/</t>
  </si>
  <si>
    <t>http://hancockky.us/Government/otherdeptagencies.htm</t>
  </si>
  <si>
    <t>Hardin</t>
  </si>
  <si>
    <t>http://www.hcky.org/</t>
  </si>
  <si>
    <t>http://www.hcky.org/emergencymgmt.asp</t>
  </si>
  <si>
    <t>Harlan</t>
  </si>
  <si>
    <t>http://harrisoncountyclerk.ky.gov/</t>
  </si>
  <si>
    <t>Hart</t>
  </si>
  <si>
    <t>http://www.hartcounty.ky.gov/</t>
  </si>
  <si>
    <t>http://www.hartcounty.ky.gov/departments/sheriff.htm</t>
  </si>
  <si>
    <t>Henderson</t>
  </si>
  <si>
    <t>http://www.hendersonky.us/</t>
  </si>
  <si>
    <t>http://hendersonema.org/</t>
  </si>
  <si>
    <t>Henry</t>
  </si>
  <si>
    <t>http://www.henrycountyky.com/</t>
  </si>
  <si>
    <t>http://www.henrycountyky.com/emergency/</t>
  </si>
  <si>
    <t>Hickman</t>
  </si>
  <si>
    <t>http://www.hickmancounty.ky.gov/</t>
  </si>
  <si>
    <t>http://www.hickmancounty.ky.gov/departments/ems.htm</t>
  </si>
  <si>
    <t>Hopkins</t>
  </si>
  <si>
    <t>https://www.facebook.com/pages/Hopkins-County-Government/213267072090604</t>
  </si>
  <si>
    <t>http://hopkinscounty.ky.gov/</t>
  </si>
  <si>
    <t>http://hopkinscounty.ky.gov/index.php/emergency-management</t>
  </si>
  <si>
    <t>http://www.jacksoncountyky.us/</t>
  </si>
  <si>
    <t>http://www.jacksoncountyky.us/government/ema_csepp.html</t>
  </si>
  <si>
    <t>@LMPD</t>
  </si>
  <si>
    <t>https://www.facebook.com/pages/EMAMetroSafe/257398724282648?ref=ts&amp;fref=ts</t>
  </si>
  <si>
    <t>http://www.louisvilleky.gov/</t>
  </si>
  <si>
    <t>http://www.louisvilleky.gov/EMA/</t>
  </si>
  <si>
    <t>https://www.facebook.com/JessamineCountyKY</t>
  </si>
  <si>
    <t>http://www.jessamineco.com/</t>
  </si>
  <si>
    <t>http://jessamineco.com/?page_id=1195</t>
  </si>
  <si>
    <t>http://johnsoncountyky.com/</t>
  </si>
  <si>
    <t>http://sheriff.johnsoncounty.ky.gov/Pages/default.aspx</t>
  </si>
  <si>
    <t>https://www.facebook.com/pages/Kenton-County-Fiscal-Court/311635738926284</t>
  </si>
  <si>
    <t>http://www.kentoncounty.org/</t>
  </si>
  <si>
    <t>http://www.kentoncountysheriff.org/</t>
  </si>
  <si>
    <t>Knott</t>
  </si>
  <si>
    <t>http://www.knottky.com/</t>
  </si>
  <si>
    <t>http://www.knottky.com/2012-06-14-14-12-02/codered-warning-system</t>
  </si>
  <si>
    <t>Knox</t>
  </si>
  <si>
    <t>http://www.knoxcountyky.com/</t>
  </si>
  <si>
    <t>http://www.knoxcounty-sheriff.com/</t>
  </si>
  <si>
    <t>http://www.laruecounty.org/</t>
  </si>
  <si>
    <t>http://www.laruecounty.org/services.shtml#medical</t>
  </si>
  <si>
    <t>Laurel</t>
  </si>
  <si>
    <t>http://www.lawrencecounty.ky.gov/</t>
  </si>
  <si>
    <t>http://www.lawrencecounty.ky.gov/departments/</t>
  </si>
  <si>
    <t>Lee</t>
  </si>
  <si>
    <t>http://www.leecounty.ky.gov/</t>
  </si>
  <si>
    <t>http://www.leecounty.ky.gov/elected/</t>
  </si>
  <si>
    <t>http://www.lesliecounty.ky.gov/</t>
  </si>
  <si>
    <t>http://www.lesliecounty.ky.gov/elected/</t>
  </si>
  <si>
    <t>Letcher</t>
  </si>
  <si>
    <t>http://www.letchercounty.ky.gov/</t>
  </si>
  <si>
    <t>http://www.letchercounty.ky.gov/emergency/</t>
  </si>
  <si>
    <t>http://lewiscounty.ky.gov/</t>
  </si>
  <si>
    <t>http://lewiscounty.ky.gov/departments.htm</t>
  </si>
  <si>
    <t>http://www.lincolnky.com/</t>
  </si>
  <si>
    <t>http://www.lincolnky.com/government.htm</t>
  </si>
  <si>
    <t>http://www.livingstonco.ky.gov/</t>
  </si>
  <si>
    <t>http://www.livingstonco.ky.gov/sfty</t>
  </si>
  <si>
    <t>http://www.logancounty.ky.gov/</t>
  </si>
  <si>
    <t>http://www.logancounty.ky.gov/departments.htm</t>
  </si>
  <si>
    <t>Lyon</t>
  </si>
  <si>
    <t>http://www.lyoncounty.ky.gov/</t>
  </si>
  <si>
    <t>http://www.lyoncounty.ky.gov/departments/</t>
  </si>
  <si>
    <t>https://www.facebook.com/mcso32</t>
  </si>
  <si>
    <t>http://www.mccrackencountysheriff.com/</t>
  </si>
  <si>
    <t>http://www.mccrearycounty.com/</t>
  </si>
  <si>
    <t>http://www.mccrearysheriff.com/</t>
  </si>
  <si>
    <t>McLean</t>
  </si>
  <si>
    <t>http://www.mcleancounty.ky.gov/</t>
  </si>
  <si>
    <t>http://www.mcleancounty.ky.gov/elected/</t>
  </si>
  <si>
    <t>http://www.madisoncountyky.us/</t>
  </si>
  <si>
    <t>http://www.madisoncountyema.net/</t>
  </si>
  <si>
    <t>http://magoffincounty.ky.gov/</t>
  </si>
  <si>
    <t>http://magoffincounty.ky.gov/elected/</t>
  </si>
  <si>
    <t>http://www.marioncounty.ky.gov/</t>
  </si>
  <si>
    <t>http://www.marioncounty.ky.gov/departments/ems.htm</t>
  </si>
  <si>
    <t>http://marshallcounty.ky.gov/index.html</t>
  </si>
  <si>
    <t>http://www.martincounty.ky.gov/</t>
  </si>
  <si>
    <t>http://www.martincounty.ky.gov/dept.htm</t>
  </si>
  <si>
    <t>http://www.masoncountykentucky.com/articles/home.asp</t>
  </si>
  <si>
    <t>http://www.masoncountysheriff.net/</t>
  </si>
  <si>
    <t>http://countyclerk.meadecounty.ky.gov/</t>
  </si>
  <si>
    <t>http://www.meadecountyso.com/</t>
  </si>
  <si>
    <t>http://www.menifeecounty.ky.gov/about.htm</t>
  </si>
  <si>
    <t>http://www.menifeecounty.ky.gov/elected/</t>
  </si>
  <si>
    <t>http://www.mercercounty.ky.gov/default.htm</t>
  </si>
  <si>
    <t>http://www.mercercosheriff.com/</t>
  </si>
  <si>
    <t>http://www.metcalfecounty.ky.gov/default.htm</t>
  </si>
  <si>
    <t>http://www.metcalfecounty.ky.gov/elected/</t>
  </si>
  <si>
    <t>http://www.monroecounty.ky.gov/</t>
  </si>
  <si>
    <t>http://www.montgomerycounty.ky.gov/</t>
  </si>
  <si>
    <t>http://www.montgomerycountysheriff.net/</t>
  </si>
  <si>
    <t>Morgan</t>
  </si>
  <si>
    <t>http://www.morgancounty.ky.gov/about.htm</t>
  </si>
  <si>
    <t>http://www.morgancounty.ky.gov/elected/</t>
  </si>
  <si>
    <t>http://www.muhlenbergcounty.ky.gov/</t>
  </si>
  <si>
    <t>http://www.muhlenbergcountysheriff.com/aboutus.html</t>
  </si>
  <si>
    <t>Nelson</t>
  </si>
  <si>
    <t>http://nelsoncountyky.com/</t>
  </si>
  <si>
    <t>http://www.nelsoncountysheriff.com/</t>
  </si>
  <si>
    <t>http://nicholascounty.ky.gov/Pages/default.aspx</t>
  </si>
  <si>
    <t>http://nicholascounty.ky.gov/elected/sheriff/Pages/default.aspx</t>
  </si>
  <si>
    <t>Ohio</t>
  </si>
  <si>
    <t>http://www.ohiocounty.ky.gov/default.htm</t>
  </si>
  <si>
    <t>http://www.ohiocounty.ky.gov/departments/ema.htm</t>
  </si>
  <si>
    <t>Oldham</t>
  </si>
  <si>
    <t>http://www.oldhamcountysheriff.com/</t>
  </si>
  <si>
    <t>http://www.owencounty.ky.gov/</t>
  </si>
  <si>
    <t>http://www.owencountyemergencyservices.com/owentonowencountyfire.htm</t>
  </si>
  <si>
    <t>http://www.owsleycountyky.com/</t>
  </si>
  <si>
    <t>http://www.owsleycountyky.com/emergencymanagement.htm</t>
  </si>
  <si>
    <t>https://www.facebook.com/PendletonCounty</t>
  </si>
  <si>
    <t>http://pendletoncounty.ky.gov/Pages/default.aspx</t>
  </si>
  <si>
    <t>http://pendletoncounty.ky.gov/ema/Pages/default.aspx</t>
  </si>
  <si>
    <t>http://www.perrycounty.ky.gov/</t>
  </si>
  <si>
    <t>http://www.perrysheriff.org/</t>
  </si>
  <si>
    <t>http://www.powellcounty.ky.gov/</t>
  </si>
  <si>
    <t>http://www.powellcounty.ky.gov/department/emergencymgmt.htm</t>
  </si>
  <si>
    <t>http://www.pcgovt.com/</t>
  </si>
  <si>
    <t>http://www.pulaskisheriff.com/</t>
  </si>
  <si>
    <t>http://www.robertsoncounty.ky.gov/</t>
  </si>
  <si>
    <t>http://www.robertsoncounty.ky.gov/elected/</t>
  </si>
  <si>
    <t>http://www.rockcastlecountyky.com/government.html</t>
  </si>
  <si>
    <t>http://www.rockcastlecountyema.com/</t>
  </si>
  <si>
    <t>Rowan</t>
  </si>
  <si>
    <t>https://www.facebook.com/RowanCountySheriffMoreheadKentucky</t>
  </si>
  <si>
    <t>http://www.rowancountysheriff.net/</t>
  </si>
  <si>
    <t>http://russellcountysheriff.com/</t>
  </si>
  <si>
    <t>Scott</t>
  </si>
  <si>
    <t>http://www.scottky.com/</t>
  </si>
  <si>
    <t>http://www.gscems.com/</t>
  </si>
  <si>
    <t>https://www.facebook.com/pages/Shelby-County-Sheriff-Office/220596207957016?sk=wall</t>
  </si>
  <si>
    <t>http://www.shelbycountykentucky.com/</t>
  </si>
  <si>
    <t>http://www.sckyso.com/</t>
  </si>
  <si>
    <t>http://www.simpsoncounty.us/</t>
  </si>
  <si>
    <t>http://www.simpsoncounty.us/emergency.asp</t>
  </si>
  <si>
    <t>http://www.spencercountyky.gov/</t>
  </si>
  <si>
    <t>http://www.spencercountyky.gov/government.html</t>
  </si>
  <si>
    <t>http://www.taylorcounty.ky.gov/</t>
  </si>
  <si>
    <t>http://www.taylorcounty.us/county-government/taylor-county-sheriff.html</t>
  </si>
  <si>
    <t>http://www.toddcounty.ky.gov/about.htm</t>
  </si>
  <si>
    <t>http://sheriff.toddcounty.ky.gov/</t>
  </si>
  <si>
    <t>Trigg</t>
  </si>
  <si>
    <t>http://www.triggcounty.ky.gov/default.htm</t>
  </si>
  <si>
    <t>http://www.triggcounty.ky.gov/services/emergency.htm</t>
  </si>
  <si>
    <t>http://www.trimblecounty.ky.gov/</t>
  </si>
  <si>
    <t>http://www.trimblecounty.ky.gov/services/em.htm</t>
  </si>
  <si>
    <t>Union</t>
  </si>
  <si>
    <t>http://unioncounty.ky.gov/</t>
  </si>
  <si>
    <t>http://unioncounty.ky.gov/index.php/countygovernment/sheriff</t>
  </si>
  <si>
    <t>Warren</t>
  </si>
  <si>
    <t>https://www.facebook.com/pages/Warren-County-Emergency-Management/97494042059?v=wall</t>
  </si>
  <si>
    <t>http://www.warrencountygov.com/</t>
  </si>
  <si>
    <t>http://www.wcem.org/</t>
  </si>
  <si>
    <t>http://www.washingtoncountyky.com/</t>
  </si>
  <si>
    <t>http://www.wcsoky.com/</t>
  </si>
  <si>
    <t>http://www.waynecounty.ky.gov/</t>
  </si>
  <si>
    <t>http://www.waynecounty.ky.gov/services/emsrv.htm</t>
  </si>
  <si>
    <t>Webster</t>
  </si>
  <si>
    <t>http://webstercountyclerk.ky.gov/</t>
  </si>
  <si>
    <t>http://webstercountysheriff.org/</t>
  </si>
  <si>
    <t>http://www.whitleycountyfiscalcourt.com/index.asp</t>
  </si>
  <si>
    <t>http://www.whitleycountyfiscalcourt.com/sheriff.asp</t>
  </si>
  <si>
    <t>Wolfe</t>
  </si>
  <si>
    <t>http://www.woodfordcounty.ky.gov/</t>
  </si>
  <si>
    <t>http://www.woodfordem.com/website/</t>
  </si>
  <si>
    <t>Kentucky American Water</t>
  </si>
  <si>
    <t>@kyamwater</t>
  </si>
  <si>
    <t>https://www.facebook.com/KentuckyAmericanWater</t>
  </si>
  <si>
    <t>http://www.amwater.com/kyaw/</t>
  </si>
  <si>
    <t>Louisville Water Company</t>
  </si>
  <si>
    <t>@louisvillewater</t>
  </si>
  <si>
    <t>https://www.facebook.com/LouisvilleWater</t>
  </si>
  <si>
    <t>http://www.louisvilleky.gov/LWC</t>
  </si>
  <si>
    <t>Owensboro Municipal Utilities</t>
  </si>
  <si>
    <t>https://www.facebook.com/omu.org</t>
  </si>
  <si>
    <t>http://omu.org/</t>
  </si>
  <si>
    <t>Bowling Green Municipal Utilities</t>
  </si>
  <si>
    <t>@BGMU</t>
  </si>
  <si>
    <t>http://www.bgmu.com/index.cgi</t>
  </si>
  <si>
    <t>Campbellsville Municipal Water and Sewer System</t>
  </si>
  <si>
    <t>http://www.campbellsvillewater.com/</t>
  </si>
  <si>
    <t>Frankfort Plant Board</t>
  </si>
  <si>
    <t>@fewpb</t>
  </si>
  <si>
    <t>https://www.facebook.com/fewpb</t>
  </si>
  <si>
    <t>http://fewpb.com/</t>
  </si>
  <si>
    <t>Glasgow Water Company</t>
  </si>
  <si>
    <t>https://www.facebook.com/pages/Glasgow-Water-Company/119190921462830</t>
  </si>
  <si>
    <t>http://www.glasgowh2o.com/</t>
  </si>
  <si>
    <t>Louisville/Jefferson County Metropolitan Sewer District</t>
  </si>
  <si>
    <t>http://www.msdlouky.org/</t>
  </si>
  <si>
    <t>Northern Kentucky Water Service District</t>
  </si>
  <si>
    <t>http://www.nkywater.org/</t>
  </si>
  <si>
    <t>Kentucky Utilities</t>
  </si>
  <si>
    <t>http://www.lgeenergy.com/ku/</t>
  </si>
  <si>
    <t>Henderson Municipal Power and Light</t>
  </si>
  <si>
    <t>http://www.hmpl.com/</t>
  </si>
  <si>
    <t>Louisville Gas &amp; Electric</t>
  </si>
  <si>
    <t>http://www.lge-ku.com/lge/</t>
  </si>
  <si>
    <t>Duke Energy Kentucky</t>
  </si>
  <si>
    <t>http://www.duke-energy.com/kentucky.asp</t>
  </si>
  <si>
    <t>Tennessee Valley Authority</t>
  </si>
  <si>
    <t>Big Rivers Electric Corporation</t>
  </si>
  <si>
    <t>http://www.bigrivers.com/</t>
  </si>
  <si>
    <t>Cincinnati/Northern Kentucky International Airport</t>
  </si>
  <si>
    <t>@CVGAirport</t>
  </si>
  <si>
    <t>https://www.facebook.com/flyCVG?ref=ts</t>
  </si>
  <si>
    <t>http://www.cvgairport.com/</t>
  </si>
  <si>
    <t>Blue Grass Airport</t>
  </si>
  <si>
    <t>@BGAirport</t>
  </si>
  <si>
    <t>https://www.facebook.com/bluegrassairport</t>
  </si>
  <si>
    <t>http://www.bluegrassairport.com/</t>
  </si>
  <si>
    <t>Louisville International Airport (Standiford Field)</t>
  </si>
  <si>
    <t>http://www.flylouisville.com/</t>
  </si>
  <si>
    <t>Owensboro-Daviess County Regional Airport</t>
  </si>
  <si>
    <t>http://www.owb.net/</t>
  </si>
  <si>
    <t>Barkley Regional Airport</t>
  </si>
  <si>
    <t>@BarkleyRegional</t>
  </si>
  <si>
    <t>https://www.facebook.com/pages/Barkley-Regional-Airport/178435332241627</t>
  </si>
  <si>
    <t>http://www.barkleyregional.com/</t>
  </si>
  <si>
    <t>Louisville Courier-Journal</t>
  </si>
  <si>
    <t>@courierjournal</t>
  </si>
  <si>
    <t>https://www.facebook.com/courierjournal</t>
  </si>
  <si>
    <t>http://www.courier-journal.com/</t>
  </si>
  <si>
    <t>Lexington Herald-Leader</t>
  </si>
  <si>
    <t>@heraldleader</t>
  </si>
  <si>
    <t>https://www.facebook.com/kentuckycom</t>
  </si>
  <si>
    <t>http://www.kentucky.com/</t>
  </si>
  <si>
    <t>Bowling Green Daily News</t>
  </si>
  <si>
    <t>@BGDailyNews</t>
  </si>
  <si>
    <t>https://www.facebook.com/bgdailynews</t>
  </si>
  <si>
    <t>http://www.bgdailynews.com/</t>
  </si>
  <si>
    <t>Owensboro Messenger-Inquirer</t>
  </si>
  <si>
    <t>@OwensboroMI</t>
  </si>
  <si>
    <t>https://www.facebook.com/MessengerInquirer</t>
  </si>
  <si>
    <t>http://www.messenger-inquirer.com/</t>
  </si>
  <si>
    <t>Convington Kentucky Post</t>
  </si>
  <si>
    <t>http://www.kypost.com/</t>
  </si>
  <si>
    <t>Bowling Green ABC/FOX/CW</t>
  </si>
  <si>
    <t>@wbkotv</t>
  </si>
  <si>
    <t>https://www.facebook.com/wbkotv</t>
  </si>
  <si>
    <t>http://www.wbko.com/</t>
  </si>
  <si>
    <t>Bowling Green NBC/CBS</t>
  </si>
  <si>
    <t>http://www.wnky.net/</t>
  </si>
  <si>
    <t>Lexington FOX</t>
  </si>
  <si>
    <t>https://www.facebook.com/FOXLexington</t>
  </si>
  <si>
    <t>http://www.foxlexington.com/</t>
  </si>
  <si>
    <t>Lexington CBS</t>
  </si>
  <si>
    <t>@WKYT</t>
  </si>
  <si>
    <t>https://www.facebook.com/WKYTTV</t>
  </si>
  <si>
    <t>http://www.wkyt.com/</t>
  </si>
  <si>
    <t>Lexington NBC</t>
  </si>
  <si>
    <t>@LEX18News</t>
  </si>
  <si>
    <t>https://www.facebook.com/lex18</t>
  </si>
  <si>
    <t>http://www.lex18.com/home/</t>
  </si>
  <si>
    <t>Lexington ABC</t>
  </si>
  <si>
    <t>@ABC36Lexington</t>
  </si>
  <si>
    <t>https://www.facebook.com/ABC36</t>
  </si>
  <si>
    <t>http://www.wtvq.com/default.aspx</t>
  </si>
  <si>
    <t>Louisville NBC</t>
  </si>
  <si>
    <t>@wave3news</t>
  </si>
  <si>
    <t>https://www.facebook.com/wave3news</t>
  </si>
  <si>
    <t>http://www.wave3.com/</t>
  </si>
  <si>
    <t>Louisville ABC</t>
  </si>
  <si>
    <t>@WHAS11</t>
  </si>
  <si>
    <t>https://www.facebook.com/WHAS11</t>
  </si>
  <si>
    <t>http://www.whas11.com/</t>
  </si>
  <si>
    <t>Louisville CBS</t>
  </si>
  <si>
    <t>@WLKY</t>
  </si>
  <si>
    <t>https://www.facebook.com/wlkynews</t>
  </si>
  <si>
    <t>http://www.wlky.com/</t>
  </si>
  <si>
    <t>Louisiana State Website</t>
  </si>
  <si>
    <t>http://louisiana.gov/</t>
  </si>
  <si>
    <t>Louisiana  DHS</t>
  </si>
  <si>
    <t>@GOHSEP</t>
  </si>
  <si>
    <t>http://www.facebook.com/gohsep</t>
  </si>
  <si>
    <t>Louisiana Wildlife Rescue</t>
  </si>
  <si>
    <t>Acadia</t>
  </si>
  <si>
    <t>http://appj.org/</t>
  </si>
  <si>
    <t>http://www.allenparish.com/</t>
  </si>
  <si>
    <t>Ascension</t>
  </si>
  <si>
    <t>@ascensionparish</t>
  </si>
  <si>
    <t>http://www.ascensionparish.net/</t>
  </si>
  <si>
    <t>Assumption</t>
  </si>
  <si>
    <t>http://assumptionoep.com/</t>
  </si>
  <si>
    <t>Avoyelles</t>
  </si>
  <si>
    <t>Beauregard</t>
  </si>
  <si>
    <t>http://www.beauregardclerk.org/</t>
  </si>
  <si>
    <t>Bienville</t>
  </si>
  <si>
    <t>http://clerk.bienvilleparish.org/</t>
  </si>
  <si>
    <t>Bossier</t>
  </si>
  <si>
    <t>https://www.facebook.com/pages/Caddo-Bossier-Office-of-Homeland-Security-and-Emergency-Preparedness/152691428141253</t>
  </si>
  <si>
    <t>http://cbohsep.org/Index.aspx</t>
  </si>
  <si>
    <t>Caddo</t>
  </si>
  <si>
    <t>Calcasieu</t>
  </si>
  <si>
    <t>@cppj</t>
  </si>
  <si>
    <t>http://www.facebook.com/pages/Calcasieu-Parish-Police-Jury/1365969696349</t>
  </si>
  <si>
    <t>http://cppj.net/</t>
  </si>
  <si>
    <t>Caldwell</t>
  </si>
  <si>
    <t>http://www.facebook.com/pages/Caldwell-Parish-Sheriff-Office/461233655113</t>
  </si>
  <si>
    <t>Cameron</t>
  </si>
  <si>
    <t>http://www.parishofcameron.net/</t>
  </si>
  <si>
    <t>Catahoula</t>
  </si>
  <si>
    <t>Claiborne</t>
  </si>
  <si>
    <t>http://www.claiborneone.org/cppj/</t>
  </si>
  <si>
    <t>Concordia</t>
  </si>
  <si>
    <t>http://www.conppj.org/</t>
  </si>
  <si>
    <t>De Soto</t>
  </si>
  <si>
    <t>http://www.facebook.com/desoto.dept</t>
  </si>
  <si>
    <t>http://www.dpso.org/home/</t>
  </si>
  <si>
    <t>East Baton Rouge</t>
  </si>
  <si>
    <t>http://brgov.com/</t>
  </si>
  <si>
    <t>East Carroll</t>
  </si>
  <si>
    <t>East Feliciana</t>
  </si>
  <si>
    <t>http://eastfelicianaparish.org/</t>
  </si>
  <si>
    <t>Evangeline</t>
  </si>
  <si>
    <t>http://www.evangelineparishpolicejury.com/</t>
  </si>
  <si>
    <t>http://www.gppj.org/</t>
  </si>
  <si>
    <t>Iberia</t>
  </si>
  <si>
    <t>http://www.facebook.com/IPGov</t>
  </si>
  <si>
    <t>iberiagov.net</t>
  </si>
  <si>
    <t>Iberville</t>
  </si>
  <si>
    <t>http://www.facebook.com/iberville.parish?sk=wall</t>
  </si>
  <si>
    <t>ibervilleparish.com</t>
  </si>
  <si>
    <t>http://jacksonparishpolicejury.org/</t>
  </si>
  <si>
    <t>Jefferson Davis</t>
  </si>
  <si>
    <t>http://jeffdavis.net/</t>
  </si>
  <si>
    <t>jeffparish.net</t>
  </si>
  <si>
    <t>La Salle</t>
  </si>
  <si>
    <t>http://lasalleso.com/</t>
  </si>
  <si>
    <t>Lafayette</t>
  </si>
  <si>
    <t>lafayettela.gov</t>
  </si>
  <si>
    <t>Lafourche</t>
  </si>
  <si>
    <t>@LafourcheGov</t>
  </si>
  <si>
    <t>http://www.facebook.com/lafourchegov</t>
  </si>
  <si>
    <t>http://lafourchegov.org/</t>
  </si>
  <si>
    <t>lincolnparish.org</t>
  </si>
  <si>
    <t>http://www.facebook.com/livingstonparishla</t>
  </si>
  <si>
    <t>lpgov.com</t>
  </si>
  <si>
    <t>Morehouse</t>
  </si>
  <si>
    <t>http://mpso.net/</t>
  </si>
  <si>
    <t>Natchitoches</t>
  </si>
  <si>
    <t>http://www.nppj.org/</t>
  </si>
  <si>
    <t>Orleans</t>
  </si>
  <si>
    <t>@MayorLandrieu</t>
  </si>
  <si>
    <t>http://www.facebook.com/mayorlandrieu</t>
  </si>
  <si>
    <t>http://new.nola.gov/home/</t>
  </si>
  <si>
    <t>Ouachita</t>
  </si>
  <si>
    <t>http://oppj.org/</t>
  </si>
  <si>
    <t>Plaquemines</t>
  </si>
  <si>
    <t>@Plaquemines_Gov</t>
  </si>
  <si>
    <t>https://www.facebook.com/plaqueminesgovernment</t>
  </si>
  <si>
    <t>http://www.plaqueminesparish.com/</t>
  </si>
  <si>
    <t>Pointe Coupee</t>
  </si>
  <si>
    <t>http://www.pcpso.org/</t>
  </si>
  <si>
    <t>Rapides</t>
  </si>
  <si>
    <t>http://www.rppj.com/</t>
  </si>
  <si>
    <t>Red River</t>
  </si>
  <si>
    <t>http://redriverclerk.com/</t>
  </si>
  <si>
    <t>Sabine</t>
  </si>
  <si>
    <t>http://www.sabineparishchamber.com/</t>
  </si>
  <si>
    <t>St. Bernard</t>
  </si>
  <si>
    <t>@StBGov</t>
  </si>
  <si>
    <t>http://www.facebook.com/StBGov</t>
  </si>
  <si>
    <t>http://sbpg.net/</t>
  </si>
  <si>
    <t>St. Charles</t>
  </si>
  <si>
    <t>https://www.facebook.com/stcharlesgov</t>
  </si>
  <si>
    <t>http://www.stcharlesparish-la.gov/index.aspx</t>
  </si>
  <si>
    <t>St. Helena</t>
  </si>
  <si>
    <t>http://www.sthelenapj.org/</t>
  </si>
  <si>
    <t>St. James</t>
  </si>
  <si>
    <t>stjamesla.com</t>
  </si>
  <si>
    <t>St. John the Baptist</t>
  </si>
  <si>
    <t>http://www.facebook.com/sjbparish</t>
  </si>
  <si>
    <t>sjbparish.com</t>
  </si>
  <si>
    <t>St. Landry</t>
  </si>
  <si>
    <t>http://www.facebook.com/pages/St-Landry-Parish-Government/28615594735758</t>
  </si>
  <si>
    <t>http://www.stlandryparishgovernment.org/</t>
  </si>
  <si>
    <t>St. Martin</t>
  </si>
  <si>
    <t>http://stmartinsheriff.org/</t>
  </si>
  <si>
    <t>St. Mary</t>
  </si>
  <si>
    <t>http://stmaryparishla.gov/</t>
  </si>
  <si>
    <t>St. Tammany</t>
  </si>
  <si>
    <t>@STPGOV</t>
  </si>
  <si>
    <t>http://www.facebook.com/sttammanyparish</t>
  </si>
  <si>
    <t>http://stpgov.org/</t>
  </si>
  <si>
    <t>Tangipahoa</t>
  </si>
  <si>
    <t>http://www.tangipahoa.org/</t>
  </si>
  <si>
    <t>Tensas</t>
  </si>
  <si>
    <t>Terrebonne</t>
  </si>
  <si>
    <t>http://tpcg.org/</t>
  </si>
  <si>
    <t>http://www.unionsheriff.com/</t>
  </si>
  <si>
    <t>http://www.facebook.com/pages/Vermilion-Parish-Office-of-Homeland-Security-and-Emergency-Preparedness/19641675787135</t>
  </si>
  <si>
    <t>http://vermilionparishpolicejury.com/</t>
  </si>
  <si>
    <t>Vernon</t>
  </si>
  <si>
    <t>https://www.facebook.com/vppjla</t>
  </si>
  <si>
    <t>http://www.vppjla.com/</t>
  </si>
  <si>
    <t>http://www.washingtonparishalerts.org/</t>
  </si>
  <si>
    <t>http://www.websterparishla.org/index.html</t>
  </si>
  <si>
    <t>West Baton Rouge</t>
  </si>
  <si>
    <t>http://wbrcouncil.org/</t>
  </si>
  <si>
    <t>West Carroll</t>
  </si>
  <si>
    <t>West Feliciana</t>
  </si>
  <si>
    <t>http://wfpso.org/</t>
  </si>
  <si>
    <t>Winn</t>
  </si>
  <si>
    <t>http://winnparish.org/#</t>
  </si>
  <si>
    <t>Baton Rouge Water Company</t>
  </si>
  <si>
    <t>http://www.brwater.com/</t>
  </si>
  <si>
    <t>Jefferson Parish Water Department</t>
  </si>
  <si>
    <t>https://jp-appserver.jeffparish.net/WATERBILL/loginscreen2.aspx?ReturnUrl=%2fwaterbill%2facctlist.aspx</t>
  </si>
  <si>
    <t>Sewerage and Water Board of New Orleans</t>
  </si>
  <si>
    <t>http://www.swbno.org/</t>
  </si>
  <si>
    <t>Shreveport Office of Water and Sewerage</t>
  </si>
  <si>
    <t>http://www.shreveportla.gov/dept/water/index.htm</t>
  </si>
  <si>
    <t>City of Monroe</t>
  </si>
  <si>
    <t>http://www.facebook.com/monroe.city</t>
  </si>
  <si>
    <t>http://www.monroela.us/utilities-operations.php</t>
  </si>
  <si>
    <t>City of Bogalusa</t>
  </si>
  <si>
    <t>http://www.bogalusa.org/Citypgs/PubWorks.htm</t>
  </si>
  <si>
    <t>SWEPCO (a subsidiary of American Electric Power)</t>
  </si>
  <si>
    <t>@SWEPCoNews</t>
  </si>
  <si>
    <t>http://www.facebook.com/SWEPCO</t>
  </si>
  <si>
    <t>https://www.swepco.com/Default.aspx</t>
  </si>
  <si>
    <t>CLECO</t>
  </si>
  <si>
    <t>http://www.cleco.com/site.php</t>
  </si>
  <si>
    <t>@EntergyLA</t>
  </si>
  <si>
    <t>http://www.facebook.com/EntergyLA</t>
  </si>
  <si>
    <t>Alexandria International Airport</t>
  </si>
  <si>
    <t>@EnglandAirpark</t>
  </si>
  <si>
    <t>http://www.facebook.com/englandairpark</t>
  </si>
  <si>
    <t>http://www.englandairpark.org/aex</t>
  </si>
  <si>
    <t>Baton Rouge Metropolitan Airport (Ryan Field)</t>
  </si>
  <si>
    <t>@BTRairport</t>
  </si>
  <si>
    <t>http://www.facebook.com/btrairport</t>
  </si>
  <si>
    <t>http://www.flybtr.com/</t>
  </si>
  <si>
    <t>Lafayette Regional Airport</t>
  </si>
  <si>
    <t>@LFTAirport</t>
  </si>
  <si>
    <t>http://www.facebook.com/LafayetteRegionalAirport?ref=sgm</t>
  </si>
  <si>
    <t>http://www.lftairport.com/</t>
  </si>
  <si>
    <t>Lake Charles Regional Airport</t>
  </si>
  <si>
    <t>http://www.flylakecharles.com/</t>
  </si>
  <si>
    <t>Monroe Regional Airport</t>
  </si>
  <si>
    <t>http://www.facebook.com/pages/Monroe-Regional-Airport/77469359948?ref=ts&amp;fref=ts</t>
  </si>
  <si>
    <t>http://www.flymonroe.org/</t>
  </si>
  <si>
    <t>Louis Armstrong New Orleans International Airport</t>
  </si>
  <si>
    <t>@NO_Airport</t>
  </si>
  <si>
    <t>http://www.facebook.com/MSYAirport</t>
  </si>
  <si>
    <t>http://flymsy.com/Default.asp</t>
  </si>
  <si>
    <t>Shreveport Regional Airport</t>
  </si>
  <si>
    <t>@Fly_Shreveport</t>
  </si>
  <si>
    <t>http://www.facebook.com/flyshreveport</t>
  </si>
  <si>
    <t>http://www.shreveportla.gov/airport/</t>
  </si>
  <si>
    <t>Shreveport ABC</t>
  </si>
  <si>
    <t>@KTBS</t>
  </si>
  <si>
    <t>https://www.facebook.com/KTBS3</t>
  </si>
  <si>
    <t>http://www.ktbs.com/</t>
  </si>
  <si>
    <t>Shreveport NBC</t>
  </si>
  <si>
    <t>http://arklatexhomepage.com/</t>
  </si>
  <si>
    <t>Shreveport CBS</t>
  </si>
  <si>
    <t>@KSLA</t>
  </si>
  <si>
    <t>https://www.facebook.com/KSLANews12?ref=sgm</t>
  </si>
  <si>
    <t>http://www.ksla.com/</t>
  </si>
  <si>
    <t>Shreveport CW</t>
  </si>
  <si>
    <t>@KPXJCW21</t>
  </si>
  <si>
    <t>https://www.facebook.com/pages/KPXJ-CW21/183589781212</t>
  </si>
  <si>
    <t>http://www.ktbs.com/kpxj-cw-21</t>
  </si>
  <si>
    <t>Shreveport FOX</t>
  </si>
  <si>
    <t>@KMSSTV</t>
  </si>
  <si>
    <t>https://www.facebook.com/KMSSFox33</t>
  </si>
  <si>
    <t>http://www.kmsstv.com/</t>
  </si>
  <si>
    <t>New Orleans NBC</t>
  </si>
  <si>
    <t>https://www.facebook.com/wdsutv</t>
  </si>
  <si>
    <t>http://www.wdsu.com/</t>
  </si>
  <si>
    <t>New Orleans ABC</t>
  </si>
  <si>
    <t>@WGNOtv</t>
  </si>
  <si>
    <t>https://www.facebook.com/wgno</t>
  </si>
  <si>
    <t>http://wgno.com/</t>
  </si>
  <si>
    <t>New Orleans CBS</t>
  </si>
  <si>
    <t>@wwltv</t>
  </si>
  <si>
    <t>https://www.facebook.com/WWLTV</t>
  </si>
  <si>
    <t>http://www.wwltv.com/</t>
  </si>
  <si>
    <t>Baton Rouge CBS</t>
  </si>
  <si>
    <t>@WAFB</t>
  </si>
  <si>
    <t>https://www.facebook.com/Channel9BatonRouge</t>
  </si>
  <si>
    <t>http://www.wafb.com/</t>
  </si>
  <si>
    <t>Baton Rouge ABC</t>
  </si>
  <si>
    <t>@WBRZ</t>
  </si>
  <si>
    <t>https://www.facebook.com/pages/WBRZ/116142683688</t>
  </si>
  <si>
    <t>http://www.wbrz.com/home/</t>
  </si>
  <si>
    <t>Baton Rouge Fox</t>
  </si>
  <si>
    <t>@wgmbfox44</t>
  </si>
  <si>
    <t>https://www.facebook.com/wgmbfox44</t>
  </si>
  <si>
    <t>http://www.fox44.com/</t>
  </si>
  <si>
    <t>Lafayette Fox</t>
  </si>
  <si>
    <t>@fox15tv</t>
  </si>
  <si>
    <t>https://www.facebook.com/Fox15TV</t>
  </si>
  <si>
    <t>http://www.kadn.com/</t>
  </si>
  <si>
    <t>Lafayette ABC</t>
  </si>
  <si>
    <t>@KATCTV3</t>
  </si>
  <si>
    <t>https://www.facebook.com/katctv3?ref=ts</t>
  </si>
  <si>
    <t>http://www.katc.com/home/</t>
  </si>
  <si>
    <t>Lafayette CBS</t>
  </si>
  <si>
    <t>@KLFY</t>
  </si>
  <si>
    <t>https://www.facebook.com/KLFYTV10</t>
  </si>
  <si>
    <t>http://www.klfy.com/</t>
  </si>
  <si>
    <t>Lafayette Advertiser</t>
  </si>
  <si>
    <t>@theadvertiser</t>
  </si>
  <si>
    <t>https://www.facebook.com/pages/The-Daily-Advertiser-Subscription/401206043915</t>
  </si>
  <si>
    <t>http://www.theadvertiser.com/</t>
  </si>
  <si>
    <t>New Orleans Times-Picayune</t>
  </si>
  <si>
    <t>https://www.facebook.com/NOLAnews</t>
  </si>
  <si>
    <t>http://www.nola.com/t-p/</t>
  </si>
  <si>
    <t>Shreveport Times</t>
  </si>
  <si>
    <t>@shreveporttimes</t>
  </si>
  <si>
    <t>https://www.facebook.com/shreveporttimes</t>
  </si>
  <si>
    <t>http://www.shreveporttimes.com/</t>
  </si>
  <si>
    <t>Maine State Website</t>
  </si>
  <si>
    <t>@mainegov_news</t>
  </si>
  <si>
    <t>http://www.facebook.com/MaineGovernment</t>
  </si>
  <si>
    <t>http://www.maine.gov/portal/index.html</t>
  </si>
  <si>
    <t>Maine EMA</t>
  </si>
  <si>
    <t>@MaineEMA</t>
  </si>
  <si>
    <t>http://www.facebook.com/MaineEMA</t>
  </si>
  <si>
    <t>http://www.maine.gov/mema/</t>
  </si>
  <si>
    <t>Maine  DHS</t>
  </si>
  <si>
    <t>Maine Wildlife Rescue</t>
  </si>
  <si>
    <t>Androscoggin</t>
  </si>
  <si>
    <t>http://www.androscoggincountyme.com/</t>
  </si>
  <si>
    <t>Aroostook</t>
  </si>
  <si>
    <t>http://www.aroostook.me.us/</t>
  </si>
  <si>
    <t>@cumberlandctyme</t>
  </si>
  <si>
    <t>http://www.facebook.com/cumberlandcountyme</t>
  </si>
  <si>
    <t>http://www.cumberlandcounty.org/index.htm#.UNpNrvK5vc</t>
  </si>
  <si>
    <t>http://www.franklincountyso.net/</t>
  </si>
  <si>
    <t>http://co.hancock.me.us/</t>
  </si>
  <si>
    <t>Kennebec</t>
  </si>
  <si>
    <t>http://www.kennebeccounty.org/</t>
  </si>
  <si>
    <t>http://knoxcountymaine.gov/</t>
  </si>
  <si>
    <t>http://www.lincolncountymaine.me/</t>
  </si>
  <si>
    <t>Oxford</t>
  </si>
  <si>
    <t>http://www.oxfordcounty.org/</t>
  </si>
  <si>
    <t>Penobscot</t>
  </si>
  <si>
    <t>http://www.penobscot-county.net/</t>
  </si>
  <si>
    <t>Piscataquis</t>
  </si>
  <si>
    <t>http://www.piscataquis.us/</t>
  </si>
  <si>
    <t>Sagadahoc</t>
  </si>
  <si>
    <t>http://www.sagcounty.com/government.html</t>
  </si>
  <si>
    <t>Somerset</t>
  </si>
  <si>
    <t>http://www.somersetcounty-me.org/</t>
  </si>
  <si>
    <t>Waldo</t>
  </si>
  <si>
    <t>http://www.waldocountyme.gov/</t>
  </si>
  <si>
    <t>http://www.washingtoncountymaine.com/</t>
  </si>
  <si>
    <t>York</t>
  </si>
  <si>
    <t>http://www.yorkcountyme.gov/</t>
  </si>
  <si>
    <t>Bangor Hydro Electric</t>
  </si>
  <si>
    <t>@bangorhydro</t>
  </si>
  <si>
    <t>http://www.bhe.com/</t>
  </si>
  <si>
    <t>Central Maine Power</t>
  </si>
  <si>
    <t>http://www.cmpco.com/</t>
  </si>
  <si>
    <t>Augusta Water District</t>
  </si>
  <si>
    <t>@greataugutility</t>
  </si>
  <si>
    <t>http://www.augustawater.org/</t>
  </si>
  <si>
    <t>Bangor Water District</t>
  </si>
  <si>
    <t>http://www.facebook.com/pages/Bangor-Water-District/12775913984752</t>
  </si>
  <si>
    <t>http://www.bangorwater.org/</t>
  </si>
  <si>
    <t>Bath Water District</t>
  </si>
  <si>
    <t>http://www.bathwd.org/</t>
  </si>
  <si>
    <t>Boothbay Harbor System</t>
  </si>
  <si>
    <t>http://www.bbrwd.org/</t>
  </si>
  <si>
    <t>Consumers Maine Water Company</t>
  </si>
  <si>
    <t>@MaineWater</t>
  </si>
  <si>
    <t>http://www.facebook.com/pages/Maine-Water/12975693863486?sk=wall</t>
  </si>
  <si>
    <t>http://www.mainewater.com/</t>
  </si>
  <si>
    <t>Portland Water District</t>
  </si>
  <si>
    <t>@MyPortlandWater</t>
  </si>
  <si>
    <t>http://www.facebook.com/MyPortlandWater</t>
  </si>
  <si>
    <t>http://www.pwd.org/home.php</t>
  </si>
  <si>
    <t>Sanford Water District</t>
  </si>
  <si>
    <t>http://www.sanfordwater.org/</t>
  </si>
  <si>
    <t>Wells Sanitary District</t>
  </si>
  <si>
    <t>http://www.wellssanitarydistrict.com/</t>
  </si>
  <si>
    <t>Bangor International Airport</t>
  </si>
  <si>
    <t>@FlyBGR</t>
  </si>
  <si>
    <t>http://www.facebook.com/FlyBGR</t>
  </si>
  <si>
    <t>http://www.flybangor.com/</t>
  </si>
  <si>
    <t>Hancock County-Bar Harbor Airport</t>
  </si>
  <si>
    <t>http://www.bhbairport.com/</t>
  </si>
  <si>
    <t>Portland International Jetport</t>
  </si>
  <si>
    <t>@portlandjetport</t>
  </si>
  <si>
    <t>http://www.facebook.com/PortlandInternationalJetport?ref=ts</t>
  </si>
  <si>
    <t>http://www.portlandjetport.org/</t>
  </si>
  <si>
    <t>Northern Maine Regional Airport at Presque Isle</t>
  </si>
  <si>
    <t>http://www.flypresqueisle.com/</t>
  </si>
  <si>
    <t>Knox County Regional Airport</t>
  </si>
  <si>
    <t>http://www.knoxcountymaine.gov/index.asp?Type=B_BASIC&amp;SEC={CC54E7C-164D-47F-B75E-5569CACFD927}</t>
  </si>
  <si>
    <t>Portland Press-Herald</t>
  </si>
  <si>
    <t>@PressHerald</t>
  </si>
  <si>
    <t>https://www.facebook.com/pressherald?ref=ts</t>
  </si>
  <si>
    <t>http://www.pressherald.com/</t>
  </si>
  <si>
    <t>Lewiston Sun Journal</t>
  </si>
  <si>
    <t>https://www.facebook.com/sunjournal</t>
  </si>
  <si>
    <t>http://www.sunjournal.com/</t>
  </si>
  <si>
    <t>Lewiston Twin City Times</t>
  </si>
  <si>
    <t>https://www.facebook.com/twincitytimes</t>
  </si>
  <si>
    <t>http://www.twincitytimes.com/</t>
  </si>
  <si>
    <t>Bangor Daily News</t>
  </si>
  <si>
    <t>@bangordailynews</t>
  </si>
  <si>
    <t>https://www.facebook.com/bangordailynews</t>
  </si>
  <si>
    <t>http://bangordailynews.com/</t>
  </si>
  <si>
    <t>South Portland Sentry</t>
  </si>
  <si>
    <t>@InTheSentry</t>
  </si>
  <si>
    <t>https://www.facebook.com/pages/South-Portland-Cape-Elizabeth-Sentry/220103231407383</t>
  </si>
  <si>
    <t>http://sentry.mainelymediallc.com/</t>
  </si>
  <si>
    <t>Bangor CW</t>
  </si>
  <si>
    <t>@WABI_TV5</t>
  </si>
  <si>
    <t>https://www.facebook.com/WABITV5</t>
  </si>
  <si>
    <t>http://www.wabi.tv/</t>
  </si>
  <si>
    <t>Bangor NBC</t>
  </si>
  <si>
    <t>@WLBZ2</t>
  </si>
  <si>
    <t>https://www.facebook.com/WLBZ2</t>
  </si>
  <si>
    <t>http://www.wlbz2.com/</t>
  </si>
  <si>
    <t>Bangor FOX/ABC</t>
  </si>
  <si>
    <t>@FoxABCMaine</t>
  </si>
  <si>
    <t>https://www.facebook.com/foxabcmaine</t>
  </si>
  <si>
    <t>http://www.foxbangor.com/</t>
  </si>
  <si>
    <t>Portland CBS</t>
  </si>
  <si>
    <t>@WGME</t>
  </si>
  <si>
    <t>https://www.facebook.com/WGME13</t>
  </si>
  <si>
    <t>http://www.wgme.com/</t>
  </si>
  <si>
    <t>Portland ABC</t>
  </si>
  <si>
    <t>https://www.facebook.com/wmtwtv</t>
  </si>
  <si>
    <t>http://www.wmtw.com/</t>
  </si>
  <si>
    <t>Maryland State Website</t>
  </si>
  <si>
    <t>@StateMaryland</t>
  </si>
  <si>
    <t>Maryland MEMA</t>
  </si>
  <si>
    <t>@MDMEMA</t>
  </si>
  <si>
    <t>Maryland  DHS</t>
  </si>
  <si>
    <t>Maryland Wildlife Rescue</t>
  </si>
  <si>
    <t>Baltimore</t>
  </si>
  <si>
    <t>@MayorSRB</t>
  </si>
  <si>
    <t>https://www.facebook.com/stephanie.rawlingsblake</t>
  </si>
  <si>
    <t>http://www.baltimorecity.gov/</t>
  </si>
  <si>
    <t>Columbia</t>
  </si>
  <si>
    <t>@HoCoGov</t>
  </si>
  <si>
    <t>https://www.facebook.com/hocogov</t>
  </si>
  <si>
    <t>http://www.howardcountymd.gov/</t>
  </si>
  <si>
    <t>Howard</t>
  </si>
  <si>
    <t>Doesn't have an independent government. Only has county government</t>
  </si>
  <si>
    <t>Germantown</t>
  </si>
  <si>
    <t>@MontgomeryCoMD</t>
  </si>
  <si>
    <t>https://www.facebook.com/montgomerycountyinfo</t>
  </si>
  <si>
    <t>http://www.montgomerycountymd.gov/index.aspx</t>
  </si>
  <si>
    <t>Silver Spring</t>
  </si>
  <si>
    <t>Waldorf</t>
  </si>
  <si>
    <t>@CharlesCoMD</t>
  </si>
  <si>
    <t>https://www.facebook.com/CharlesCounty</t>
  </si>
  <si>
    <t>http://www.charlescountymd.gov/</t>
  </si>
  <si>
    <t>Charles</t>
  </si>
  <si>
    <t>Wikipedia Entry</t>
  </si>
  <si>
    <t>http://en.wikipedia.org/wiki/Template:Largest_cities_of_Maryland</t>
  </si>
  <si>
    <t>Allegany</t>
  </si>
  <si>
    <t>Anne Arundel</t>
  </si>
  <si>
    <t>@AACO_OEM</t>
  </si>
  <si>
    <t>http://www.facebook.com/pages/Anne-Arundel-County-OEM/95865467945</t>
  </si>
  <si>
    <t>http://www.aacounty.org/oem/index.cfm</t>
  </si>
  <si>
    <t>@BACOemergency</t>
  </si>
  <si>
    <t>Baltimore City</t>
  </si>
  <si>
    <t>@BaltimoreOEM</t>
  </si>
  <si>
    <t>http://emergency.baltimorecity.gov/</t>
  </si>
  <si>
    <t>Calvert</t>
  </si>
  <si>
    <t>http://www.co.cal.md.us/residents/safety/emergency/</t>
  </si>
  <si>
    <t>Caroline</t>
  </si>
  <si>
    <t>@CarolineMDgov</t>
  </si>
  <si>
    <t>https://www.facebook.com/pages/Caroline-County-MD/2888843713</t>
  </si>
  <si>
    <t>http://www.carolinedes.org/</t>
  </si>
  <si>
    <t>Carroll</t>
  </si>
  <si>
    <t>http://ccgovernment.carr.org/ccg/pubsafe/default.asp</t>
  </si>
  <si>
    <t>Cecil</t>
  </si>
  <si>
    <t>@CecilCountyDES</t>
  </si>
  <si>
    <t>http://www.facebook.com/CecilCountyDES</t>
  </si>
  <si>
    <t>http://www.ccdes.org/</t>
  </si>
  <si>
    <t>http://www.facebook.com/CharlesCounty</t>
  </si>
  <si>
    <t>http://www.charlescountymd.gov/es/welcome</t>
  </si>
  <si>
    <t>Dorchester</t>
  </si>
  <si>
    <t>http://www.dorchestercntymd-ema.com/</t>
  </si>
  <si>
    <t>Frederick</t>
  </si>
  <si>
    <t>@FrederickCoMD</t>
  </si>
  <si>
    <t>https://www.facebook.com/pages/Frederick-County-MD/864189163?v=wall</t>
  </si>
  <si>
    <t>http://frederickcountymd.gov/index.aspx?NID=21</t>
  </si>
  <si>
    <t>Garrett</t>
  </si>
  <si>
    <t>http://www.co.garrett.md.us/EmergencyManagement/Main.aspx</t>
  </si>
  <si>
    <t>Harford</t>
  </si>
  <si>
    <t>@HarfordCountyMD</t>
  </si>
  <si>
    <t>http://www.facebook.com/HarfordCountyMD</t>
  </si>
  <si>
    <t>http://www.harfordpublicsafety.org/</t>
  </si>
  <si>
    <t>http://www.kentcounty.com/oes/</t>
  </si>
  <si>
    <t>@mcfrs</t>
  </si>
  <si>
    <t>https://www.facebook.com/pages/Montgomery-County-MD-Fire-Rescue/19392814260</t>
  </si>
  <si>
    <t>Prince George's</t>
  </si>
  <si>
    <t>@PGCountyOEM</t>
  </si>
  <si>
    <t>http://www.facebook.com/pages/Prince-Georges-County-Office-of-Homeland-Security/27619512911163</t>
  </si>
  <si>
    <t>http://www.co.pg.md.us/Government/AgencyIndex/OHS/OEM/index.asp?nivel=foldmenu%283%29</t>
  </si>
  <si>
    <t>Queen Anne's</t>
  </si>
  <si>
    <t>http://www.facebook.com/qacdes</t>
  </si>
  <si>
    <t>http://www.qac.org/default.aspx?pageid=67&amp;template=3&amp;toplevel=34</t>
  </si>
  <si>
    <t>Saint Mary's</t>
  </si>
  <si>
    <t>http://www.facebook.com/pages/St-Marys-County-Government/27693143917134</t>
  </si>
  <si>
    <t>http://www.stmarysmd.com/publicsafety/index.asp</t>
  </si>
  <si>
    <t>Somerset</t>
  </si>
  <si>
    <t>http://www.somerset911.org/</t>
  </si>
  <si>
    <t>Talbot</t>
  </si>
  <si>
    <t>http://www.talbotcountymd.gov/index.php?page=Public_Safety</t>
  </si>
  <si>
    <t>http://www.facebook.com/WashingtonCountyMD</t>
  </si>
  <si>
    <t>http://www.washco-md.net/EmergencyServices/index.shtm</t>
  </si>
  <si>
    <t>Wicomico</t>
  </si>
  <si>
    <t>@Rick_Pollitt</t>
  </si>
  <si>
    <t>http://www.facebook.com/pages/Wicomico-County-Executive-Rick-Pollitt/123921119472</t>
  </si>
  <si>
    <t>http://www.wicomicocounty.org/es/</t>
  </si>
  <si>
    <t>Worcester</t>
  </si>
  <si>
    <t>@WorcesterCounty</t>
  </si>
  <si>
    <t>http://www.co.worcester.md.us/EmergencyServices/emerservindex.aspx</t>
  </si>
  <si>
    <t>PEPCO</t>
  </si>
  <si>
    <t>WSSC</t>
  </si>
  <si>
    <t>@WSSCWaterNews</t>
  </si>
  <si>
    <t>http://www.facebook.com/WSSCWater</t>
  </si>
  <si>
    <t>http://www.wsscwater.com/home/jsp/home.faces</t>
  </si>
  <si>
    <t>http://www.chpk.com/</t>
  </si>
  <si>
    <t>Easton Utilities</t>
  </si>
  <si>
    <t>http://www.eastonutilities.com/</t>
  </si>
  <si>
    <t>Baltimore Gas &amp; Electric</t>
  </si>
  <si>
    <t>@MyBGE</t>
  </si>
  <si>
    <t>http://www.facebook.com/myBGE</t>
  </si>
  <si>
    <t>http://www.bge.com/Pages/default.aspx</t>
  </si>
  <si>
    <t>Columbia Gas of Pennsylvania</t>
  </si>
  <si>
    <t>http://www.columbiagaspa.com/en/home.aspx</t>
  </si>
  <si>
    <t>Potomac Edison</t>
  </si>
  <si>
    <t>@PotomacEdison</t>
  </si>
  <si>
    <t>http://www.facebook.com/FirstEnergyCareers</t>
  </si>
  <si>
    <t>https://www.firstenergycorp.com/content/customer/potomac_edison.html</t>
  </si>
  <si>
    <t>Baltimore-Washington International</t>
  </si>
  <si>
    <t>http://www.facebook.com/pages/BWI-Thurgood-Marshall-Airport-BWI/1128343252797</t>
  </si>
  <si>
    <t>Washington Metro Area Transity Authority (Subway)</t>
  </si>
  <si>
    <t>MARC</t>
  </si>
  <si>
    <t>Port Annapolis</t>
  </si>
  <si>
    <t>https://www.facebook.com/portannapolis?ref=ts</t>
  </si>
  <si>
    <t>http://portannapolis.com/aaa/index.html</t>
  </si>
  <si>
    <t>Annapolis</t>
  </si>
  <si>
    <t>Port of Baltimore</t>
  </si>
  <si>
    <t>@portofbalt</t>
  </si>
  <si>
    <t>http://www.mpa.maryland.gov/</t>
  </si>
  <si>
    <t>Port of Cambridge</t>
  </si>
  <si>
    <t>https://www.facebook.com/CityofCambridgeMD</t>
  </si>
  <si>
    <t>http://www.ci.cambridge.md.us/</t>
  </si>
  <si>
    <t>Cambridge</t>
  </si>
  <si>
    <t>Somers Cove Marina</t>
  </si>
  <si>
    <t>@AccessDNR</t>
  </si>
  <si>
    <t>https://www.facebook.com/AccessDNR</t>
  </si>
  <si>
    <t>http://dnr.maryland.gov/index.asp</t>
  </si>
  <si>
    <t>Crisfield</t>
  </si>
  <si>
    <t>City Yacht Basin</t>
  </si>
  <si>
    <t>Havre de Grace</t>
  </si>
  <si>
    <t>Solomons Island Harbor</t>
  </si>
  <si>
    <t>Solomons Island</t>
  </si>
  <si>
    <t>Naval Air Station Patuxent River</t>
  </si>
  <si>
    <t>https://www.facebook.com/NASPaxRiver</t>
  </si>
  <si>
    <t>http://www.cnic.navy.mil/regions/ndw/installations/nas_patuxent_river.html</t>
  </si>
  <si>
    <t>Patuxent River</t>
  </si>
  <si>
    <t>Baltimore Sun</t>
  </si>
  <si>
    <t>@baltimoresun</t>
  </si>
  <si>
    <t>http://www.facebook.com/baltimoresun</t>
  </si>
  <si>
    <t>http://www.baltimoresun.com/</t>
  </si>
  <si>
    <t>Capital</t>
  </si>
  <si>
    <t>@capgaznews</t>
  </si>
  <si>
    <t>http://www.facebook.com/hometownannapolis</t>
  </si>
  <si>
    <t>http://www.capitalgazette.com/</t>
  </si>
  <si>
    <t>WNAV 143AM</t>
  </si>
  <si>
    <t>http://www.wnav.com/</t>
  </si>
  <si>
    <t>WBAL 19AM</t>
  </si>
  <si>
    <t>@wbalradio</t>
  </si>
  <si>
    <t>http://www.facebook.com/wbalradio</t>
  </si>
  <si>
    <t>http://www.wbal.com/</t>
  </si>
  <si>
    <t>Wikipedia List of colleges</t>
  </si>
  <si>
    <t>http://en.wikipedia.org/wiki/List_of_colleges_and_universities_in_Maryland</t>
  </si>
  <si>
    <t>Bowie State University</t>
  </si>
  <si>
    <t>@BowieState</t>
  </si>
  <si>
    <t>https://www.facebook.com/bowiestate</t>
  </si>
  <si>
    <t>http://www.bowiestate.edu/</t>
  </si>
  <si>
    <t>Bowie</t>
  </si>
  <si>
    <t>Coppin State University</t>
  </si>
  <si>
    <t>@CoppinStateUniv</t>
  </si>
  <si>
    <t>https://www.facebook.com/coppinstateuniversity</t>
  </si>
  <si>
    <t>http://www.coppin.edu/</t>
  </si>
  <si>
    <t>Frostburg State University</t>
  </si>
  <si>
    <t>@frostburgstate</t>
  </si>
  <si>
    <t>https://www.facebook.com/FrostburgStateUniversity</t>
  </si>
  <si>
    <t>http://www.frostburg.edu/</t>
  </si>
  <si>
    <t>Frostburg</t>
  </si>
  <si>
    <t>Morgan State University</t>
  </si>
  <si>
    <t>@MorganStateU</t>
  </si>
  <si>
    <t>https://www.facebook.com/morganstateu</t>
  </si>
  <si>
    <t>http://www.morgan.edu/</t>
  </si>
  <si>
    <t>Salisbury University</t>
  </si>
  <si>
    <t>@SalisburyU</t>
  </si>
  <si>
    <t>https://www.facebook.com/pages/Salisbury-University/122620361558</t>
  </si>
  <si>
    <t>http://www.salisbury.edu/</t>
  </si>
  <si>
    <t>Salisbury</t>
  </si>
  <si>
    <t>St. Mary's College of Maryland</t>
  </si>
  <si>
    <t>@StMarysMD</t>
  </si>
  <si>
    <t>https://www.facebook.com/stmarysMD</t>
  </si>
  <si>
    <t>http://www.smcm.edu/</t>
  </si>
  <si>
    <t>St. Mary's City</t>
  </si>
  <si>
    <t>Towson University</t>
  </si>
  <si>
    <t>@TowsonU</t>
  </si>
  <si>
    <t>https://www.facebook.com/towsonuniversity</t>
  </si>
  <si>
    <t>http://www.towson.edu/</t>
  </si>
  <si>
    <t>Towson</t>
  </si>
  <si>
    <t>United States Naval Academy</t>
  </si>
  <si>
    <t>@NavalAcademy</t>
  </si>
  <si>
    <t>https://www.facebook.com/USNavalAcademy</t>
  </si>
  <si>
    <t>http://www.usna.edu/homepage.php</t>
  </si>
  <si>
    <t>University of Baltimore</t>
  </si>
  <si>
    <t>@EubieBee</t>
  </si>
  <si>
    <t>https://www.facebook.com/universitybaltimore</t>
  </si>
  <si>
    <t>http://www.ubalt.edu/index.cfm</t>
  </si>
  <si>
    <t>University of Maryland, Baltimore</t>
  </si>
  <si>
    <t>@UMBnews</t>
  </si>
  <si>
    <t>https://www.facebook.com/pages/University-of-Maryland-Baltimore/53789299214</t>
  </si>
  <si>
    <t>http://www.umaryland.edu/</t>
  </si>
  <si>
    <t>University of Maryland, Baltimore County</t>
  </si>
  <si>
    <t>@UMBC</t>
  </si>
  <si>
    <t>https://www.facebook.com/umbcpage</t>
  </si>
  <si>
    <t>http://www.umbc.edu/</t>
  </si>
  <si>
    <t>Catonsville/Arbutus</t>
  </si>
  <si>
    <t>University of Maryland, College Park</t>
  </si>
  <si>
    <t>@UofMaryland</t>
  </si>
  <si>
    <t>https://www.facebook.com/UnivofMaryland</t>
  </si>
  <si>
    <t>http://www.umd.edu/</t>
  </si>
  <si>
    <t>College Park</t>
  </si>
  <si>
    <t>University of Maryland, Eastern Shore</t>
  </si>
  <si>
    <t>@UMESNews</t>
  </si>
  <si>
    <t>https://www.facebook.com/umesnews</t>
  </si>
  <si>
    <t>http://www.umes.edu/</t>
  </si>
  <si>
    <t>Princess Anne</t>
  </si>
  <si>
    <t>Allegany College of Maryland</t>
  </si>
  <si>
    <t>@alleganycollgmd</t>
  </si>
  <si>
    <t>https://www.facebook.com/alleganycollegeofmaryland</t>
  </si>
  <si>
    <t>http://www.allegany.edu/</t>
  </si>
  <si>
    <t>Anne Arundel Community College</t>
  </si>
  <si>
    <t>@AnneArundelCC</t>
  </si>
  <si>
    <t>https://www.facebook.com/AnneArundelCommunityCollege</t>
  </si>
  <si>
    <t>http://www.aacc.edu/</t>
  </si>
  <si>
    <t>Arnold</t>
  </si>
  <si>
    <t>Baltimore City Community College</t>
  </si>
  <si>
    <t>@bmoreccc</t>
  </si>
  <si>
    <t>https://www.facebook.com/bmoreccc</t>
  </si>
  <si>
    <t>http://www.bccc.edu/site/default.aspx?PageID=1</t>
  </si>
  <si>
    <t>Carroll Community College</t>
  </si>
  <si>
    <t>@CarrollCC</t>
  </si>
  <si>
    <t>https://www.facebook.com/carrollccedu</t>
  </si>
  <si>
    <t>http://www.carrollcc.edu/</t>
  </si>
  <si>
    <t>Westminster</t>
  </si>
  <si>
    <t>Cecil College</t>
  </si>
  <si>
    <t>@CecilAdmissions</t>
  </si>
  <si>
    <t>https://www.facebook.com/CecilCollege</t>
  </si>
  <si>
    <t>http://www.cecil.edu/Pages/default.aspx</t>
  </si>
  <si>
    <t>North East</t>
  </si>
  <si>
    <t>Chesapeake College</t>
  </si>
  <si>
    <t>@ChesCollAlerts</t>
  </si>
  <si>
    <t>https://www.facebook.com/ChesapeakeCollege</t>
  </si>
  <si>
    <t>http://www.chesapeake.edu/</t>
  </si>
  <si>
    <t>Wye Mills</t>
  </si>
  <si>
    <t>College of Southern Maryland</t>
  </si>
  <si>
    <t>@CSMHeadlines</t>
  </si>
  <si>
    <t>https://www.facebook.com/CollegeofSouthernMaryland</t>
  </si>
  <si>
    <t>http://www.csmd.edu/</t>
  </si>
  <si>
    <t>Multiple in Southern Maryland</t>
  </si>
  <si>
    <t>Community College of Baltimore County</t>
  </si>
  <si>
    <t>@CCBCMD</t>
  </si>
  <si>
    <t>https://www.facebook.com/ccbcmd</t>
  </si>
  <si>
    <t>http://www.ccbcmd.edu/</t>
  </si>
  <si>
    <t>Multiple in Baltimore County</t>
  </si>
  <si>
    <t>Frederick Community College</t>
  </si>
  <si>
    <t>@FrederickCC</t>
  </si>
  <si>
    <t>https://www.facebook.com/frederickcommunitycollege</t>
  </si>
  <si>
    <t>http://www.frederick.edu/</t>
  </si>
  <si>
    <t>Garrett College</t>
  </si>
  <si>
    <t>@GarrettCollege</t>
  </si>
  <si>
    <t>https://www.facebook.com/GarrettMaryland</t>
  </si>
  <si>
    <t>http://www.garrettcollege.edu/</t>
  </si>
  <si>
    <t>McHenry</t>
  </si>
  <si>
    <t>Hagerstown Community College</t>
  </si>
  <si>
    <t>@hagerstowncc</t>
  </si>
  <si>
    <t>https://www.facebook.com/hagerstowncc</t>
  </si>
  <si>
    <t>http://www.hagerstowncc.edu/</t>
  </si>
  <si>
    <t>Hagerstown</t>
  </si>
  <si>
    <t>Harford Community College</t>
  </si>
  <si>
    <t>@HarfordCC</t>
  </si>
  <si>
    <t>https://www.facebook.com/HarfordCC</t>
  </si>
  <si>
    <t>http://www.harford.edu/</t>
  </si>
  <si>
    <t>Bel Air</t>
  </si>
  <si>
    <t>Howard Community College</t>
  </si>
  <si>
    <t>@HowardCC</t>
  </si>
  <si>
    <t>https://www.facebook.com/howardcc</t>
  </si>
  <si>
    <t>http://www.howardcc.edu/</t>
  </si>
  <si>
    <t>Montgomery College</t>
  </si>
  <si>
    <t>@montgomerycoll</t>
  </si>
  <si>
    <t>https://www.facebook.com/montgomerycollege</t>
  </si>
  <si>
    <t>http://cms.montgomerycollege.edu/edu/</t>
  </si>
  <si>
    <t>Multiple in Montgomery County</t>
  </si>
  <si>
    <t>Prince George's Community College</t>
  </si>
  <si>
    <t>@pgccnews</t>
  </si>
  <si>
    <t>https://www.facebook.com/pgccnews</t>
  </si>
  <si>
    <t>http://www.pgcc.edu/</t>
  </si>
  <si>
    <t>Largo</t>
  </si>
  <si>
    <t>Wor-Wic Community College</t>
  </si>
  <si>
    <t>https://www.facebook.com/worwic</t>
  </si>
  <si>
    <t>http://www.worwic.edu/</t>
  </si>
  <si>
    <t>Capitol College</t>
  </si>
  <si>
    <t>@capitolcollege</t>
  </si>
  <si>
    <t>https://www.facebook.com/capitolcollege</t>
  </si>
  <si>
    <t>http://www.capitol-college.edu/</t>
  </si>
  <si>
    <t>Goucher College</t>
  </si>
  <si>
    <t>@gouchercollege</t>
  </si>
  <si>
    <t>https://www.facebook.com/gouchercollege</t>
  </si>
  <si>
    <t>http://www.goucher.edu/</t>
  </si>
  <si>
    <t>Hood College</t>
  </si>
  <si>
    <t>@hood_college</t>
  </si>
  <si>
    <t>https://www.facebook.com/hoodcollege</t>
  </si>
  <si>
    <t>http://www.hood.edu/</t>
  </si>
  <si>
    <t>Johns Hopkins University</t>
  </si>
  <si>
    <t>@JohnsHopkins</t>
  </si>
  <si>
    <t>https://www.facebook.com/johnshopkinsuniversity</t>
  </si>
  <si>
    <t>http://www.jhu.edu/</t>
  </si>
  <si>
    <t>Loyola University Maryland</t>
  </si>
  <si>
    <t>@LoyolaMaryland</t>
  </si>
  <si>
    <t>https://www.facebook.com/LoyolaMaryland</t>
  </si>
  <si>
    <t>http://www.loyola.edu/</t>
  </si>
  <si>
    <t>Maryland Institute College of Art</t>
  </si>
  <si>
    <t>@mica_news</t>
  </si>
  <si>
    <t>https://www.facebook.com/mica.edu</t>
  </si>
  <si>
    <t>http://www.mica.edu/</t>
  </si>
  <si>
    <t>Maryland University of Integrative Health</t>
  </si>
  <si>
    <t>@MUIHealth</t>
  </si>
  <si>
    <t>https://www.facebook.com/MUIHealth</t>
  </si>
  <si>
    <t>http://www.muih.edu/</t>
  </si>
  <si>
    <t>McDaniel College</t>
  </si>
  <si>
    <t>@McDanielCollege</t>
  </si>
  <si>
    <t>https://www.facebook.com/McDanielCollege</t>
  </si>
  <si>
    <t>http://www.mcdaniel.edu/</t>
  </si>
  <si>
    <t>Mount St. Mary's University</t>
  </si>
  <si>
    <t>@MountStMarysU</t>
  </si>
  <si>
    <t>https://www.facebook.com/MSMUniversity</t>
  </si>
  <si>
    <t>http://www.msmary.edu/</t>
  </si>
  <si>
    <t>Emmitsburg</t>
  </si>
  <si>
    <t>National Labor College</t>
  </si>
  <si>
    <t>@NLCMeanyCenter</t>
  </si>
  <si>
    <t>https://www.facebook.com/NationalLaborCollege</t>
  </si>
  <si>
    <t>http://www.nlc.edu/</t>
  </si>
  <si>
    <t>Notre Dame of Maryland University</t>
  </si>
  <si>
    <t>@NotreDameofMD</t>
  </si>
  <si>
    <t>https://www.facebook.com/NotreDameOfMaryland</t>
  </si>
  <si>
    <t>http://www.ndm.edu/</t>
  </si>
  <si>
    <t>St. John's College</t>
  </si>
  <si>
    <t>@stjohnscollege</t>
  </si>
  <si>
    <t>https://www.facebook.com/stjohnscollege</t>
  </si>
  <si>
    <t>http://www.sjca.edu/</t>
  </si>
  <si>
    <t>Stevenson University</t>
  </si>
  <si>
    <t>@StevensonU</t>
  </si>
  <si>
    <t>https://www.facebook.com/stevensonuniversity</t>
  </si>
  <si>
    <t>http://www.stevenson.edu/</t>
  </si>
  <si>
    <t>Stevenson</t>
  </si>
  <si>
    <t>Sojourner-Douglass College</t>
  </si>
  <si>
    <t>http://www.sdc.edu/</t>
  </si>
  <si>
    <t>Washington Adventist University</t>
  </si>
  <si>
    <t>@WAUnews</t>
  </si>
  <si>
    <t>https://www.facebook.com/WashingtonAdventistUniversity?ref=ts</t>
  </si>
  <si>
    <t>http://www.wau.edu/</t>
  </si>
  <si>
    <t>Takoma Park</t>
  </si>
  <si>
    <t>Washington College</t>
  </si>
  <si>
    <t>@washcoll</t>
  </si>
  <si>
    <t>https://www.facebook.com/washingtoncollege</t>
  </si>
  <si>
    <t>http://www.washcoll.edu/</t>
  </si>
  <si>
    <t>Chestertown</t>
  </si>
  <si>
    <t>Capital Bible Seminary</t>
  </si>
  <si>
    <t>http://www.bible.edu/CBSAcademics/Home</t>
  </si>
  <si>
    <t>Lanham</t>
  </si>
  <si>
    <t>Ner Israel Rabbinical College</t>
  </si>
  <si>
    <t>St. Mary's Seminary and University</t>
  </si>
  <si>
    <t>http://www.stmarys.edu/</t>
  </si>
  <si>
    <t>Massachusetts State Website</t>
  </si>
  <si>
    <t>@MassGovernor</t>
  </si>
  <si>
    <t>http://www.mass.gov/portal/</t>
  </si>
  <si>
    <t>Massachusetts EMA</t>
  </si>
  <si>
    <t>@MassEMA</t>
  </si>
  <si>
    <t>https://www.facebook.com/MassachusettsEMA</t>
  </si>
  <si>
    <t>http://www.mass.gov/eopss/agencies/mema/</t>
  </si>
  <si>
    <t>Massachusetts  DHS</t>
  </si>
  <si>
    <t>Massachusetts Wildlife Rescue</t>
  </si>
  <si>
    <t>Barnstable</t>
  </si>
  <si>
    <t>http://www.barnstablecounty.org/</t>
  </si>
  <si>
    <t>Berkshire</t>
  </si>
  <si>
    <t>@BerkshiresToday</t>
  </si>
  <si>
    <t>http://www.facebook.com/pages/Visit-the-Berkshires-of-Western-Massachusetts/272253986292</t>
  </si>
  <si>
    <t>http://berkshires.org/</t>
  </si>
  <si>
    <t>Bristol</t>
  </si>
  <si>
    <t>http://www.countyofbristol.net/</t>
  </si>
  <si>
    <t>Dukes</t>
  </si>
  <si>
    <t>http://www.dukescounty.org/pages/index</t>
  </si>
  <si>
    <t>Essex</t>
  </si>
  <si>
    <t>http://www.essexma.org/pages/index</t>
  </si>
  <si>
    <t>http://www.frcog.org/</t>
  </si>
  <si>
    <t>Hampden</t>
  </si>
  <si>
    <t>http://www.facebook.com/hampdenpolice</t>
  </si>
  <si>
    <t>http://www.hampdenpolice.com/</t>
  </si>
  <si>
    <t>Hampshire</t>
  </si>
  <si>
    <t>@HampshireCOG</t>
  </si>
  <si>
    <t>http://www.facebook.com/pages/Hampshire-Council-of-Governments/32596985775416</t>
  </si>
  <si>
    <t>http://www.hampshirecog.org/</t>
  </si>
  <si>
    <t>Middlesex</t>
  </si>
  <si>
    <t>@NMCOG</t>
  </si>
  <si>
    <t>http://www.nmcog.org/</t>
  </si>
  <si>
    <t>Nantucket</t>
  </si>
  <si>
    <t>http://www.nantucket-ma.gov/pages/index</t>
  </si>
  <si>
    <t>Norfolk</t>
  </si>
  <si>
    <t>http://www.norfolkcounty.org/</t>
  </si>
  <si>
    <t>http://www.plymouthcountymass.us/</t>
  </si>
  <si>
    <t>Suffolk</t>
  </si>
  <si>
    <t>http://www.scsdma.org/</t>
  </si>
  <si>
    <t>Worcester</t>
  </si>
  <si>
    <t>@WorcesterEM</t>
  </si>
  <si>
    <t>http://www.facebook.com/pages/Worcester-Emergency-Management/96626268415</t>
  </si>
  <si>
    <t>http://www.worcesterma.gov/</t>
  </si>
  <si>
    <t>Massachusetts Municipal Wholesale Electric Company (MMWEC)</t>
  </si>
  <si>
    <t>http://www.mmwec.org/</t>
  </si>
  <si>
    <t>NSTAR</t>
  </si>
  <si>
    <t>@NSTAR_News</t>
  </si>
  <si>
    <t>http://www.facebook.com/pages/NSTAR-Electric-Gas/14124279315?v=wall</t>
  </si>
  <si>
    <t>http://www.nstar.com/residential/</t>
  </si>
  <si>
    <t>Northeast Utilities</t>
  </si>
  <si>
    <t>National Grid</t>
  </si>
  <si>
    <t>@nationalgridus</t>
  </si>
  <si>
    <t>https://www.facebook.com/nationalgrid</t>
  </si>
  <si>
    <t>https://www1.nationalgridus.com/CorporateHub</t>
  </si>
  <si>
    <t>Peabody Municipal Light Plant</t>
  </si>
  <si>
    <t>http://www.pmlp.com/</t>
  </si>
  <si>
    <t>Boston Water and Sewer Commission</t>
  </si>
  <si>
    <t>http://www.bwsc.org/ABOUT_BWSC/about_bwsc.asp</t>
  </si>
  <si>
    <t>Lynn Water and Sewer Commission</t>
  </si>
  <si>
    <t>http://www.lynnwatersewer.org/</t>
  </si>
  <si>
    <t>Massachusetts Water Resources Authority</t>
  </si>
  <si>
    <t>@MWRA_update</t>
  </si>
  <si>
    <t>http://www.mwra.state.ma.us/</t>
  </si>
  <si>
    <t>KWI North America</t>
  </si>
  <si>
    <t>http://www.kwi-intl.com/local-offices/kwi-north-america</t>
  </si>
  <si>
    <t>Gen. Edward Lawrence Logan International Airport</t>
  </si>
  <si>
    <t>http://www.massport.com/logan-airport/Pages/Default.aspx</t>
  </si>
  <si>
    <t>Barnstable Municipal Airport (Boardman/Polando Field)</t>
  </si>
  <si>
    <t>http://www.facebook.com/barnstableairport?ref=ts</t>
  </si>
  <si>
    <t>http://www.town.barnstable.ma.us/airport/</t>
  </si>
  <si>
    <t>Nantucket Memorial Airport</t>
  </si>
  <si>
    <t>http://www.nantucketairport.com/</t>
  </si>
  <si>
    <t>New Bedford Regional Airport</t>
  </si>
  <si>
    <t>http://www.newbedford-ma.gov/airport/nbair.html</t>
  </si>
  <si>
    <t>Provincetown Municipal Airport</t>
  </si>
  <si>
    <t>http://www.provincetown-ma.gov/index.aspx?NID=17</t>
  </si>
  <si>
    <t>Martha's Vineyard Airport</t>
  </si>
  <si>
    <t>@MVYAIRPORT</t>
  </si>
  <si>
    <t>http://www.facebook.com/mvyairport</t>
  </si>
  <si>
    <t>http://www.mvyairport.com/</t>
  </si>
  <si>
    <t>Worcester Regional Airport</t>
  </si>
  <si>
    <t>http://www.massport.com/hanscom-worcester-airports/Worcester%2Regional%2Airport/Overview.aspx</t>
  </si>
  <si>
    <t>WBZ 13 Boston</t>
  </si>
  <si>
    <t>@cbsboston</t>
  </si>
  <si>
    <t>http://www.facebook.com/CBSBoston</t>
  </si>
  <si>
    <t>http://boston.cbslocal.com/station/wbz-tv/</t>
  </si>
  <si>
    <t>CBS Boston</t>
  </si>
  <si>
    <t>WBUR 9.9</t>
  </si>
  <si>
    <t>http://www.wbur.org/</t>
  </si>
  <si>
    <t>WTAG 94.9</t>
  </si>
  <si>
    <t>@WTAG_Radio</t>
  </si>
  <si>
    <t>http://www.facebook.com/wtagam</t>
  </si>
  <si>
    <t>http://www.wtag.com/main.html</t>
  </si>
  <si>
    <t>Worcester Telegram</t>
  </si>
  <si>
    <t>@telegramdotcom</t>
  </si>
  <si>
    <t>http://www.facebook.com/TheTelegram</t>
  </si>
  <si>
    <t>http://www.telegram.com/</t>
  </si>
  <si>
    <t>Boston Herald</t>
  </si>
  <si>
    <t>@bostonherald</t>
  </si>
  <si>
    <t>http://www.facebook.com/pages/Boston-Herald/197211981599</t>
  </si>
  <si>
    <t>http://www.bostonherald.com/</t>
  </si>
  <si>
    <t>Boston Globe</t>
  </si>
  <si>
    <t>@BostonDotCom</t>
  </si>
  <si>
    <t>http://www.facebook.com/globe</t>
  </si>
  <si>
    <t>http://www.boston.com/</t>
  </si>
  <si>
    <t>Cape Cod Times</t>
  </si>
  <si>
    <t>@capecodtimes</t>
  </si>
  <si>
    <t>https://www.facebook.com/capecodtimes</t>
  </si>
  <si>
    <t>http://www.capecodonline.com/apps/pbcs.dll/section?category=NEWS</t>
  </si>
  <si>
    <t>Springfield Republican</t>
  </si>
  <si>
    <t>@masslivenews</t>
  </si>
  <si>
    <t>http://www.facebook.com/masslive</t>
  </si>
  <si>
    <t>http://www.masslive.com/republican/</t>
  </si>
  <si>
    <t>Gazette</t>
  </si>
  <si>
    <t>@gazettenet</t>
  </si>
  <si>
    <t>http://www.facebook.com/DailyHampshireGazette</t>
  </si>
  <si>
    <t>http://www.gazettenet.com/</t>
  </si>
  <si>
    <t>Metro West Daily</t>
  </si>
  <si>
    <t>@metrowestdaily</t>
  </si>
  <si>
    <t>http://www.facebook.com/pages/MetroWest-Daily-News/119316897276</t>
  </si>
  <si>
    <t>http://www.metrowestdailynews.com/</t>
  </si>
  <si>
    <t>WWPL 22 (Springfield)</t>
  </si>
  <si>
    <t>@WWLP22News</t>
  </si>
  <si>
    <t>http://www.facebook.com/WWLP22News</t>
  </si>
  <si>
    <t>http://www.wwlp.com/</t>
  </si>
  <si>
    <t>ABC 4/Fox 6 (Springfield)</t>
  </si>
  <si>
    <t>@WGGBSpringfield</t>
  </si>
  <si>
    <t>http://www.facebook.com/pages/WGGBSpringfield/35268923391</t>
  </si>
  <si>
    <t>http://www.wggb.com/</t>
  </si>
  <si>
    <t>NECN (Boston)</t>
  </si>
  <si>
    <t>http://www.necn.com/</t>
  </si>
  <si>
    <t>ABC 5 (Boston)</t>
  </si>
  <si>
    <t>http://www.facebook.com/wcvb5</t>
  </si>
  <si>
    <t>http://www.wcvb.com/</t>
  </si>
  <si>
    <t>Fox 25 (Boston)</t>
  </si>
  <si>
    <t>@fox25news</t>
  </si>
  <si>
    <t>http://www.facebook.com/fox25news</t>
  </si>
  <si>
    <t>http://www.myfoxboston.com/</t>
  </si>
  <si>
    <t>NBC 7 (Boston)</t>
  </si>
  <si>
    <t>@7News</t>
  </si>
  <si>
    <t>http://www.facebook.com/7NEWS</t>
  </si>
  <si>
    <t>http://www1.whdh.com/</t>
  </si>
  <si>
    <t>Michigan State Website</t>
  </si>
  <si>
    <t>@migov</t>
  </si>
  <si>
    <t>http://www.michigan.gov/</t>
  </si>
  <si>
    <t>Michigan  DHS</t>
  </si>
  <si>
    <t>@MichEMHS</t>
  </si>
  <si>
    <t>Michigan Wildlife Rescue</t>
  </si>
  <si>
    <t>Alcona</t>
  </si>
  <si>
    <t>Alger</t>
  </si>
  <si>
    <t>Allegan</t>
  </si>
  <si>
    <t>Alpena</t>
  </si>
  <si>
    <t>Antrim</t>
  </si>
  <si>
    <t>Arenac</t>
  </si>
  <si>
    <t>Baraga</t>
  </si>
  <si>
    <t>Barry</t>
  </si>
  <si>
    <t>Bay</t>
  </si>
  <si>
    <t>Benzie</t>
  </si>
  <si>
    <t>Berrien</t>
  </si>
  <si>
    <t>Branch</t>
  </si>
  <si>
    <t>Charlevoix</t>
  </si>
  <si>
    <t>Cheboygan</t>
  </si>
  <si>
    <t>Chippewa</t>
  </si>
  <si>
    <t>Clare</t>
  </si>
  <si>
    <t>Delta</t>
  </si>
  <si>
    <t>Eaton</t>
  </si>
  <si>
    <t>Genesee</t>
  </si>
  <si>
    <t>Gladwin</t>
  </si>
  <si>
    <t>Gogebic</t>
  </si>
  <si>
    <t>Grand Traverse</t>
  </si>
  <si>
    <t>Gratiot</t>
  </si>
  <si>
    <t>Hillsdale</t>
  </si>
  <si>
    <t>Houghton</t>
  </si>
  <si>
    <t>Huron</t>
  </si>
  <si>
    <t>Ingham</t>
  </si>
  <si>
    <t>Ionia</t>
  </si>
  <si>
    <t>Iosco</t>
  </si>
  <si>
    <t>Iron</t>
  </si>
  <si>
    <t>Isabella</t>
  </si>
  <si>
    <t>Kalamazoo</t>
  </si>
  <si>
    <t>Kalkaska</t>
  </si>
  <si>
    <t>Kent</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</si>
  <si>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</si>
  <si>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</si>
  <si>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</si>
  <si>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</si>
  <si>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</si>
  <si>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</si>
  <si>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</si>
  <si>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</si>
  <si>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</si>
  <si>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</si>
  <si>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</si>
  <si>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</si>
  <si>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</si>
  <si>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</si>
  <si>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</si>
  <si>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</si>
  <si>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</si>
  <si>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</si>
  <si>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</si>
  <si>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</si>
  <si>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</si>
  <si>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</si>
  <si>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</si>
  <si>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</si>
  <si>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</si>
  <si>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</si>
  <si>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</si>
  <si>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</si>
  <si>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</si>
  <si>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</si>
  <si>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</si>
  <si>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</si>
  <si>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Alpena</t>
  </si>
  <si>
    <t>Coldwater Board of Public Utilities</t>
  </si>
  <si>
    <t>Holland Board of Public Works</t>
  </si>
  <si>
    <t>Lansing Board of Water and Light</t>
  </si>
  <si>
    <t>Lansing West Side Water</t>
  </si>
  <si>
    <t>Yipsilanti Community Utilities Authority</t>
  </si>
  <si>
    <t>Ypsilanti Community Utilities Authority</t>
  </si>
  <si>
    <t>Zeeland Board of Public Works</t>
  </si>
  <si>
    <t>Consumers Energy</t>
  </si>
  <si>
    <t>DTE Energy (Detroit Edison)</t>
  </si>
  <si>
    <t>Excel Energy(Upper Peninsula)</t>
  </si>
  <si>
    <t>We Energies</t>
  </si>
  <si>
    <t>Wyandotte Municipal Services City of Wyandotte only</t>
  </si>
  <si>
    <t>Holland Board of Public Works</t>
  </si>
  <si>
    <t>Lansing Board of Water &amp; Light</t>
  </si>
  <si>
    <t>Upper Peninsula Power Company</t>
  </si>
  <si>
    <t>Charlevoix Municipal Airport</t>
  </si>
  <si>
    <t>https://www.facebook.com/pages/City-of-Charlevoix-Michigan/212193170389?v=wall&amp;ref=sgm</t>
  </si>
  <si>
    <t>http://www.cityofcharlevoix.org/city-departments/charlevoix-municipal-airport.html</t>
  </si>
  <si>
    <t>Detroit Metropolitan Wayne County Airport</t>
  </si>
  <si>
    <t>@DTWeetin</t>
  </si>
  <si>
    <t>https://www.facebook.com/flydtw</t>
  </si>
  <si>
    <t>http://metroairport.com/</t>
  </si>
  <si>
    <t>Bishop International Airport</t>
  </si>
  <si>
    <t>@FNTAirport</t>
  </si>
  <si>
    <t>https://www.facebook.com/BishopInternationalAirport</t>
  </si>
  <si>
    <t>http://www.bishopairport.org/</t>
  </si>
  <si>
    <t>Gerald R. Ford International Airport</t>
  </si>
  <si>
    <t>https://www.facebook.com/GeraldRFordInternationalAirport</t>
  </si>
  <si>
    <t>http://www.grr.org/index.php</t>
  </si>
  <si>
    <t>Houghton County Memorial Airport</t>
  </si>
  <si>
    <t>http://www.houghtoncounty.org/</t>
  </si>
  <si>
    <t>Kalamazoo/Battle Creek International Airport</t>
  </si>
  <si>
    <t>@AZOAirport_Kzoo</t>
  </si>
  <si>
    <t>https://www.facebook.com/KalamazooAirportAZO</t>
  </si>
  <si>
    <t>http://azoairport.com/</t>
  </si>
  <si>
    <t>Capital Region International Airport (was Lansing Capital City)</t>
  </si>
  <si>
    <t>https://www.facebook.com/flylansing</t>
  </si>
  <si>
    <t>http://www.flylansing.com/</t>
  </si>
  <si>
    <t>Sawyer International Airport</t>
  </si>
  <si>
    <t>http://www.sawyerairport.com/</t>
  </si>
  <si>
    <t>Muskegon County Airport</t>
  </si>
  <si>
    <t>https://www.facebook.com/muskegonairport</t>
  </si>
  <si>
    <t>http://www.muskegonairport.com/</t>
  </si>
  <si>
    <t>Pellston Regional Airport of Emmet County</t>
  </si>
  <si>
    <t>http://www.pellstonairport.com/</t>
  </si>
  <si>
    <t>MBS International Airport</t>
  </si>
  <si>
    <t>http://www.mbsairport.org/</t>
  </si>
  <si>
    <t>Chippewa County International Airport</t>
  </si>
  <si>
    <t>http://www.airciu.com/</t>
  </si>
  <si>
    <t>Cherry Capital Airport</t>
  </si>
  <si>
    <t>http://www.tvcairport.com/</t>
  </si>
  <si>
    <t>Minnesota State Website</t>
  </si>
  <si>
    <t>@GovMarkDayton</t>
  </si>
  <si>
    <t>https://www.facebook.com/GovMarkDayton</t>
  </si>
  <si>
    <t>http://mn.gov/portal/</t>
  </si>
  <si>
    <t>Minnesota  DHS</t>
  </si>
  <si>
    <t>https://www.facebook.com/MnHSEM</t>
  </si>
  <si>
    <t>Minnesota Wildlife Rescue</t>
  </si>
  <si>
    <t>Aitkin</t>
  </si>
  <si>
    <t>Anoka</t>
  </si>
  <si>
    <t>Becker</t>
  </si>
  <si>
    <t>Beltrami</t>
  </si>
  <si>
    <t>Big Stone</t>
  </si>
  <si>
    <t>Blue Earth</t>
  </si>
  <si>
    <t>Carlton</t>
  </si>
  <si>
    <t>Carver</t>
  </si>
  <si>
    <t>Chisago</t>
  </si>
  <si>
    <t>Clearwater</t>
  </si>
  <si>
    <t>Cottonwood</t>
  </si>
  <si>
    <t>Crow Wing</t>
  </si>
  <si>
    <t>Dakota</t>
  </si>
  <si>
    <t>Dodge</t>
  </si>
  <si>
    <t>Faribault</t>
  </si>
  <si>
    <t>Fillmore</t>
  </si>
  <si>
    <t>Freeborn</t>
  </si>
  <si>
    <t>Goodhue</t>
  </si>
  <si>
    <t>Hennepin</t>
  </si>
  <si>
    <t>Houston</t>
  </si>
  <si>
    <t>Hubbard</t>
  </si>
  <si>
    <t>Isanti</t>
  </si>
  <si>
    <t>Itasca</t>
  </si>
  <si>
    <t>Kanabec</t>
  </si>
  <si>
    <t>Kandiyohi</t>
  </si>
  <si>
    <t>Kittson</t>
  </si>
  <si>
    <t>Koochiching</t>
  </si>
  <si>
    <t>Lac qui Parle</t>
  </si>
  <si>
    <t>Lake of the Woods</t>
  </si>
  <si>
    <t>Le Sueur</t>
  </si>
  <si>
    <t>Mahnomen</t>
  </si>
  <si>
    <t>McLeod</t>
  </si>
  <si>
    <t>Meeker</t>
  </si>
  <si>
    <t>Mille Lacs</t>
  </si>
  <si>
    <t>Morrison</t>
  </si>
  <si>
    <t>Mower</t>
  </si>
  <si>
    <t>Murray</t>
  </si>
  <si>
    <t>Nicollet</t>
  </si>
  <si>
    <t>Nobles</t>
  </si>
  <si>
    <t>Norman</t>
  </si>
  <si>
    <t>Olmsted</t>
  </si>
  <si>
    <t>Otter Tail</t>
  </si>
  <si>
    <t>Pennington</t>
  </si>
  <si>
    <t>Pine</t>
  </si>
  <si>
    <t>Pipestone</t>
  </si>
  <si>
    <t>Ramsey</t>
  </si>
  <si>
    <t>Red Lake</t>
  </si>
  <si>
    <t>Redwood</t>
  </si>
  <si>
    <t>Renville</t>
  </si>
  <si>
    <t>Rock</t>
  </si>
  <si>
    <t>Roseau</t>
  </si>
  <si>
    <t>Sherburne</t>
  </si>
  <si>
    <t>Sibley</t>
  </si>
  <si>
    <t>St. Louis</t>
  </si>
  <si>
    <t>Stearns</t>
  </si>
  <si>
    <t>Steele</t>
  </si>
  <si>
    <t>Swift</t>
  </si>
  <si>
    <t>Todd</t>
  </si>
  <si>
    <t>Traverse</t>
  </si>
  <si>
    <t>Wabasha</t>
  </si>
  <si>
    <t>Wadena</t>
  </si>
  <si>
    <t>Waseca</t>
  </si>
  <si>
    <t>Watonwan</t>
  </si>
  <si>
    <t>Wilkin</t>
  </si>
  <si>
    <t>Winona</t>
  </si>
  <si>
    <t>Yellow Medicine</t>
  </si>
  <si>
    <t>Great River Energy (and its 28 member cooperatives)</t>
  </si>
  <si>
    <t>Minnkota Power Cooperative (and its 11 member cooperatives)</t>
  </si>
  <si>
    <t>Basin Electric Power Cooperative</t>
  </si>
  <si>
    <t>East River Electric Power Co-op</t>
  </si>
  <si>
    <t>Alliant Energy</t>
  </si>
  <si>
    <t>ITC Midwest</t>
  </si>
  <si>
    <t>L&amp;O Power Co-op</t>
  </si>
  <si>
    <t>Minnesota Power</t>
  </si>
  <si>
    <t>Otter Tail Power Company</t>
  </si>
  <si>
    <t>People’s Co-op</t>
  </si>
  <si>
    <t>Tri-County Electric</t>
  </si>
  <si>
    <t>Rochester Public Utilities</t>
  </si>
  <si>
    <t>Hutchinson Utilities Commission</t>
  </si>
  <si>
    <t>Marshall Municipal Utilities</t>
  </si>
  <si>
    <t>Missouri River Energy Services</t>
  </si>
  <si>
    <t>Alexandria Light and Power</t>
  </si>
  <si>
    <t>Austin Utilities</t>
  </si>
  <si>
    <t>Blue Earth Light &amp; Water</t>
  </si>
  <si>
    <t>Brainerd Public Utilities</t>
  </si>
  <si>
    <t>Breckenridge Public Utilities Department</t>
  </si>
  <si>
    <t>East Grand Forks Water &amp; Light Department</t>
  </si>
  <si>
    <t>Hibbing Public Utilities</t>
  </si>
  <si>
    <t>Mankato Utilities Division</t>
  </si>
  <si>
    <t>Moorhead Public Service</t>
  </si>
  <si>
    <t>Mora Municipal Utilities</t>
  </si>
  <si>
    <t>Owatonna Public Utilities</t>
  </si>
  <si>
    <t>River Falls Utilities</t>
  </si>
  <si>
    <t>Rochester Public Utilities</t>
  </si>
  <si>
    <t>Saint Paul Water Utility</t>
  </si>
  <si>
    <t>Western Lake Superior Sanitary District</t>
  </si>
  <si>
    <t>Willmar Municipal Utilities</t>
  </si>
  <si>
    <t>Bemidji Regional Airport</t>
  </si>
  <si>
    <t>http://www.bemidjiairport.org/</t>
  </si>
  <si>
    <t>Brainerd Lakes Regional Airport</t>
  </si>
  <si>
    <t>http://www.brainerdairport.com/</t>
  </si>
  <si>
    <t>Duluth International Airport</t>
  </si>
  <si>
    <t>https://www.facebook.com/duluthairport</t>
  </si>
  <si>
    <t>http://www.duluthairport.com/</t>
  </si>
  <si>
    <t>Falls International Airport</t>
  </si>
  <si>
    <t>http://www.internationalfallsairport.com/</t>
  </si>
  <si>
    <t>Minneapolis-St. Paul International Airport (Wold-Chamberlain Field)</t>
  </si>
  <si>
    <t>@mspairport</t>
  </si>
  <si>
    <t>http://www.facebook.com/mspairport</t>
  </si>
  <si>
    <t>http://www.mspairport.com/</t>
  </si>
  <si>
    <t>Rochester International Airport</t>
  </si>
  <si>
    <t>http://www.facebook.com/RochesterAirport?v=wall</t>
  </si>
  <si>
    <t>St. Cloud Regional Airport</t>
  </si>
  <si>
    <t>http://www.stcloudairport.com/</t>
  </si>
  <si>
    <t>Mississippi State Website</t>
  </si>
  <si>
    <t>@msdotgov</t>
  </si>
  <si>
    <t>https://www.facebook.com/pages/msgov-Mississippis-Official-State-Website/103697456413901</t>
  </si>
  <si>
    <t>http://www.mississippi.gov/Pages/PortalHome.aspx</t>
  </si>
  <si>
    <t>Mississippi  DHS</t>
  </si>
  <si>
    <t>http://www.mississippi.gov/webcontent/partnerSite.html</t>
  </si>
  <si>
    <t>Mississippi Wildlife Rehabilitation</t>
  </si>
  <si>
    <t>http://www.mswildliferehab.org/MWRrehabbers.htm</t>
  </si>
  <si>
    <t>Mississippi Animal Rescue</t>
  </si>
  <si>
    <t>http://wildlife.rescueme.org/Mississippi</t>
  </si>
  <si>
    <t>Mississippi EMA</t>
  </si>
  <si>
    <t>@MSEMA</t>
  </si>
  <si>
    <t>https://www.facebook.com/msemaorg?ref=sgm</t>
  </si>
  <si>
    <t>http://www.mississippi.gov/Agency/Pages/EmergencyManagement.aspx</t>
  </si>
  <si>
    <t>List of counties &amp; cities - ms.gov</t>
  </si>
  <si>
    <t>http://www.ms.gov/content/Pages/LocalGovAll.aspx</t>
  </si>
  <si>
    <t>http://www.adamscountyms.net/index.php</t>
  </si>
  <si>
    <t>Adams County:
Stan Owens
601-442-7021</t>
  </si>
  <si>
    <t>Alcorn</t>
  </si>
  <si>
    <t>http://alcorncounty.org/</t>
  </si>
  <si>
    <t>Alcorn County:
Ricky Gibens
662-286-7737</t>
  </si>
  <si>
    <t>Amite</t>
  </si>
  <si>
    <t>http://www.amitecounty.ms/index.php</t>
  </si>
  <si>
    <t>Amite County:
Sam Walsh
601-657-1011</t>
  </si>
  <si>
    <t>Attala</t>
  </si>
  <si>
    <t>http://www.attalacounty.net/index.php</t>
  </si>
  <si>
    <t>Attala County:
Danny Townsend
662-289-5322</t>
  </si>
  <si>
    <t>http://bentoncountyms.gov/index</t>
  </si>
  <si>
    <t>Benton County:
Jimmy Gresham
662-224-6338</t>
  </si>
  <si>
    <t>Bolivar</t>
  </si>
  <si>
    <t>http://www.co.bolivar.ms.us/</t>
  </si>
  <si>
    <t>Bolivar County: 
Bill Quinton
662-588-3708</t>
  </si>
  <si>
    <t>Calhoun County:
Mike Dunagin
662-628-5114</t>
  </si>
  <si>
    <t>https://www.facebook.com/pages/Carroll-County-Mississippi/189470841103925?sid=0.08970939321443439</t>
  </si>
  <si>
    <t>http://www.carrollcountyms.com/home.htm</t>
  </si>
  <si>
    <t>Carroll County:
Gayle Beard
662-237-9386</t>
  </si>
  <si>
    <t>http://www.chickasawcoms.com/</t>
  </si>
  <si>
    <t>Chickasaw County:
Linda Griffin
662-448-1012</t>
  </si>
  <si>
    <t>Choctaw</t>
  </si>
  <si>
    <t>http://www.facebook.com/pages/Choctaw-County-EMA-Emergency-Management-Agency/242612889143145?ref=ts&amp;fref=ts</t>
  </si>
  <si>
    <t>http://choctawcountyms.com/our-community/county-profile/government/</t>
  </si>
  <si>
    <t>Choctaw County:
Brent McKnight
662-285-6737</t>
  </si>
  <si>
    <t>Claiborne County:
Marvin Ratliff, Sr.
601-437-4684</t>
  </si>
  <si>
    <t>http://www.visitclarkecounty.com/index.cfm</t>
  </si>
  <si>
    <t>Clarke County:
Eddie Ivy
601-776-2256</t>
  </si>
  <si>
    <t>http://www.claycountyms.com/index.php</t>
  </si>
  <si>
    <t>Clay County:
Johnny Littlefield
662-494-2088</t>
  </si>
  <si>
    <t>Coahoma</t>
  </si>
  <si>
    <t>http://www.coahomacounty.net/</t>
  </si>
  <si>
    <t>Copiah</t>
  </si>
  <si>
    <t>http://copiahema.copiahcounty.org/</t>
  </si>
  <si>
    <t>Covington - Collins city</t>
  </si>
  <si>
    <t>http://www.cityofcollins.com/</t>
  </si>
  <si>
    <t>DeSoto</t>
  </si>
  <si>
    <t>@DeSotoCountyMS</t>
  </si>
  <si>
    <t>https://www.facebook.com/pages/DeSoto-County-Government/207994822559819</t>
  </si>
  <si>
    <t>http://www.desotoms.com/</t>
  </si>
  <si>
    <t>Forrest - Hattiesburg</t>
  </si>
  <si>
    <t>@Hattiesburg_MS</t>
  </si>
  <si>
    <t>http://forrestcountyms.us/</t>
  </si>
  <si>
    <t>https://www.facebook.com/FCNewsService?sid=0.8848985838703811</t>
  </si>
  <si>
    <t>George</t>
  </si>
  <si>
    <t>Grenada</t>
  </si>
  <si>
    <t>http://www.grenadamississippi.com/</t>
  </si>
  <si>
    <t>http://www.hancockcountyms.gov/</t>
  </si>
  <si>
    <t>@HarrisonMSBOS</t>
  </si>
  <si>
    <t>http://co.harrison.ms.us/</t>
  </si>
  <si>
    <t>Hinds</t>
  </si>
  <si>
    <t>http://www.co.hinds.ms.us/pgs/index.asp</t>
  </si>
  <si>
    <t>Holmes</t>
  </si>
  <si>
    <t>http://holmescountymississippi.com/home.html</t>
  </si>
  <si>
    <t>Humphreys</t>
  </si>
  <si>
    <t>Issaquena</t>
  </si>
  <si>
    <t>Itawamba</t>
  </si>
  <si>
    <t>@jacksoncountyMS</t>
  </si>
  <si>
    <t>http://www.co.jackson.ms.us/</t>
  </si>
  <si>
    <t>Jasper - Bay Springs</t>
  </si>
  <si>
    <t>https://www.facebook.com/cityofbaysprings</t>
  </si>
  <si>
    <t>http://co.jasper.ms.us/</t>
  </si>
  <si>
    <t>Jefferson Davis - Prentis</t>
  </si>
  <si>
    <t>http://www.townofprentiss.com/default.html</t>
  </si>
  <si>
    <t>@JonesCountyEOC</t>
  </si>
  <si>
    <t>http://www.co.jones.ms.us/</t>
  </si>
  <si>
    <t>Kemper</t>
  </si>
  <si>
    <t>http://www.kempercounty.com/</t>
  </si>
  <si>
    <t>http://www.lafayettecoms.com/</t>
  </si>
  <si>
    <t>Lamar</t>
  </si>
  <si>
    <t>https://www.facebook.com/pages/Lamar-County-Mississippi/305431671349</t>
  </si>
  <si>
    <t>http://www.lamarcounty.com/11/index.php</t>
  </si>
  <si>
    <t>Lauderdale</t>
  </si>
  <si>
    <t>http://www.lauderdalecounty.org/</t>
  </si>
  <si>
    <t>http://lawrencecountyms.org/</t>
  </si>
  <si>
    <t>Leake</t>
  </si>
  <si>
    <t>http://www.leakecountyms.org/index.php</t>
  </si>
  <si>
    <t>@LCSO_MS</t>
  </si>
  <si>
    <t>https://www.facebook.com/leecountysheriff?sid=0.13162073935382068</t>
  </si>
  <si>
    <t>http://www.leecosheriff.com/</t>
  </si>
  <si>
    <t>Lee - City of Tupelo</t>
  </si>
  <si>
    <t>http://www.tupeloms.gov/</t>
  </si>
  <si>
    <t>Leflore - City of Greenwood</t>
  </si>
  <si>
    <t>@cityofgreenwood</t>
  </si>
  <si>
    <t>https://www.facebook.com/cityofgreenwood</t>
  </si>
  <si>
    <t>http://www.greenwoodms.com/index.aspx?NID=594</t>
  </si>
  <si>
    <t>Lincoln - City of Brookhaven</t>
  </si>
  <si>
    <t>https://www.facebook.com/pages/Lincoln-County-MS-Sheriffs-Office/118183681544942?sid=0.8810347665566951</t>
  </si>
  <si>
    <t>http://brookhavenms.com/wp/</t>
  </si>
  <si>
    <t>Lowndes</t>
  </si>
  <si>
    <t>https://www.facebook.com/pages/Lowndes-County-MSSheriffs-Department/289498757787250?sid=0.820828364463523</t>
  </si>
  <si>
    <t>http://www.lowndescountygov.com/</t>
  </si>
  <si>
    <t>http://www.marioncounty-ms.us/</t>
  </si>
  <si>
    <t>Neshoba</t>
  </si>
  <si>
    <t>Noxubee</t>
  </si>
  <si>
    <t>Oktibbeha</t>
  </si>
  <si>
    <t>Panola</t>
  </si>
  <si>
    <t>Pearl River</t>
  </si>
  <si>
    <t>Pontotoc</t>
  </si>
  <si>
    <t>Prentiss</t>
  </si>
  <si>
    <t>Quitman</t>
  </si>
  <si>
    <t>Rankin</t>
  </si>
  <si>
    <t>Sharkey</t>
  </si>
  <si>
    <t>Simpson</t>
  </si>
  <si>
    <t>Stone</t>
  </si>
  <si>
    <t>Sunflower</t>
  </si>
  <si>
    <t>Tallahatchie</t>
  </si>
  <si>
    <t>Tate</t>
  </si>
  <si>
    <t>Tippah</t>
  </si>
  <si>
    <t>Tishomingo</t>
  </si>
  <si>
    <t>Tunica</t>
  </si>
  <si>
    <t>Walthall</t>
  </si>
  <si>
    <t>Wilkinson</t>
  </si>
  <si>
    <t>Winston</t>
  </si>
  <si>
    <t>Yalobusha</t>
  </si>
  <si>
    <t>Yazoo</t>
  </si>
  <si>
    <t>@YazooCVB</t>
  </si>
  <si>
    <t>http://www.yazoo.org/</t>
  </si>
  <si>
    <t>Canton Municipal Utilities</t>
  </si>
  <si>
    <t>Southwest Mississippi Electric Power Association</t>
  </si>
  <si>
    <t>Magnolia Electric</t>
  </si>
  <si>
    <t>Mississippi Power company</t>
  </si>
  <si>
    <t>Golden Triangle Regional Airport</t>
  </si>
  <si>
    <t>Gulfport-Biloxi International Airport</t>
  </si>
  <si>
    <t>Hattiesburg-Laurel Regional Airport</t>
  </si>
  <si>
    <t>Jackson-Evers International Airport</t>
  </si>
  <si>
    <t>Meridian Regional Airport (Key Field)</t>
  </si>
  <si>
    <t>Tunica Municipal Airport</t>
  </si>
  <si>
    <t>Tupelo Regional Airport (C.D. Lemons Field)</t>
  </si>
  <si>
    <t>Missouri State Website</t>
  </si>
  <si>
    <t>@MoGov</t>
  </si>
  <si>
    <t>http://www.facebook.com/mogov</t>
  </si>
  <si>
    <t>http://www.mo.gov/</t>
  </si>
  <si>
    <t>Missouri  DHS</t>
  </si>
  <si>
    <t>https://www.facebook.com/#!/pages/Missouri-Department-of-Public-Safety/144354452246957?fref=ts</t>
  </si>
  <si>
    <t>Missouri Wildlife Rescue</t>
  </si>
  <si>
    <t>http://adaircountymissouri.com/</t>
  </si>
  <si>
    <t>Andrew</t>
  </si>
  <si>
    <t>https://www.facebook.com/pages/Andrew-County/154275264635191</t>
  </si>
  <si>
    <t>http://www.andrewcounty.org/</t>
  </si>
  <si>
    <t>http://www.atchisoncounty.org/</t>
  </si>
  <si>
    <t>Audrain</t>
  </si>
  <si>
    <t>@audrain911</t>
  </si>
  <si>
    <t>https://www.facebook.com/AudrainCountyE911</t>
  </si>
  <si>
    <t>http://audraincounty.org/</t>
  </si>
  <si>
    <t>@BarryCountyMO</t>
  </si>
  <si>
    <t>http://www.barrycountycollector.com/index.php</t>
  </si>
  <si>
    <t>http://bartoncountymo.org/</t>
  </si>
  <si>
    <t>Bates</t>
  </si>
  <si>
    <t>https://www.facebook.com/BCMOEMA</t>
  </si>
  <si>
    <t>http://www.batescounty.net/</t>
  </si>
  <si>
    <t>@BentonCoMoEM</t>
  </si>
  <si>
    <t>https://www.facebook.com/BentonCountyMissouri911</t>
  </si>
  <si>
    <t>http://www.bentoncomo.com/</t>
  </si>
  <si>
    <t>Bollinger</t>
  </si>
  <si>
    <t>@Boone County, MO</t>
  </si>
  <si>
    <t>http://www.showmeboone.com/</t>
  </si>
  <si>
    <t>http://www.co.buchanan.mo.us/</t>
  </si>
  <si>
    <t>http://butler.countyportal.net/</t>
  </si>
  <si>
    <t>http://www.caldwellcountymissouri.com/</t>
  </si>
  <si>
    <t>Callaway</t>
  </si>
  <si>
    <t>http://callawaycounty.org/</t>
  </si>
  <si>
    <t>Camden</t>
  </si>
  <si>
    <t>@CamdenCoMoEMA</t>
  </si>
  <si>
    <t>https://www.facebook.com/pages/Camden-County-Mo-Emergency-Management-Agency/291579399209</t>
  </si>
  <si>
    <t>http://www.camdenmo.org/</t>
  </si>
  <si>
    <t>Cape Girardeau</t>
  </si>
  <si>
    <t>https://www.facebook.com/pages/Cape-Girardeau-Missouri/107941582562354</t>
  </si>
  <si>
    <t>http://www.capecounty.us/</t>
  </si>
  <si>
    <t>Carter</t>
  </si>
  <si>
    <t>http://www.ofrpc.org/county/carter.html</t>
  </si>
  <si>
    <t>http://casscounty.com/</t>
  </si>
  <si>
    <t>http://cedarcountymo.gov/</t>
  </si>
  <si>
    <t>Chariton</t>
  </si>
  <si>
    <t>http://www.keytesvillemissouri.com/county.htm</t>
  </si>
  <si>
    <t>https://www.facebook.com/ChristianCountyMissouriSheriff</t>
  </si>
  <si>
    <t>http://christiancountymo.gov/</t>
  </si>
  <si>
    <t>@claycountymo</t>
  </si>
  <si>
    <t>https://www.facebook.com/claycountymo</t>
  </si>
  <si>
    <t>https://www.claycountymo.gov/</t>
  </si>
  <si>
    <t>Cole</t>
  </si>
  <si>
    <t>http://www.colecounty.org/</t>
  </si>
  <si>
    <t>Cooper</t>
  </si>
  <si>
    <t>https://www.facebook.com/pages/Cooper-County-MO-Emergency-Management/118956568237104</t>
  </si>
  <si>
    <t>http://www.coopercountymo.org/</t>
  </si>
  <si>
    <t>Crawford - Pittsburg</t>
  </si>
  <si>
    <t>@pittsburgKS</t>
  </si>
  <si>
    <t>http://crawfordcountymo.net/</t>
  </si>
  <si>
    <t>Dade</t>
  </si>
  <si>
    <t>http://www.buffalococ.com/dallasgov.htm</t>
  </si>
  <si>
    <t>http://www.dekalbcountymo.org/</t>
  </si>
  <si>
    <t>Dent</t>
  </si>
  <si>
    <t>http://www.salemmo.com/county/dentcounty.asp</t>
  </si>
  <si>
    <t>Dunklin</t>
  </si>
  <si>
    <t>http://www.franklinmo.org/</t>
  </si>
  <si>
    <t>Gasconade</t>
  </si>
  <si>
    <t>Gentry</t>
  </si>
  <si>
    <t>http://gentrycounty.net/</t>
  </si>
  <si>
    <t>http://www.greenecountymo.org/</t>
  </si>
  <si>
    <t>http://www.grundycountymo.com/</t>
  </si>
  <si>
    <t>http://www.henrycomo.com/</t>
  </si>
  <si>
    <t>Hickory</t>
  </si>
  <si>
    <t>Holt</t>
  </si>
  <si>
    <t>Howell</t>
  </si>
  <si>
    <t>http://www.howellcounty.net/</t>
  </si>
  <si>
    <t>@JacksonCountyMO</t>
  </si>
  <si>
    <t>https://www.facebook.com/pages/Jackson-County-Missouri/352068464828769</t>
  </si>
  <si>
    <t>http://www.jacksongov.org/</t>
  </si>
  <si>
    <t>http://www.jaspercounty.org/</t>
  </si>
  <si>
    <t>http://www.jeffcomo.org/</t>
  </si>
  <si>
    <t>http://www.jococourthouse.com/</t>
  </si>
  <si>
    <t>http://www.knoxcountymo.org/</t>
  </si>
  <si>
    <t>Laclede</t>
  </si>
  <si>
    <t>http://www.lacledecountymissouri.org/</t>
  </si>
  <si>
    <t>http://www.lafayettecountymo.com/</t>
  </si>
  <si>
    <t>http://lewiscountymo.org/</t>
  </si>
  <si>
    <t>https://www.facebook.com/pages/Lincoln-County-911-Troy-Mo/214139525345065</t>
  </si>
  <si>
    <t>http://www.lcmo.us/</t>
  </si>
  <si>
    <t>http://www.livingstoncountymo.com/</t>
  </si>
  <si>
    <t>http://www.maconcountymo.com/</t>
  </si>
  <si>
    <t>http://madisoncountymo.us/</t>
  </si>
  <si>
    <t>Maries</t>
  </si>
  <si>
    <t>http://mariesco.org/</t>
  </si>
  <si>
    <t>http://www.marioncounty-mo.gov/</t>
  </si>
  <si>
    <t>McDonald</t>
  </si>
  <si>
    <t>http://www.mcdonaldcountygov.com/</t>
  </si>
  <si>
    <t>Miller</t>
  </si>
  <si>
    <t>http://www.millercountymissouri.org/</t>
  </si>
  <si>
    <t>http://www.misscomo.net/</t>
  </si>
  <si>
    <t>Moniteau</t>
  </si>
  <si>
    <t>http://www.parismo.net/monroe_county.htm</t>
  </si>
  <si>
    <t>http://www.montgomerycitymo.org/</t>
  </si>
  <si>
    <t>http://morgan-county.org/</t>
  </si>
  <si>
    <t>New Madrid</t>
  </si>
  <si>
    <t>http://new-madrid.mo.us/</t>
  </si>
  <si>
    <t>http://newtoncountymo.org/index.html</t>
  </si>
  <si>
    <t>Nodaway</t>
  </si>
  <si>
    <t>http://www.nodawaycountymo.com/</t>
  </si>
  <si>
    <t>Ozark</t>
  </si>
  <si>
    <t>Pemiscot</t>
  </si>
  <si>
    <t>Pettis</t>
  </si>
  <si>
    <t>Phelps</t>
  </si>
  <si>
    <t>Platte</t>
  </si>
  <si>
    <t>Ralls</t>
  </si>
  <si>
    <t>Ray</t>
  </si>
  <si>
    <t>Reynolds</t>
  </si>
  <si>
    <t>Saint Loui</t>
  </si>
  <si>
    <t>Scotland</t>
  </si>
  <si>
    <t>Shannon</t>
  </si>
  <si>
    <t>St. Francois</t>
  </si>
  <si>
    <t>Ste. Genevieve</t>
  </si>
  <si>
    <t>Stoddard</t>
  </si>
  <si>
    <t>Sullivan</t>
  </si>
  <si>
    <t>Taney</t>
  </si>
  <si>
    <t>Empire District Electric Company</t>
  </si>
  <si>
    <t>New-Mac Electric</t>
  </si>
  <si>
    <t>City Utilities of Springfield</t>
  </si>
  <si>
    <t>Independence Power and Light</t>
  </si>
  <si>
    <t>Blue Springs</t>
  </si>
  <si>
    <t>Chillicothe Municipal Utilities</t>
  </si>
  <si>
    <t>Columbia Water &amp; Light</t>
  </si>
  <si>
    <t>Independence Water Department</t>
  </si>
  <si>
    <t>Jackson County Public Water Supply District No. 1</t>
  </si>
  <si>
    <t>Joplin Water Company [MAWC]</t>
  </si>
  <si>
    <t>Metropolitan St. Louis Sewer District</t>
  </si>
  <si>
    <t>Mexico Water Company [MAWC]</t>
  </si>
  <si>
    <t>Missouri American Water Company</t>
  </si>
  <si>
    <t>Parkville Water Company [MAWC]</t>
  </si>
  <si>
    <t>Rolla Municipal Utilities</t>
  </si>
  <si>
    <t>Sikeston Board of Municipal Utilities</t>
  </si>
  <si>
    <t>Springfield City Utilities</t>
  </si>
  <si>
    <t>St. Louis County Water Company</t>
  </si>
  <si>
    <t>St. Louis Water Division</t>
  </si>
  <si>
    <t>Branson Airport</t>
  </si>
  <si>
    <t>http://flybranson.com/</t>
  </si>
  <si>
    <t>Cape Girardeau Regional Airport</t>
  </si>
  <si>
    <t>https://www.facebook.com/#!/pages/Cape-Girardeau-Regional-Airport/136536569702705?fref=ts</t>
  </si>
  <si>
    <t>http://www.cityofcapegirardeau.org/Airport/Cape-Girardeau-Airport.aspx</t>
  </si>
  <si>
    <t>Columbia Regional Airport</t>
  </si>
  <si>
    <t>@FLYFROMCOU</t>
  </si>
  <si>
    <t>https://www.facebook.com/FlyMidMo</t>
  </si>
  <si>
    <t>http://www.flymidmo.com/</t>
  </si>
  <si>
    <t>Joplin Regional Airport</t>
  </si>
  <si>
    <t>https://www.facebook.com/#!/alphaaircenter?fref=ts</t>
  </si>
  <si>
    <t>http://www.joplinmo.org/index.aspx?nid=149</t>
  </si>
  <si>
    <t>Kansas City International Airport</t>
  </si>
  <si>
    <t>@KCIAirport</t>
  </si>
  <si>
    <t>https://www.facebook.com/#!/KCIAirport?fref=ts</t>
  </si>
  <si>
    <t>http://www.flykci.com/</t>
  </si>
  <si>
    <t>Kirksville Regional Airport</t>
  </si>
  <si>
    <t>https://www.facebook.com/pages/Kirksville-Regional-Airport/172738756104503</t>
  </si>
  <si>
    <t>http://www.kirksvillecity.com/content/72/152/default.aspx</t>
  </si>
  <si>
    <t>Springfield-Branson National Airport</t>
  </si>
  <si>
    <t>@flySGF</t>
  </si>
  <si>
    <t>https://www.facebook.com/pages/Springfield-Branson-National-Airport/211954955518492</t>
  </si>
  <si>
    <t>http://www.sgf-branson-airport.com/</t>
  </si>
  <si>
    <t>Lambert-St. Louis International Airport</t>
  </si>
  <si>
    <t>@flystl</t>
  </si>
  <si>
    <t>https://www.facebook.com/flystl</t>
  </si>
  <si>
    <t>http://www.flystl.com/</t>
  </si>
  <si>
    <t>Waynesville-St Robert Regional Airport</t>
  </si>
  <si>
    <t>https://www.facebook.com/#!/pages/Waynesville-St-Robert-Regional-Airport/102556686464523?fref=ts</t>
  </si>
  <si>
    <t>http://www.flyflw.com/</t>
  </si>
  <si>
    <t>Montana State Website</t>
  </si>
  <si>
    <t>@SOSMcCulloch</t>
  </si>
  <si>
    <t>https://www.facebook.com/SOSMcCulloch</t>
  </si>
  <si>
    <t>http://mt.gov/</t>
  </si>
  <si>
    <t>Montana EMA</t>
  </si>
  <si>
    <t>@MontanaDES</t>
  </si>
  <si>
    <t>https://www.facebook.com/montana.des</t>
  </si>
  <si>
    <t>Montana Wildlife Rescue</t>
  </si>
  <si>
    <t>Beaverhead</t>
  </si>
  <si>
    <t>Big Horn</t>
  </si>
  <si>
    <t>Blaine</t>
  </si>
  <si>
    <t>Broadwater</t>
  </si>
  <si>
    <t>Carbon</t>
  </si>
  <si>
    <t>Cascade</t>
  </si>
  <si>
    <t>Chouteau</t>
  </si>
  <si>
    <t>Custer</t>
  </si>
  <si>
    <t>Daniels</t>
  </si>
  <si>
    <t>Dawson</t>
  </si>
  <si>
    <t>Deer Lodge</t>
  </si>
  <si>
    <t>Fallon</t>
  </si>
  <si>
    <t>Fergus</t>
  </si>
  <si>
    <t>Flathead</t>
  </si>
  <si>
    <t>Garfield</t>
  </si>
  <si>
    <t>Glacier</t>
  </si>
  <si>
    <t>Golden Valley</t>
  </si>
  <si>
    <t>Granite</t>
  </si>
  <si>
    <t>Hill</t>
  </si>
  <si>
    <t>Judith Basin</t>
  </si>
  <si>
    <t>Lewis and Clark</t>
  </si>
  <si>
    <t>Liberty</t>
  </si>
  <si>
    <t>McCone</t>
  </si>
  <si>
    <t>Meagher</t>
  </si>
  <si>
    <t>Mineral</t>
  </si>
  <si>
    <t>Missoula</t>
  </si>
  <si>
    <t>Musselshell</t>
  </si>
  <si>
    <t>Park</t>
  </si>
  <si>
    <t>Petroleum</t>
  </si>
  <si>
    <t>Pondera</t>
  </si>
  <si>
    <t>Powder River</t>
  </si>
  <si>
    <t>Powell</t>
  </si>
  <si>
    <t>Prairie</t>
  </si>
  <si>
    <t>Ravalli</t>
  </si>
  <si>
    <t>Roosevelt</t>
  </si>
  <si>
    <t>Rosebud</t>
  </si>
  <si>
    <t>Sanders</t>
  </si>
  <si>
    <t>Silver Bow</t>
  </si>
  <si>
    <t>Stillwater</t>
  </si>
  <si>
    <t>Sweet Grass</t>
  </si>
  <si>
    <t>Toole</t>
  </si>
  <si>
    <t>Treasure</t>
  </si>
  <si>
    <t>Wheatland</t>
  </si>
  <si>
    <t>Wibaux</t>
  </si>
  <si>
    <t>Yellowstone</t>
  </si>
  <si>
    <t>Mountain Water Company</t>
  </si>
  <si>
    <t>Billings Water</t>
  </si>
  <si>
    <t>Northwestern Energy</t>
  </si>
  <si>
    <t>MDU</t>
  </si>
  <si>
    <t>Central Montana Electric Power Cooperative</t>
  </si>
  <si>
    <t>Montana Electric Cooperatives' Association (and its 25 member cooperatives)</t>
  </si>
  <si>
    <t>Billings Logan International Airport</t>
  </si>
  <si>
    <t>Bozeman Yellowstone International Airport</t>
  </si>
  <si>
    <t>Bert Mooney Airport</t>
  </si>
  <si>
    <t>Great Falls International Airport</t>
  </si>
  <si>
    <t>Helena Regional Airport</t>
  </si>
  <si>
    <t>Glacier Park International Airport</t>
  </si>
  <si>
    <t>Missoula International Airport</t>
  </si>
  <si>
    <t>Nebraska State Website</t>
  </si>
  <si>
    <t>@Nebraskagov</t>
  </si>
  <si>
    <t>https://www.facebook.com/nefanpage</t>
  </si>
  <si>
    <t>http://www.nebraska.gov/</t>
  </si>
  <si>
    <t>Nebraska EMA</t>
  </si>
  <si>
    <t>@NEMAtweets</t>
  </si>
  <si>
    <t>https://www.facebook.com/nema.page</t>
  </si>
  <si>
    <t>Nebraska Wildlife Rescue</t>
  </si>
  <si>
    <t>Antelope</t>
  </si>
  <si>
    <t>Arthur</t>
  </si>
  <si>
    <t>Banner</t>
  </si>
  <si>
    <t>Box Butte</t>
  </si>
  <si>
    <t>Boyd</t>
  </si>
  <si>
    <t>Buffalo</t>
  </si>
  <si>
    <t>Burt</t>
  </si>
  <si>
    <t>Cherry</t>
  </si>
  <si>
    <t>Colfax</t>
  </si>
  <si>
    <t>Cuming</t>
  </si>
  <si>
    <t>Dawes</t>
  </si>
  <si>
    <t>Deuel</t>
  </si>
  <si>
    <t>Dixon</t>
  </si>
  <si>
    <t>Dundy</t>
  </si>
  <si>
    <t>Frontier</t>
  </si>
  <si>
    <t>Furnas</t>
  </si>
  <si>
    <t>Gage</t>
  </si>
  <si>
    <t>Garden</t>
  </si>
  <si>
    <t>Gosper</t>
  </si>
  <si>
    <t>Hall</t>
  </si>
  <si>
    <t>Harlan</t>
  </si>
  <si>
    <t>Hayes</t>
  </si>
  <si>
    <t>Hitchcock</t>
  </si>
  <si>
    <t>Hooker</t>
  </si>
  <si>
    <t>Kearney</t>
  </si>
  <si>
    <t>Keith</t>
  </si>
  <si>
    <t>Keya Paha</t>
  </si>
  <si>
    <t>Kimball</t>
  </si>
  <si>
    <t>Lancaster</t>
  </si>
  <si>
    <t>Loup</t>
  </si>
  <si>
    <t>Merrick</t>
  </si>
  <si>
    <t>Morrill</t>
  </si>
  <si>
    <t>Nance</t>
  </si>
  <si>
    <t>Nuckolls</t>
  </si>
  <si>
    <t>Otoe</t>
  </si>
  <si>
    <t>Perkins</t>
  </si>
  <si>
    <t>Pierce</t>
  </si>
  <si>
    <t>Red Willow</t>
  </si>
  <si>
    <t>Richardson</t>
  </si>
  <si>
    <t>Sarpy</t>
  </si>
  <si>
    <t>Saunders</t>
  </si>
  <si>
    <t>Scotts Bluff</t>
  </si>
  <si>
    <t>Thayer</t>
  </si>
  <si>
    <t>Thurston</t>
  </si>
  <si>
    <t>Wheeler</t>
  </si>
  <si>
    <t>Nebraska Public Power District</t>
  </si>
  <si>
    <t>Omaha Public Power District</t>
  </si>
  <si>
    <t>Beatrice Board of Public Works</t>
  </si>
  <si>
    <t>Grand Island Utilities Department</t>
  </si>
  <si>
    <t>Lincoln Public Works/Utilities Department</t>
  </si>
  <si>
    <t>Omaha Metropolitan Utilities District</t>
  </si>
  <si>
    <t>Wahoo Utilities Department</t>
  </si>
  <si>
    <t>Central Nebraska Regional Airport</t>
  </si>
  <si>
    <t>Lincoln Airport (was Lincoln Municipal)</t>
  </si>
  <si>
    <t>Eppley Airfield</t>
  </si>
  <si>
    <t>Nevada State Website</t>
  </si>
  <si>
    <t>@NVGovernment</t>
  </si>
  <si>
    <t>http://nv.gov/</t>
  </si>
  <si>
    <t>Nevada EMA</t>
  </si>
  <si>
    <t>@NVEmergencyMgmt</t>
  </si>
  <si>
    <t>https://www.facebook.com/NDEMDHS</t>
  </si>
  <si>
    <t>http://dem.nv.gov/</t>
  </si>
  <si>
    <t>Nevada Wildlife Rescue</t>
  </si>
  <si>
    <t>Carson City</t>
  </si>
  <si>
    <t>http://carson.org/</t>
  </si>
  <si>
    <t>Churchill</t>
  </si>
  <si>
    <t>@ChurchillCounty</t>
  </si>
  <si>
    <t>http://www.facebook.com/pages/Churchill-County-NV/2396195279567</t>
  </si>
  <si>
    <t>http://www.churchillcounty.org/</t>
  </si>
  <si>
    <t>@ClarkCountyNV</t>
  </si>
  <si>
    <t>https://www.facebook.com/ClarkCountyNV?ref=hl</t>
  </si>
  <si>
    <t>http://www.clarkcountynv.gov/</t>
  </si>
  <si>
    <t>http://www.douglascountynv.gov/</t>
  </si>
  <si>
    <t>Elko</t>
  </si>
  <si>
    <t>http://www.elkocountynv.net/</t>
  </si>
  <si>
    <t>Esmeralda</t>
  </si>
  <si>
    <t>http://www.accessesmeralda.com/</t>
  </si>
  <si>
    <t>Eureka</t>
  </si>
  <si>
    <t>http://www.co.eureka.nv.us/</t>
  </si>
  <si>
    <t>http://www.hcnv.us/</t>
  </si>
  <si>
    <t>Lander</t>
  </si>
  <si>
    <t>http://landercountynv.org/</t>
  </si>
  <si>
    <t>http://www.lincolncountynv.org/</t>
  </si>
  <si>
    <t>https://www.facebook.com/LyonCountyNV</t>
  </si>
  <si>
    <t>http://www.lyon-county.org/</t>
  </si>
  <si>
    <t>http://www.mineralcountynv.org/</t>
  </si>
  <si>
    <t>Nye</t>
  </si>
  <si>
    <t>http://www.nyecounty.net/</t>
  </si>
  <si>
    <t>Pershing</t>
  </si>
  <si>
    <t>http://pershingcounty.net/</t>
  </si>
  <si>
    <t>Storey</t>
  </si>
  <si>
    <t>@StoreyCounty</t>
  </si>
  <si>
    <t>http://www.facebook.com/pages/Storey-County/137469723292</t>
  </si>
  <si>
    <t>http://www.storeycounty.org/</t>
  </si>
  <si>
    <t>Washoe</t>
  </si>
  <si>
    <t>http://www.washoecounty.us/</t>
  </si>
  <si>
    <t>White Pine</t>
  </si>
  <si>
    <t>http://whitepinecounty.net/</t>
  </si>
  <si>
    <t>Carson City</t>
  </si>
  <si>
    <t>http://www.carson.org/index.aspx?page=163</t>
  </si>
  <si>
    <t>Clark County Sanitation District</t>
  </si>
  <si>
    <t>http://www.cleanwaterteam.com/home.html</t>
  </si>
  <si>
    <t>Henderson Utility Services Division</t>
  </si>
  <si>
    <t>http://www.cityofhenderson.com/utility_services/index.php</t>
  </si>
  <si>
    <t>Las Vegas Valley Water District</t>
  </si>
  <si>
    <t>@lvvwd</t>
  </si>
  <si>
    <t>http://www.lvvwd.com/</t>
  </si>
  <si>
    <t>Nevada Irrigation District</t>
  </si>
  <si>
    <t>http://nidwater.com/</t>
  </si>
  <si>
    <t>Southern Nevada Water Authority</t>
  </si>
  <si>
    <t>@SNWA_H2O</t>
  </si>
  <si>
    <t>http://www.snwa.com/</t>
  </si>
  <si>
    <t>NV Energy</t>
  </si>
  <si>
    <t>@NVEnergy</t>
  </si>
  <si>
    <t>https://www.facebook.com/nvenergy</t>
  </si>
  <si>
    <t>https://www.nvenergy.com/</t>
  </si>
  <si>
    <t>Boulder City Municipal Airport</t>
  </si>
  <si>
    <t>http://www.flybouldercity.com/</t>
  </si>
  <si>
    <t>Elko Regional Airport (J.C. Harris Field)</t>
  </si>
  <si>
    <t>http://www.elkocity.com/airport/airport.htm</t>
  </si>
  <si>
    <t>McCarran International Airport</t>
  </si>
  <si>
    <t>@LASairport</t>
  </si>
  <si>
    <t>https://www.facebook.com/LASAirport</t>
  </si>
  <si>
    <t>https://www.mccarran.com/</t>
  </si>
  <si>
    <t>North Las Vegas Airport</t>
  </si>
  <si>
    <t>http://www.vgt.aero/index.html</t>
  </si>
  <si>
    <t>Reno-Tahoe International Airport</t>
  </si>
  <si>
    <t>@RenoAirport</t>
  </si>
  <si>
    <t>https://www.facebook.com/RenoAirport</t>
  </si>
  <si>
    <t>http://www.renoairport.com/</t>
  </si>
  <si>
    <t>New Hampshire State Website</t>
  </si>
  <si>
    <t>@NHgov</t>
  </si>
  <si>
    <t>http://www.nh.gov/</t>
  </si>
  <si>
    <t>New Hampshire EMA</t>
  </si>
  <si>
    <t>@ReadyNH</t>
  </si>
  <si>
    <t>http://www.nh.gov/readynh/</t>
  </si>
  <si>
    <t>New Hampshire  DHS</t>
  </si>
  <si>
    <t>New Hampshire Wildlife Rescue</t>
  </si>
  <si>
    <t>Belknap</t>
  </si>
  <si>
    <t>http://www.carrollcountynh.net/pages/CarrollcountyNH_Webdocs/directory</t>
  </si>
  <si>
    <t>Cheshire</t>
  </si>
  <si>
    <t>http://co.cheshire.nh.us/index.htm</t>
  </si>
  <si>
    <t>Coos</t>
  </si>
  <si>
    <t>http://www.cooscountynh.us/</t>
  </si>
  <si>
    <t>Grafton</t>
  </si>
  <si>
    <t>http://www.graftoncountynh.us/</t>
  </si>
  <si>
    <t>Hillsborough</t>
  </si>
  <si>
    <t>http://www.hillsboroughcountynh.org/</t>
  </si>
  <si>
    <t>Merrimack</t>
  </si>
  <si>
    <t>http://www.merrimackcounty.net/</t>
  </si>
  <si>
    <t>Rockingham</t>
  </si>
  <si>
    <t>@rockinghamco</t>
  </si>
  <si>
    <t>http://www.facebook.com/pages/Rockingham-County/14719886244742</t>
  </si>
  <si>
    <t>http://co.rockingham.nh.us/</t>
  </si>
  <si>
    <t>Strafford</t>
  </si>
  <si>
    <t>http://co.strafford.nh.us/</t>
  </si>
  <si>
    <t>http://www.sullivancountynh.gov/</t>
  </si>
  <si>
    <t>Unitil Corporation</t>
  </si>
  <si>
    <t>@Unitil</t>
  </si>
  <si>
    <t>http://www.unitil.com/</t>
  </si>
  <si>
    <t>City of Nashua, New Hampshire Pennichuck Corporation</t>
  </si>
  <si>
    <t>http://www.pennichuck.com/</t>
  </si>
  <si>
    <t>Manchester-Boston Regional Airport</t>
  </si>
  <si>
    <t>@flymanchester</t>
  </si>
  <si>
    <t>https://www.facebook.com/flymanchester</t>
  </si>
  <si>
    <t>http://www.flymanchester.com/</t>
  </si>
  <si>
    <t>Portsmouth International Airport at Pease</t>
  </si>
  <si>
    <t>http://www.flyportsmouthairport.com/</t>
  </si>
  <si>
    <t>Union Leader (Manchester)</t>
  </si>
  <si>
    <t>@UnionLeader</t>
  </si>
  <si>
    <t>https://www.facebook.com/UnionLeader</t>
  </si>
  <si>
    <t>http://www.unionleader.com/</t>
  </si>
  <si>
    <t>Laconia Citizen</t>
  </si>
  <si>
    <t>http://www.citizen.com/</t>
  </si>
  <si>
    <t>Laconia Daily Sun</t>
  </si>
  <si>
    <t>http://www.facebook.com/pages/Laconia-Daily-Sun/22857972622</t>
  </si>
  <si>
    <t>http://www.laconiadailysun.com/</t>
  </si>
  <si>
    <t>Conway Daily Sun</t>
  </si>
  <si>
    <t>http://www.conwaydailysun.com/</t>
  </si>
  <si>
    <t>Keene Sentinel</t>
  </si>
  <si>
    <t>https://www.facebook.com/thekeenesentinel</t>
  </si>
  <si>
    <t>http://www.sentinelsource.com/</t>
  </si>
  <si>
    <t>Caledonian Record</t>
  </si>
  <si>
    <t>https://www.facebook.com/caledonianrecord</t>
  </si>
  <si>
    <t>http://caledonianrecord.com/</t>
  </si>
  <si>
    <t>Valley News</t>
  </si>
  <si>
    <t>https://www.facebook.com/pages/Valley-News/24656296523</t>
  </si>
  <si>
    <t>http://www.vnews.com/</t>
  </si>
  <si>
    <t>Nashua Telegraph</t>
  </si>
  <si>
    <t>@NashuaTelegraph</t>
  </si>
  <si>
    <t>https://www.facebook.com/TheTelegraph</t>
  </si>
  <si>
    <t>http://www.nashuatelegraph.com/</t>
  </si>
  <si>
    <t>Concord Monitor</t>
  </si>
  <si>
    <t>@ConMonitorNews</t>
  </si>
  <si>
    <t>https://www.facebook.com/ConcordMonitor</t>
  </si>
  <si>
    <t>http://www.concordmonitor.com/</t>
  </si>
  <si>
    <t>Eagle Tribune</t>
  </si>
  <si>
    <t>http://www.eagletribune.com/</t>
  </si>
  <si>
    <t>Hampton Union</t>
  </si>
  <si>
    <t>http://www.facebook.com/pages/Hampton-Union/21966819872878</t>
  </si>
  <si>
    <t>http://www.seacoastonline.com/apps/pbcs.dll/section?category=NEWS1</t>
  </si>
  <si>
    <t>Portsmouth Herald</t>
  </si>
  <si>
    <t>https://www.facebook.com/seacoastonline</t>
  </si>
  <si>
    <t>http://www.seacoastonline.com/apps/pbcs.dll/section?category=NEWS9</t>
  </si>
  <si>
    <t>Foster’s Daily Democrat</t>
  </si>
  <si>
    <t>http://www.fosters.com/</t>
  </si>
  <si>
    <t>WBIN TV</t>
  </si>
  <si>
    <t>https://www.facebook.com/pages/WBIN-TV/19543998716948?ref=ts</t>
  </si>
  <si>
    <t>http://www.wbintv.com/</t>
  </si>
  <si>
    <t>WMUR 9</t>
  </si>
  <si>
    <t>@WMUR9</t>
  </si>
  <si>
    <t>https://www.facebook.com/wmur9</t>
  </si>
  <si>
    <t>http://www.wmur.com/</t>
  </si>
  <si>
    <t>WKXL 145 AM</t>
  </si>
  <si>
    <t>http://www.facebook.com/pages/WKXL-139-Concord-News-Radio/228791786</t>
  </si>
  <si>
    <t>http://concordnewsradio.com/</t>
  </si>
  <si>
    <t>WTPL 17.7 FM</t>
  </si>
  <si>
    <t>http://www.facebook.com/pages/WTPL-177-The-Pulse/17684595684954</t>
  </si>
  <si>
    <t>http://www.wtplfm.com/</t>
  </si>
  <si>
    <t>WGIR 61 AM</t>
  </si>
  <si>
    <t>@wgiram61</t>
  </si>
  <si>
    <t>https://www.facebook.com/wgiram</t>
  </si>
  <si>
    <t>http://www.wgiram.com/main.html</t>
  </si>
  <si>
    <t>WNTK 99.7 FM</t>
  </si>
  <si>
    <t>https://www.facebook.com/wntkradio</t>
  </si>
  <si>
    <t>http://www.wntk.com/index.php</t>
  </si>
  <si>
    <t>WHEB 1.3 FM</t>
  </si>
  <si>
    <t>@WHEB</t>
  </si>
  <si>
    <t>https://www.facebook.com/1.3WHEB</t>
  </si>
  <si>
    <t>http://www.wheb.com/main.html</t>
  </si>
  <si>
    <t>New Jersey State Website</t>
  </si>
  <si>
    <t>@GovChristie</t>
  </si>
  <si>
    <t>https://www.facebook.com/GovChrisChristie</t>
  </si>
  <si>
    <t>http://www.state.nj.us/</t>
  </si>
  <si>
    <t>New Jersey EMA</t>
  </si>
  <si>
    <t>@NJOEM21</t>
  </si>
  <si>
    <t>https://www.facebook.com/READYNEWJERSEY</t>
  </si>
  <si>
    <t>http://ready.nj.gov/</t>
  </si>
  <si>
    <t>New Jersey  DHS</t>
  </si>
  <si>
    <t>@NJOHSP</t>
  </si>
  <si>
    <t>http://www.facebook.com/pages/NJ-Office-of-Homeland-Security-and-Preparedness-NJ-OHSP/12116294695447</t>
  </si>
  <si>
    <t>New Jersey State Police EMS</t>
  </si>
  <si>
    <t>http://www.njsp.org/divorg/homelandsec/ems.html</t>
  </si>
  <si>
    <t>New Jersey Wildlife Rescue</t>
  </si>
  <si>
    <t>New Jersey Animal Preparedness</t>
  </si>
  <si>
    <t>http://www.nj.gov/agriculture/divisions/ah/prog/emergency_preparedness.html</t>
  </si>
  <si>
    <t>Atlantic</t>
  </si>
  <si>
    <t>@AtlCoOEM</t>
  </si>
  <si>
    <t>https://www.facebook.com/AtlCoOEP</t>
  </si>
  <si>
    <t>http://www.readyatlantic.org/</t>
  </si>
  <si>
    <t>Bergen</t>
  </si>
  <si>
    <t>@bergencountynj</t>
  </si>
  <si>
    <t>https://www.facebook.com/BergenGov</t>
  </si>
  <si>
    <t>http://www.bcoem.org/</t>
  </si>
  <si>
    <t>Burlington</t>
  </si>
  <si>
    <t>http://www.co.burlington.nj.us/Pages/ViewDepartment.aspx?did=31</t>
  </si>
  <si>
    <t>@camdencountynj</t>
  </si>
  <si>
    <t>https://www.facebook.com/camdencountynj</t>
  </si>
  <si>
    <t>http://www.camdencounty.com/node/8/public-safety/Emergency%2Management%2and%2Homeland%2Security</t>
  </si>
  <si>
    <t>Cape May</t>
  </si>
  <si>
    <t>https://www.facebook.com/CMCGovernment</t>
  </si>
  <si>
    <t>http://www.co.cape-may.nj.us/</t>
  </si>
  <si>
    <t>http://www.facebook.com/pages/Cumberland-County-NJ/2679628617</t>
  </si>
  <si>
    <t>http://www.co.cumberland.nj.us/content/159/3747.aspx</t>
  </si>
  <si>
    <t>@Joe_D_EssexExec</t>
  </si>
  <si>
    <t>http://www.facebook.com/pages/Essex-County-Executive-Joseph-N-DiVincenzo-Jr/11458257419</t>
  </si>
  <si>
    <t>http://www.essex-countynj.org/</t>
  </si>
  <si>
    <t>Gloucester</t>
  </si>
  <si>
    <t>http://www.co.gloucester.nj.us/depts/e/emeresponse/ememanage/default.asp</t>
  </si>
  <si>
    <t>Hudson</t>
  </si>
  <si>
    <t>Hunterdon</t>
  </si>
  <si>
    <t>@hunterdonctynj</t>
  </si>
  <si>
    <t>http://www.facebook.com/HunterdonCountyNJ</t>
  </si>
  <si>
    <t>http://www.co.hunterdon.nj.us/oem.html</t>
  </si>
  <si>
    <t>http://nj.gov/counties/mercer/</t>
  </si>
  <si>
    <t>https://maps.google.com/maps/ms?msid=216372265285266529.4cce362ef9f5958&amp;msa=&amp;ll=4.246778,-74.726944&amp;spn=.217237,.528374</t>
  </si>
  <si>
    <t>http://www.co.middlesex.nj.us/emergency/index.asp</t>
  </si>
  <si>
    <t>Monmouth</t>
  </si>
  <si>
    <t>@MonmouthGovNJ</t>
  </si>
  <si>
    <t>http://www.facebook.com/pages/Monmouth-County-Government/14143177192</t>
  </si>
  <si>
    <t>http://www.co.monmouth.nj.us/</t>
  </si>
  <si>
    <t>@MorrisCountyNJ</t>
  </si>
  <si>
    <t>http://www.facebook.com/MorrisCountyNJ</t>
  </si>
  <si>
    <t>http://www.co.morris.nj.us/</t>
  </si>
  <si>
    <t>Ocean</t>
  </si>
  <si>
    <t>http://www.co.ocean.nj.us/</t>
  </si>
  <si>
    <t>Passaic</t>
  </si>
  <si>
    <t>@passaic_county</t>
  </si>
  <si>
    <t>http://www.facebook.com/pages/Passaic-County/14258953589495</t>
  </si>
  <si>
    <t>http://www.passaiccountynj.org/Index.aspx?NID=141</t>
  </si>
  <si>
    <t>Salem</t>
  </si>
  <si>
    <t>@SalemCountyNJ</t>
  </si>
  <si>
    <t>https://www.facebook.com/salemcountyoem</t>
  </si>
  <si>
    <t>http://www.salemcountynj.gov/cmssite/default.asp?contentID=732</t>
  </si>
  <si>
    <t>http://www.co.somerset.nj.us/emergencyinfo.html</t>
  </si>
  <si>
    <t>Sussex</t>
  </si>
  <si>
    <t>@sussexnj</t>
  </si>
  <si>
    <t>http://www.facebook.com/sussexnj</t>
  </si>
  <si>
    <t>http://www.sussex.nj.us/</t>
  </si>
  <si>
    <t>@countyofunionnj</t>
  </si>
  <si>
    <t>http://www.facebook.com/pages/County-of-Union-New-Jersey/155114994511979</t>
  </si>
  <si>
    <t>http://ucnj.org/</t>
  </si>
  <si>
    <t>http://www.co.warren.nj.us/</t>
  </si>
  <si>
    <t>Public Service Enterprise Group</t>
  </si>
  <si>
    <t>@PSEGdelivers</t>
  </si>
  <si>
    <t>http://www.pseg.com/</t>
  </si>
  <si>
    <t>Atlantic City Electric (A subsidiary of Pepco)</t>
  </si>
  <si>
    <t>@ACElecConnect</t>
  </si>
  <si>
    <t>http://www.facebook.com/AtlanticCityElectric</t>
  </si>
  <si>
    <t>http://www.atlanticcityelectric.com/welcome/</t>
  </si>
  <si>
    <t>FirstEnergy</t>
  </si>
  <si>
    <t>@FirstEnergyCorp</t>
  </si>
  <si>
    <t>https://www.firstenergycorp.com/content/fecorp/fehome.html</t>
  </si>
  <si>
    <t>Jersey Central Power and Light Company</t>
  </si>
  <si>
    <t>@JCP_L</t>
  </si>
  <si>
    <t>http://www.facebook.com/JCPandL</t>
  </si>
  <si>
    <t>Vineland Municipal Electric Utility</t>
  </si>
  <si>
    <t>http://www.vinelandcity.org/electric/vmeusite/index.htm</t>
  </si>
  <si>
    <t>Sussex Rural Electric Cooperative</t>
  </si>
  <si>
    <t>@SussexREC</t>
  </si>
  <si>
    <t>http://www.sussexrec.com/</t>
  </si>
  <si>
    <t>Aqua America - New Jersey</t>
  </si>
  <si>
    <t>https://www.aquaamerica.com/newjersey/Pages/Home.aspx</t>
  </si>
  <si>
    <t>Atlantic City Municipal Utilities Authority</t>
  </si>
  <si>
    <t>http://www.acmua.org/</t>
  </si>
  <si>
    <t>East Windsor Municipal Utilities Authority</t>
  </si>
  <si>
    <t>http://eastwindsormua.com/</t>
  </si>
  <si>
    <t>Freehold Township Water And Sewer</t>
  </si>
  <si>
    <t>@FreeholdTwpNJ</t>
  </si>
  <si>
    <t>http://www.facebook.com/freeholdtownship</t>
  </si>
  <si>
    <t>http://twp.freehold.nj.us/public-works</t>
  </si>
  <si>
    <t>New Jersey American Water</t>
  </si>
  <si>
    <t>@njamwater</t>
  </si>
  <si>
    <t>http://www.facebook.com/NewJerseyAmericanWater</t>
  </si>
  <si>
    <t>http://www.amwater.com/njaw/</t>
  </si>
  <si>
    <t>Newark Department of Water and Sewer Utilities</t>
  </si>
  <si>
    <t>http://www.ci.newark.nj.us/government/city_departments/water__sewer_utilities/</t>
  </si>
  <si>
    <t>Ocean County Municipal Utilities Authority</t>
  </si>
  <si>
    <t>http://www.ocua.com/</t>
  </si>
  <si>
    <t>Passaic Valley Water Commission</t>
  </si>
  <si>
    <t>http://www.pvwc.com/</t>
  </si>
  <si>
    <t>Trenton Water Works</t>
  </si>
  <si>
    <t>http://www.facebook.com/MayorTonyMack</t>
  </si>
  <si>
    <t>http://www.trentonnj.org/cit-e-access/webpage.cfm?tid=55&amp;tpid=6645</t>
  </si>
  <si>
    <t>United Water</t>
  </si>
  <si>
    <t>http://www.unitedwater.com/cusnews-center.aspx</t>
  </si>
  <si>
    <t>Newark Liberty International Airport</t>
  </si>
  <si>
    <t>@NY_NJairports</t>
  </si>
  <si>
    <t>http://www.panynj.gov/airports/newark-liberty.html</t>
  </si>
  <si>
    <t>Atlantic City International Airport</t>
  </si>
  <si>
    <t>@ACYAir</t>
  </si>
  <si>
    <t>http://www.facebook.com/atlanticcityinternationalairport</t>
  </si>
  <si>
    <t>http://www.sjta.com/acairport/</t>
  </si>
  <si>
    <t>Asbury Park Press</t>
  </si>
  <si>
    <t>@AsburyParkPress</t>
  </si>
  <si>
    <t>http://www.facebook.com/asburyparkpress</t>
  </si>
  <si>
    <t>http://www.app.com/</t>
  </si>
  <si>
    <t>Home News &amp; Tribune</t>
  </si>
  <si>
    <t>@MyCentralJersey</t>
  </si>
  <si>
    <t>http://www.facebook.com/MyCentralJersey</t>
  </si>
  <si>
    <t>http://www.mycentraljersey.com/</t>
  </si>
  <si>
    <t>Star Ledger</t>
  </si>
  <si>
    <t>@njdotcom</t>
  </si>
  <si>
    <t>http://www.facebook.com/NJ.com</t>
  </si>
  <si>
    <t>http://www.nj.com/starledger/</t>
  </si>
  <si>
    <t>Courier Post</t>
  </si>
  <si>
    <t>@cpsj</t>
  </si>
  <si>
    <t>http://www.facebook.com/courierpost</t>
  </si>
  <si>
    <t>http://www.courierpostonline.com/</t>
  </si>
  <si>
    <t>South Jersey Times</t>
  </si>
  <si>
    <t>NBC 4 (Atlantic City)</t>
  </si>
  <si>
    <t>@nbc4wmgm</t>
  </si>
  <si>
    <t>http://www.facebook.com/nbc4news</t>
  </si>
  <si>
    <t>http://www.nbc4.net/</t>
  </si>
  <si>
    <t>My UPN 9</t>
  </si>
  <si>
    <t>@My9NewsTV</t>
  </si>
  <si>
    <t>http://www.facebook.com/my9tv</t>
  </si>
  <si>
    <t>http://www.my9tv.com/</t>
  </si>
  <si>
    <t>WCTC 145 AM (East Brunswick)</t>
  </si>
  <si>
    <t>@145WCTC</t>
  </si>
  <si>
    <t>http://www.facebook.com/pages/145-WCTC/1727266676973</t>
  </si>
  <si>
    <t>http://www.wctcam.com/</t>
  </si>
  <si>
    <t>NJ11.5</t>
  </si>
  <si>
    <t>@nj115</t>
  </si>
  <si>
    <t>http://www.facebook.com/nj115</t>
  </si>
  <si>
    <t>http://nj115.com/</t>
  </si>
  <si>
    <t>New Mexico State Website</t>
  </si>
  <si>
    <t>http://www.newmexico.gov/</t>
  </si>
  <si>
    <t>New Mexico  DHS</t>
  </si>
  <si>
    <t>@NMDHSEM</t>
  </si>
  <si>
    <t>New Mexico Wildlife Rescue</t>
  </si>
  <si>
    <t>Bernalillo</t>
  </si>
  <si>
    <t>@bernalilloco</t>
  </si>
  <si>
    <t>https://www.facebook.com/pages/Bernalillo-County-NM/216821614994558</t>
  </si>
  <si>
    <t>http://www.bernco.gov/</t>
  </si>
  <si>
    <t>Catron</t>
  </si>
  <si>
    <t>http://www.catroncounty.us/</t>
  </si>
  <si>
    <t>Chaves</t>
  </si>
  <si>
    <t>https://www.facebook.com/groups/MoraCountyNM/?ref=ts&amp;fref=ts#!/ChavesCountyNM?fref=ts</t>
  </si>
  <si>
    <t>http://co.chaves.nm.us/</t>
  </si>
  <si>
    <t>Cibola</t>
  </si>
  <si>
    <t>http://www.co.cibola.nm.us/</t>
  </si>
  <si>
    <t>http://www.co.colfax.nm.us/</t>
  </si>
  <si>
    <t>Curry</t>
  </si>
  <si>
    <t>@CurryCountySO</t>
  </si>
  <si>
    <t>https://www.facebook.com/groups/MoraCountyNM/?ref=ts&amp;fref=ts#!/currycountynm?fref=ts</t>
  </si>
  <si>
    <t>http://www.currycounty.org/</t>
  </si>
  <si>
    <t>De Baca</t>
  </si>
  <si>
    <t>http://en.wikipedia.org/wiki/De_Baca_County,_New_Mexico</t>
  </si>
  <si>
    <t>Doña Ana</t>
  </si>
  <si>
    <t>http://www.co.dona-ana.nm.us/</t>
  </si>
  <si>
    <t>Eddy</t>
  </si>
  <si>
    <t>@EddyOEM</t>
  </si>
  <si>
    <t>https://www.facebook.com/groups/MoraCountyNM/?ref=ts&amp;fref=ts#!/EddyOEM?fref=ts</t>
  </si>
  <si>
    <t>http://www.co.eddy.nm.us/</t>
  </si>
  <si>
    <t>http://www.grantcountynm.com/</t>
  </si>
  <si>
    <t>Guadalupe</t>
  </si>
  <si>
    <t>http://en.wikipedia.org/wiki/Guadalupe_County,_New_Mexico</t>
  </si>
  <si>
    <t>Harding</t>
  </si>
  <si>
    <t>http://www.hcnm.net/</t>
  </si>
  <si>
    <t>Hidalgo</t>
  </si>
  <si>
    <t>http://www.hidalgocounty.org/</t>
  </si>
  <si>
    <t>Lea</t>
  </si>
  <si>
    <t>http://www.leacounty.net/</t>
  </si>
  <si>
    <t>http://www.lincolncountynm.net/</t>
  </si>
  <si>
    <t>Los Alamos</t>
  </si>
  <si>
    <t>@yoloneco1982</t>
  </si>
  <si>
    <t>https://www.facebook.com/groups/MoraCountyNM/?ref=ts&amp;fref=ts#!/pages/Los-Alamos-County/167261813308133?fref=ts</t>
  </si>
  <si>
    <t>http://www.losalamosnm.us/Pages/home.aspx</t>
  </si>
  <si>
    <t>Luna</t>
  </si>
  <si>
    <t>http://www.lunacountynm.us/</t>
  </si>
  <si>
    <t>McKinley</t>
  </si>
  <si>
    <t>http://www.co.mckinley.nm.us/</t>
  </si>
  <si>
    <t>Mora</t>
  </si>
  <si>
    <t>https://www.facebook.com/groups/MoraCountyNM/?ref=ts&amp;fref=ts</t>
  </si>
  <si>
    <t>http://www.countyofmora.com/</t>
  </si>
  <si>
    <t>Otero</t>
  </si>
  <si>
    <t>https://www.facebook.com/pages/Sandoval-County-New-Mexico/116823388365031?ref=ts&amp;fref=ts&amp;rf=111045522281585#!/OteroClerks?fref=ts</t>
  </si>
  <si>
    <t>http://ocwebserver7.co.otero.nm.us/Main_Page.php</t>
  </si>
  <si>
    <t>Quay</t>
  </si>
  <si>
    <t>http://quaycounty-nm.gov/</t>
  </si>
  <si>
    <t>Rio Arriba</t>
  </si>
  <si>
    <t>@RACOUNTY</t>
  </si>
  <si>
    <t>https://www.facebook.com/RIOARRIBACOUNTY</t>
  </si>
  <si>
    <t>http://www.rio-arriba.org/</t>
  </si>
  <si>
    <t>http://www.rooseveltcounty.com/</t>
  </si>
  <si>
    <t>San Juan</t>
  </si>
  <si>
    <t>@SanJuanCountyNM</t>
  </si>
  <si>
    <t>http://www.sjcounty.net/</t>
  </si>
  <si>
    <t>San Miguel</t>
  </si>
  <si>
    <t>http://www.smcounty.net/</t>
  </si>
  <si>
    <t>Sandoval</t>
  </si>
  <si>
    <t>http://www.sandovalcounty.com/</t>
  </si>
  <si>
    <t>Santa Fe</t>
  </si>
  <si>
    <t>@SantaFeCounty</t>
  </si>
  <si>
    <t>https://www.facebook.com/#!/pages/Santa-Fe-County/151072367656?fref=ts</t>
  </si>
  <si>
    <t>http://www.santafecountynm.gov/</t>
  </si>
  <si>
    <t>Sierra</t>
  </si>
  <si>
    <t>@sierracountynm</t>
  </si>
  <si>
    <t>http://www.sierracountynm.gov/</t>
  </si>
  <si>
    <t>Socorro</t>
  </si>
  <si>
    <t>https://sites.google.com/site/socorrocountyintranet/</t>
  </si>
  <si>
    <t>Taos</t>
  </si>
  <si>
    <t>http://www.taoscounty.org/</t>
  </si>
  <si>
    <t>Torrance</t>
  </si>
  <si>
    <t>http://www.torrancecountynm.org/</t>
  </si>
  <si>
    <t>http://en.wikipedia.org/wiki/Union_County,_New_Mexico</t>
  </si>
  <si>
    <t>Valencia</t>
  </si>
  <si>
    <t>https://www.facebook.com/#!/valenciacountynewsbulletin?fref=ts</t>
  </si>
  <si>
    <t>http://www.co.valencia.nm.us/</t>
  </si>
  <si>
    <t>Electric Companies</t>
  </si>
  <si>
    <t>Central New Mexico Electric Coop</t>
  </si>
  <si>
    <t>http://www.cnmec.org</t>
  </si>
  <si>
    <t>Central Valley Electric Coop</t>
  </si>
  <si>
    <t>http://www.cvecoop.org</t>
  </si>
  <si>
    <t>Columbus Electric Coop</t>
  </si>
  <si>
    <t>http://www.columbusco-op.org/</t>
  </si>
  <si>
    <t>Continental Divide Electric Coop</t>
  </si>
  <si>
    <t>http://www.cdec.coop</t>
  </si>
  <si>
    <t>Duncan Valley Electric Coop</t>
  </si>
  <si>
    <t>http://www.dvec.org/</t>
  </si>
  <si>
    <t>El Paso Electric</t>
  </si>
  <si>
    <t>http://www.epelectric.com</t>
  </si>
  <si>
    <t>Farmers Electric Coop</t>
  </si>
  <si>
    <t>http://www.fecnm.org/</t>
  </si>
  <si>
    <t>Farmington Electric Utility System</t>
  </si>
  <si>
    <t>http://www.fmtn.org/city_government/electric_utility/</t>
  </si>
  <si>
    <t>Jemez Mountains Electric Coop</t>
  </si>
  <si>
    <t>http://www.jemezcoop.org/</t>
  </si>
  <si>
    <t>Kit Carson Electric Coop</t>
  </si>
  <si>
    <t>http://www.kitcarson.com/</t>
  </si>
  <si>
    <t>Lea County Electric Coop</t>
  </si>
  <si>
    <t>http://www.lcecnet.com/</t>
  </si>
  <si>
    <t>Los Alamos Dept of Public Utilities</t>
  </si>
  <si>
    <t>http://www.losalamosnm.us/UTILITIES/Pages/default.aspx</t>
  </si>
  <si>
    <t>Mora-San Miguel Electric Coop</t>
  </si>
  <si>
    <t>http://www.moraelectric.org</t>
  </si>
  <si>
    <t>Navopache Electric Coop</t>
  </si>
  <si>
    <t>http://www.navopache.org/</t>
  </si>
  <si>
    <t>Northern Rio Arriba Electric Coop</t>
  </si>
  <si>
    <t>http://www.noraelectric.org/</t>
  </si>
  <si>
    <t>Otero County Electric Coop</t>
  </si>
  <si>
    <t>http://www.ocec-inc.com/</t>
  </si>
  <si>
    <t>Public Service Company of New Mexico (PNM)</t>
  </si>
  <si>
    <t>@PNMtalk</t>
  </si>
  <si>
    <t>Facebook.com/PNMelectric</t>
  </si>
  <si>
    <t>http://www.pnm.com/</t>
  </si>
  <si>
    <t>Rio Grande Electric Coop</t>
  </si>
  <si>
    <t>http://www.rgec.coop/</t>
  </si>
  <si>
    <t>Roosevelt County Electric Coop</t>
  </si>
  <si>
    <t>http://www.rcec.coop/</t>
  </si>
  <si>
    <t>Sierra Electric Coop</t>
  </si>
  <si>
    <t>http://www.sierraelectric.org/</t>
  </si>
  <si>
    <t>Socorro Electric Coop</t>
  </si>
  <si>
    <t>http://www.socorroelectric.com/</t>
  </si>
  <si>
    <t>Southwestern Electric Coop</t>
  </si>
  <si>
    <t>http://www.swec-coop.org/</t>
  </si>
  <si>
    <t>Springer Electric Coop</t>
  </si>
  <si>
    <t>http://springercoop.com/</t>
  </si>
  <si>
    <t>Tri-State Generation &amp; Transmission Association</t>
  </si>
  <si>
    <t>http://www.tristategt.org/</t>
  </si>
  <si>
    <t>Western Farmers Electric Coop</t>
  </si>
  <si>
    <t>http://www.wfec.com/</t>
  </si>
  <si>
    <t>@XcelEnergyNM</t>
  </si>
  <si>
    <t>https://www.facebook.com/#!/XcelEnergyNM?fref=ts</t>
  </si>
  <si>
    <t>http://www.xcelenergy.com</t>
  </si>
  <si>
    <t>Water &amp; Sewer Companies</t>
  </si>
  <si>
    <t>Albuquerque Bernalillo County Water Utility Authority</t>
  </si>
  <si>
    <t>https://www.facebook.com/#!/WaterAuthority?fref=ts</t>
  </si>
  <si>
    <t>http://www.abcwua.org/</t>
  </si>
  <si>
    <t>Boles Water System</t>
  </si>
  <si>
    <t>http://www.nmprc.state.nm.us/consumer-relations/company-directory/water/boles-water-system/index.html</t>
  </si>
  <si>
    <t>Caprock Water Company</t>
  </si>
  <si>
    <t>http://www.nmprc.state.nm.us/consumer-relations/company-directory/water/caprock-water-company/index.html</t>
  </si>
  <si>
    <t>CBG Maintenance Inc</t>
  </si>
  <si>
    <t>http://www.nmprc.state.nm.us/consumer-relations/company-directory/water/cbg-maintenance-inc/index.html</t>
  </si>
  <si>
    <t>CDS Rainmakers Utilities</t>
  </si>
  <si>
    <t>http://www.nmprc.state.nm.us/consumer-relations/company-directory/water/cds-rainmakers-utilities/index.html</t>
  </si>
  <si>
    <t>Desertaire Water Company</t>
  </si>
  <si>
    <t>http://www.nmprc.state.nm.us/consumer-relations/company-directory/water/desertaire-water-company/index.html</t>
  </si>
  <si>
    <t>Echo Valley Water Company</t>
  </si>
  <si>
    <t>http://www.nmprc.state.nm.us/consumer-relations/company-directory/water/echo-valley-water-co/index.html</t>
  </si>
  <si>
    <t>Eileen Acres Services</t>
  </si>
  <si>
    <t>http://www.nmprc.state.nm.us/consumer-relations/company-directory/water/eileen-acres-services/index.html</t>
  </si>
  <si>
    <t>Epcor Water New Mexico</t>
  </si>
  <si>
    <t>https://www.facebook.com/#!/pages/EPCOR-Water/321380747900105?fref=ts</t>
  </si>
  <si>
    <t>Fort Selden Water Company</t>
  </si>
  <si>
    <t>http://www.nmprc.state.nm.us/consumer-relations/company-directory/water/fort-selden-water-company/index.html</t>
  </si>
  <si>
    <t>Homestead Water Company</t>
  </si>
  <si>
    <t>http://www.nmprc.state.nm.us/consumer-relations/company-directory/water/homestead-water-co/index.html</t>
  </si>
  <si>
    <t>Indian Hills Waterworks Inc</t>
  </si>
  <si>
    <t>http://www.nmprc.state.nm.us/consumer-relations/company-directory/water/indian-hills-waterworks-inc/index.html</t>
  </si>
  <si>
    <t>Jornada Water Company</t>
  </si>
  <si>
    <t>http://www.nmprc.state.nm.us/consumer-relations/company-directory/water/jornada-water-co/index.html</t>
  </si>
  <si>
    <t>Lake Section Water Company</t>
  </si>
  <si>
    <t>http://www.nmprc.state.nm.us/consumer-relations/company-directory/water/lake-section-water-company/index.html</t>
  </si>
  <si>
    <t>Melody Ranch Water Company</t>
  </si>
  <si>
    <t>http://www.nmprc.state.nm.us/consumer-relations/company-directory/water/melody-ranch-water-company/index.html</t>
  </si>
  <si>
    <t>Mesa Development Center</t>
  </si>
  <si>
    <t>Monterey Water Company</t>
  </si>
  <si>
    <t>http://www.nmprc.state.nm.us/consumer-relations/company-directory/water/monterey-water-co/index.html</t>
  </si>
  <si>
    <t>Moongate Water Company</t>
  </si>
  <si>
    <t>http://www.nmprc.state.nm.us/consumer-relations/company-directory/water/moongate-water-co/index.html</t>
  </si>
  <si>
    <t>New Mexico Water Service Company</t>
  </si>
  <si>
    <t>http://www.nmprc.state.nm.us/consumer-relations/company-directory/water/new-mexico-water-service-company/index.html</t>
  </si>
  <si>
    <t>New Mexico Waterworks</t>
  </si>
  <si>
    <t>http://www.nmprc.state.nm.us/consumer-relations/company-directory/water/new-mexico-waterworks/index.html</t>
  </si>
  <si>
    <t>Picacho Hills Utility</t>
  </si>
  <si>
    <t>http://www.nmprc.state.nm.us/consumer-relations/company-directory/water/picacho-hills-utility/index.html</t>
  </si>
  <si>
    <t>Quemado Waterworks</t>
  </si>
  <si>
    <t>http://www.nmprc.state.nm.us/consumer-relations/company-directory/water/quemado-waterworks/index.html</t>
  </si>
  <si>
    <t>River Valley View Water System</t>
  </si>
  <si>
    <t>http://www.nmprc.state.nm.us/consumer-relations/company-directory/water/river-valley-view-water-system/index.html</t>
  </si>
  <si>
    <t>Sandia Peak Utility</t>
  </si>
  <si>
    <t>http://www.nmprc.state.nm.us/consumer-relations/company-directory/water/sandia-peak-utility/index.html</t>
  </si>
  <si>
    <t>Sangre de Cristo Water Division</t>
  </si>
  <si>
    <t>http://www.santafenm.gov/index.aspx?nid=269</t>
  </si>
  <si>
    <t>South Hills Water Company</t>
  </si>
  <si>
    <t>http://www.nmprc.state.nm.us/consumer-relations/company-directory/water/south-hills-water-co/index.html</t>
  </si>
  <si>
    <t>Sunlit Hills of Santa Fe</t>
  </si>
  <si>
    <t>http://www.nmprc.state.nm.us/consumer-relations/company-directory/water/sunlit-hills-of-santa-fe/index.html</t>
  </si>
  <si>
    <t>Sunset Acres Water</t>
  </si>
  <si>
    <t>http://www.nmprc.state.nm.us/consumer-relations/company-directory/water/sunset-acres-water/index.html</t>
  </si>
  <si>
    <t>Thunder Mountain Water Company</t>
  </si>
  <si>
    <t>http://www.nmprc.state.nm.us/consumer-relations/company-directory/water/thunder-mountain-water-company/index.html</t>
  </si>
  <si>
    <t>Timberon Water &amp; Sanitation District</t>
  </si>
  <si>
    <t>http://timberonwater.com/</t>
  </si>
  <si>
    <t>Water &amp; Sewer, City of Roswell</t>
  </si>
  <si>
    <t>http://www.roswell-usa.com/city/water/index.htm</t>
  </si>
  <si>
    <t>West Mesa Water Company</t>
  </si>
  <si>
    <t>http://www.nmprc.state.nm.us/consumer-relations/company-directory/water/west-mesa-water-co/index.html</t>
  </si>
  <si>
    <t>Gas Companies</t>
  </si>
  <si>
    <t>New Mexico Gas Company</t>
  </si>
  <si>
    <t>@nmgasco</t>
  </si>
  <si>
    <t>https://www.facebook.com/#!/pages/New-Mexico-Gas-Company/200469599980565?fref=ts</t>
  </si>
  <si>
    <t>http://www.nmgco.com/</t>
  </si>
  <si>
    <t>Raton Gas Company</t>
  </si>
  <si>
    <t>http://www.nmprc.state.nm.us/consumer-relations/company-directory/gas/raton-gas-company/index.html</t>
  </si>
  <si>
    <t>Zia Gas Company</t>
  </si>
  <si>
    <t>http://zngc.com/</t>
  </si>
  <si>
    <t>Telecommunication Companies</t>
  </si>
  <si>
    <t>Baca Valley Telephone Company</t>
  </si>
  <si>
    <t>http://www.bacavalley.com</t>
  </si>
  <si>
    <t>Century Link - Qwest</t>
  </si>
  <si>
    <t>@CenturyLink</t>
  </si>
  <si>
    <t>https://www.facebook.com/#!/CenturyLink?fref=ts&amp;rf=114490651901079</t>
  </si>
  <si>
    <t>http://www.centurylink.com/</t>
  </si>
  <si>
    <t>Copper Valley Telephone Coop</t>
  </si>
  <si>
    <t>http://www.vtc.net</t>
  </si>
  <si>
    <t>Dell Valley Telephone Coop</t>
  </si>
  <si>
    <t>http://www.delltelephone.com/</t>
  </si>
  <si>
    <t>La Jicarita Rural Telephone Coop</t>
  </si>
  <si>
    <t>http://www.lajicarita.com/</t>
  </si>
  <si>
    <t>Leaco Rural Telephone Coop</t>
  </si>
  <si>
    <t>https://www.facebook.com/#!/pages/Leaco-Rural-Telephone-Cooperative-Inc/142808394755?fref=ts</t>
  </si>
  <si>
    <t>http://www.leaco.net/</t>
  </si>
  <si>
    <t>Mescalero Apache Telecom</t>
  </si>
  <si>
    <t>http://www.matisp.net/</t>
  </si>
  <si>
    <t>Navajo Communications</t>
  </si>
  <si>
    <t>http://www.frontier.com/</t>
  </si>
  <si>
    <t>Panhandle Telephone Coop</t>
  </si>
  <si>
    <t>http://www.ptci.net/</t>
  </si>
  <si>
    <t>Penaso Valley Telephone Coop</t>
  </si>
  <si>
    <t>http://www.pvt.com/</t>
  </si>
  <si>
    <t>Plateau Telecom</t>
  </si>
  <si>
    <t>http://plateautel.com/</t>
  </si>
  <si>
    <t>Roosevelt County Rural Telephone Coop</t>
  </si>
  <si>
    <t>http://www.rcrtc.com/</t>
  </si>
  <si>
    <t>Sacred Wind Communications</t>
  </si>
  <si>
    <t>https://www.facebook.com/#!/SacredWindCommunications?fref=ts</t>
  </si>
  <si>
    <t>http://wwww.sacredwindcommunications.com</t>
  </si>
  <si>
    <t>Tularosa Basin Telephone Company</t>
  </si>
  <si>
    <t>http://www.tbtc.net/</t>
  </si>
  <si>
    <t>Valley Telephone Coop</t>
  </si>
  <si>
    <t>http://www.vtc.net/</t>
  </si>
  <si>
    <t>Western New Mexico Telephone Coop</t>
  </si>
  <si>
    <t>http://www.wnmt.com/</t>
  </si>
  <si>
    <t>Windstream Communications</t>
  </si>
  <si>
    <t>@Talk2Windstream</t>
  </si>
  <si>
    <t>https://www.facebook.com/#!/WindstreamCommunications?fref=ts</t>
  </si>
  <si>
    <t>http://www.windstream.com/</t>
  </si>
  <si>
    <t>Alamogordo-White Sands Regional Airport</t>
  </si>
  <si>
    <t>https://www.facebook.com/#!/pages/AlamogordoWhite-Sands-Regional-Airport/365889953495249?fref=ts&amp;rf=132585030113077</t>
  </si>
  <si>
    <t>http://www.airport-data.com/airport/ALM/</t>
  </si>
  <si>
    <t>Albuquerque International Sunport</t>
  </si>
  <si>
    <t>https://www.facebook.com/pages/Albuquerque-International-Sunport/136609783027446?fref=ts&amp;rf=110155115703180#</t>
  </si>
  <si>
    <t>http://www.cabq.gov/airport/</t>
  </si>
  <si>
    <t>Angel Fire Airport</t>
  </si>
  <si>
    <t>https://www.facebook.com/pages/Albuquerque-International-Sunport/136609783027446?fref=ts&amp;rf=110155115703180#!/pages/Angel-Fire-Airport/150996218249057?fref=ts</t>
  </si>
  <si>
    <t>http://www.airnav.com/airport/KAXX</t>
  </si>
  <si>
    <t>Artesia Municipal Airport</t>
  </si>
  <si>
    <t>https://www.facebook.com/pages/Artesia-Municipal-Airport/183830161935</t>
  </si>
  <si>
    <t>http://www.airnav.com/airport/KATS</t>
  </si>
  <si>
    <t>Aztec Municipal Airport</t>
  </si>
  <si>
    <t>http://www.airnav.com/airport/N19</t>
  </si>
  <si>
    <t>Belen Alexander Municipal Airport</t>
  </si>
  <si>
    <t>https://www.facebook.com/pages/Albuquerque-International-Sunport/136609783027446?fref=ts&amp;rf=110155115703180#!/pages/Alexander-Municipal-Airport/147888935237527?fref=ts</t>
  </si>
  <si>
    <t>http://www.belen-nm.gov/departments/alex_mun_airport/alexMunicipalAirport.htm</t>
  </si>
  <si>
    <t>Black Rock Airport</t>
  </si>
  <si>
    <t>http://www.airnav.com/airport/KZUN</t>
  </si>
  <si>
    <t>Cannon Air Force Base</t>
  </si>
  <si>
    <t>@27SOW_CANNONAFB</t>
  </si>
  <si>
    <t>https://www.facebook.com/27thSpecialOperationsWing</t>
  </si>
  <si>
    <t>http://www.cannon.af.mil/</t>
  </si>
  <si>
    <t>Carrizozo Municipal Airport</t>
  </si>
  <si>
    <t>http://www.airnav.com/airport/F37</t>
  </si>
  <si>
    <t>Cavern City Air Terminal</t>
  </si>
  <si>
    <t>https://www.facebook.com/pages/Albuquerque-International-Sunport/136609783027446?fref=ts&amp;rf=110155115703180#!/pages/Carlsbad-Army-Airfield/135336903165949?fref=ts&amp;rf=139711019381961</t>
  </si>
  <si>
    <t>http://www.cityofcarlsbadnm.com/Airport.cfm</t>
  </si>
  <si>
    <t>Clayton Municipal Airpark</t>
  </si>
  <si>
    <t>http://www.airnav.com/airport/KCAO</t>
  </si>
  <si>
    <t>Clovis Municipal Airport</t>
  </si>
  <si>
    <t>http://www.airport.cityofclovis.org/</t>
  </si>
  <si>
    <t>Columbus Municipal Airport</t>
  </si>
  <si>
    <t>http://www.airnav.com/airport/0NM0</t>
  </si>
  <si>
    <t>Condron Army Airfield</t>
  </si>
  <si>
    <t>http://www.airnav.com/airport/KWSD</t>
  </si>
  <si>
    <t>Conchas Lake Airport</t>
  </si>
  <si>
    <t>http://www.airnav.com/airport/E89</t>
  </si>
  <si>
    <t>Conchas Lake Seaplane Base</t>
  </si>
  <si>
    <t>http://www.airnav.com/airport/E61</t>
  </si>
  <si>
    <t>Crownpoint Airport</t>
  </si>
  <si>
    <t>http://www.airnav.com/airport/0E8</t>
  </si>
  <si>
    <t>Deming Municipal Airport</t>
  </si>
  <si>
    <t>https://www.facebook.com/pages/KDMN/323862204295034?ref=ts&amp;fref=ts&amp;rf=138092312882021</t>
  </si>
  <si>
    <t>http://www.cityofdeming.org/deming-community/municipal-airport.html</t>
  </si>
  <si>
    <t>Don Ana County Airport at Santa Teresa</t>
  </si>
  <si>
    <t>http://www.donaanacounty.org/works/airport/</t>
  </si>
  <si>
    <t>Double Eagle II Airport</t>
  </si>
  <si>
    <t>https://www.facebook.com/pages/KDMN/323862204295034?ref=ts&amp;fref=ts&amp;rf=138092312882021#!/pages/Double-Eagle-II-Airport/227647957268041?fref=ts&amp;rf=244300638915399</t>
  </si>
  <si>
    <t>http://www.cabq.gov/airport/double-eagle-ii-airport</t>
  </si>
  <si>
    <t>Estancia Municipal Airport</t>
  </si>
  <si>
    <t>http://www.airnav.com/airport/E92</t>
  </si>
  <si>
    <t>Four Corners Regional Airport</t>
  </si>
  <si>
    <t>https://www.facebook.com/pages/KDMN/323862204295034?ref=ts&amp;fref=ts&amp;rf=138092312882021#!/pages/Four-Corners-Regional-Airport/110575795662058?fref=ts</t>
  </si>
  <si>
    <t>http://www.fmtn.org/city_services/four_corners_airport/index.html</t>
  </si>
  <si>
    <t>Fort Sumner Municipal Airport</t>
  </si>
  <si>
    <t>https://www.facebook.com/pages/KDMN/323862204295034?ref=ts&amp;fref=ts&amp;rf=138092312882021#!/pages/Fort-Sumner-Army-Airfield/135786366452039?fref=ts&amp;rf=116696781710750</t>
  </si>
  <si>
    <t>http://www.airnav.com/airport/KFSU</t>
  </si>
  <si>
    <t>Gallup Municipal Airport</t>
  </si>
  <si>
    <t>http://www.airnav.com/airport/KGUP</t>
  </si>
  <si>
    <t>Glenwood-Catron County Airport</t>
  </si>
  <si>
    <t>http://www.airnav.com/airport/E94</t>
  </si>
  <si>
    <t>Grant County Airport</t>
  </si>
  <si>
    <t>http://grantcountynm.com/grant_county_nm_info.php?CID=386</t>
  </si>
  <si>
    <t>Grants-Milan Municipal Airport</t>
  </si>
  <si>
    <t>http://www.airnav.com/airport/KGNT</t>
  </si>
  <si>
    <t>Hatch Municipal Airport</t>
  </si>
  <si>
    <t>http://www.airnav.com/airport/E05</t>
  </si>
  <si>
    <t>Holloman Air Force Base</t>
  </si>
  <si>
    <t>@HollomanAFB</t>
  </si>
  <si>
    <t>https://www.facebook.com/HollomanOnFB</t>
  </si>
  <si>
    <t>http://www.holloman.af.mil/</t>
  </si>
  <si>
    <t>Industrial Airpark</t>
  </si>
  <si>
    <t>http://www.airnav.com/airport/HBB</t>
  </si>
  <si>
    <t>Jewett Mesa Airport</t>
  </si>
  <si>
    <t>http://www.airnav.com/airport/13Q</t>
  </si>
  <si>
    <t>Jicarilla Apache Nation Airport</t>
  </si>
  <si>
    <t>http://www.airnav.com/airport/24N</t>
  </si>
  <si>
    <t>Kirtland Air Force Base</t>
  </si>
  <si>
    <t>https://www.facebook.com/pages/Kirtland-Air-Force-Base-New-Mexico/104988136204975</t>
  </si>
  <si>
    <t>http://www.kirtland.af.mil/</t>
  </si>
  <si>
    <t>Las Cruces International Airport</t>
  </si>
  <si>
    <t>https://www.facebook.com/pages/Clark-Field-Municipal-Airport/123236284390672?ref=ts&amp;fref=ts&amp;rf=142518062445289#!/pages/Las-Cruces-International-Airport/121843231159620?fref=ts</t>
  </si>
  <si>
    <t>http://www.airnav.com/airport/KLRU</t>
  </si>
  <si>
    <t>Las Vegas Municipal Airport</t>
  </si>
  <si>
    <t>http://www.airnav.com/airport/KLVS</t>
  </si>
  <si>
    <t>Lea County - Jal Airport</t>
  </si>
  <si>
    <t>https://www.facebook.com/pages/Clark-Field-Municipal-Airport/123236284390672?ref=ts&amp;fref=ts&amp;rf=142518062445289#!/pages/Lea-County-Jal-Airport/102828529771309?fref=ts</t>
  </si>
  <si>
    <t>http://www.airnav.com/airport/E26</t>
  </si>
  <si>
    <t>Lea County Regional Airport</t>
  </si>
  <si>
    <t>https://www.facebook.com/pages/Clark-Field-Municipal-Airport/123236284390672?ref=ts&amp;fref=ts&amp;rf=142518062445289#!/pages/Lea-County-Regional-Airport/126918047351826?fref=ts</t>
  </si>
  <si>
    <t>http://www.leacounty.net/leacountyregionalairport.htm</t>
  </si>
  <si>
    <t>Lea County-Zip Franklin Memorial Airport</t>
  </si>
  <si>
    <t>http://www.leacounty.net/lovingtonairport.htm</t>
  </si>
  <si>
    <t>Lindrith Airpark</t>
  </si>
  <si>
    <t>https://www.airnav.com/airport/E32</t>
  </si>
  <si>
    <t>Lordsburg Municipal Airport</t>
  </si>
  <si>
    <t>http://www.airnav.com/airport/KLSB</t>
  </si>
  <si>
    <t>Los Alamos Airport</t>
  </si>
  <si>
    <t>http://www.lam.aero/</t>
  </si>
  <si>
    <t>Magdalena Airport</t>
  </si>
  <si>
    <t>http://www.airnav.com/airport/N29</t>
  </si>
  <si>
    <t>Mid Valley Airpark</t>
  </si>
  <si>
    <t>http://www.airnav.com/airport/E98</t>
  </si>
  <si>
    <t>Moriarty Airport</t>
  </si>
  <si>
    <t>http://www.airnav.com/airport/0E0</t>
  </si>
  <si>
    <t>Mountainair Municipal Airport</t>
  </si>
  <si>
    <t>http://www.airnav.com/airport/M10</t>
  </si>
  <si>
    <t>Navajo Lake Airport</t>
  </si>
  <si>
    <t>http://www.airnav.com/airport/1V0</t>
  </si>
  <si>
    <t>Ohkay Owingeh Airport</t>
  </si>
  <si>
    <t>http://www.airnav.com/airport/E14</t>
  </si>
  <si>
    <t>Portales Municipal Airport</t>
  </si>
  <si>
    <t>http://www.portalesnm.org/website/index.php?idpage=13</t>
  </si>
  <si>
    <t>Questa Municipal Airport</t>
  </si>
  <si>
    <t>http://www.airnav.com/airport/N24</t>
  </si>
  <si>
    <t>Raton Municipal Airport</t>
  </si>
  <si>
    <t>https://www.facebook.com/pages/Raton-Municipal-Airport/111012542284156?ref=ts&amp;fref=ts</t>
  </si>
  <si>
    <t>http://www.ratonnm.gov/transportation/airport</t>
  </si>
  <si>
    <t>Reserve Airport</t>
  </si>
  <si>
    <t>http://www.airnav.com/airport/T16</t>
  </si>
  <si>
    <t>Roswell International Air Center</t>
  </si>
  <si>
    <t>https://www.facebook.com/pages/Raton-Municipal-Airport/111012542284156?ref=ts&amp;fref=ts#!/pages/Roswell-International-Air-Center/139036056114720?fref=ts</t>
  </si>
  <si>
    <t>http://www.roswellhome.net/aircenter.htm</t>
  </si>
  <si>
    <t>Sandia Airpark Estates East Airport</t>
  </si>
  <si>
    <t>http://www.airnav.com/airport/1N1</t>
  </si>
  <si>
    <t>Santa Fe Municipal Airport</t>
  </si>
  <si>
    <t>https://www.facebook.com/pages/Raton-Municipal-Airport/111012542284156?ref=ts&amp;fref=ts#!/pages/Santa-Fe-County-Municipal-Airport/146609032024969?fref=ts</t>
  </si>
  <si>
    <t>http://www.santafenm.gov/index.aspx?NID=171</t>
  </si>
  <si>
    <t>Santa Rosa Route 66 Airport</t>
  </si>
  <si>
    <t>http://www.airnav.com/airport/KSXU</t>
  </si>
  <si>
    <t>Sierra Blanca Regional Airport</t>
  </si>
  <si>
    <t>http://www.sierrablancaregional.com/</t>
  </si>
  <si>
    <t>Shiprock Airstrip</t>
  </si>
  <si>
    <t>https://www.facebook.com/pages/5V5/205745822837294?rf=107785359274970#</t>
  </si>
  <si>
    <t>http://www.airnav.com/airport/5V5</t>
  </si>
  <si>
    <t>Socorro Municipal Airport</t>
  </si>
  <si>
    <t>http://www.socorronm.gov/city_services/airport.asp</t>
  </si>
  <si>
    <t>Spaceport America</t>
  </si>
  <si>
    <t>@Spaceport_NM</t>
  </si>
  <si>
    <t>https://www.facebook.com/spaceportamerica1</t>
  </si>
  <si>
    <t>http://spaceportamerica.com/</t>
  </si>
  <si>
    <t>Springer Municipal Airport</t>
  </si>
  <si>
    <t>http://www.airnav.com/airport/S42</t>
  </si>
  <si>
    <t>Stallion Army Airfield</t>
  </si>
  <si>
    <t>http://www.airnav.com/airport/95E</t>
  </si>
  <si>
    <t>Taos Regional Airport</t>
  </si>
  <si>
    <t>http://www.taosairport.org/</t>
  </si>
  <si>
    <t>Tatum Airport</t>
  </si>
  <si>
    <t>http://www.airnav.com/airport/18T</t>
  </si>
  <si>
    <t>Truth or Consequences Municipal Airport</t>
  </si>
  <si>
    <t>http://www.torcnm.org/departments/airport.html</t>
  </si>
  <si>
    <t>Tucumcari Municipal Airport</t>
  </si>
  <si>
    <t>http://www.airnav.com/airport/KTCC</t>
  </si>
  <si>
    <t>Vaughn Municipal Airport</t>
  </si>
  <si>
    <t>http://www.airnav.com/airport/N17</t>
  </si>
  <si>
    <t>Whiskey Creek Airport</t>
  </si>
  <si>
    <t>http://www.airnav.com/airport/94E</t>
  </si>
  <si>
    <t>KASA Fox 2</t>
  </si>
  <si>
    <t>@kasafox2</t>
  </si>
  <si>
    <t>https://www.facebook.com/2KASAFOX</t>
  </si>
  <si>
    <t>http://www.kasa.com/</t>
  </si>
  <si>
    <t>KENW TV/FM Eastern NM University</t>
  </si>
  <si>
    <t>@KENWPublicMedia</t>
  </si>
  <si>
    <t>https://www.facebook.com/kenw.enmu</t>
  </si>
  <si>
    <t>http://www.kenw.org/</t>
  </si>
  <si>
    <t>KOAT 7 Albuquerque</t>
  </si>
  <si>
    <t>@KOATLiveUpdates</t>
  </si>
  <si>
    <t>https://www.facebook.com/KOAT7</t>
  </si>
  <si>
    <t>http://www.koat.com/</t>
  </si>
  <si>
    <t>KOB 4 Eyewitness News</t>
  </si>
  <si>
    <t>@KOB4</t>
  </si>
  <si>
    <t>https://www.facebook.com/#!/KOBTV?fref=ts</t>
  </si>
  <si>
    <t>http://www.kob.com/index.shtml</t>
  </si>
  <si>
    <t>KRQE News 13</t>
  </si>
  <si>
    <t>@krqe</t>
  </si>
  <si>
    <t>https://www.facebook.com/#!/krqe.kasa?fref=ts</t>
  </si>
  <si>
    <t>http://www.krqe.com/</t>
  </si>
  <si>
    <t>KVIA ABC 7</t>
  </si>
  <si>
    <t>@abc7breaking</t>
  </si>
  <si>
    <t>https://www.facebook.com/KVIATV</t>
  </si>
  <si>
    <t>New Mexico PBS</t>
  </si>
  <si>
    <t>@NMPBS</t>
  </si>
  <si>
    <t>https://www.facebook.com/NewMexicoPBS</t>
  </si>
  <si>
    <t>http://www.newmexicopbs.org/</t>
  </si>
  <si>
    <t>New York State Website</t>
  </si>
  <si>
    <t>www.ny.gov/</t>
  </si>
  <si>
    <t>New York  DHS/EMS</t>
  </si>
  <si>
    <t>@NYSDHSES</t>
  </si>
  <si>
    <t>http://www.dhses.ny.gov/oct/</t>
  </si>
  <si>
    <t>New York Wildlife Rescue</t>
  </si>
  <si>
    <t>http://www.nyswrc.org/rehabbers.html</t>
  </si>
  <si>
    <t>Albany</t>
  </si>
  <si>
    <t>http://www.albanycounty.com/</t>
  </si>
  <si>
    <t>Allegany</t>
  </si>
  <si>
    <t>http://www.alleganyco.com/</t>
  </si>
  <si>
    <t>Broome</t>
  </si>
  <si>
    <t>http://www.gobroomecounty.com/</t>
  </si>
  <si>
    <t>Cattaraugus</t>
  </si>
  <si>
    <t>http://www.cattco.org/</t>
  </si>
  <si>
    <t>Cayuga</t>
  </si>
  <si>
    <t>http://www.co.cayuga.ny.us/</t>
  </si>
  <si>
    <t>http://www.co.chautauqua.ny.us/pages/default.aspx</t>
  </si>
  <si>
    <t>Chemung</t>
  </si>
  <si>
    <t>http://www.chemungcounty.com/</t>
  </si>
  <si>
    <t>Chenango</t>
  </si>
  <si>
    <t>http://www.co.chenango.ny.us/</t>
  </si>
  <si>
    <t>https://www.facebook.com/clintonhealth</t>
  </si>
  <si>
    <t>http://www.clintoncountygov.com/</t>
  </si>
  <si>
    <t>Columbia</t>
  </si>
  <si>
    <t>http://www.columbiacountyny.com/</t>
  </si>
  <si>
    <t>Cortland</t>
  </si>
  <si>
    <t>http://www.cortland-co.org/</t>
  </si>
  <si>
    <t>http://www.co.delaware.ny.us/</t>
  </si>
  <si>
    <t>Dutchess</t>
  </si>
  <si>
    <t>@DutchessCoGov</t>
  </si>
  <si>
    <t>https://www.facebook.com/pages/Dutchess-County-Government/73646813346</t>
  </si>
  <si>
    <t>http://www.co.dutchess.ny.us/</t>
  </si>
  <si>
    <t>Erie</t>
  </si>
  <si>
    <t>http://www2.erie.gov/</t>
  </si>
  <si>
    <t>http://www.co.essex.ny.us/</t>
  </si>
  <si>
    <t>http://franklincony.org/content</t>
  </si>
  <si>
    <t>http://www.fultoncountyny.gov/</t>
  </si>
  <si>
    <t>http://www.co.genesee.ny.us/</t>
  </si>
  <si>
    <t>http://www.greenegovernment.com/</t>
  </si>
  <si>
    <t>http://www.hamiltoncounty.com/</t>
  </si>
  <si>
    <t>Herkimer</t>
  </si>
  <si>
    <t>http://herkimercounty.org/content</t>
  </si>
  <si>
    <t>http://www.co.jefferson.ny.us/</t>
  </si>
  <si>
    <t>http://lewiscountyny.org/content</t>
  </si>
  <si>
    <t>@LivingstonCtyNY
Tourism Twitter</t>
  </si>
  <si>
    <t>http://www.co.livingston.state.ny.us/index.htm</t>
  </si>
  <si>
    <t>@madtour  
Tourism Twitter</t>
  </si>
  <si>
    <t>http://www.madisoncounty.ny.gov/</t>
  </si>
  <si>
    <t>@Maggie__Brooks</t>
  </si>
  <si>
    <t>https://www.facebook.com/pages/Maggie-Brooks/19966719621?v=wall&amp;ref=ts
County Exec FB Page</t>
  </si>
  <si>
    <t>http://www.monroecounty.gov/</t>
  </si>
  <si>
    <t>http://www.co.montgomery.ny.us/website/</t>
  </si>
  <si>
    <t>Nassau</t>
  </si>
  <si>
    <t>http://www.nassaucountyny.gov/</t>
  </si>
  <si>
    <t>New York City</t>
  </si>
  <si>
    <t>@nycgov</t>
  </si>
  <si>
    <t>https://www.facebook.com/nycgov</t>
  </si>
  <si>
    <t>http://www.nyc.gov/portal/site/nycgov/?front_door=true</t>
  </si>
  <si>
    <t>Niagara</t>
  </si>
  <si>
    <t>http://www.niagaracounty.com/</t>
  </si>
  <si>
    <t>http://ocgov.net/</t>
  </si>
  <si>
    <t>Onondaga</t>
  </si>
  <si>
    <t>http://www.ongov.net/</t>
  </si>
  <si>
    <t>Ontario</t>
  </si>
  <si>
    <t>http://www.co.ontario.ny.us/</t>
  </si>
  <si>
    <t>@OCNYExecDiana</t>
  </si>
  <si>
    <t>https://www.facebook.com/pages/Orange-County-Executive-Edward-A-Diana/1474648291173</t>
  </si>
  <si>
    <t>http://www.co.orange.ny.us/</t>
  </si>
  <si>
    <t>http://orleansny.com/</t>
  </si>
  <si>
    <t>Oswego</t>
  </si>
  <si>
    <t>http://www.co.oswego.ny.us/</t>
  </si>
  <si>
    <t>http://www.otsegocounty.com/</t>
  </si>
  <si>
    <t>@PutnamCountyGov</t>
  </si>
  <si>
    <t>https://www.facebook.com/pages/Putnam-County-Government/157593163685?ref=stream</t>
  </si>
  <si>
    <t>http://www.putnamcountyny.com/</t>
  </si>
  <si>
    <t>Rensselaer</t>
  </si>
  <si>
    <t>http://www.rensco.com/</t>
  </si>
  <si>
    <t>Rockland</t>
  </si>
  <si>
    <t>https://rocklandgov.com/</t>
  </si>
  <si>
    <t>Saratoga</t>
  </si>
  <si>
    <t>http://www.saratogacountyny.gov/</t>
  </si>
  <si>
    <t>Schenectady</t>
  </si>
  <si>
    <t>@SchdyCountyNY</t>
  </si>
  <si>
    <t>https://www.facebook.com/SchenectadyCounty?ref=mf</t>
  </si>
  <si>
    <t>http://www.schenectadycounty.com/</t>
  </si>
  <si>
    <t>Schoharie</t>
  </si>
  <si>
    <t>http://www.schohariecounty-ny.gov/CountyWebSite/index.jsp</t>
  </si>
  <si>
    <t>http://www.schuylercounty.us/</t>
  </si>
  <si>
    <t>Seneca</t>
  </si>
  <si>
    <t>http://www.co.seneca.ny.us/</t>
  </si>
  <si>
    <t>St. Lawrence</t>
  </si>
  <si>
    <t>http://www.steubencony.org/</t>
  </si>
  <si>
    <t>http://scoem.suffolkcountyny.gov/</t>
  </si>
  <si>
    <t>@SuffolkCoFRES</t>
  </si>
  <si>
    <t>https://www.facebook.com/SCFRES</t>
  </si>
  <si>
    <t>www.co.sullivan.ny.us</t>
  </si>
  <si>
    <t>Tioga</t>
  </si>
  <si>
    <t>http://www.tiogacountyny.com/</t>
  </si>
  <si>
    <t>Tompkins</t>
  </si>
  <si>
    <t>http://www.tompkins-co.org/</t>
  </si>
  <si>
    <t>Ulster</t>
  </si>
  <si>
    <t>http://www.facebook.com/pages/Office-of-the-Ulster-County-Executive/18553972524812</t>
  </si>
  <si>
    <t>http://www.co.ulster.ny.us/</t>
  </si>
  <si>
    <t>http://warrencountyny.gov/</t>
  </si>
  <si>
    <t>http://www.co.washington.ny.us/</t>
  </si>
  <si>
    <t>http://www.co.wayne.ny.us/</t>
  </si>
  <si>
    <t>http://www.wyomingco.net/</t>
  </si>
  <si>
    <t>Yates</t>
  </si>
  <si>
    <t>http://www.yatescounty.org/</t>
  </si>
  <si>
    <t>*=Staten Island (Richmond Co), Bronx (Bronx Co), Queens (Queens Co), Brooklyn (Kings Co) and Manhattan (New York Co)</t>
  </si>
  <si>
    <t>CH Energy Group (formerly Central Hudson Gas &amp; Electric)</t>
  </si>
  <si>
    <t>http://chenergygroup.com/</t>
  </si>
  <si>
    <t>Consolidated Edison Company of New York (Con Edison)</t>
  </si>
  <si>
    <t>http://www.coned.com/</t>
  </si>
  <si>
    <t>Citizens Choice Energy Jamestown BPU</t>
  </si>
  <si>
    <t>@CitizensChoiceE</t>
  </si>
  <si>
    <t>https://www.facebook.com/CitizensChoiceEnergy</t>
  </si>
  <si>
    <t>http://citizenschoiceenergy.com/</t>
  </si>
  <si>
    <t>Green Island Power Authority (Village of Green Island only)</t>
  </si>
  <si>
    <t>http://www.villageofgreenisland.com/gipa/about-gipa/</t>
  </si>
  <si>
    <t>Long Island Power Authority (LIPA)</t>
  </si>
  <si>
    <t>@LIPAnews</t>
  </si>
  <si>
    <t>http://www.facebook.com/LIPAnews</t>
  </si>
  <si>
    <t>http://www.lipower.org</t>
  </si>
  <si>
    <t>Champion Energy</t>
  </si>
  <si>
    <t>http://www.facebook.com/ChampionEnergyServices</t>
  </si>
  <si>
    <t>http://www.championenergyservices.com/</t>
  </si>
  <si>
    <t>National Grid (including Niagara Mohawk)</t>
  </si>
  <si>
    <t>New York Power Authority (NYPA)</t>
  </si>
  <si>
    <t>http://www.nypa.gov/</t>
  </si>
  <si>
    <t>New York State Electric &amp; Gas (NYSEG)</t>
  </si>
  <si>
    <t>http://www.nyseg.com/</t>
  </si>
  <si>
    <t>Rochester Gas &amp; Electric</t>
  </si>
  <si>
    <t>http://www.rge.com/</t>
  </si>
  <si>
    <t>Erie County Water Authority</t>
  </si>
  <si>
    <t>http://www.ecwa.org/</t>
  </si>
  <si>
    <t>Freeport Water Department</t>
  </si>
  <si>
    <t>http://ny-freeport.civicplus.com/index.aspx?NID=36</t>
  </si>
  <si>
    <t>Ithaca Water &amp; Sewer</t>
  </si>
  <si>
    <t>http://www.facebook.com/IthacaDPW</t>
  </si>
  <si>
    <t>http://www.ci.ithaca.ny.us/departments/dpw/water/index.cfm</t>
  </si>
  <si>
    <t>Long Island Water Corporation</t>
  </si>
  <si>
    <t>@nyamwater</t>
  </si>
  <si>
    <t>http://www.facebook.com/nyamwater</t>
  </si>
  <si>
    <t>http://www.amwater.com/nyaw/</t>
  </si>
  <si>
    <t>Monroe County Water Authority</t>
  </si>
  <si>
    <t>http://www.mcwa.com/</t>
  </si>
  <si>
    <t>New York City Municipal Water Finance Authority</t>
  </si>
  <si>
    <t>http://www.nyc.gov/html/nyw/home.html</t>
  </si>
  <si>
    <t>Aqua America (New York)</t>
  </si>
  <si>
    <t>https://www.aquaamerica.com/Pages/Home.aspx</t>
  </si>
  <si>
    <t>Onondaga County Water Authority</t>
  </si>
  <si>
    <t>http://www.ocwa.org/</t>
  </si>
  <si>
    <t>Poughkeepsies' Water Treatment Facility</t>
  </si>
  <si>
    <t>http://www.cityofpoughkeepsie.com/watertreatment</t>
  </si>
  <si>
    <t>Riverhead Water District</t>
  </si>
  <si>
    <t>http://www.townofriverheadny.gov/pView.aspx?id=2492&amp;catid=118</t>
  </si>
  <si>
    <t>Suffolk County Water Authority</t>
  </si>
  <si>
    <t>@SuffolkWater</t>
  </si>
  <si>
    <t>http://www.facebook.com/scwawater</t>
  </si>
  <si>
    <t>http://www.scwa.com/</t>
  </si>
  <si>
    <t>Wellsville</t>
  </si>
  <si>
    <t>http://www.wellsvillewater.com/</t>
  </si>
  <si>
    <t>Albany International Airport</t>
  </si>
  <si>
    <t>http://www.facebook.com/AlbanyAirport</t>
  </si>
  <si>
    <t>http://www.albanyairport.com/</t>
  </si>
  <si>
    <t>Greater Binghamton Airport (Edwin A. Link Field)</t>
  </si>
  <si>
    <t>http://www.facebook.com/GreaterBinghamtonAirport</t>
  </si>
  <si>
    <t>http://flybgm.com/</t>
  </si>
  <si>
    <t>Buffalo Niagara International Airport</t>
  </si>
  <si>
    <t>http://buffaloairport.com/</t>
  </si>
  <si>
    <t>Elmira/Corning Regional Airport</t>
  </si>
  <si>
    <t>@ELM_Airport</t>
  </si>
  <si>
    <t>http://www.facebook.com/ELMAirport</t>
  </si>
  <si>
    <t>http://www.ecairport.com/</t>
  </si>
  <si>
    <t>Long Island MacArthur Airport</t>
  </si>
  <si>
    <t>@LIMacArthur</t>
  </si>
  <si>
    <t>http://www.facebook.com/LongIslandMacArthurAirport</t>
  </si>
  <si>
    <t>http://www.flylima.com/</t>
  </si>
  <si>
    <t>Ithaca Tompkins Regional Airport</t>
  </si>
  <si>
    <t>@FLYIthaca</t>
  </si>
  <si>
    <t>http://www.facebook.com/flyithaca</t>
  </si>
  <si>
    <t>http://flyithaca.com/</t>
  </si>
  <si>
    <t>John F. Kennedy International Airport</t>
  </si>
  <si>
    <t>http://www.panynj.gov/airports/jfk.html</t>
  </si>
  <si>
    <t>LaGuardia Airport (and Marine Air Terminal)</t>
  </si>
  <si>
    <t>http://www.panynj.gov/airports/laguardia.html</t>
  </si>
  <si>
    <t>Stewart International Airport</t>
  </si>
  <si>
    <t>http://www.panynj.gov/airports/stewart.html</t>
  </si>
  <si>
    <t>Plattsburgh International Airport</t>
  </si>
  <si>
    <t>@FlyPlattsburgh</t>
  </si>
  <si>
    <t>http://www.facebook.com/flyplattsburgh</t>
  </si>
  <si>
    <t>http://www.flyplattsburgh.com/</t>
  </si>
  <si>
    <t>Greater Rochester International Airport</t>
  </si>
  <si>
    <t>http://www.facebook.com/ROC.Airport?v=wall</t>
  </si>
  <si>
    <t>http://www.monroecounty.gov/airport-index.php</t>
  </si>
  <si>
    <t>Syracuse Hancock International Airport</t>
  </si>
  <si>
    <t>http://www.syrairport.org/</t>
  </si>
  <si>
    <t>Westchester County Airport</t>
  </si>
  <si>
    <t>http://www.whiteplainsairport.com/</t>
  </si>
  <si>
    <t>Massena International Airport (Richards Field)</t>
  </si>
  <si>
    <t>http://www.flymassena.com/en/</t>
  </si>
  <si>
    <t>Adirondack Regional Airport</t>
  </si>
  <si>
    <t>http://www.harrietstown.org/index.asp?Type=B_BASIC&amp;SEC={33E7932E-8C9-492-9AA-B29FCAEA663}</t>
  </si>
  <si>
    <t>Niagara Falls International Airport</t>
  </si>
  <si>
    <t>http://www.niagarafallsairport.com/</t>
  </si>
  <si>
    <t>Ogdensburg International Airport</t>
  </si>
  <si>
    <t>http://www.ogdensport.com/airport.html</t>
  </si>
  <si>
    <t>Watertown International Airport</t>
  </si>
  <si>
    <t>http://www.co.jefferson.ny.us/index.aspx?page=46</t>
  </si>
  <si>
    <t>Metro Transit Authority (NYC)</t>
  </si>
  <si>
    <t>@MTAInsider</t>
  </si>
  <si>
    <t>http://www.facebook.com/MTA.info</t>
  </si>
  <si>
    <t>http://www.mta.info/</t>
  </si>
  <si>
    <t>Long Island Rail Road</t>
  </si>
  <si>
    <t>@LIRRScoop</t>
  </si>
  <si>
    <t>http://www.facebook.com/mtalirr</t>
  </si>
  <si>
    <t>http://www.mta.info/lirr/</t>
  </si>
  <si>
    <t>Metro North Rail</t>
  </si>
  <si>
    <t>@MetroNorthTweet</t>
  </si>
  <si>
    <t>http://www.facebook.com/mtamnr</t>
  </si>
  <si>
    <t>http://www.mta.info/mnr/</t>
  </si>
  <si>
    <t>New York City Tunnels &amp; Bridges</t>
  </si>
  <si>
    <t>http://www.facebook.com/pages/MTA-Bridges-and-Tunnels/244246159423</t>
  </si>
  <si>
    <t>http://www.mta.info/bandt/</t>
  </si>
  <si>
    <t>87AM WHCU</t>
  </si>
  <si>
    <t>@WHCU87</t>
  </si>
  <si>
    <t>http://www.facebook.com/NewsTalkWHCU</t>
  </si>
  <si>
    <t>http://www.whcu87.com/?</t>
  </si>
  <si>
    <t>97.3FM WYXL</t>
  </si>
  <si>
    <t>@literock973</t>
  </si>
  <si>
    <t>http://www.facebook.com/literockWYXL</t>
  </si>
  <si>
    <t>http://www.literock973.com/</t>
  </si>
  <si>
    <t>91.7FM WICB</t>
  </si>
  <si>
    <t>@WICB</t>
  </si>
  <si>
    <t>http://www.facebook.com/91.7WICB</t>
  </si>
  <si>
    <t>http://www.wicb.org/</t>
  </si>
  <si>
    <t>93.5 WVBR</t>
  </si>
  <si>
    <t>@wvbr</t>
  </si>
  <si>
    <t>http://www.facebook.com/WVBRFM</t>
  </si>
  <si>
    <t>http://www.wvbr.com/</t>
  </si>
  <si>
    <t>12.3 WBAB</t>
  </si>
  <si>
    <t>@123WBAB</t>
  </si>
  <si>
    <t>http://www.facebook.com/12.3WBAB</t>
  </si>
  <si>
    <t>http://www.wbab.com/</t>
  </si>
  <si>
    <t>71 WOR</t>
  </si>
  <si>
    <t>@WOR71</t>
  </si>
  <si>
    <t>http://www.facebook.com/WOR71</t>
  </si>
  <si>
    <t>http://www.wor71.com/</t>
  </si>
  <si>
    <t>118 WHAM</t>
  </si>
  <si>
    <t>http://www.facebook.com/118WHAM</t>
  </si>
  <si>
    <t>http://www.wham118.com/main.html</t>
  </si>
  <si>
    <t>81 WGY</t>
  </si>
  <si>
    <t>@81WGY</t>
  </si>
  <si>
    <t>http://www.facebook.com/81wgy</t>
  </si>
  <si>
    <t>http://www.wgy.com/main.html</t>
  </si>
  <si>
    <t>Times Union (Albany)</t>
  </si>
  <si>
    <t>http://www.timesunion.com/</t>
  </si>
  <si>
    <t>NEWSPAPERS in NY</t>
  </si>
  <si>
    <t>http://www.usnpl.com/nynews.php</t>
  </si>
  <si>
    <t>North Carolina State Website</t>
  </si>
  <si>
    <t>@NCdotGov</t>
  </si>
  <si>
    <t>http://www.ncgov.com/</t>
  </si>
  <si>
    <t>North Carolina EMA</t>
  </si>
  <si>
    <t>@NCEmergency</t>
  </si>
  <si>
    <t>https://www.facebook.com/NCEmergencyManagement</t>
  </si>
  <si>
    <t>https://www.ncdps.gov/Index2.cfm?a=3,1</t>
  </si>
  <si>
    <t>North Carolina  Public Safety</t>
  </si>
  <si>
    <t>@NCPublicSafety</t>
  </si>
  <si>
    <t>https://www.facebook.com/NCPublicSafety</t>
  </si>
  <si>
    <t>North Carolina Wildlife Rescue</t>
  </si>
  <si>
    <t>Alamance</t>
  </si>
  <si>
    <t>https://twitter.com/AlamanceNC</t>
  </si>
  <si>
    <t>http://www.alamance-nc.com/</t>
  </si>
  <si>
    <t>https://twitter.com/alexandercounty</t>
  </si>
  <si>
    <t>http://www.alexandercountync.gov/</t>
  </si>
  <si>
    <t>Alleghany</t>
  </si>
  <si>
    <t>http://www.alleghanycounty-nc.gov/</t>
  </si>
  <si>
    <t>Anson</t>
  </si>
  <si>
    <t>http://www.co.anson.nc.us/</t>
  </si>
  <si>
    <t>Ashe</t>
  </si>
  <si>
    <t>https://www.facebook.com/pages/Ashe-County-North-Carolina/104097959625649?sk=info</t>
  </si>
  <si>
    <t>http://www.ashecountygov.com/</t>
  </si>
  <si>
    <t>Avery</t>
  </si>
  <si>
    <t>https://www.facebook.com/pages/Avery-County-North-Carolina/111302372226748</t>
  </si>
  <si>
    <t>http://www.averycountync.gov/</t>
  </si>
  <si>
    <t>Beaufort</t>
  </si>
  <si>
    <t>http://www.co.beaufort.nc.us/</t>
  </si>
  <si>
    <t>Bertie</t>
  </si>
  <si>
    <t>https://www.facebook.com/pages/Bertie-County-North-Carolina/116039508443726</t>
  </si>
  <si>
    <t>http://www.co.bertie.nc.us/</t>
  </si>
  <si>
    <t>Bladen</t>
  </si>
  <si>
    <t>https://www.facebook.com/pages/Bladen-County-North-Carolina/143769728967635?rf=135342959832933</t>
  </si>
  <si>
    <t>http://www.bladennc.govoffice3.com/</t>
  </si>
  <si>
    <t>Brunswick</t>
  </si>
  <si>
    <t>https://twitter.com/BrunscoES</t>
  </si>
  <si>
    <t>http://www.brunswickcountync.gov/OnlineServices/www.ncdot.gov/travel/twitter</t>
  </si>
  <si>
    <t>Buncombe</t>
  </si>
  <si>
    <t>https://twitter.com/yoloneco2060</t>
  </si>
  <si>
    <t>http://www.buncombecounty.org/</t>
  </si>
  <si>
    <t>Burke</t>
  </si>
  <si>
    <t>http://www.co.burke.nc.us/</t>
  </si>
  <si>
    <t>Cabarrus</t>
  </si>
  <si>
    <t>https://twitter.com/CabarrusCounty</t>
  </si>
  <si>
    <t>http://www.cabarruscounty.us/Pages/default.aspx</t>
  </si>
  <si>
    <t>https://www.facebook.com/pages/Caldwell-County-North-Carolina/142898575721292?rf=128873760488111</t>
  </si>
  <si>
    <t>http://www.cherokeecounty-nc.gov/</t>
  </si>
  <si>
    <t>http://www.camdencountync.gov/</t>
  </si>
  <si>
    <t>Carteret</t>
  </si>
  <si>
    <t>http://carteretcountygov.org/</t>
  </si>
  <si>
    <t>Caswell</t>
  </si>
  <si>
    <t>https://twitter.com/CaswellCounty</t>
  </si>
  <si>
    <t>http://www.caswellcountync.gov/</t>
  </si>
  <si>
    <t>Catawba</t>
  </si>
  <si>
    <t>https://twitter.com/CatawbaCounty</t>
  </si>
  <si>
    <t>https://www.facebook.com/catawbacountync?ref=nf</t>
  </si>
  <si>
    <t>http://www.catawbacountync.gov/</t>
  </si>
  <si>
    <t>Columbus</t>
  </si>
  <si>
    <t>http://www.columbusco.org/</t>
  </si>
  <si>
    <t>http://www.cherokeecounty-nc.gov/</t>
  </si>
  <si>
    <t>Chowan</t>
  </si>
  <si>
    <t>https://www.facebook.com/pages/Chowan-County-North-Carolina/137922622899377?rf=176116135784610</t>
  </si>
  <si>
    <t>http://www.chowancounty-nc.gov/</t>
  </si>
  <si>
    <t>Cleveland</t>
  </si>
  <si>
    <t>https://twitter.com/clevelandcounty</t>
  </si>
  <si>
    <t>https://www.facebook.com/pages/Cleveland-County-North-Carolina/142854655731947?sk=info</t>
  </si>
  <si>
    <t>http://www.clevelandcounty.com/ccmain/</t>
  </si>
  <si>
    <t>http://www.columbusco.org/DotNetNuke_2/Default.aspx?alias=www.columbusco.org/dotnetnuke_2/emergency</t>
  </si>
  <si>
    <t>http://www.ncems.org/</t>
  </si>
  <si>
    <t>Craven</t>
  </si>
  <si>
    <t>http://www.cravencounty.com/emergency/index.cfm</t>
  </si>
  <si>
    <t>@Cumberland911</t>
  </si>
  <si>
    <t>https://www.facebook.com/CumberlandCountyNC911</t>
  </si>
  <si>
    <t>http://www.co.cumberland.nc.us/emergency_services.aspx</t>
  </si>
  <si>
    <t>Currituck</t>
  </si>
  <si>
    <t>http://www.co.currituck.nc.us/Emergency-Management.cfm</t>
  </si>
  <si>
    <t>Dare</t>
  </si>
  <si>
    <t>@DareCoEM</t>
  </si>
  <si>
    <t>https://www.facebook.com/darecountysheriff</t>
  </si>
  <si>
    <t>http://www.darenc.com/EmgyMgmt/</t>
  </si>
  <si>
    <t>Davidson</t>
  </si>
  <si>
    <t>https://www.facebook.com/pages/Davidson-County-NC/204135519599802</t>
  </si>
  <si>
    <t>http://www.co.davidson.nc.us/EMS/</t>
  </si>
  <si>
    <t>Davie</t>
  </si>
  <si>
    <t>http://www.daviecountync.gov/</t>
  </si>
  <si>
    <t>Duplin</t>
  </si>
  <si>
    <t>http://www.duplincountync.com/governmentOffices/emergencyManagement.html</t>
  </si>
  <si>
    <t>Durham</t>
  </si>
  <si>
    <t>@DurhamCounty</t>
  </si>
  <si>
    <t>https://www.facebook.com/DurhamCountyGov</t>
  </si>
  <si>
    <t>http://dconc.gov/index.aspx?page=153</t>
  </si>
  <si>
    <t>Edgecombe</t>
  </si>
  <si>
    <t>@EdgecombeCounty</t>
  </si>
  <si>
    <t>https://www.facebook.com/edgecombecountync</t>
  </si>
  <si>
    <t>http://www.edgecombecountync.gov/eservices/eservices.aspx</t>
  </si>
  <si>
    <t>Forsyth</t>
  </si>
  <si>
    <t>http://www.cityofws.org/departments/emergency-management</t>
  </si>
  <si>
    <t>http://www.readyforsyth.org/</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</si>
  <si>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</si>
  <si>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</si>
  <si>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</si>
  <si>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</si>
  <si>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</si>
  <si>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</si>
  <si>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</si>
  <si>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</si>
  <si>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</si>
  <si>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</si>
  <si>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</si>
  <si>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</si>
  <si>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</si>
  <si>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</si>
  <si>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</si>
  <si>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</si>
  <si>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</si>
  <si>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</si>
  <si>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</si>
  <si>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</si>
  <si>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</si>
  <si>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</si>
  <si>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</si>
  <si>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</si>
  <si>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</si>
  <si>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</si>
  <si>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Richmond</t>
  </si>
  <si>
    <t>Robeson</t>
  </si>
  <si>
    <t>Rowan</t>
  </si>
  <si>
    <t>Rutherford</t>
  </si>
  <si>
    <t>Sampson</t>
  </si>
  <si>
    <t>Stanly</t>
  </si>
  <si>
    <t>Stokes</t>
  </si>
  <si>
    <t>Surry</t>
  </si>
  <si>
    <t>Swain</t>
  </si>
  <si>
    <t>Transylvania</t>
  </si>
  <si>
    <t>Tyrrell</t>
  </si>
  <si>
    <t>Vance</t>
  </si>
  <si>
    <t>Wake</t>
  </si>
  <si>
    <t>Watauga</t>
  </si>
  <si>
    <t>Wilkes</t>
  </si>
  <si>
    <t>http://wilkescounty.net/emergency-management/information/</t>
  </si>
  <si>
    <t>https://www.facebook.com/pages/Wilson-County-NC/203250136381442</t>
  </si>
  <si>
    <t>http://www.wilson-co.com/index.aspx?nid=252</t>
  </si>
  <si>
    <t>Yadkin</t>
  </si>
  <si>
    <t>http://www.yadkincountync.gov/index.aspx?nid=138</t>
  </si>
  <si>
    <t>Yancey</t>
  </si>
  <si>
    <t>http://www.yanceycountync.gov/departments/emergency-management</t>
  </si>
  <si>
    <t>Cabarrus County Water and Sewer Authority</t>
  </si>
  <si>
    <t>Charlotte-Mecklenburg Utilities</t>
  </si>
  <si>
    <t>Dare County Water Department</t>
  </si>
  <si>
    <t>Durham Water</t>
  </si>
  <si>
    <t>Fayetteville Public Works Commission</t>
  </si>
  <si>
    <t>Hydraulics, Ltd.</t>
  </si>
  <si>
    <t>Orange Water and Sewer Authority</t>
  </si>
  <si>
    <t>Rocky Mount Public Utilities</t>
  </si>
  <si>
    <t>North Carolina Electric Membership Corp.</t>
  </si>
  <si>
    <t>ElectriCities</t>
  </si>
  <si>
    <t>Progress Energy Carolinas</t>
  </si>
  <si>
    <t>Duke Energy NC</t>
  </si>
  <si>
    <t>Tri-County Airport</t>
  </si>
  <si>
    <t>Stanly County Airport</t>
  </si>
  <si>
    <t>Western Carolina Regional Airport (was Andrews-Murphy Airport)</t>
  </si>
  <si>
    <t>Asheboro Regional Airport</t>
  </si>
  <si>
    <t>Michael J. Smith Field</t>
  </si>
  <si>
    <t>Burlington-Alamance Regional Airport</t>
  </si>
  <si>
    <t>Sampson County Airport</t>
  </si>
  <si>
    <t>Currituck County Airport</t>
  </si>
  <si>
    <t>Northeastern Regional Airport</t>
  </si>
  <si>
    <t>Elizabeth City Regional Airport / Elizabeth City CGAS</t>
  </si>
  <si>
    <t>Curtis L. Brown Jr. Field (or Curtis L. Brown Field)</t>
  </si>
  <si>
    <t>Elkin Municipal Airport</t>
  </si>
  <si>
    <t>Hyde County Airport</t>
  </si>
  <si>
    <t>Harnett Regional Jetport (was Harnett County Airport)</t>
  </si>
  <si>
    <t>Macon County Airport</t>
  </si>
  <si>
    <t>Gastonia Municipal Airport</t>
  </si>
  <si>
    <t>Goldsboro-Wayne Municipal Airport</t>
  </si>
  <si>
    <t>Billy Mitchell Airport</t>
  </si>
  <si>
    <t>Hickory Regional Airport</t>
  </si>
  <si>
    <t>Duplin County Airport</t>
  </si>
  <si>
    <t>First Flight Airport</t>
  </si>
  <si>
    <t>Davidson County Airport</t>
  </si>
  <si>
    <t>Lincolnton-Lincoln County Regional Airport</t>
  </si>
  <si>
    <t>Franklin County Airport</t>
  </si>
  <si>
    <t>Lumberton Municipal Airport</t>
  </si>
  <si>
    <t>Dare County Regional Airport</t>
  </si>
  <si>
    <t>Laurinburg-Maxton Airport</t>
  </si>
  <si>
    <t>Foothills Regional Airport (was Morganton-Lenoir Airport)</t>
  </si>
  <si>
    <t>Mount Airy/Surry County Airport</t>
  </si>
  <si>
    <t>Mount Olive Municipal Airport</t>
  </si>
  <si>
    <t>Wilkes County Airport</t>
  </si>
  <si>
    <t>Odell Williamson Municipal Airport (was Ocean Isle Airport)</t>
  </si>
  <si>
    <t>Ocracoke Island Airport</t>
  </si>
  <si>
    <t>Henderson-Oxford Airport (Oxford Henderson Airport)</t>
  </si>
  <si>
    <t>Plymouth Municipal Airport</t>
  </si>
  <si>
    <t>Rockingham County NC Shiloh Airport</t>
  </si>
  <si>
    <t>Halifax County Airport (closed permanently, FAA record still active)</t>
  </si>
  <si>
    <t>Halifax-Northampton Regional Airport</t>
  </si>
  <si>
    <t>Richmond County Airport (was Rockingham-Hamlet Airport)</t>
  </si>
  <si>
    <t>Rocky Mount-Wilson Regional Airport</t>
  </si>
  <si>
    <t>Person County Airport</t>
  </si>
  <si>
    <t>Rutherford County Airport (Marchman Field)</t>
  </si>
  <si>
    <t>Rowan County Airport</t>
  </si>
  <si>
    <t>Shelby-Cleveland County Regional Airport (was Shelby Municipal)</t>
  </si>
  <si>
    <t>Siler City Municipal Airport</t>
  </si>
  <si>
    <t>Johnston County Airport</t>
  </si>
  <si>
    <t>Brunswick County Airport</t>
  </si>
  <si>
    <t>Avery County Airport (Morrison Field)</t>
  </si>
  <si>
    <t>Montgomery County Airport</t>
  </si>
  <si>
    <t>Statesville Regional Airport (was Statesville Municipal Airport)</t>
  </si>
  <si>
    <t>Jackson County Airport</t>
  </si>
  <si>
    <t>Tarboro-Edgecombe Airport (Tarboro-Edgecombe County)</t>
  </si>
  <si>
    <t>Anson County Airport</t>
  </si>
  <si>
    <t>Henderson Field</t>
  </si>
  <si>
    <t>Warren Field</t>
  </si>
  <si>
    <t>Ashe County Airport</t>
  </si>
  <si>
    <t>Columbus County Municipal Airport</t>
  </si>
  <si>
    <t>Martin County Airport</t>
  </si>
  <si>
    <t>Smith Reynolds Airport</t>
  </si>
  <si>
    <t>Kinston Regional Jetport at Stallings Field</t>
  </si>
  <si>
    <t>Moore County Airport</t>
  </si>
  <si>
    <t>Charlotte/Douglas International Airport</t>
  </si>
  <si>
    <t>Raleigh-Durham International Airport</t>
  </si>
  <si>
    <t>Asheville Regional Airport</t>
  </si>
  <si>
    <t>Fayetteville Regional Airport (Grannis Field)</t>
  </si>
  <si>
    <t>Pitt-Greenville Airport</t>
  </si>
  <si>
    <t>Albert J. Ellis Airport</t>
  </si>
  <si>
    <t>Coastal Carolina Regional Airport (was Craven Co. Regional)</t>
  </si>
  <si>
    <t>Wilmington International Airport</t>
  </si>
  <si>
    <t>Piedmont Triad International Airport</t>
  </si>
  <si>
    <t>Concord Regional Airport</t>
  </si>
  <si>
    <t>Charlotte-Monroe Executive Airport (was Monroe Regional Airport)</t>
  </si>
  <si>
    <t>Sanford-Lee County Regional Airport (Raleigh Executive Jetport)</t>
  </si>
  <si>
    <t>North Dakota State Website</t>
  </si>
  <si>
    <t>http://www.nd.gov/</t>
  </si>
  <si>
    <t>North Dakota EMA</t>
  </si>
  <si>
    <t>@NDDES</t>
  </si>
  <si>
    <t>https://www.facebook.com/NDDES</t>
  </si>
  <si>
    <t>http://www.nd.gov/des/</t>
  </si>
  <si>
    <t>North Dakota Wildlife Rescue</t>
  </si>
  <si>
    <t>North Dakota Highway Patrol</t>
  </si>
  <si>
    <t>https://www.facebook.com/ndhighwaypatrol</t>
  </si>
  <si>
    <t>http://www.nd.gov/ndhp/</t>
  </si>
  <si>
    <t>North Dakota DOT</t>
  </si>
  <si>
    <t>https://www.facebook.com/nddot?sid=b28860e438a10ce83fbce0edaef8f775&amp;ref=search</t>
  </si>
  <si>
    <t>http://www.dot.nd.gov/</t>
  </si>
  <si>
    <t>North Dakota River Stages</t>
  </si>
  <si>
    <t>http://water.weather.gov//ahps2/index.php?wfo=bis</t>
  </si>
  <si>
    <t>North Dakota Red Cross</t>
  </si>
  <si>
    <t>@redcrossndmn</t>
  </si>
  <si>
    <t>https://www.facebook.com/redcrossndmn</t>
  </si>
  <si>
    <t>http://www.redcross.org/ND/Fargo</t>
  </si>
  <si>
    <t>North Dakota</t>
  </si>
  <si>
    <t>@NDDisasterInfo</t>
  </si>
  <si>
    <t>https://www.facebook.com/nddisasterinfo</t>
  </si>
  <si>
    <t>http://nddisasterinfo.com/</t>
  </si>
  <si>
    <t>FEMA Region 8</t>
  </si>
  <si>
    <t>@femaregion8</t>
  </si>
  <si>
    <t>http://www.fema.gov/about-region-viii</t>
  </si>
  <si>
    <t>North Dakota Citzens Corps</t>
  </si>
  <si>
    <t>@ndccp</t>
  </si>
  <si>
    <t>North Dakota Dept of Health</t>
  </si>
  <si>
    <t>http://www.ndhealth.gov/epr/</t>
  </si>
  <si>
    <t>National Donation Mgt</t>
  </si>
  <si>
    <t>http://www.aidmatrixnetwork.org/fema/states.aspx?ST=North%2Dakota</t>
  </si>
  <si>
    <t>North Dakota Long Term Recovery Fund</t>
  </si>
  <si>
    <t>http://www.nd.gov/des/donations/</t>
  </si>
  <si>
    <t>North Dakota Severe WX Frequencies</t>
  </si>
  <si>
    <t>http://w9tec.com/chaseradio/nd.html</t>
  </si>
  <si>
    <t>http://www.nd.gov/DES/emergency/adams/</t>
  </si>
  <si>
    <t>Barnes</t>
  </si>
  <si>
    <t>http://www.co.barnes.nd.us/dept/emm/</t>
  </si>
  <si>
    <t>Benson</t>
  </si>
  <si>
    <t>http://www.bensoncountynd.com/contact.htm</t>
  </si>
  <si>
    <t>Billings</t>
  </si>
  <si>
    <t>http://www.billingscountynd.gov/bcemerg.htm</t>
  </si>
  <si>
    <t>Bottineau</t>
  </si>
  <si>
    <t>http://www.nd.gov/DES/emergency/bottineau/</t>
  </si>
  <si>
    <t>Bowman</t>
  </si>
  <si>
    <t>@Bowman_County</t>
  </si>
  <si>
    <t>https://www.facebook.com/Bowman.County?ref=search&amp;sid=100000003065683.1626952234..1</t>
  </si>
  <si>
    <t>http://www.bowmannd.com/county/emergency/</t>
  </si>
  <si>
    <t>http://www.burkecountynd.com/government.htm</t>
  </si>
  <si>
    <t>Burleigh</t>
  </si>
  <si>
    <t>@BurleighEM</t>
  </si>
  <si>
    <t>https://www.facebook.com/burleighco</t>
  </si>
  <si>
    <t>http://burleighco.com/departments/em/</t>
  </si>
  <si>
    <t>@casscountyem</t>
  </si>
  <si>
    <t>https://www.facebook.com/CassCountySummerfest</t>
  </si>
  <si>
    <t>http://www.cassfargoemergency.com/</t>
  </si>
  <si>
    <t>Cavalier</t>
  </si>
  <si>
    <t>https://www.facebook.com/CavalierCountyEM</t>
  </si>
  <si>
    <t>http://cavaliercountyem.com/</t>
  </si>
  <si>
    <t>Dickey</t>
  </si>
  <si>
    <t>http://www.dickeynd.com/emergency_management.php</t>
  </si>
  <si>
    <t>Divide</t>
  </si>
  <si>
    <t>http://www.nd.gov/DES/emergency/divide/</t>
  </si>
  <si>
    <t>Dunn</t>
  </si>
  <si>
    <t>http://www.dunncountynd.org/index.asp?Type=B_BASIC&amp;SEC={375DBCE5-5FDE-4C87-9A7D-30BAF684130D}</t>
  </si>
  <si>
    <t>http://www.nd.gov/DES/emergency/eddy/</t>
  </si>
  <si>
    <t>Emmons</t>
  </si>
  <si>
    <t>https://www.facebook.com/EmmonsEM</t>
  </si>
  <si>
    <t>http://emmonscounty.tripod.com/em.html</t>
  </si>
  <si>
    <t>Foster</t>
  </si>
  <si>
    <t>https://mylocalgov.com/fostercountynd/WebDept.asp?key=6</t>
  </si>
  <si>
    <t>http://www.nd.gov/DES/emergency/goldenvalley/</t>
  </si>
  <si>
    <t>Grand Forks</t>
  </si>
  <si>
    <t>http://www.grandforksgov.com/gfgov/home.nsf/Pages/Committees-Emergency+Management+Board</t>
  </si>
  <si>
    <t>http://www.grantcountynd.com/index.asp?Type=B_BASIC&amp;SEC={D1B9EADC-5D80-4F45-BE81-C55C45EC7A0E}</t>
  </si>
  <si>
    <t>Griggs</t>
  </si>
  <si>
    <t>http://www.nd.gov/DES/emergency/griggs/</t>
  </si>
  <si>
    <t>Hettinger</t>
  </si>
  <si>
    <t>https://www.facebook.com/pages/Hettinger-County-Emergency-Management/298844450135208</t>
  </si>
  <si>
    <t>http://www.hettingercounty.net/emergency_management.htm</t>
  </si>
  <si>
    <t>Kidder</t>
  </si>
  <si>
    <t>http://www.nd.gov/DES/emergency/kidder/</t>
  </si>
  <si>
    <t>LaMoure</t>
  </si>
  <si>
    <t>http://www.nd.gov/DES/emergency/lamoure/</t>
  </si>
  <si>
    <t>http://www.nd.gov/DES/emergency/logan/</t>
  </si>
  <si>
    <t>http://www.nd.gov/DES/emergency/mchenry/</t>
  </si>
  <si>
    <t>McIntosh</t>
  </si>
  <si>
    <t>http://www.nd.gov/DES/emergency/mcintosh/</t>
  </si>
  <si>
    <t>McKenzie</t>
  </si>
  <si>
    <t>http://www.nd.gov/DES/emergency/mckenzie/</t>
  </si>
  <si>
    <t>http://www.nd.gov/DES/emergency/mclean/</t>
  </si>
  <si>
    <t>@mercercounty911</t>
  </si>
  <si>
    <t>https://www.facebook.com/pages/Mercer-County-Emergency-Services/337554017932</t>
  </si>
  <si>
    <t>http://www.mercercounty911.com/</t>
  </si>
  <si>
    <t>http://www.co.morton.nd.us/index.asp?Type=B_BASIC&amp;SEC={63EF9803-4A34-41B7-BF62-5A521AB797E2}</t>
  </si>
  <si>
    <t>Mountrail</t>
  </si>
  <si>
    <t>http://www.nd.gov/DES/emergency/mountrail/</t>
  </si>
  <si>
    <t>Nelson</t>
  </si>
  <si>
    <t>http://www.nelsonco.org/index.asp?SEC={11312B0E-796A-4374-81C7-DEC906598750}&amp;Type=B_BASIC</t>
  </si>
  <si>
    <t>Oliver</t>
  </si>
  <si>
    <t>http://www.nd.gov/DES/emergency/oliver/</t>
  </si>
  <si>
    <t>Pembina</t>
  </si>
  <si>
    <t>http://www.pembinacountynd.gov/?id=48&amp;form_data_id=36</t>
  </si>
  <si>
    <t>http://www.nd.gov/DES/emergency/pierce/</t>
  </si>
  <si>
    <t>https://www.facebook.com/ramseycountyem</t>
  </si>
  <si>
    <t>http://www.co.ramsey.nd.us/departments/emergency_management.htm</t>
  </si>
  <si>
    <t>Ransom</t>
  </si>
  <si>
    <t>https://www.facebook.com/pages/Ransom-County-ICE/149808025083204</t>
  </si>
  <si>
    <t>http://www.ransomcountynd.com/index.asp?Type=B_DIR&amp;SEC={07108A02-3F00-4F12-9C9A-7F74A21323EF}&amp;DE={9590EAA6-569D-4369-83C6-B9CE6BAA85A2}</t>
  </si>
  <si>
    <t>https://www.facebook.com/pages/Renville-County-Western-North-Dakota/113666447514</t>
  </si>
  <si>
    <t>http://www.nd.gov/DES/emergency/renville/</t>
  </si>
  <si>
    <t>http://co.richland.nd.us/index.php/emergency-management</t>
  </si>
  <si>
    <t>Rolette</t>
  </si>
  <si>
    <t>http://www.nd.gov/DES/emergency/rolette/</t>
  </si>
  <si>
    <t>Sargent</t>
  </si>
  <si>
    <t>http://www.sargentnd.com/</t>
  </si>
  <si>
    <t>http://www.nd.gov/DES/emergency/sheridan/</t>
  </si>
  <si>
    <t>http://www.nd.gov/DES/emergency/sioux/</t>
  </si>
  <si>
    <t>Slope</t>
  </si>
  <si>
    <t>http://www.nd.gov/DES/emergency/slope/</t>
  </si>
  <si>
    <t>@StarkDES</t>
  </si>
  <si>
    <t>http://www.nd.gov/DES/emergency/stark/</t>
  </si>
  <si>
    <t>https://www.facebook.com/pages/Steele-County-North-Dakota/88920219787</t>
  </si>
  <si>
    <t>http://www.nd.gov/DES/emergency/steele/</t>
  </si>
  <si>
    <t>Stutsman</t>
  </si>
  <si>
    <t>@stutsmanco</t>
  </si>
  <si>
    <t>https://www.facebook.com/StutsmanCounty</t>
  </si>
  <si>
    <t>http://www.co.stutsman.nd.us/emergency_management.html</t>
  </si>
  <si>
    <t>Towner</t>
  </si>
  <si>
    <t>http://www.brown.sd.us/em/</t>
  </si>
  <si>
    <t>Traill</t>
  </si>
  <si>
    <t>http://www.co.traill.nd.us/</t>
  </si>
  <si>
    <t>Walsh</t>
  </si>
  <si>
    <t>http://www.co.walsh.nd.us/index.asp?Type=B_BASIC&amp;SEC={84BD3F45-3159-438C-89CB-BE7DDC1ACFE4}</t>
  </si>
  <si>
    <t>Ward</t>
  </si>
  <si>
    <t>http://www.nd.gov/DES/emergency/ward/
http://www.co.ward.nd.us/emergency-management/</t>
  </si>
  <si>
    <t>http://www.nd.gov/DES/emergency/wells/
http://www.wellscountynd.com/?id=48&amp;form_data_id=159</t>
  </si>
  <si>
    <t>Williams</t>
  </si>
  <si>
    <t>http://www.williamsnd.com/DepartmentDisplay.aspx?ID=11</t>
  </si>
  <si>
    <t>Upper Missouri G&amp;T Cooperative</t>
  </si>
  <si>
    <t>@Basin_Electric</t>
  </si>
  <si>
    <t>https://www.facebook.com/basinelectric</t>
  </si>
  <si>
    <t>http://www.basinelectric.com/</t>
  </si>
  <si>
    <t>Minnkota Power Cooperative</t>
  </si>
  <si>
    <t>@minnkotapower</t>
  </si>
  <si>
    <t>http://www.minnkota.com/</t>
  </si>
  <si>
    <t>Central Power Electric Cooperative</t>
  </si>
  <si>
    <t>http://centralpwr.com/</t>
  </si>
  <si>
    <t>http://www.montana-dakota.com/Pages/Overview.aspx</t>
  </si>
  <si>
    <t>@OTP_Alerts</t>
  </si>
  <si>
    <t>https://www.otpco.com/AboutCompany/Pages/MainAboutCompany.aspx</t>
  </si>
  <si>
    <t>@xcelenergy</t>
  </si>
  <si>
    <t>https://www.facebook.com/xcelenergy</t>
  </si>
  <si>
    <t>Dakota Gas</t>
  </si>
  <si>
    <t>@Dakota_Gas</t>
  </si>
  <si>
    <t>http://www.dakotagas.com/</t>
  </si>
  <si>
    <t>Devils Lake Regional Airport (Knoke Field)</t>
  </si>
  <si>
    <t>http://www.devilslakeairport.com/</t>
  </si>
  <si>
    <t>Dickinson Theodore Roosevelt Regional Airport</t>
  </si>
  <si>
    <t>http://dickinsonairport.com/flights/index.php</t>
  </si>
  <si>
    <t>Jamestown Regional Airport</t>
  </si>
  <si>
    <t>http://www.flyjamestown.net/flight/</t>
  </si>
  <si>
    <t>Beach Airport</t>
  </si>
  <si>
    <t>http://www.airnav.com/airport/2U</t>
  </si>
  <si>
    <t>Bottineau Municipal Airport</t>
  </si>
  <si>
    <t>http://www.airnav.com/airport/D9</t>
  </si>
  <si>
    <t>Bowman Municipal Airport</t>
  </si>
  <si>
    <t>http://www.airnav.com/airport/BPP</t>
  </si>
  <si>
    <t>Cando Municipal Airport</t>
  </si>
  <si>
    <t>http://www.airnav.com/airport/9D7</t>
  </si>
  <si>
    <t>Carrington Municipal Airport</t>
  </si>
  <si>
    <t>http://www.airnav.com/airport/46D</t>
  </si>
  <si>
    <t>Casselton Robert Miller Regional Airport</t>
  </si>
  <si>
    <t>http://www.airnav.com/airport/5N8</t>
  </si>
  <si>
    <t>Cavalier Municipal Airport</t>
  </si>
  <si>
    <t>http://www.airnav.com/airport/2C8</t>
  </si>
  <si>
    <t>Cooperstown Municipal Airport</t>
  </si>
  <si>
    <t>http://www.airnav.com/airport/S32</t>
  </si>
  <si>
    <t>Crosby Municipal Airport</t>
  </si>
  <si>
    <t>http://www.airnav.com/airport/D5</t>
  </si>
  <si>
    <t>International Peace Garden Airport</t>
  </si>
  <si>
    <t>http://www.airnav.com/airport/S28</t>
  </si>
  <si>
    <t>Edgeley Municipal Airport</t>
  </si>
  <si>
    <t>http://www.airnav.com/airport/51D</t>
  </si>
  <si>
    <t>Ellendale Municipal Airport</t>
  </si>
  <si>
    <t>http://www.airnav.com/airport/4E7</t>
  </si>
  <si>
    <t>Standing Rock Airport</t>
  </si>
  <si>
    <t>http://www.airnav.com/airport/Y27</t>
  </si>
  <si>
    <t>Garrison Municipal Airport</t>
  </si>
  <si>
    <t>Glen Ullin Regional Airport</t>
  </si>
  <si>
    <t>http://www.airnav.com/airport/D57</t>
  </si>
  <si>
    <t>Grafton Municipal Airport (Hutson Field)</t>
  </si>
  <si>
    <t>http://www.airnav.com/airport/GAF</t>
  </si>
  <si>
    <t>Gwinner-Roger Melroe Field</t>
  </si>
  <si>
    <t>http://www.airnav.com/airport/KGWR</t>
  </si>
  <si>
    <t>Harvey Municipal Airport</t>
  </si>
  <si>
    <t>http://www.airnav.com/airport/5H4</t>
  </si>
  <si>
    <t>Mercer County Regional Airport</t>
  </si>
  <si>
    <t>http://www.airnav.com/airport/KHZE</t>
  </si>
  <si>
    <t>Hettinger Municipal Airport</t>
  </si>
  <si>
    <t>http://www.airnav.com/airport/KHEI</t>
  </si>
  <si>
    <t>Hillsboro Municipal Airport</t>
  </si>
  <si>
    <t>http://www.airnav.com/airport/3H4</t>
  </si>
  <si>
    <t>Kenmare Municipal Airport</t>
  </si>
  <si>
    <t>http://www.airnav.com/airport/7K5</t>
  </si>
  <si>
    <t>Hamry Field</t>
  </si>
  <si>
    <t>http://www.airnav.com/airport/K74</t>
  </si>
  <si>
    <t>LaMoure Rott Municipal Airport</t>
  </si>
  <si>
    <t>http://www.airnav.com/airport/4F9</t>
  </si>
  <si>
    <t>Lakota Municipal Airport</t>
  </si>
  <si>
    <t>http://www.airnav.com/airport/5L</t>
  </si>
  <si>
    <t>Robertson Field</t>
  </si>
  <si>
    <t>http://www.airnav.com/airport/D55</t>
  </si>
  <si>
    <t>Linton Municipal Airport</t>
  </si>
  <si>
    <t>http://www.airnav.com/airport/7L2</t>
  </si>
  <si>
    <t>Lisbon Municipal Airport</t>
  </si>
  <si>
    <t>http://www.airnav.com/airport/6L3</t>
  </si>
  <si>
    <t>Mandan Municipal Airport</t>
  </si>
  <si>
    <t>http://www.airnav.com/airport/Y19</t>
  </si>
  <si>
    <t>Mohall Municipal Airport</t>
  </si>
  <si>
    <t>http://www.airnav.com/airport/KHBC</t>
  </si>
  <si>
    <t>Mott Municipal Airport</t>
  </si>
  <si>
    <t>http://www.airnav.com/airport/3P3</t>
  </si>
  <si>
    <t>Northwood Municipal Airport (Vince Field)</t>
  </si>
  <si>
    <t>http://www.airnav.com/airport/4V4</t>
  </si>
  <si>
    <t>Oakes Municipal Airport</t>
  </si>
  <si>
    <t>http://www.airnav.com/airport/2D5</t>
  </si>
  <si>
    <t>Park River Airport (W.C. Skjerven Field)</t>
  </si>
  <si>
    <t>http://www.airnav.com/airport/Y37</t>
  </si>
  <si>
    <t>Parshall-Hankins Airport</t>
  </si>
  <si>
    <t>http://www.airnav.com/airport/Y74</t>
  </si>
  <si>
    <t>Pembina Municipal Airport</t>
  </si>
  <si>
    <t>http://www.airnav.com/airport/PMB</t>
  </si>
  <si>
    <t>Rolla Municipal Airport</t>
  </si>
  <si>
    <t>http://www.airnav.com/airport/6D</t>
  </si>
  <si>
    <t>Rugby Municipal Airport</t>
  </si>
  <si>
    <t>http://www.airnav.com/airport/KRUG</t>
  </si>
  <si>
    <t>Stanley Municipal Airport</t>
  </si>
  <si>
    <t>http://www.airnav.com/airport/8D</t>
  </si>
  <si>
    <t>Tioga Municipal Airport</t>
  </si>
  <si>
    <t>http://www.airnav.com/airport/D6</t>
  </si>
  <si>
    <t>Barnes County Municipal Airport</t>
  </si>
  <si>
    <t>http://airnav.com/airport/KBAC</t>
  </si>
  <si>
    <t>Harry Stern Airport</t>
  </si>
  <si>
    <t>http://www.airnav.com/airport/BWP</t>
  </si>
  <si>
    <t>Walhalla Municipal Airport</t>
  </si>
  <si>
    <t>http://www.airnav.com/airport/96D</t>
  </si>
  <si>
    <t>Washburn Municipal Airport</t>
  </si>
  <si>
    <t>http://www.airnav.com/airport/5C8</t>
  </si>
  <si>
    <t>Watford City Municipal Airport</t>
  </si>
  <si>
    <t>http://www.airnav.com/airport/S25</t>
  </si>
  <si>
    <t>Bismarck Municipal Airport</t>
  </si>
  <si>
    <t>http://www.airnav.com/airport/KBIS</t>
  </si>
  <si>
    <t>Hector International Airport</t>
  </si>
  <si>
    <t>@fargoairport</t>
  </si>
  <si>
    <t>https://www.facebook.com/fargoairport</t>
  </si>
  <si>
    <t>http://www.fargoairport.com/</t>
  </si>
  <si>
    <t>Grand Forks International Airport</t>
  </si>
  <si>
    <t>@gfkairport</t>
  </si>
  <si>
    <t>https://www.facebook.com/gfkairport</t>
  </si>
  <si>
    <t>http://www.gfkairport.com/</t>
  </si>
  <si>
    <t>Minot International Airport</t>
  </si>
  <si>
    <t>http://www.whyflyminot.com/</t>
  </si>
  <si>
    <t>Sloulin Field International Airport</t>
  </si>
  <si>
    <t>http://willistonairport.com/</t>
  </si>
  <si>
    <t>The Dickinson Press</t>
  </si>
  <si>
    <t>http://www.thedickinsonpress.com/</t>
  </si>
  <si>
    <t>KQCD-TV</t>
  </si>
  <si>
    <t>http://www.kqcd.com/</t>
  </si>
  <si>
    <t>KXNET</t>
  </si>
  <si>
    <t>@kxmb</t>
  </si>
  <si>
    <t>https://www.facebook.com/kxnewsminot</t>
  </si>
  <si>
    <t>http://www.kxnet.com/</t>
  </si>
  <si>
    <t>99.1FM KCAD</t>
  </si>
  <si>
    <t>https://www.facebook.com/KCADFM</t>
  </si>
  <si>
    <t>http://www.roughridercountry.net/main.html</t>
  </si>
  <si>
    <t>AM 123 KDIX</t>
  </si>
  <si>
    <t>https://www.facebook.com/pages/KDIX-Radio-Dickinson-ND/14511673525</t>
  </si>
  <si>
    <t>http://kdix.com/</t>
  </si>
  <si>
    <t>z92 Rock</t>
  </si>
  <si>
    <t>https://www.facebook.com/KZRXFM</t>
  </si>
  <si>
    <t>http://www.kzrx921.com/main.html</t>
  </si>
  <si>
    <t>Valley City Times-Online</t>
  </si>
  <si>
    <t>https://www.facebook.com/VCTimesRecord</t>
  </si>
  <si>
    <t>http://www.times-online.com/</t>
  </si>
  <si>
    <t>News Dakota</t>
  </si>
  <si>
    <t>@NewsDakota</t>
  </si>
  <si>
    <t>http://www.newsdakota.com/</t>
  </si>
  <si>
    <t>Jamestown Sun</t>
  </si>
  <si>
    <t>http://www.jamestownsun.com/event/tag/tag/facebook/</t>
  </si>
  <si>
    <t>http://www.jamestownsun.com/</t>
  </si>
  <si>
    <t>Inforum</t>
  </si>
  <si>
    <t>http://www.inforum.com/</t>
  </si>
  <si>
    <t>Ohio State Website</t>
  </si>
  <si>
    <t>@ohgov</t>
  </si>
  <si>
    <t>http://ohio.gov/</t>
  </si>
  <si>
    <t>Ohio EMA</t>
  </si>
  <si>
    <t>@Ohio_EMA</t>
  </si>
  <si>
    <t>https://www.facebook.com/pages/Ohio-Emergency-Management-Agency/245169925529664</t>
  </si>
  <si>
    <t>http://www.ema.ohio.gov/index.aspx</t>
  </si>
  <si>
    <t>Ohio  DHS</t>
  </si>
  <si>
    <t>@Ohio_OHS</t>
  </si>
  <si>
    <t>https://www.facebook.com/pages/Ohio-Homeland-Security/195779100492247</t>
  </si>
  <si>
    <t>http://homelandsecurity.ohio.gov/index.stm</t>
  </si>
  <si>
    <t>Ohio Wildlife Rescue</t>
  </si>
  <si>
    <t>http://wildlife.rescueshelter.com/Ohio</t>
  </si>
  <si>
    <t>http://www.co.allen.oh.us/</t>
  </si>
  <si>
    <t>Ashland</t>
  </si>
  <si>
    <t>http://www.ashlandcounty.org/</t>
  </si>
  <si>
    <t>Ashtabula</t>
  </si>
  <si>
    <t>@EOC04 (EMS)</t>
  </si>
  <si>
    <t>https://www.facebook.com/pages/Ashtabula-County-Ohio/115368565146342</t>
  </si>
  <si>
    <t>http://www.co.ashtabula.oh.us/</t>
  </si>
  <si>
    <t>Athens</t>
  </si>
  <si>
    <t>@CityofAthensOH</t>
  </si>
  <si>
    <t>https://www.facebook.com/pages/Athens-County-Ohio/108057519215797</t>
  </si>
  <si>
    <t>http://www.co.athensoh.org/</t>
  </si>
  <si>
    <t>Auglaize</t>
  </si>
  <si>
    <t>@AuglaizeCo</t>
  </si>
  <si>
    <t>https://www.facebook.com/auglaizehs.ema?fref=ts</t>
  </si>
  <si>
    <t>http://www2.auglaizecounty.org/</t>
  </si>
  <si>
    <t>Belmont</t>
  </si>
  <si>
    <t>https://www.facebook.com/pages/Belmont-County-Ohio/135121463186378?fref=ts</t>
  </si>
  <si>
    <t>http://www.belmontcountyohio.org/</t>
  </si>
  <si>
    <t>https://www.facebook.com/pages/Brown-County-Ohio/102226233166032?ref=ts&amp;fref=ts</t>
  </si>
  <si>
    <t>http://www.browncountyohio.gov/</t>
  </si>
  <si>
    <t>http://www.butlercountyohio.org/index0.cfm?1247031</t>
  </si>
  <si>
    <t>https://www.facebook.com/pages/Carroll-County-Ohio/136669546353436</t>
  </si>
  <si>
    <t>http://www.carrollcountyohio.us/</t>
  </si>
  <si>
    <t>https://www.facebook.com/pages/Champaign-County-Ohio/137337099622541?fref=ts</t>
  </si>
  <si>
    <t>http://www.co.champaign.oh.us/</t>
  </si>
  <si>
    <t>https://www.facebook.com/pages/Clark-County-Ohio/136021079761566?ref=ts&amp;fref=ts</t>
  </si>
  <si>
    <t>http://www.clarkcountyohio.gov/</t>
  </si>
  <si>
    <t>Clermont</t>
  </si>
  <si>
    <t>@ClermontCounty</t>
  </si>
  <si>
    <t>https://www.facebook.com/ClermontCounty?ref=ts&amp;fref=ts</t>
  </si>
  <si>
    <t>http://www.clermontcountyohio.gov/</t>
  </si>
  <si>
    <t>@clintoncountyoh</t>
  </si>
  <si>
    <t>https://www.facebook.com/clintoncountyohio?ref=ts&amp;fref=ts</t>
  </si>
  <si>
    <t>http://co.clinton.oh.us/</t>
  </si>
  <si>
    <t>Columbiana</t>
  </si>
  <si>
    <t>https://www.facebook.com/pages/Columbiana-County-Ohio/142268949117636?ref=ts&amp;fref=ts&amp;rf=110390605679241</t>
  </si>
  <si>
    <t>http://www.columbianacounty.org/</t>
  </si>
  <si>
    <t>Coshocton</t>
  </si>
  <si>
    <t>@coshocton</t>
  </si>
  <si>
    <t>https://www.facebook.com/VisitCoshoctonOhio</t>
  </si>
  <si>
    <t>http://www.coshoctoncounty.net/</t>
  </si>
  <si>
    <t>https://www.facebook.com/pages/Crawford-County-Ohio/134886206545849?ref=ts&amp;fref=ts</t>
  </si>
  <si>
    <t>http://www.crawford-co.org/</t>
  </si>
  <si>
    <t>Cuyahoga</t>
  </si>
  <si>
    <t>@CuyahogaCounty</t>
  </si>
  <si>
    <t>https://www.facebook.com/CuyahogaCounty</t>
  </si>
  <si>
    <t>http://www.cuyahogacounty.us/</t>
  </si>
  <si>
    <t>Darke</t>
  </si>
  <si>
    <t>https://www.facebook.com/pages/Darke-County-Ohio/115361255177724?ref=ts&amp;fref=ts</t>
  </si>
  <si>
    <t>http://www.co.darke.oh.us/</t>
  </si>
  <si>
    <t>Defiance</t>
  </si>
  <si>
    <t>https://www.facebook.com/pages/Defiance-County-Ohio/133013486736715?ref=ts&amp;fref=ts</t>
  </si>
  <si>
    <t>http://www.defiance-county.com/</t>
  </si>
  <si>
    <t>@delcoema</t>
  </si>
  <si>
    <t>https://www.facebook.com/pages/Delaware-County-Ohio/464113090270927</t>
  </si>
  <si>
    <t>http://www.co.delaware.oh.us/</t>
  </si>
  <si>
    <t>http://www.erie-county-ohio.net/</t>
  </si>
  <si>
    <t>Fairfield</t>
  </si>
  <si>
    <t>https://www.facebook.com/pages/Fairfield-County-Ohio/138474619514050?ref=ts&amp;fref=ts</t>
  </si>
  <si>
    <t>http://www.co.fairfield.oh.us/</t>
  </si>
  <si>
    <t>https://www.facebook.com/pages/Fayette-County-Ohio/142894262388611?fref=ts</t>
  </si>
  <si>
    <t>@FranklinCoOhio</t>
  </si>
  <si>
    <t>https://www.facebook.com/pages/Franklin-County-Ohio/132426320129287?ref=ts&amp;fref=ts</t>
  </si>
  <si>
    <t>http://www.franklincountyohio.gov/fc/index.cfm</t>
  </si>
  <si>
    <t>https://www.facebook.com/pages/Fulton-County-Ohio/359564834075052?ref=ts&amp;fref=ts</t>
  </si>
  <si>
    <t>http://www.fultoncountyoh.com</t>
  </si>
  <si>
    <t>Gallia</t>
  </si>
  <si>
    <t>https://www.facebook.com/pages/Gallia-County-Ohio/203206779958?ref=ts&amp;fref=ts</t>
  </si>
  <si>
    <t>http://gallianet.net/</t>
  </si>
  <si>
    <t>Geauga</t>
  </si>
  <si>
    <t>https://www.facebook.com/pages/Geauga-County-Ohio/160895550621305?ref=ts&amp;fref=ts</t>
  </si>
  <si>
    <t>http://www.co.geauga.oh.us/</t>
  </si>
  <si>
    <t>https://www.facebook.com/pages/Greene-County-Ohio/115918078455719?ref=ts&amp;fref=ts&amp;rf=102308603158298</t>
  </si>
  <si>
    <t>http://www.co.greene.oh.us/</t>
  </si>
  <si>
    <t>Guernsey</t>
  </si>
  <si>
    <t>https://www.facebook.com/pages/Guernsey-County-Ohio/137966839560759?ref=ts&amp;fref=ts</t>
  </si>
  <si>
    <t>http://www.guernseycounty.org/</t>
  </si>
  <si>
    <t>@HamiltonCntyOH</t>
  </si>
  <si>
    <t>https://www.facebook.com/HamiltonCountyOhio</t>
  </si>
  <si>
    <t>http://www.hamilton-co.org/hc/default.asp</t>
  </si>
  <si>
    <t>https://www.facebook.com/pages/Hancock-County-Ohio/102417919813226</t>
  </si>
  <si>
    <t>http://www.co.hancock.oh.us/</t>
  </si>
  <si>
    <t>https://www.facebook.com/pages/Hardin-County-Ohio/133173430054568?ref=ts&amp;fref=ts</t>
  </si>
  <si>
    <t>http://www.co.hardin.oh.us/index.php</t>
  </si>
  <si>
    <t>@VISITHARRISON</t>
  </si>
  <si>
    <t>http://www.harrisoncountyohio.org/</t>
  </si>
  <si>
    <t>https://www.facebook.com/HenryCountyOhio</t>
  </si>
  <si>
    <t>http://www.henrycountyohio.com/</t>
  </si>
  <si>
    <t>Highland</t>
  </si>
  <si>
    <t>https://www.facebook.com/pages/Highland-County-Ohio/134943679869303?ref=ts&amp;fref=ts</t>
  </si>
  <si>
    <t>http://www.co.highland.oh.us/</t>
  </si>
  <si>
    <t>Hocking</t>
  </si>
  <si>
    <t>https://www.facebook.com/pages/Hocking-County-Ohio/108185842536885?ref=ts&amp;fref=ts</t>
  </si>
  <si>
    <t>http://www.co.hocking.oh.us/</t>
  </si>
  <si>
    <t>https://www.facebook.com/pages/Holmes-County-Ohio/140840075941654</t>
  </si>
  <si>
    <t>http://www.co.holmes.oh.us/</t>
  </si>
  <si>
    <t>https://www.facebook.com/pages/Huron-County-Ohio/138955112795558?ref=ts&amp;fref=ts</t>
  </si>
  <si>
    <t>http://www.hccommissioners.com/</t>
  </si>
  <si>
    <t>https://www.facebook.com/pages/Jackson-County-Ohio/142344105781344?ref=ts&amp;fref=ts</t>
  </si>
  <si>
    <t>http://www.jacksoncountygovernment.org/</t>
  </si>
  <si>
    <t>https://www.facebook.com/pages/Jefferson-County-Ohio/293527895431?ref=ts&amp;fref=ts</t>
  </si>
  <si>
    <t>http://www.jeffersoncountyoh.com/</t>
  </si>
  <si>
    <t>@knoxwayohio</t>
  </si>
  <si>
    <t>https://www.facebook.com/pages/Knox-County-Ohio/112603455455865?ref=ts&amp;fref=ts</t>
  </si>
  <si>
    <t>http://www.co.knox.oh.us/</t>
  </si>
  <si>
    <t>@lakecountyohio</t>
  </si>
  <si>
    <t>http://www.lakecountyohio.org/</t>
  </si>
  <si>
    <t>https://www.facebook.com/pages/Lawrence-County-Ohio-Emergency-Management-Agency/162773987085586?ref=ts&amp;fref=ts</t>
  </si>
  <si>
    <t>http://www.lawrencecountyohio.org/</t>
  </si>
  <si>
    <t>Licking</t>
  </si>
  <si>
    <t>http://www.lcounty.com/</t>
  </si>
  <si>
    <t>@logancountyohio</t>
  </si>
  <si>
    <t>https://www.facebook.com/pages/Logan-County-Ohio/136747996346139?ref=ts&amp;fref=ts</t>
  </si>
  <si>
    <t>http://www.co.logan.oh.us/</t>
  </si>
  <si>
    <t>Lorain</t>
  </si>
  <si>
    <t>@LCGov</t>
  </si>
  <si>
    <t>https://www.facebook.com/LCGov?ref=ts&amp;fref=ts</t>
  </si>
  <si>
    <t>http://www.loraincounty.com/</t>
  </si>
  <si>
    <t>https://www.facebook.com/pages/Lucas-County-Ohio/138554999507539?ref=ts&amp;fref=ts</t>
  </si>
  <si>
    <t>http://co.lucas.oh.us/</t>
  </si>
  <si>
    <t>@madisoncountyohio</t>
  </si>
  <si>
    <t>https://www.facebook.com/MadisonCountyOhio?ref=ts&amp;fref=ts</t>
  </si>
  <si>
    <t>http://www.co.madison.oh.us/</t>
  </si>
  <si>
    <t>Mahoning</t>
  </si>
  <si>
    <t>https://www.facebook.com/pages/Mahoning-County-Ohio/291500206478?ref=ts&amp;fref=ts</t>
  </si>
  <si>
    <t>http://www.mahoningcountyoh.gov/</t>
  </si>
  <si>
    <t>https://www.facebook.com/pages/Marion-County-Ohio/142811735735178?ref=ts&amp;fref=ts</t>
  </si>
  <si>
    <t>http://mcoprx.co.marion.oh.us/</t>
  </si>
  <si>
    <t>Medina</t>
  </si>
  <si>
    <t>@MedinaSheriff</t>
  </si>
  <si>
    <t>https://www.facebook.com/pages/Medina-County-Ohio/112446545471188?ref=ts&amp;fref=ts</t>
  </si>
  <si>
    <t>http://www.co.medina.oh.us/</t>
  </si>
  <si>
    <t>Meigs</t>
  </si>
  <si>
    <t>https://www.facebook.com/pages/Mercer-County-Ohio/129227853785205?ref=ts&amp;fref=ts</t>
  </si>
  <si>
    <t>http://www.mercercountyohio.org/</t>
  </si>
  <si>
    <t>https://www.facebook.com/pages/Miami-County-Ohio/110368369013203?ref=ts&amp;fref=ts</t>
  </si>
  <si>
    <t>http://www.co.miami.oh.us/</t>
  </si>
  <si>
    <t>@MCOhio</t>
  </si>
  <si>
    <t>https://www.facebook.com/MontgomeryCounty</t>
  </si>
  <si>
    <t>http://www.co.montgomery.oh.us/</t>
  </si>
  <si>
    <t>Morrow</t>
  </si>
  <si>
    <t>https://www.facebook.com/pages/Morrow-County-Ohio/139508096067072?ref=ts&amp;fref=ts</t>
  </si>
  <si>
    <t>http://www.morrowcounty.info/www/</t>
  </si>
  <si>
    <t>Muskingum</t>
  </si>
  <si>
    <t>https://www.facebook.com/pages/Muskingum-County-Ohio/137740552920199?ref=ts&amp;fref=ts</t>
  </si>
  <si>
    <t>http://www.muskingumcounty.org/</t>
  </si>
  <si>
    <t>https://www.facebook.com/pages/Ottawa-County-Ohio/142460059104213</t>
  </si>
  <si>
    <t>http://www.co.ottawa.oh.us/</t>
  </si>
  <si>
    <t>Paulding</t>
  </si>
  <si>
    <t>Pickaway</t>
  </si>
  <si>
    <t>Portage</t>
  </si>
  <si>
    <t>http://www.co.portage.oh.us/</t>
  </si>
  <si>
    <t>Preble</t>
  </si>
  <si>
    <t>Ross</t>
  </si>
  <si>
    <t>https://www.facebook.com/pages/Ross-County-Ohio/113460998703098?ref=ts&amp;fref=ts</t>
  </si>
  <si>
    <t>http://www.co.ross.oh.us/</t>
  </si>
  <si>
    <t>Sandusky</t>
  </si>
  <si>
    <t>https://www.facebook.com/pages/Sandusky-County-Ohio/102236266497492?ref=ts&amp;fref=ts</t>
  </si>
  <si>
    <t>http://www.sandusky-county.org/</t>
  </si>
  <si>
    <t>Scioto</t>
  </si>
  <si>
    <t>https://www.facebook.com/pages/Scioto-County-Ohio/299042261837</t>
  </si>
  <si>
    <t>http://www.sciotocountyohio.com/</t>
  </si>
  <si>
    <t>https://www.facebook.com/pages/Shelby-County-Ohio/132799086759882?ref=ts&amp;fref=ts</t>
  </si>
  <si>
    <t>http://co.shelby.oh.us/</t>
  </si>
  <si>
    <t>Summit</t>
  </si>
  <si>
    <t>Trumbull</t>
  </si>
  <si>
    <t>Tuscarawas</t>
  </si>
  <si>
    <t>Van Wert</t>
  </si>
  <si>
    <t>Vinton</t>
  </si>
  <si>
    <t>Wood</t>
  </si>
  <si>
    <t>Wyandot</t>
  </si>
  <si>
    <t>Duke Energy Ohio</t>
  </si>
  <si>
    <t>FirstEnergy (Cleveland Electric Illuminating Company, Ohio Edison, Toledo Edison)</t>
  </si>
  <si>
    <t>Dayton Power &amp; Light</t>
  </si>
  <si>
    <t>South Central Power Company</t>
  </si>
  <si>
    <t>Consolidated Electric Cooperative</t>
  </si>
  <si>
    <t>Akron Public Utilities Bureau</t>
  </si>
  <si>
    <t>Aqua America - Ohio</t>
  </si>
  <si>
    <t>Greater Cincinnati Water Works</t>
  </si>
  <si>
    <t>Cleveland Division of Water</t>
  </si>
  <si>
    <t>Columbus Department of Public Utilities</t>
  </si>
  <si>
    <t>Ohio American Water</t>
  </si>
  <si>
    <t>Toledo Department of Public Utilities</t>
  </si>
  <si>
    <t>Cincinnati Water Works</t>
  </si>
  <si>
    <t>Cleveland Division of Water</t>
  </si>
  <si>
    <t>Columbus Division of Sewerage and Drainage</t>
  </si>
  <si>
    <t>Columbus Division of Water</t>
  </si>
  <si>
    <t>Consumers Ohio Water Company</t>
  </si>
  <si>
    <t>Dayton Water Department</t>
  </si>
  <si>
    <t>Del-Co Water Company</t>
  </si>
  <si>
    <t>Lancaster Division of Water</t>
  </si>
  <si>
    <t>Lima Utilities Department</t>
  </si>
  <si>
    <t>Mahoning County Sanitary Engineering Department</t>
  </si>
  <si>
    <t>North Ridgeville Utilities Department</t>
  </si>
  <si>
    <t>Scioto County Regional Water District No. 1</t>
  </si>
  <si>
    <t>St. Marys Water &amp; Wastewater</t>
  </si>
  <si>
    <t>Union Water &amp; Sewer Department</t>
  </si>
  <si>
    <t>Westerville</t>
  </si>
  <si>
    <t>Wood County Regional Water and Sewer District</t>
  </si>
  <si>
    <t>Rickenbacker International Airport</t>
  </si>
  <si>
    <t>Akron Fulton International Airport</t>
  </si>
  <si>
    <t>Barber Airport</t>
  </si>
  <si>
    <t>Ashland County Airport</t>
  </si>
  <si>
    <t>Ashtabula County Airport</t>
  </si>
  <si>
    <t>Ohio University Airport (Snyder Field)</t>
  </si>
  <si>
    <t>Barnesville-Bradfield Airport</t>
  </si>
  <si>
    <t>Clermont County Airport</t>
  </si>
  <si>
    <t>Bellefontaine Regional Airport</t>
  </si>
  <si>
    <t>Bluffton Airport</t>
  </si>
  <si>
    <t>Wood County Airport</t>
  </si>
  <si>
    <t>Williams County Airport</t>
  </si>
  <si>
    <t>Port Bucyrus-Crawford County Airport</t>
  </si>
  <si>
    <t>Harrison County Airport</t>
  </si>
  <si>
    <t>Cambridge Municipal Airport</t>
  </si>
  <si>
    <t>Carroll County-Tolson Airport</t>
  </si>
  <si>
    <t>Lakefield Airport</t>
  </si>
  <si>
    <t>Lawrence County Airpark</t>
  </si>
  <si>
    <t>Ross County Airport</t>
  </si>
  <si>
    <t>Pickaway County Memorial Airport</t>
  </si>
  <si>
    <t>Richard Downing Airport</t>
  </si>
  <si>
    <t>Greene County-Lewis A. Jackson Regional Airport</t>
  </si>
  <si>
    <t>Defiance Memorial Airport</t>
  </si>
  <si>
    <t>Delaware Municipal Airport</t>
  </si>
  <si>
    <t>Columbiana County Airport</t>
  </si>
  <si>
    <t>Findlay Airport</t>
  </si>
  <si>
    <t>Fostoria Metropolitan Airport</t>
  </si>
  <si>
    <t>Sandusky County Regional Airport</t>
  </si>
  <si>
    <t>Galion Municipal Airport</t>
  </si>
  <si>
    <t>Gallia-Meigs Regional Airport</t>
  </si>
  <si>
    <t>Brown County Airport</t>
  </si>
  <si>
    <t>Cincinnati West Airport</t>
  </si>
  <si>
    <t>Highland County Airport</t>
  </si>
  <si>
    <t>James A. Rhodes Airport</t>
  </si>
  <si>
    <t>Kelleys Island Land Field</t>
  </si>
  <si>
    <t>Kent State University Airport</t>
  </si>
  <si>
    <t>Hardin County Airport</t>
  </si>
  <si>
    <t>Fairfield County Airport</t>
  </si>
  <si>
    <t>Lebanon-Warren County Airport</t>
  </si>
  <si>
    <t>Lima Allen County Airport</t>
  </si>
  <si>
    <t>Madison County Airport</t>
  </si>
  <si>
    <t>Mansfield Lahm Regional Airport</t>
  </si>
  <si>
    <t>Marion Municipal Airport</t>
  </si>
  <si>
    <t>Union County Airport</t>
  </si>
  <si>
    <t>Vinton County Airport</t>
  </si>
  <si>
    <t>Middle Bass Island Airport</t>
  </si>
  <si>
    <t>Geauga County Airport</t>
  </si>
  <si>
    <t>Middletown Regional Airport (Hook Field) (was Hook Field Muni)</t>
  </si>
  <si>
    <t>Holmes County Airport</t>
  </si>
  <si>
    <t>Morrow County Airport</t>
  </si>
  <si>
    <t>Knox County Airport</t>
  </si>
  <si>
    <t>Henry County Airport</t>
  </si>
  <si>
    <t>Perry County Airport</t>
  </si>
  <si>
    <t>Harry Clever Field</t>
  </si>
  <si>
    <t>Newark-Heath Airport</t>
  </si>
  <si>
    <t>North Bass Island Airport</t>
  </si>
  <si>
    <t>Norwalk-Huron County Airport</t>
  </si>
  <si>
    <t>Putnam County Airport</t>
  </si>
  <si>
    <t>Miami University Airport</t>
  </si>
  <si>
    <t>Erie-Ottawa Regional Airport (Carl R. Keller Field)</t>
  </si>
  <si>
    <t>Greater Portsmouth Regional Airport</t>
  </si>
  <si>
    <t>Put-in-Bay Airport</t>
  </si>
  <si>
    <t>Portage County Airport</t>
  </si>
  <si>
    <t>Sidney Municipal Airport</t>
  </si>
  <si>
    <t>Springfield-Beckley Municipal Airport</t>
  </si>
  <si>
    <t>Jefferson County Airpark</t>
  </si>
  <si>
    <t>Seneca County Airport</t>
  </si>
  <si>
    <t>Wyandot County Airport</t>
  </si>
  <si>
    <t>Grimes Field</t>
  </si>
  <si>
    <t>Van Wert County Airport</t>
  </si>
  <si>
    <t>Darke County Airport</t>
  </si>
  <si>
    <t>Wadsworth Municipal Airport</t>
  </si>
  <si>
    <t>Neil Armstrong Airport</t>
  </si>
  <si>
    <t>Warren Airport</t>
  </si>
  <si>
    <t>Fayette County Airport</t>
  </si>
  <si>
    <t>Fulton County Airport</t>
  </si>
  <si>
    <t>Pike County Airport</t>
  </si>
  <si>
    <t>Alexander Salamon Airport</t>
  </si>
  <si>
    <t>Clinton Field</t>
  </si>
  <si>
    <t>Monroe County Airport</t>
  </si>
  <si>
    <t>Wayne County Airport</t>
  </si>
  <si>
    <t>Zanesville Municipal Airport</t>
  </si>
  <si>
    <t>Cleveland-Hopkins International Airport</t>
  </si>
  <si>
    <t>Port Columbus International Airport</t>
  </si>
  <si>
    <t>Toledo Express Airport</t>
  </si>
  <si>
    <t>Youngstown-Warren Regional Airport / Youngstown ARS</t>
  </si>
  <si>
    <t>Akron-Canton Regional Airport</t>
  </si>
  <si>
    <t>James M. Cox Dayton International Airport</t>
  </si>
  <si>
    <t>Cincinnati Municipal Airport (Lunken Field)</t>
  </si>
  <si>
    <t>Cincinnati-Blue Ash Airport</t>
  </si>
  <si>
    <t>Cuyahoga County Airport (Robert D. Shea Field)</t>
  </si>
  <si>
    <t>Burke Lakefront Airport</t>
  </si>
  <si>
    <t>Bolton Field</t>
  </si>
  <si>
    <t>Ohio State University Airport</t>
  </si>
  <si>
    <t>Dayton-Wright Brothers Airport</t>
  </si>
  <si>
    <t>Butler County Regional Airport</t>
  </si>
  <si>
    <t>Lorain County Regional Airport</t>
  </si>
  <si>
    <t>Medina Municipal Airport</t>
  </si>
  <si>
    <t>Metcalf Field</t>
  </si>
  <si>
    <t>Willoughby Lost Nation Municipal Airport</t>
  </si>
  <si>
    <t>Oklahoma State Website</t>
  </si>
  <si>
    <t>@okgov</t>
  </si>
  <si>
    <t>http://www.facebook.com/okgov</t>
  </si>
  <si>
    <t>http://www.ok.gov/</t>
  </si>
  <si>
    <t>Oklahoma EMA</t>
  </si>
  <si>
    <t>@okem</t>
  </si>
  <si>
    <t>http://www.facebook.com/OklahomaDepartmentofEmergencyManagement?sk=wall</t>
  </si>
  <si>
    <t>http://www.ok.gov/OEM/</t>
  </si>
  <si>
    <t>Oklahoma  DHS</t>
  </si>
  <si>
    <t>https://www.facebook.com/okhomeland?fref=ts</t>
  </si>
  <si>
    <t>http://www.ok.gov/homeland/index.html</t>
  </si>
  <si>
    <t>Oklahoma Wildlife Rescue</t>
  </si>
  <si>
    <t>http://animal.rescueme.org/Oklahoma</t>
  </si>
  <si>
    <t>Oklahoma DOT</t>
  </si>
  <si>
    <t>@OKDOT</t>
  </si>
  <si>
    <t>http://www.okladot.state.ok.us/</t>
  </si>
  <si>
    <t>Alfalfa</t>
  </si>
  <si>
    <t>Atoka</t>
  </si>
  <si>
    <t>http://www.atokacity.org/index.php</t>
  </si>
  <si>
    <t>Beaver</t>
  </si>
  <si>
    <t>@BeaverOKEM</t>
  </si>
  <si>
    <t>http://beaver.okcounties.org/</t>
  </si>
  <si>
    <t>Beckham</t>
  </si>
  <si>
    <t>@beckhameoc</t>
  </si>
  <si>
    <t>http://beckham.okcounties.org/</t>
  </si>
  <si>
    <t>Bryan</t>
  </si>
  <si>
    <t>Canadian</t>
  </si>
  <si>
    <t>https://www.facebook.com/pages/Canadian-County-Government/272397237981</t>
  </si>
  <si>
    <t>http://www.canadiancounty.org/</t>
  </si>
  <si>
    <t>http://brightok.net/chickasaw/ardmore/county/</t>
  </si>
  <si>
    <t>https://www.facebook.com/Integrity.RealEstate.Services.JudiBarrett</t>
  </si>
  <si>
    <t>http://www.ok.gov/choctaw/</t>
  </si>
  <si>
    <t>Cimarron</t>
  </si>
  <si>
    <t>Cleveland - Norman</t>
  </si>
  <si>
    <t>@cityofnormanok</t>
  </si>
  <si>
    <t>https://www.facebook.com/pages/Cleveland-County-OK/415750588484506</t>
  </si>
  <si>
    <t>http://www.ccok.us/</t>
  </si>
  <si>
    <t>Coal</t>
  </si>
  <si>
    <t>@comancheo</t>
  </si>
  <si>
    <t>https://www.facebook.com/comanchecountyok</t>
  </si>
  <si>
    <t>http://www.comanchecounty.us/</t>
  </si>
  <si>
    <t>Cotton</t>
  </si>
  <si>
    <t>Craig</t>
  </si>
  <si>
    <t>Creek</t>
  </si>
  <si>
    <t>@creekcounty</t>
  </si>
  <si>
    <t>https://www.facebook.com/redcrosssapulpa</t>
  </si>
  <si>
    <t>http://www.creekcountyonline.com/</t>
  </si>
  <si>
    <t>@CusterCountySO</t>
  </si>
  <si>
    <t>http://custer.okcounties.org/</t>
  </si>
  <si>
    <t>http://www.delawareclerk.org/</t>
  </si>
  <si>
    <t>Dewey</t>
  </si>
  <si>
    <t>https://www.facebook.com/elliscoem</t>
  </si>
  <si>
    <t>https://www.facebook.com/pages/Office-of-Sheriff-Garfield-County-Oklahoma/330046137022460</t>
  </si>
  <si>
    <t>http://www.garfieldoklahoma.com/</t>
  </si>
  <si>
    <t>Garvin</t>
  </si>
  <si>
    <t>Grady</t>
  </si>
  <si>
    <t>@gcema</t>
  </si>
  <si>
    <t>http://www.gradycountyok.com/</t>
  </si>
  <si>
    <t>http://www.grantcountyok.com/</t>
  </si>
  <si>
    <t>Greer</t>
  </si>
  <si>
    <t>http://greer.okcounties.org/</t>
  </si>
  <si>
    <t>Harmon</t>
  </si>
  <si>
    <t>http://harpercountyok.com/</t>
  </si>
  <si>
    <t>Hughes</t>
  </si>
  <si>
    <t>http://www.jacksoncountyok.com/</t>
  </si>
  <si>
    <t>http://jeffcoinfo.org/</t>
  </si>
  <si>
    <t>Kay</t>
  </si>
  <si>
    <t>@kaycountyok</t>
  </si>
  <si>
    <t>http://www.courthouse.kay.ok.us/home.html</t>
  </si>
  <si>
    <t>Kingfisher</t>
  </si>
  <si>
    <t>https://www.facebook.com/pages/Kingfisher-Chamber-of-Commerce/307747814151</t>
  </si>
  <si>
    <t>http://kingfisher.org/</t>
  </si>
  <si>
    <t>@bvaughn67</t>
  </si>
  <si>
    <t>Latimer</t>
  </si>
  <si>
    <t>Le Flore</t>
  </si>
  <si>
    <t>@LefloreCounty</t>
  </si>
  <si>
    <t>@LincolnCountyOK</t>
  </si>
  <si>
    <t>https://www.facebook.com/pages/Lincoln-County-Emergency-Management/102898463116252</t>
  </si>
  <si>
    <t>http://logancountyok.com/</t>
  </si>
  <si>
    <t>Love</t>
  </si>
  <si>
    <t>http://www.love.okcounties.org/</t>
  </si>
  <si>
    <t>Major</t>
  </si>
  <si>
    <t>http://marshall.okcounties.org/</t>
  </si>
  <si>
    <t>Mayes</t>
  </si>
  <si>
    <t>http://mayes.okcounties.org/</t>
  </si>
  <si>
    <t>McClain</t>
  </si>
  <si>
    <t>@McClain_EmerMgt</t>
  </si>
  <si>
    <t>http://mcclain-co-ok.us/</t>
  </si>
  <si>
    <t>McCurtain</t>
  </si>
  <si>
    <t>http://www.mccurtaincountygetaways.com/emergency_information.php</t>
  </si>
  <si>
    <t>http://murrayok.com/</t>
  </si>
  <si>
    <t>Muskogee</t>
  </si>
  <si>
    <t>http://cityofmuskogee.com/index.asp</t>
  </si>
  <si>
    <t>Noble - Perry</t>
  </si>
  <si>
    <t>http://www.perryok.org/countyinfo.html</t>
  </si>
  <si>
    <t>Nowata</t>
  </si>
  <si>
    <t>http://nowatachamber.net/citycommissiners.html</t>
  </si>
  <si>
    <t>Okfuskee</t>
  </si>
  <si>
    <t>@OkCountySheriff</t>
  </si>
  <si>
    <t>https://www.facebook.com/OCSO911</t>
  </si>
  <si>
    <t>http://www.oklahomacounty.org/</t>
  </si>
  <si>
    <t>Okmulgee</t>
  </si>
  <si>
    <t>@OkmulgeeSO</t>
  </si>
  <si>
    <t>https://www.facebook.com/pages/Okmulgee-County-Sheriffs-Office/187541591262156</t>
  </si>
  <si>
    <t>http://www.okmulgeeonline.com/index.html</t>
  </si>
  <si>
    <t>http://ottawa.okcounties.org/</t>
  </si>
  <si>
    <t>http://www.cityofpawnee.com/</t>
  </si>
  <si>
    <t>Payne</t>
  </si>
  <si>
    <t>http://www.paynecounty.org/</t>
  </si>
  <si>
    <t>Pittsburg</t>
  </si>
  <si>
    <t>http://pittsburg.okcounties.org/</t>
  </si>
  <si>
    <t>Pontotoc - Ada</t>
  </si>
  <si>
    <t>@CityofAdaOK</t>
  </si>
  <si>
    <t>http://www.adaok.com/</t>
  </si>
  <si>
    <t>Pottawatomie - Shawnee</t>
  </si>
  <si>
    <t>@pottcosox</t>
  </si>
  <si>
    <t>http://www.shawneeok.org/</t>
  </si>
  <si>
    <t>Pushmataha</t>
  </si>
  <si>
    <t>https://www.facebook.com/pages/Pushmataha-County-Oklahoma/348733767731</t>
  </si>
  <si>
    <t>Roger Mills</t>
  </si>
  <si>
    <t>http://www.rogermills.org/Index.html</t>
  </si>
  <si>
    <t>Rogers</t>
  </si>
  <si>
    <t>http://www.rogerscounty.org/</t>
  </si>
  <si>
    <t>Seminole</t>
  </si>
  <si>
    <t>http://seminoleoklahoma.com/</t>
  </si>
  <si>
    <t>Sequoyah</t>
  </si>
  <si>
    <t>https://www.facebook.com/pages/Sequoyah-County-Sheriffs-Office/110181182367302?rf=136643249689730</t>
  </si>
  <si>
    <t>Stephens</t>
  </si>
  <si>
    <t>http://www.stephenscountyok.com/</t>
  </si>
  <si>
    <t>http://www.txcountyok.com/</t>
  </si>
  <si>
    <t>Tillman</t>
  </si>
  <si>
    <t>http://www.tillmancounty.org/</t>
  </si>
  <si>
    <t>Tulsa</t>
  </si>
  <si>
    <t>@TulsaCounty</t>
  </si>
  <si>
    <t>https://www.facebook.com/pages/Tulsa-County/280614525401</t>
  </si>
  <si>
    <t>http://www.tulsacounty.org/Tulsacounty/default.aspx</t>
  </si>
  <si>
    <t>Wagoner</t>
  </si>
  <si>
    <t>https://www.ok.gov/wagonercounty/</t>
  </si>
  <si>
    <t>https://www.facebook.com/pages/Washington-County-Oklahoma/191088930351</t>
  </si>
  <si>
    <t>http://countycourthouse.org/</t>
  </si>
  <si>
    <t>Washita</t>
  </si>
  <si>
    <t>Woods</t>
  </si>
  <si>
    <t>@WoodsCountyOK</t>
  </si>
  <si>
    <t>Woodward</t>
  </si>
  <si>
    <t>https://www.facebook.com/ReadyWoodward.Livestream</t>
  </si>
  <si>
    <t>http://woodwardcounty.org/</t>
  </si>
  <si>
    <t>Oklahoma Corporation Commission(OCC) - Electric Utiities w/web links</t>
  </si>
  <si>
    <t>http://www.occeweb.com/pu/puregelectric.htm</t>
  </si>
  <si>
    <t>OCC Regulated natural Gas Untilities w/weblinks</t>
  </si>
  <si>
    <t>http://www.occeweb.com/pu/pureggas.htm</t>
  </si>
  <si>
    <t>OCC Water Utilities</t>
  </si>
  <si>
    <t>http://www.occeweb.com/pu/puregwater.htm</t>
  </si>
  <si>
    <t>Municipal Utility Board Pryor</t>
  </si>
  <si>
    <t>http://www.pryorok.org/cgi-bin/WebObjects/Pryor.woa/wa/room?id=bqER1&amp;bid=999</t>
  </si>
  <si>
    <t>Oklahoma Natural Gas</t>
  </si>
  <si>
    <t>@OklahomaNatural</t>
  </si>
  <si>
    <t>http://www.oklahomanaturalgas.com/</t>
  </si>
  <si>
    <t>Tecumseh Utility Authority</t>
  </si>
  <si>
    <t>http://tecumseh.squarespace.com/utilities/</t>
  </si>
  <si>
    <t>Tulsa Metropolitan Utility Authority</t>
  </si>
  <si>
    <t>@cityoftulsagov</t>
  </si>
  <si>
    <t>https://www.facebook.com/cityoftulsa?ref=ts</t>
  </si>
  <si>
    <t>https://www.cityoftulsa.org/city-services/city-services-overview.aspx</t>
  </si>
  <si>
    <t>Public Service Company of Oklahoma</t>
  </si>
  <si>
    <t>@PSOklahoma</t>
  </si>
  <si>
    <t>https://www.facebook.com/PSOklahoma</t>
  </si>
  <si>
    <t>https://www.psoklahoma.com/Default.aspx</t>
  </si>
  <si>
    <t>Oklahoma Gas &amp; Electric</t>
  </si>
  <si>
    <t>@OGandE</t>
  </si>
  <si>
    <t>http://www.oge.com/Pages/Home.aspx</t>
  </si>
  <si>
    <t>Oklahoma Electric Cooperative</t>
  </si>
  <si>
    <t>@okcoop</t>
  </si>
  <si>
    <t>http://www.okcoop.org/</t>
  </si>
  <si>
    <t>OKC.gov - Dept of Utilities</t>
  </si>
  <si>
    <t>http://www.okc.gov/water/index.html</t>
  </si>
  <si>
    <t>Oklahoma Municipal Power Authority - Member cities w/links</t>
  </si>
  <si>
    <t>@OMPA</t>
  </si>
  <si>
    <t>https://www.facebook.com/pages/Oklahoma-Municipal-Power-Authority-OMPA/125994407444079</t>
  </si>
  <si>
    <t>http://ompa.com/about/member-cities/</t>
  </si>
  <si>
    <t>AIR-NAV.com - OK airports</t>
  </si>
  <si>
    <t>http://www.airnav.com/airports/us/OK</t>
  </si>
  <si>
    <t>Ada Municipal Airport</t>
  </si>
  <si>
    <t>http://www.airnav.com/airport/KADH</t>
  </si>
  <si>
    <t>Altus/Quartz Mountain Regional Airport</t>
  </si>
  <si>
    <t>Alva Regional Airport</t>
  </si>
  <si>
    <t>http://www.airnav.com/airport/KAVK</t>
  </si>
  <si>
    <t>Anadarko Municipal Airport</t>
  </si>
  <si>
    <t>Antlers Municipal Airport</t>
  </si>
  <si>
    <t>http://www.airnav.com/airport/80F</t>
  </si>
  <si>
    <t>Ardmore Municipal Airport</t>
  </si>
  <si>
    <t>http://www.airnav.com/airport/KADM</t>
  </si>
  <si>
    <t>Ardmore Downtown Executive Airport</t>
  </si>
  <si>
    <t>http://www.airnav.com/airport/1F0</t>
  </si>
  <si>
    <t>Atoka Municipal Airport</t>
  </si>
  <si>
    <t>http://www.airnav.com/airport/KAQR</t>
  </si>
  <si>
    <t>Bartlesville Municipal Airport</t>
  </si>
  <si>
    <t>http://www.airnav.com/airport/KBVO</t>
  </si>
  <si>
    <t>Beaver Municipal Airport</t>
  </si>
  <si>
    <t>http://www.airnav.com/airport/K44</t>
  </si>
  <si>
    <t>Blackwell-Tonkawa Municipal Airport</t>
  </si>
  <si>
    <t>http://www.airnav.com/airport/KBKN</t>
  </si>
  <si>
    <t>Boise City Airport</t>
  </si>
  <si>
    <t>http://www.airnav.com/airport/17K</t>
  </si>
  <si>
    <t>Broken Bow Airport</t>
  </si>
  <si>
    <t>http://www.airnav.com/airport/90F</t>
  </si>
  <si>
    <t>http://www.cityofbrokenbow.com/airport/</t>
  </si>
  <si>
    <t>Jones Memorial Airport</t>
  </si>
  <si>
    <t>http://www.airnav.com/airport/3F7</t>
  </si>
  <si>
    <t>Buffalo Municipal Airport</t>
  </si>
  <si>
    <t>http://www.airnav.com/airport/KBFK</t>
  </si>
  <si>
    <t>Arrowhead Airport</t>
  </si>
  <si>
    <t>http://www.airnav.com/airport/91F</t>
  </si>
  <si>
    <t>Carnegie Municipal Airport</t>
  </si>
  <si>
    <t>http://www.airnav.com/airport/86F</t>
  </si>
  <si>
    <t>Chandler Regional Airport</t>
  </si>
  <si>
    <t>http://www.airnav.com/airport/KCQB</t>
  </si>
  <si>
    <t>Cherokee Municipal Airport</t>
  </si>
  <si>
    <t>http://www.airnav.com/airport/4O5</t>
  </si>
  <si>
    <t>Mignon Laird Municipal Airport</t>
  </si>
  <si>
    <t>http://www.airnav.com/airport/93F</t>
  </si>
  <si>
    <t>Chickasha Municipal Airport</t>
  </si>
  <si>
    <t>http://www.airnav.com/airport/KCHK</t>
  </si>
  <si>
    <t>Claremore Regional Airport</t>
  </si>
  <si>
    <t>http://www.claremoreairport.com/</t>
  </si>
  <si>
    <t>Cleveland Municipal Airport</t>
  </si>
  <si>
    <t>http://www.airnav.com/airport/95F</t>
  </si>
  <si>
    <t>Clinton Regional Airport</t>
  </si>
  <si>
    <t>http://www.clintonregionalairport.com/default.htm\</t>
  </si>
  <si>
    <t>Clinton-Sherman Airport (at Clinton-Sherman Industrial Airpark)</t>
  </si>
  <si>
    <t>http://www.airnav.com/airport/KCSM</t>
  </si>
  <si>
    <t>Cordell Municipal Airport</t>
  </si>
  <si>
    <t>http://www.airnav.com/airport/F36</t>
  </si>
  <si>
    <t>Cushing Municipal Airport</t>
  </si>
  <si>
    <t>http://www.airnav.com/airport/KCUH</t>
  </si>
  <si>
    <t>Halliburton Field (Duncan Municipal Airport)</t>
  </si>
  <si>
    <t>http://www.airnav.com/airport/KDUC</t>
  </si>
  <si>
    <t>Durant Regional Airport - Eaker Field</t>
  </si>
  <si>
    <t>http://www.airnav.com/airport/KDUA</t>
  </si>
  <si>
    <t>El Reno Regional Airport</t>
  </si>
  <si>
    <t>http://www.airnav.com/airport/KRQO</t>
  </si>
  <si>
    <t>Elk City Regional Business Airport (was Elk City Municipal)</t>
  </si>
  <si>
    <t>http://www.airnav.com/airport/KELK</t>
  </si>
  <si>
    <t>Enid Woodring Regional Airport</t>
  </si>
  <si>
    <t>http://www.enidairport.com/default.htm</t>
  </si>
  <si>
    <t>Eufaula Municipal Airport</t>
  </si>
  <si>
    <t>http://www.airnav.com/airport/F08</t>
  </si>
  <si>
    <t>Fountainhead Lodge Airpark</t>
  </si>
  <si>
    <t>http://www.airnav.com/airport/0F7</t>
  </si>
  <si>
    <t>Fairview Municipal Airport</t>
  </si>
  <si>
    <t>http://www.airnav.com/airport/6K4</t>
  </si>
  <si>
    <t>Frederick Regional Airport</t>
  </si>
  <si>
    <t>http://www.airnav.com/airport/KFDR</t>
  </si>
  <si>
    <t>Gage Airport</t>
  </si>
  <si>
    <t>http://www.airnav.com/airport/KGAG</t>
  </si>
  <si>
    <t>David Jay Perry Airport</t>
  </si>
  <si>
    <t>http://www.airnav.com/airport/1K4</t>
  </si>
  <si>
    <t>Grandfield Municipal Airport</t>
  </si>
  <si>
    <t>http://www.airnav.com/airport/3O9</t>
  </si>
  <si>
    <t>Grove Municipal Airport</t>
  </si>
  <si>
    <t>http://www.grovemunicipalairport.com/</t>
  </si>
  <si>
    <t>Guthrie-Edmond Regional Airport (was Guthrie Municipal)</t>
  </si>
  <si>
    <t>http://www.guthrieedmondregionalairport.com/</t>
  </si>
  <si>
    <t>Guymon Municipal Airport</t>
  </si>
  <si>
    <t>http://www.airnav.com/airport/KGUY</t>
  </si>
  <si>
    <t>Healdton Municipal Airport</t>
  </si>
  <si>
    <t>http://www.airnav.com/airport/F32</t>
  </si>
  <si>
    <t>Henryetta Municipal Airport</t>
  </si>
  <si>
    <t>http://www.airnav.com/airport/F10</t>
  </si>
  <si>
    <t>Hinton Municipal Airport</t>
  </si>
  <si>
    <t>http://www.airnav.com/airport/2O8</t>
  </si>
  <si>
    <t>Hobart Municipal Airport</t>
  </si>
  <si>
    <t>http://www.airnav.com/airport/KHBR</t>
  </si>
  <si>
    <t>Holdenville Municipal Airport</t>
  </si>
  <si>
    <t>http://www.airnav.com/airport/F99</t>
  </si>
  <si>
    <t>Hollis Municipal Airport</t>
  </si>
  <si>
    <t>http://www.airnav.com/airport/O35</t>
  </si>
  <si>
    <t>Hominy Municipal Airport</t>
  </si>
  <si>
    <t>Hooker Municipal Airport</t>
  </si>
  <si>
    <t>http://www.airnav.com/airport/O45</t>
  </si>
  <si>
    <t>Stan Stamper Municipal Airport</t>
  </si>
  <si>
    <t>http://www.airnav.com/airport/KHHW</t>
  </si>
  <si>
    <t>McCurtain County Regional Airport</t>
  </si>
  <si>
    <t>http://www.mccurtain-airport.com/</t>
  </si>
  <si>
    <t>South Grand Lake Regional Airport (was So. Grand Lake Airport)</t>
  </si>
  <si>
    <t>http://www.southgrandlakeairport.com/</t>
  </si>
  <si>
    <t>Lake Texoma State Park Airport</t>
  </si>
  <si>
    <t>http://www.airnav.com/airport/F31</t>
  </si>
  <si>
    <t>Lindsay Municipal Airport</t>
  </si>
  <si>
    <t>http://www.airnav.com/airport/1K2</t>
  </si>
  <si>
    <t>Madill Municipal Airport</t>
  </si>
  <si>
    <t>http://www.airnav.com/airport/1F4</t>
  </si>
  <si>
    <t>Scott Field</t>
  </si>
  <si>
    <t>http://www.cityofmangum.com/Airport.html</t>
  </si>
  <si>
    <t>McAlester Regional Airport</t>
  </si>
  <si>
    <t>http://www.airnav.com/airport/KMLC</t>
  </si>
  <si>
    <t>Medford Municipal Airport</t>
  </si>
  <si>
    <t>http://www.airnav.com/airport/O53</t>
  </si>
  <si>
    <t>Miami Municipal Airport</t>
  </si>
  <si>
    <t>http://www.airnav.com/airport/KMIO</t>
  </si>
  <si>
    <t>Mooreland Municipal Airport</t>
  </si>
  <si>
    <t>http://www.airnav.com/airport/KMDF</t>
  </si>
  <si>
    <t>Davis Field</t>
  </si>
  <si>
    <t>http://www.airnav.com/airport/KMKO</t>
  </si>
  <si>
    <t>Christman Airfield</t>
  </si>
  <si>
    <t>http://www.airnav.com/airport/O65</t>
  </si>
  <si>
    <t>Okemah Flying Field</t>
  </si>
  <si>
    <t>http://www.airnav.com/airport/F81</t>
  </si>
  <si>
    <t>Clarence E. Page Municipal Airport</t>
  </si>
  <si>
    <t>http://www.airnav.com/airport/KRCE</t>
  </si>
  <si>
    <t>Okmulgee Regional Airport</t>
  </si>
  <si>
    <t>http://www.okmulgeeairport.org/</t>
  </si>
  <si>
    <t>Lake Murray State Park Airport</t>
  </si>
  <si>
    <t>http://www.airnav.com/airport/1F1</t>
  </si>
  <si>
    <t>Pauls Valley Municipal Airport</t>
  </si>
  <si>
    <t>http://paulsvalleymunicipalairport.webs.com/</t>
  </si>
  <si>
    <t>Pawnee Municipal Airport</t>
  </si>
  <si>
    <t>http://www.airnav.com/airport/H97</t>
  </si>
  <si>
    <t>Perry Municipal Airport</t>
  </si>
  <si>
    <t>http://www.airnav.com/airport/F22</t>
  </si>
  <si>
    <t>Ponca City Regional Airport</t>
  </si>
  <si>
    <t>http://www.poncacityok.gov/index.aspx?nid=181</t>
  </si>
  <si>
    <t>Robert S. Kerr Airport</t>
  </si>
  <si>
    <t>http://www.airnav.com/airport/KRKR</t>
  </si>
  <si>
    <t>Prague Municipal Airport</t>
  </si>
  <si>
    <t>MidAmerica Industrial Park Airport</t>
  </si>
  <si>
    <t>http://www.airnav.com/airport/H71</t>
  </si>
  <si>
    <t>Purcell Municipal Airport (Steven E. Shephard Field)</t>
  </si>
  <si>
    <t>http://www.airnav.com/airport/3O3</t>
  </si>
  <si>
    <t>Sallisaw Municipal Airport</t>
  </si>
  <si>
    <t>http://www.sallisawok.org/index.aspx?NID=107</t>
  </si>
  <si>
    <t>William R. Pogue Municipal Airport</t>
  </si>
  <si>
    <t>http://www.airnav.com/airport/KOWP</t>
  </si>
  <si>
    <t>Sayre Municipal Airport</t>
  </si>
  <si>
    <t>http://www.airnav.com/airport/3O4</t>
  </si>
  <si>
    <t>Seminole Municipal Airport</t>
  </si>
  <si>
    <t>http://www.airnav.com/airport/KSRE</t>
  </si>
  <si>
    <t>Shawnee Regional Airport</t>
  </si>
  <si>
    <t>http://www.shawneeairport.com/</t>
  </si>
  <si>
    <t>Skiatook Municipal Airport</t>
  </si>
  <si>
    <t>http://www.airnav.com/airport/2F6</t>
  </si>
  <si>
    <t>Stigler Regional Airport</t>
  </si>
  <si>
    <t>http://www.airnav.com/airport/KGZL</t>
  </si>
  <si>
    <t>Stillwater Regional Airport</t>
  </si>
  <si>
    <t>http://www.airnav.com/airport/KSWO</t>
  </si>
  <si>
    <t>Stroud Municipal Airport</t>
  </si>
  <si>
    <t>Sulphur Municipal Airport</t>
  </si>
  <si>
    <t>http://www.airnav.com/airport/F30</t>
  </si>
  <si>
    <t>Tahlequah Municipal Airport</t>
  </si>
  <si>
    <t>Talihina Municipal Airport</t>
  </si>
  <si>
    <t>http://www.airnav.com/airport/6F1</t>
  </si>
  <si>
    <t>Thomas Municipal Airport</t>
  </si>
  <si>
    <t>http://www.airnav.com/airport/1O4</t>
  </si>
  <si>
    <t>Tishomingo Airpark</t>
  </si>
  <si>
    <t>http://www.airnav.com/airport/0F9</t>
  </si>
  <si>
    <t>Vinita Municipal Airport</t>
  </si>
  <si>
    <t>http://www.airnav.com/airport/H04</t>
  </si>
  <si>
    <t>Hefner-Easley Airport</t>
  </si>
  <si>
    <t>http://www.airnav.com/airport/H68</t>
  </si>
  <si>
    <t>Walters Municipal Airport</t>
  </si>
  <si>
    <t>http://www.airnav.com/airport/3O5</t>
  </si>
  <si>
    <t>Watonga Regional Airport</t>
  </si>
  <si>
    <t>http://www.airnav.com/airport/KJWG</t>
  </si>
  <si>
    <t>Waynoka Municipal Airport</t>
  </si>
  <si>
    <t>http://www.airnav.com/airport/1K5</t>
  </si>
  <si>
    <t>Thomas P. Stafford Airport</t>
  </si>
  <si>
    <t>http://www.airnav.com/airport/KOJA</t>
  </si>
  <si>
    <t>Wilburton Municipal Airport</t>
  </si>
  <si>
    <t>http://www.airnav.com/airport/H05</t>
  </si>
  <si>
    <t>West Woodward Airport</t>
  </si>
  <si>
    <t>http://www.cityofwoodward.com/airport-89/</t>
  </si>
  <si>
    <t>Grand Lake Regional Airport</t>
  </si>
  <si>
    <t>http://www.thelandingsgrandlake.com/</t>
  </si>
  <si>
    <t>Nowata Municipal Airport</t>
  </si>
  <si>
    <t>http://www.airnav.com/airport/H66</t>
  </si>
  <si>
    <t>Lawton-Fort Sill Regional Airport</t>
  </si>
  <si>
    <t>http://flylawton.org/</t>
  </si>
  <si>
    <t>Will Rogers World Airport</t>
  </si>
  <si>
    <t>http://flyokc.com/</t>
  </si>
  <si>
    <t>Tulsa International Airport</t>
  </si>
  <si>
    <t>http://tulsaairports.com/</t>
  </si>
  <si>
    <t>University of Oklahoma Westheimer Airport</t>
  </si>
  <si>
    <t>http://www.ou.edu/airport.html</t>
  </si>
  <si>
    <t>Wiley Post Airport</t>
  </si>
  <si>
    <t>http://www.wileypostairport.com/Home.aspx</t>
  </si>
  <si>
    <t>KSWO 7</t>
  </si>
  <si>
    <t>http://www.kswo.com/</t>
  </si>
  <si>
    <t>KOCO5 - OK CITY</t>
  </si>
  <si>
    <t>http://www.koco.com/</t>
  </si>
  <si>
    <t>KTUL8 - TULSA</t>
  </si>
  <si>
    <t>http://www.ktul.com/</t>
  </si>
  <si>
    <t>NEWS 9</t>
  </si>
  <si>
    <t>http://www.news9.com/</t>
  </si>
  <si>
    <t>NEWSON6</t>
  </si>
  <si>
    <t>http://www.newson6.com/</t>
  </si>
  <si>
    <t>KOKH-TV 25</t>
  </si>
  <si>
    <t>http://www.okcfox.com/</t>
  </si>
  <si>
    <t>FOX 23</t>
  </si>
  <si>
    <t>http://www.fox23.com/default.aspx</t>
  </si>
  <si>
    <t>KSBI 52</t>
  </si>
  <si>
    <t>http://www.ksbitv.com/</t>
  </si>
  <si>
    <t>KWHB 47</t>
  </si>
  <si>
    <t>http://www.kwhb.com/</t>
  </si>
  <si>
    <t>KFOR - OK CITY</t>
  </si>
  <si>
    <t>http://kfor.com/</t>
  </si>
  <si>
    <t>KJRH - TULSA</t>
  </si>
  <si>
    <t>http://www.kjrh.com/</t>
  </si>
  <si>
    <t>OETA</t>
  </si>
  <si>
    <t>http://www.oeta.onenet.net/</t>
  </si>
  <si>
    <t>CW - OK CITY</t>
  </si>
  <si>
    <t>http://www.cwokc.com/</t>
  </si>
  <si>
    <t>Oregon State Website</t>
  </si>
  <si>
    <t>https://www.facebook.com/johnkitzhaber</t>
  </si>
  <si>
    <t>http://www.oregon.gov/Pages/index.aspx</t>
  </si>
  <si>
    <t>Oregon EMA</t>
  </si>
  <si>
    <t>@OregonOEM</t>
  </si>
  <si>
    <t>Oregon  DHS</t>
  </si>
  <si>
    <t>https://www.facebook.com/OMDOEM</t>
  </si>
  <si>
    <t>Oregon Wildlife Rescue</t>
  </si>
  <si>
    <t>Baker</t>
  </si>
  <si>
    <t>https://www.facebook.com/pages/Baker-County/138554699497608?ref=ts&amp;fref=ts&amp;rf=112415418808270</t>
  </si>
  <si>
    <t>http://www.bakercounty.org/</t>
  </si>
  <si>
    <t>@BentonGov</t>
  </si>
  <si>
    <t>https://www.facebook.com/pages/Benton-County-Oregon/135110536508987?ref=ts&amp;fref=ts</t>
  </si>
  <si>
    <t>http://www.co.benton.or.us/</t>
  </si>
  <si>
    <t>Clackamas</t>
  </si>
  <si>
    <t>@clackamascounty</t>
  </si>
  <si>
    <t>https://www.facebook.com/pages/Clackamas-County-Oregon/273982246215</t>
  </si>
  <si>
    <t>http://www.clackamas.us/</t>
  </si>
  <si>
    <t>Clatsop</t>
  </si>
  <si>
    <t>@CCVOAD</t>
  </si>
  <si>
    <t>https://www.facebook.com/pages/Clatsop-County-Oregon/139565466063208?ref=ts&amp;fref=ts</t>
  </si>
  <si>
    <t>http://www.co.clatsop.or.us/</t>
  </si>
  <si>
    <t>@columbiacoem</t>
  </si>
  <si>
    <t>https://www.facebook.com/pages/Columbia-County-Oregon/132955973410561?ref=ts&amp;fref=ts</t>
  </si>
  <si>
    <t>http://www.co.columbia.or.us/</t>
  </si>
  <si>
    <t>@coos911</t>
  </si>
  <si>
    <t>https://www.facebook.com/pages/Coos-County-Oregon/132799493422378?ref=ts&amp;fref=ts</t>
  </si>
  <si>
    <t>http://www.co.coos.or.us/</t>
  </si>
  <si>
    <t>Crook</t>
  </si>
  <si>
    <t>https://www.facebook.com/pages/Crook-County-Oregon/128847487156691?ref=ts&amp;fref=ts#</t>
  </si>
  <si>
    <t>http://www.co.crook.or.us/</t>
  </si>
  <si>
    <t>https://www.facebook.com/pages/Curry-County-Oregon/132582346781719?ref=ts&amp;fref=ts</t>
  </si>
  <si>
    <t>http://www.co.curry.or.us/</t>
  </si>
  <si>
    <t>Deschutes</t>
  </si>
  <si>
    <t>@DeschutesCounty</t>
  </si>
  <si>
    <t>https://www.facebook.com/Deschutes.County?ref=ts&amp;fref=ts&amp;rf=110997412284883</t>
  </si>
  <si>
    <t>http://www.deschutes.org/</t>
  </si>
  <si>
    <t>https://www.facebook.com/pages/Douglas-County/137732559584675?ref=ts&amp;fref=ts&amp;rf=134937963204897</t>
  </si>
  <si>
    <t>http://www.co.douglas.or.us/</t>
  </si>
  <si>
    <t>Gilliam</t>
  </si>
  <si>
    <t>https://www.facebook.com/pages/Gilliam-County-Oregon/132483226791103?ref=ts&amp;fref=ts</t>
  </si>
  <si>
    <t>http://www.co.gilliam.or.us/</t>
  </si>
  <si>
    <t>https://www.facebook.com/pages/Grant-County-Oregon/116450008403299?ref=ts&amp;fref=ts</t>
  </si>
  <si>
    <t>http://www.gcoregonlive2.com/</t>
  </si>
  <si>
    <t>Harney</t>
  </si>
  <si>
    <t>https://www.facebook.com/pages/Harney-County-Oregon/135171986514428</t>
  </si>
  <si>
    <t>http://www.co.harney.or.us/</t>
  </si>
  <si>
    <t>Hood River</t>
  </si>
  <si>
    <t>@HoodRiverCounty</t>
  </si>
  <si>
    <t>https://www.facebook.com/pages/Hood-River-County/112611292122163?ref=ts&amp;fref=ts&amp;rf=136579109696411</t>
  </si>
  <si>
    <t>http://www.co.hood-river.or.us/</t>
  </si>
  <si>
    <t>@JacksonCountyOR</t>
  </si>
  <si>
    <t>https://www.facebook.com/JacksonCountyOR?ref=ts&amp;fref=ts</t>
  </si>
  <si>
    <t>http://www.co.jackson.or.us/</t>
  </si>
  <si>
    <t>https://www.facebook.com/pages/Jefferson-County-Oregon/132057976830432?ref=ts&amp;fref=ts</t>
  </si>
  <si>
    <t>http://www.co.jefferson.or.us/</t>
  </si>
  <si>
    <t>Josephine</t>
  </si>
  <si>
    <t>@JosephineCounty</t>
  </si>
  <si>
    <t>https://www.facebook.com/pages/Josephine-County-Oregon/143091522369350?ref=ts&amp;fref=ts</t>
  </si>
  <si>
    <t>http://www.co.josephine.or.us/</t>
  </si>
  <si>
    <t>Klamath</t>
  </si>
  <si>
    <t>@klamathcounty</t>
  </si>
  <si>
    <t>https://www.facebook.com/pages/Klamath-County-Oregon/137888552906058?ref=ts&amp;fref=ts</t>
  </si>
  <si>
    <t>http://klamathcounty.org/</t>
  </si>
  <si>
    <t>https://www.facebook.com/pages/Lake-County-Oregon/137798659582488?ref=ts&amp;fref=ts</t>
  </si>
  <si>
    <t>http://www.lakecountyor.org/</t>
  </si>
  <si>
    <t>@LaneCountyGov</t>
  </si>
  <si>
    <t>https://www.facebook.com/pages/Lane-County-Oregon/132105613494976?ref=ts&amp;fref=ts</t>
  </si>
  <si>
    <t>http://www.lanecounty.org</t>
  </si>
  <si>
    <t>https://www.facebook.com/pages/Lincoln-County-Oregon/137165776305648?ref=ts&amp;fref=ts</t>
  </si>
  <si>
    <t>http://www.co.lincoln.or.us/</t>
  </si>
  <si>
    <t>https://www.facebook.com/pages/Linn-County-Oregon/129456203762231?ref=ts&amp;fref=ts</t>
  </si>
  <si>
    <t>http://www.co.linn.or.us/</t>
  </si>
  <si>
    <t>Malheur</t>
  </si>
  <si>
    <t>https://www.facebook.com/pages/Malheur-County-Oregon/131874826848535?ref=ts&amp;fref=ts</t>
  </si>
  <si>
    <t>http://www.malheurco.org/</t>
  </si>
  <si>
    <t>https://www.facebook.com/pages/Marion-County/102321359820933?ref=ts&amp;fref=ts&amp;rf=134952586535040</t>
  </si>
  <si>
    <t>http://www.co.marion.or.us/</t>
  </si>
  <si>
    <t>https://www.facebook.com/pages/Morrow-County/137398952950490?ref=ts&amp;fref=ts&amp;rf=132242493481391</t>
  </si>
  <si>
    <t>http://morrowcountyoregon.com/</t>
  </si>
  <si>
    <t>Multnomah</t>
  </si>
  <si>
    <t>@multco</t>
  </si>
  <si>
    <t>https://www.facebook.com/MultCo?ref=ts&amp;fref=ts</t>
  </si>
  <si>
    <t>http://web.multco.us/</t>
  </si>
  <si>
    <t>https://www.facebook.com/pages/Polk-County-Oregon/173558502677837?rf=103111986411231</t>
  </si>
  <si>
    <t>http://www.co.polk.or.us/</t>
  </si>
  <si>
    <t>https://www.facebook.com/pages/Sherman-County-OR/116525535062418?ref=ts&amp;fref=ts&amp;rf=137776222910205</t>
  </si>
  <si>
    <t>http://www.sherman-county.com/</t>
  </si>
  <si>
    <t>Tillamook</t>
  </si>
  <si>
    <t>@TillamookCoEM</t>
  </si>
  <si>
    <t>https://www.facebook.com/pages/Tillamook-County-Oregon/134214749946329?ref=ts&amp;fref=ts</t>
  </si>
  <si>
    <t>http://www.co.tillamook.or.us/</t>
  </si>
  <si>
    <t>Umatilla</t>
  </si>
  <si>
    <t>https://www.facebook.com/pages/Umatilla-County-Oregon/135876179777453?ref=ts&amp;fref=ts</t>
  </si>
  <si>
    <t>http://www.co.umatilla.or.us/</t>
  </si>
  <si>
    <t>https://www.facebook.com/pages/Union-County/134657919899921?ref=ts&amp;fref=ts&amp;rf=137808869582220</t>
  </si>
  <si>
    <t>Wallowa</t>
  </si>
  <si>
    <t>https://www.facebook.com/pages/Wallowa-County-Oregon/112189868793557?ref=ts&amp;fref=ts</t>
  </si>
  <si>
    <t>http://www.co.wallowa.or.us/</t>
  </si>
  <si>
    <t>Wasco</t>
  </si>
  <si>
    <t>https://www.facebook.com/pages/Wasco-County-Oregon/132140973487934?ref=ts&amp;fref=ts</t>
  </si>
  <si>
    <t>http://www.co.wasco.or.us/</t>
  </si>
  <si>
    <t>https://www.facebook.com/WashingtonCountyVisitorsAssociation?ref=ts&amp;fref=ts</t>
  </si>
  <si>
    <t>http://www.co.washington.or.us/</t>
  </si>
  <si>
    <t>https://www.facebook.com/pages/Wheeler-County-Oregon/281073859493?ref=ts&amp;fref=ts</t>
  </si>
  <si>
    <t>http://www.wheelercounty-oregon.com/</t>
  </si>
  <si>
    <t>Yamhill</t>
  </si>
  <si>
    <t>https://www.facebook.com/YamhillCountyOregon?ref=ts&amp;fref=ts</t>
  </si>
  <si>
    <t>http://www.co.yamhill.or.us/</t>
  </si>
  <si>
    <t>Ashland</t>
  </si>
  <si>
    <t>Crystal Springs Water District</t>
  </si>
  <si>
    <t>Eugene Water &amp; Electric Board</t>
  </si>
  <si>
    <t>McMinnville Water &amp; Light</t>
  </si>
  <si>
    <t>Medford Water Commision</t>
  </si>
  <si>
    <t>Pend Oreille PUD</t>
  </si>
  <si>
    <t>Portland Bureau of Water Works</t>
  </si>
  <si>
    <t>Portland Environmental Services</t>
  </si>
  <si>
    <t>Springfield Utility Board</t>
  </si>
  <si>
    <t>Tualatin Valley Water District</t>
  </si>
  <si>
    <t>Columbia River Public Utility District</t>
  </si>
  <si>
    <t>Eugene Water &amp; Electric Board</t>
  </si>
  <si>
    <t>PacifiCorp (Pacific Power)</t>
  </si>
  <si>
    <t>Portland General Electric</t>
  </si>
  <si>
    <t>West Oregon Electric Cooperative</t>
  </si>
  <si>
    <t>Canby Electric</t>
  </si>
  <si>
    <t>Salem Electric</t>
  </si>
  <si>
    <t>Emerald PUD</t>
  </si>
  <si>
    <t>Tillamook PUD</t>
  </si>
  <si>
    <t>Ashland Electric</t>
  </si>
  <si>
    <t>Wasco Electric</t>
  </si>
  <si>
    <t>Eugene Airport (Mahlon Sweet Field)</t>
  </si>
  <si>
    <t>Klamath Falls Airport (Kingsley Field)</t>
  </si>
  <si>
    <t>Rogue Valley International-Medford Airport</t>
  </si>
  <si>
    <t>Southwest Oregon Regional Airport (was North Bend Municipal)</t>
  </si>
  <si>
    <t>Portland International Airport</t>
  </si>
  <si>
    <t>Redmond Municipal Airport (Roberts Field)</t>
  </si>
  <si>
    <t>Eastern Oregon Regional Airport at Pendleton</t>
  </si>
  <si>
    <t>Portland-Hillsboro Airport</t>
  </si>
  <si>
    <t>Portland-Troutdale Airport</t>
  </si>
  <si>
    <t>Albany Municipal Airport</t>
  </si>
  <si>
    <t>Ashland Municipal Airport (Sumner Parker Field)</t>
  </si>
  <si>
    <t>Astoria Regional Airport</t>
  </si>
  <si>
    <t>Aurora State Airport (Wes Lematta Field)</t>
  </si>
  <si>
    <t>Baker City Municipal Airport</t>
  </si>
  <si>
    <t>Bandon State Airport</t>
  </si>
  <si>
    <t>Bend Municipal Airport</t>
  </si>
  <si>
    <t>Boardman Airport</t>
  </si>
  <si>
    <t>Brookings Airport</t>
  </si>
  <si>
    <t>Burns Municipal Airport</t>
  </si>
  <si>
    <t>Illinois Valley Airport</t>
  </si>
  <si>
    <t>Chiloquin State Airport</t>
  </si>
  <si>
    <t>Christmas Valley Airport</t>
  </si>
  <si>
    <t>Condon State Airport (Pauling Field)</t>
  </si>
  <si>
    <t>Corvallis Municipal Airport</t>
  </si>
  <si>
    <t>Cottage Grove State Airport (Jim Wright Field)</t>
  </si>
  <si>
    <t>Hobby Field</t>
  </si>
  <si>
    <t>Florence Municipal Airport</t>
  </si>
  <si>
    <t>Siletz Bay State Airport</t>
  </si>
  <si>
    <t>Gold Beach Municipal Airport</t>
  </si>
  <si>
    <t>Grants Pass Airport</t>
  </si>
  <si>
    <t>Hermiston Municipal Airport</t>
  </si>
  <si>
    <t>Ken Jernstedt Airfield</t>
  </si>
  <si>
    <t>Independence State Airport</t>
  </si>
  <si>
    <t>Grant County Regional Airport (Ogilvie Field)</t>
  </si>
  <si>
    <t>Joseph State Airport</t>
  </si>
  <si>
    <t>La Grande/Union County Airport</t>
  </si>
  <si>
    <t>Lake County Airport</t>
  </si>
  <si>
    <t>Lebanon State Airport</t>
  </si>
  <si>
    <t>Lexington Airport</t>
  </si>
  <si>
    <t>Madras Municipal Airport (was City-County Airport)</t>
  </si>
  <si>
    <t>McDermitt State Airport</t>
  </si>
  <si>
    <t>McMinnville Municipal Airport</t>
  </si>
  <si>
    <t>Myrtle Creek Municipal Airport</t>
  </si>
  <si>
    <t>Sportsman Airpark</t>
  </si>
  <si>
    <t>Newport Municipal Airport</t>
  </si>
  <si>
    <t>Ontario Municipal Airport</t>
  </si>
  <si>
    <t>Portland-Mulino Airport</t>
  </si>
  <si>
    <t>Portland Downtown Heliport</t>
  </si>
  <si>
    <t>Prineville Airport</t>
  </si>
  <si>
    <t>Roseburg Regional Airport (Marion E. Carl Memorial Field)</t>
  </si>
  <si>
    <t>Salem Municipal Airport (McNary Field)</t>
  </si>
  <si>
    <t>Scappoose Industrial Airpark</t>
  </si>
  <si>
    <t>Seaside Municipal Airport</t>
  </si>
  <si>
    <t>Sunriver Airport</t>
  </si>
  <si>
    <t>Columbia Gorge Regional Airport (The Dalles Municipal Airport)</t>
  </si>
  <si>
    <t>Tillamook Airport</t>
  </si>
  <si>
    <t>Wasco State Airport</t>
  </si>
  <si>
    <t>Pennsylvania State Website</t>
  </si>
  <si>
    <t>@GovernorCorbett</t>
  </si>
  <si>
    <t>http://www.facebook.com/CommonwealthofPennsylvania</t>
  </si>
  <si>
    <t>Pennsylvania EMA</t>
  </si>
  <si>
    <t>Pennsylvania  DHS</t>
  </si>
  <si>
    <t>Pennsylvania Wildlife Rescue</t>
  </si>
  <si>
    <t>http://www.adamscounty.us/CountyOffices/Administrative/EmergencyServices.aspx</t>
  </si>
  <si>
    <t>Allegheny</t>
  </si>
  <si>
    <t>@Allegheny_Co</t>
  </si>
  <si>
    <t>https://www.facebook.com/AlleghenyCounty</t>
  </si>
  <si>
    <t>http://www.alleghenycounty.us/emerserv/index.aspx</t>
  </si>
  <si>
    <t>Armstrong</t>
  </si>
  <si>
    <t>http://co.armstrong.pa.us/departments/public-services/publicsafety-e911</t>
  </si>
  <si>
    <t>http://www.beavercountypa.gov/</t>
  </si>
  <si>
    <t>Bedford</t>
  </si>
  <si>
    <t>http://www.bedfordcountypa.org/Pages/default.aspx</t>
  </si>
  <si>
    <t>Berks</t>
  </si>
  <si>
    <t>http://www.co.berks.pa.us/Dept/DES/Pages/default.aspx</t>
  </si>
  <si>
    <t>Blair</t>
  </si>
  <si>
    <t>http://blair.pacounties.org/Pages/default.aspx</t>
  </si>
  <si>
    <t>Bradford</t>
  </si>
  <si>
    <t>@BradfordCounty</t>
  </si>
  <si>
    <t>http://www.facebook.com/pages/Bradford-County/89195221876</t>
  </si>
  <si>
    <t>http://www.bradfordcountypa.org/Administration/Emergency-Management.asp</t>
  </si>
  <si>
    <t>Bucks</t>
  </si>
  <si>
    <t>@BucksCountyGovt</t>
  </si>
  <si>
    <t>https://www.facebook.com/BucksCountyGovt</t>
  </si>
  <si>
    <t>http://www.buckscounty.org/government/departments/EmergencyServices/index.aspx</t>
  </si>
  <si>
    <t>http://www.co.butler.pa.us/butler/cwp/view.asp?a=148&amp;q=571567&amp;butlerNav=|33537|</t>
  </si>
  <si>
    <t>Cambria</t>
  </si>
  <si>
    <t>@CambriaCounty</t>
  </si>
  <si>
    <t>https://www.facebook.com/CambriaCounty</t>
  </si>
  <si>
    <t>http://www.co.cambria.pa.us/</t>
  </si>
  <si>
    <t>http://www.cameroncountypa.com/</t>
  </si>
  <si>
    <t>http://www.carboncounty.com/cc_home.asp</t>
  </si>
  <si>
    <t>Centre</t>
  </si>
  <si>
    <t>http://www.co.centre.pa.us/351.asp</t>
  </si>
  <si>
    <t>Chester</t>
  </si>
  <si>
    <t>@CCDES</t>
  </si>
  <si>
    <t>http://www.facebook.com/CCDES</t>
  </si>
  <si>
    <t>http://www.chesco.org/</t>
  </si>
  <si>
    <t>Clarion</t>
  </si>
  <si>
    <t>http://www.oes.clarion.pa.us/</t>
  </si>
  <si>
    <t>Clearfield</t>
  </si>
  <si>
    <t>http://www.clearfield911.com/</t>
  </si>
  <si>
    <t>http://www.clintoncountypa.com/</t>
  </si>
  <si>
    <t>@ColumbiaCoEMA</t>
  </si>
  <si>
    <t>http://www.columbiacountyema.org/</t>
  </si>
  <si>
    <t>http://www.crawfordcountypa.net/portal/page?_pageid=393%2C1%2C393_812452&amp;_dad=portal&amp;_schema=PORTAL</t>
  </si>
  <si>
    <t>@ccpa_net_dps911</t>
  </si>
  <si>
    <t>https://www.facebook.com/CumberlandCountyDPS</t>
  </si>
  <si>
    <t>http://www.ccpa.net/</t>
  </si>
  <si>
    <t>Dauphin</t>
  </si>
  <si>
    <t>@DauphinCounty</t>
  </si>
  <si>
    <t>http://www.dauphincounty.org/Pages/default.aspx</t>
  </si>
  <si>
    <t>http://www.co.delaware.pa.us/</t>
  </si>
  <si>
    <t>http://www.co.elk.pa.us/</t>
  </si>
  <si>
    <t>http://eriecountygov.org/</t>
  </si>
  <si>
    <t>@FCEMA911</t>
  </si>
  <si>
    <t>http://www.facebook.com/pages/Fayette-County-Emergency-Management-Agency/164866944695</t>
  </si>
  <si>
    <t>http://www.fcema.org/</t>
  </si>
  <si>
    <t>Forest</t>
  </si>
  <si>
    <t>http://www.co.forest.pa.us/</t>
  </si>
  <si>
    <t>@Emrgncy_Svc28</t>
  </si>
  <si>
    <t>http://www.franklindes.us/Default.aspx</t>
  </si>
  <si>
    <t>http://www.co.fulton.pa.us/ema.php</t>
  </si>
  <si>
    <t>http://www.facebook.com/GreeneCountyCommissioners</t>
  </si>
  <si>
    <t>http://www.co.greene.pa.us/secured/gc2/depts/lo/ems-911/ems.htm</t>
  </si>
  <si>
    <t>Huntingdon</t>
  </si>
  <si>
    <t>@HuntingdonCoEMA</t>
  </si>
  <si>
    <t>http://huntingdoncounty.net/ema/Pages/EMA%2Home%2Page.aspx</t>
  </si>
  <si>
    <t>http://www.indianacounty.org/</t>
  </si>
  <si>
    <t>http://www.jeffersoncountypa.com/</t>
  </si>
  <si>
    <t>Juniata</t>
  </si>
  <si>
    <t>http://co.juniata.pa.us/index.php</t>
  </si>
  <si>
    <t>Lackawanna</t>
  </si>
  <si>
    <t>http://www.facebook.com/pages/Lackawanna-County/142655952416754?ref=ts</t>
  </si>
  <si>
    <t>http://www.lackawannacounty.org/viewDepartment.aspx?DeptID=58</t>
  </si>
  <si>
    <t>@LancasterCounty</t>
  </si>
  <si>
    <t>http://www.facebook.com/LancasterCounty</t>
  </si>
  <si>
    <t>http://www.lema.co.lancaster.pa.us/lema/site/default.asp</t>
  </si>
  <si>
    <t>@LCDPS</t>
  </si>
  <si>
    <t>http://www.facebook.com/lcdps</t>
  </si>
  <si>
    <t>http://www.leoc.net/</t>
  </si>
  <si>
    <t>Lebanon</t>
  </si>
  <si>
    <t>http://www.lebanonema.org/</t>
  </si>
  <si>
    <t>Lehigh</t>
  </si>
  <si>
    <t>http://ema.lehighcounty.org/</t>
  </si>
  <si>
    <t>Luzerne</t>
  </si>
  <si>
    <t>http://www.luzernecounty.org/</t>
  </si>
  <si>
    <t>Lycoming</t>
  </si>
  <si>
    <t>http://www.lyco.org/Departments/PublicSafety.aspx</t>
  </si>
  <si>
    <t>McKean</t>
  </si>
  <si>
    <t>http://www.mckeancountypa.org/Departments/Emergency_Management/Index.aspx</t>
  </si>
  <si>
    <t>http://www.mcc.co.mercer.pa.us/</t>
  </si>
  <si>
    <t>Mifflin</t>
  </si>
  <si>
    <t>@mifflinops</t>
  </si>
  <si>
    <t>http://www.co.mifflin.pa.us/PublicSafety/Pages/PS_main_pg.aspx</t>
  </si>
  <si>
    <t>http://www.co.monroe.pa.us/agencies/cwp/view.asp?a=1563&amp;q=6584</t>
  </si>
  <si>
    <t>http://dps.montcopa.org/dps/site/default.asp</t>
  </si>
  <si>
    <t>Montour</t>
  </si>
  <si>
    <t>http://www.montourco.org/Pages/default.aspx</t>
  </si>
  <si>
    <t>@NorthamptonEM</t>
  </si>
  <si>
    <t>http://www.facebook.com/pages/Northampton-County-Emergency-Management-Services/956889438?ref=nf</t>
  </si>
  <si>
    <t>http://www.nc911.org/</t>
  </si>
  <si>
    <t>Northumberland</t>
  </si>
  <si>
    <t>http://www.northumberlandco.org/default.asp?iId=HILHG</t>
  </si>
  <si>
    <t>http://www.perryco.org/Dept/EMA/Pages/EmergencyManagement.aspx</t>
  </si>
  <si>
    <t>Philadelphia</t>
  </si>
  <si>
    <t>@PhilaOEM</t>
  </si>
  <si>
    <t>http://www.facebook.com/PhilaOEM</t>
  </si>
  <si>
    <t>http://oem.readyphiladelphia.org/RelId/66683/ISvars/default/Home.htm</t>
  </si>
  <si>
    <t>http://www.pikepa.org/index.html</t>
  </si>
  <si>
    <t>Potter</t>
  </si>
  <si>
    <t>http://www.pottercountypa.net/emergency_services.php</t>
  </si>
  <si>
    <t>Schuylkill</t>
  </si>
  <si>
    <t>http://www.scema.org/</t>
  </si>
  <si>
    <t>Snyder</t>
  </si>
  <si>
    <t>http://www.co.somerset.pa.us/department.asp?deptnum=1</t>
  </si>
  <si>
    <t>http://sullivancounty-pa.org/county-offices-1/emergency-services/</t>
  </si>
  <si>
    <t>Susquehanna</t>
  </si>
  <si>
    <t>http://www.susqco.com/subsites/ema/pages/emahome.htm</t>
  </si>
  <si>
    <t>http://www.tiogacountypa.us/Pages/default.aspx</t>
  </si>
  <si>
    <t>http://www.unioncountypa.org/</t>
  </si>
  <si>
    <t>Venango</t>
  </si>
  <si>
    <t>http://www.co.venango.pa.us/index.php/about-911ema</t>
  </si>
  <si>
    <t>http://www.warrencountypa.net/current/depts.php?name=Emergency%2Mgmt</t>
  </si>
  <si>
    <t>http://www.co.washington.pa.us/</t>
  </si>
  <si>
    <t>http://ema.co.wayne.pa.us/</t>
  </si>
  <si>
    <t>Westmoreland</t>
  </si>
  <si>
    <t>http://www.facebook.com/WestmorelandCounty</t>
  </si>
  <si>
    <t>http://www.wcdps.org/publicsafety/site/default.asp?westmorelandNav=|33738|</t>
  </si>
  <si>
    <t>@YCOEM</t>
  </si>
  <si>
    <t>http://www.facebook.com/YorkCountyPennsylvania</t>
  </si>
  <si>
    <t>http://yorkcountypa.gov/emergency-services/emergency-management-office.html</t>
  </si>
  <si>
    <t>Appalachian Utilities, Inc.</t>
  </si>
  <si>
    <t>Bradford City Water Authority</t>
  </si>
  <si>
    <t>Bucks County Water and Sewer Authority</t>
  </si>
  <si>
    <t>Cambria County Conservation &amp; Recreation Authority</t>
  </si>
  <si>
    <t>Chester Water Authority</t>
  </si>
  <si>
    <t>Citizens Utilities</t>
  </si>
  <si>
    <t>Consumers Pennsylvania Water Company</t>
  </si>
  <si>
    <t>Country Club Gardens Water Co.</t>
  </si>
  <si>
    <t>Cranberry Township Municipal Sewer and Water Authority</t>
  </si>
  <si>
    <t>Erie City Water Authority</t>
  </si>
  <si>
    <t>Flemington Water Department</t>
  </si>
  <si>
    <t>Johnstown Bureau of Sewage - PA (unofficial).</t>
  </si>
  <si>
    <t>Muhlenberg Township Authority</t>
  </si>
  <si>
    <t>Municipal Authority of Westmoreland County</t>
  </si>
  <si>
    <t>Newtown Artesian Water Company</t>
  </si>
  <si>
    <t>North Penn Water Authority</t>
  </si>
  <si>
    <t>The York Water Company</t>
  </si>
  <si>
    <t>North Wales Water Authority</t>
  </si>
  <si>
    <t>Northampton Township Water &amp; Sewer Authority</t>
  </si>
  <si>
    <t>Oakland Beach Water Company</t>
  </si>
  <si>
    <t>Pegasus Sewer Authority</t>
  </si>
  <si>
    <t>Pennsylvania-American Water Company</t>
  </si>
  <si>
    <t>Philadelphia Suburban Water Company</t>
  </si>
  <si>
    <t>Pittsburgh Water and Sewer Authority</t>
  </si>
  <si>
    <t>Western Berks Water Authority</t>
  </si>
  <si>
    <t>Whitehall Township Authority</t>
  </si>
  <si>
    <t>Wyoming Valley Sanitary Authority</t>
  </si>
  <si>
    <t>Rural Valley Electric Co</t>
  </si>
  <si>
    <t>FirstEnergy (Penn Power, Met-Ed, Penelec)</t>
  </si>
  <si>
    <t>PECO</t>
  </si>
  <si>
    <t>Allegheny Power</t>
  </si>
  <si>
    <t>PPL</t>
  </si>
  <si>
    <t>Duquesne Light</t>
  </si>
  <si>
    <t>Citizens Electric of Lewisburg</t>
  </si>
  <si>
    <t>Pike County Light &amp; Power Company</t>
  </si>
  <si>
    <t>UGI Utilities, Inc.</t>
  </si>
  <si>
    <t>Wellsboro Electric Company</t>
  </si>
  <si>
    <t>Lehigh Valley International Airport</t>
  </si>
  <si>
    <t>@FLYLVIA</t>
  </si>
  <si>
    <t>http://www.facebook.com/FLYLVIA</t>
  </si>
  <si>
    <t>http://flylvia.com/index.html</t>
  </si>
  <si>
    <t>Erie International Airport (Tom Ridge Field)</t>
  </si>
  <si>
    <t>http://www.erieairport.org/</t>
  </si>
  <si>
    <t>Harrisburg International Airport</t>
  </si>
  <si>
    <t>@HIAairport</t>
  </si>
  <si>
    <t>http://www.facebook.com/flyHIA</t>
  </si>
  <si>
    <t>http://flyhia.com/</t>
  </si>
  <si>
    <t>Arnold Palmer Regional Airport</t>
  </si>
  <si>
    <t>http://www.palmerairport.com/</t>
  </si>
  <si>
    <t>Philadelphia International Airport</t>
  </si>
  <si>
    <t>@PHLAirport</t>
  </si>
  <si>
    <t>http://www.phl.org/Pages/HomePage.aspx</t>
  </si>
  <si>
    <t>Pittsburgh International Airport</t>
  </si>
  <si>
    <t>@PITairport</t>
  </si>
  <si>
    <t>http://www.pitairport.com/</t>
  </si>
  <si>
    <t>University Park Airport</t>
  </si>
  <si>
    <t>@UnivParkAirport</t>
  </si>
  <si>
    <t>http://www.facebook.com/UniversityParkAirport</t>
  </si>
  <si>
    <t>http://www.universityparkairport.com/</t>
  </si>
  <si>
    <t>Wilkes-Barre/Scranton International Airport</t>
  </si>
  <si>
    <t>http://www.flyavp.com/index.html</t>
  </si>
  <si>
    <t>Williamsport Regional Airport</t>
  </si>
  <si>
    <t>http://www.facebook.com/pages/Wilkes-BarreScranton-International-Airport/13511376131</t>
  </si>
  <si>
    <t>Rhode Island State Website</t>
  </si>
  <si>
    <t>@rigov</t>
  </si>
  <si>
    <t>http://www.facebook.com/pages/RIgov-Rhode-Island-Government-Online/2456655991</t>
  </si>
  <si>
    <t>http://www.ri.gov/</t>
  </si>
  <si>
    <t>Rhode Island EMA</t>
  </si>
  <si>
    <t>@RhodeIslandEMA</t>
  </si>
  <si>
    <t>http://www.facebook.com/pages/RI-Emergency-Management-Agency/16413184697749?ref=ts&amp;fref=ts</t>
  </si>
  <si>
    <t>http://www.riema.ri.gov/</t>
  </si>
  <si>
    <t>Rhode Island Wildlife Rescue</t>
  </si>
  <si>
    <t>http://www.bristolri.us/administrator/welcome.php</t>
  </si>
  <si>
    <t>http://www.warwickri.gov/</t>
  </si>
  <si>
    <t>Newport</t>
  </si>
  <si>
    <t>@DscvrNewport</t>
  </si>
  <si>
    <t>http://www.facebook.com/NewportRhodeIsland</t>
  </si>
  <si>
    <t>http://www.gonewport.com/</t>
  </si>
  <si>
    <t>Providence</t>
  </si>
  <si>
    <t>http://www.providenceri.com/</t>
  </si>
  <si>
    <t>National Grid (including Narragansett Electric)</t>
  </si>
  <si>
    <t>http://www.nationalgridus.com/narragansett/business/energyeff/energyeff.asp</t>
  </si>
  <si>
    <t>Theodore Francis Green State Airport</t>
  </si>
  <si>
    <t>http://www.facebook.com/TFGreenAirport</t>
  </si>
  <si>
    <t>http://www.pvdairport.com/</t>
  </si>
  <si>
    <t>Providence Journal</t>
  </si>
  <si>
    <t>@projo</t>
  </si>
  <si>
    <t>http://www.facebook.com/ProvidenceJournal</t>
  </si>
  <si>
    <t>http://www.providencejournal.com/</t>
  </si>
  <si>
    <t>Pawtucket Times</t>
  </si>
  <si>
    <t>@Pawtuckettimes</t>
  </si>
  <si>
    <t>http://www.facebook.com/pages/The-Pawtucket-Times/33623921382558</t>
  </si>
  <si>
    <t>http://www.pawtuckettimes.com/</t>
  </si>
  <si>
    <t>Warick Beacon</t>
  </si>
  <si>
    <t>http://www.facebook.com/WarwickBeacon</t>
  </si>
  <si>
    <t>http://www.warwickonline.com/</t>
  </si>
  <si>
    <t>WJAR NBC 1 (Cranston)</t>
  </si>
  <si>
    <t>@NBC1</t>
  </si>
  <si>
    <t>http://www.facebook.com/nbc1</t>
  </si>
  <si>
    <t>http://www2.turnto1.com/</t>
  </si>
  <si>
    <t>WLNE ABC 6 (Providence)</t>
  </si>
  <si>
    <t>@ABC6</t>
  </si>
  <si>
    <t>http://www.facebook.com/ABC6News</t>
  </si>
  <si>
    <t>http://www.abc6.com/</t>
  </si>
  <si>
    <t>WPRI Fox 12 (Providence)</t>
  </si>
  <si>
    <t>@wpri12</t>
  </si>
  <si>
    <t>http://www.facebook.com/WPRI12</t>
  </si>
  <si>
    <t>http://www.wpri.com/</t>
  </si>
  <si>
    <t>WHJJ 92 (Providence)</t>
  </si>
  <si>
    <t>@92WHJJ</t>
  </si>
  <si>
    <t>http://www.facebook.com/92whjj</t>
  </si>
  <si>
    <t>http://www.92whjj.com/main.html</t>
  </si>
  <si>
    <t>South Carolina State Website</t>
  </si>
  <si>
    <t>@SCGOV</t>
  </si>
  <si>
    <t>https://www.facebook.com/pages/SCgov/127525799</t>
  </si>
  <si>
    <t>http://sc.gov/Pages/default.aspx</t>
  </si>
  <si>
    <t>South Carolina EMA</t>
  </si>
  <si>
    <t>http://sc.gov/public-safety/Pages/EmergencyManagement.aspx</t>
  </si>
  <si>
    <t>South Carolina  DHS</t>
  </si>
  <si>
    <t>http://www.sled.sc.gov/HSOfficeHome.aspx?MenuID=HSOffice</t>
  </si>
  <si>
    <t>South Carolina Wildlife Rescue</t>
  </si>
  <si>
    <t>http://wildlife.rescueshelter.com/SouthCarolina</t>
  </si>
  <si>
    <t>Abbeville</t>
  </si>
  <si>
    <t>http://www.abbevillecountysc.com/</t>
  </si>
  <si>
    <t>Aiken</t>
  </si>
  <si>
    <t>@EMDAikenCounty
@AikenCountyGov</t>
  </si>
  <si>
    <t>https://www.facebook.com/AikenCountyEMDhttps://www.facebook.com/aikencountygov</t>
  </si>
  <si>
    <t>http://www.aikencountysc.gov/index.php</t>
  </si>
  <si>
    <t>Allendale</t>
  </si>
  <si>
    <t>http://www.allendalecounty.com/</t>
  </si>
  <si>
    <t>Anderson</t>
  </si>
  <si>
    <t>@andersoncounty</t>
  </si>
  <si>
    <t>http://www.facebook.com/pages/Anderson-County-SC/11274113342</t>
  </si>
  <si>
    <t>http://www.andersoncountysc.org/</t>
  </si>
  <si>
    <t>Bamberg</t>
  </si>
  <si>
    <t>http://www.bambergcountysc.gov/</t>
  </si>
  <si>
    <t>Barnwell</t>
  </si>
  <si>
    <t>http://www.barnwellcounty.sc.gov/</t>
  </si>
  <si>
    <t>@bcgovsc</t>
  </si>
  <si>
    <t>http://www.facebook.com/pages/BCGovSC/118196968243476</t>
  </si>
  <si>
    <t>http://www.bcgov.net/</t>
  </si>
  <si>
    <t>Berkeley</t>
  </si>
  <si>
    <t>http://www.facebook.com/pages/Berkeley-County-Government/32983597739618?sk=wall</t>
  </si>
  <si>
    <t>http://www.berkeleycountysc.gov/</t>
  </si>
  <si>
    <t>https://plus.google.com/u//15945888873972254/posts</t>
  </si>
  <si>
    <t>http://www.calhouncounty.sc.gov/Pages/default.aspx</t>
  </si>
  <si>
    <t>Charleston</t>
  </si>
  <si>
    <t>@ChasCountyGov</t>
  </si>
  <si>
    <t>http://www.facebook.com/EMDChasCo</t>
  </si>
  <si>
    <t>http://www.charlestoncounty.org/</t>
  </si>
  <si>
    <t>Website Down 1/27/12</t>
  </si>
  <si>
    <t>http://www.chestercounty.org/</t>
  </si>
  <si>
    <t>Chesterfield</t>
  </si>
  <si>
    <t>http://www.chesterfieldcountysc.com/</t>
  </si>
  <si>
    <t>Clarendon</t>
  </si>
  <si>
    <t>http://www.clarendoncountygov.org/</t>
  </si>
  <si>
    <t>Colleton</t>
  </si>
  <si>
    <t>@ColletonCounty</t>
  </si>
  <si>
    <t>http://www.facebook.com/ColletonCountyGovernment</t>
  </si>
  <si>
    <t>http://www.colletoncounty.org/</t>
  </si>
  <si>
    <t>Darlington</t>
  </si>
  <si>
    <t>http://www.darcosc.com/</t>
  </si>
  <si>
    <t>Dillon</t>
  </si>
  <si>
    <t>http://dilloncounty.sc.gov/Pages/default.aspx</t>
  </si>
  <si>
    <t>Dorchester</t>
  </si>
  <si>
    <t>http://www.dorchestercounty.net/</t>
  </si>
  <si>
    <t>Edgefield</t>
  </si>
  <si>
    <t>http://www.edgefieldcounty.sc.gov/Pages/Home.aspx</t>
  </si>
  <si>
    <t>http://www.fairfieldsc.com/</t>
  </si>
  <si>
    <t>Florence</t>
  </si>
  <si>
    <t>http://www.florenceco.org/</t>
  </si>
  <si>
    <t>Georgetown</t>
  </si>
  <si>
    <t>http://www.georgetowncountysc.org/</t>
  </si>
  <si>
    <t>Greenville</t>
  </si>
  <si>
    <t>@gvlcounty</t>
  </si>
  <si>
    <t>http://www.greenvillecounty.org/</t>
  </si>
  <si>
    <t>http://www.facebook.com/pages/GREENWOOD-COUNTY-SOUTH-CAROLINA/296656564326</t>
  </si>
  <si>
    <t>http://www.greenwoodsc.gov/countywebsite/</t>
  </si>
  <si>
    <t>Hampton</t>
  </si>
  <si>
    <t>http://www.hamptoncountysc.org/</t>
  </si>
  <si>
    <t>Horry</t>
  </si>
  <si>
    <t>http://www.horrycounty.org/</t>
  </si>
  <si>
    <t>http://www.jaspercountysc.org/</t>
  </si>
  <si>
    <t>Kershaw</t>
  </si>
  <si>
    <t>http://www.facebook.com/countyofkershaw</t>
  </si>
  <si>
    <t>http://www.kershaw.sc.gov/</t>
  </si>
  <si>
    <t>http://mylancastersc.org/</t>
  </si>
  <si>
    <t>Laurens</t>
  </si>
  <si>
    <t>http://www.laurenscountysc.org/</t>
  </si>
  <si>
    <t>http://www.lex-co.sc.gov/Pages/default.aspx</t>
  </si>
  <si>
    <t>Lexington</t>
  </si>
  <si>
    <t>http://www.marionsc.org/</t>
  </si>
  <si>
    <t>http://www.marlborocounty.sc.gov/Pages/default.aspx</t>
  </si>
  <si>
    <t>Marlboro</t>
  </si>
  <si>
    <t>http://mccormickcountysc.org/</t>
  </si>
  <si>
    <t>McCormick</t>
  </si>
  <si>
    <t>http://www.newberrycounty.net/</t>
  </si>
  <si>
    <t>Newberry</t>
  </si>
  <si>
    <t>http://www.oconeesc.com/</t>
  </si>
  <si>
    <t>Oconee</t>
  </si>
  <si>
    <t>http://www.orangeburgcounty.org/</t>
  </si>
  <si>
    <t>Orangeburg</t>
  </si>
  <si>
    <t>http://www.co.pickens.sc.us/</t>
  </si>
  <si>
    <t>Pickens</t>
  </si>
  <si>
    <t>@RichlandSC</t>
  </si>
  <si>
    <t>http://www.facebook.com/pages/Richland-County/2195714241</t>
  </si>
  <si>
    <t>http://www.richlandonline.com/</t>
  </si>
  <si>
    <t>http://www.saludacountysc.com/</t>
  </si>
  <si>
    <t>Saluda</t>
  </si>
  <si>
    <t>http://www.spartanburgcounty.org/</t>
  </si>
  <si>
    <t>Spartanburg</t>
  </si>
  <si>
    <t>http://www.sumtercountysc.org/</t>
  </si>
  <si>
    <t>Sumter</t>
  </si>
  <si>
    <t>http://www.countyofunion.org/</t>
  </si>
  <si>
    <t>Williamsburg</t>
  </si>
  <si>
    <t>http://www.facebook.com/WilliamsburgCountyGovernment</t>
  </si>
  <si>
    <t>http://www.williamsburgcounty.sc.gov/</t>
  </si>
  <si>
    <t>http://www.yorkcountygov.com/</t>
  </si>
  <si>
    <t>Santee Cooper</t>
  </si>
  <si>
    <t>@santeecooper</t>
  </si>
  <si>
    <t>https://www.facebook.com/santeecooper</t>
  </si>
  <si>
    <t>http://www.santeecooper.com/</t>
  </si>
  <si>
    <t>Duke Energy SC</t>
  </si>
  <si>
    <t>@DukeEnergyStorm
@DukeEnergy</t>
  </si>
  <si>
    <t>http://www.facebook.com/DukeEnergyStorm</t>
  </si>
  <si>
    <t>http://www.duke-energy.com/news/outage-information.asp</t>
  </si>
  <si>
    <t>Central Electric Power Cooperative</t>
  </si>
  <si>
    <t>http://www.cepci.org/</t>
  </si>
  <si>
    <t>@ProgEnergyNC_SC</t>
  </si>
  <si>
    <t>http://www.facebook.com/ProgressEnergyCarolinas</t>
  </si>
  <si>
    <t>https://www.progress-energy.com/carolinas/home/storms-outages/index.page</t>
  </si>
  <si>
    <t>South Carolina Electric &amp; Gas Company</t>
  </si>
  <si>
    <t>@scegnews</t>
  </si>
  <si>
    <t>http://www.facebook.com/scegnews</t>
  </si>
  <si>
    <t>http://www.sceg.com/en/</t>
  </si>
  <si>
    <t>Berkeley Electric Cooperative</t>
  </si>
  <si>
    <t>http://www.becsc.com/index.cfm?id=189&amp;page=lp</t>
  </si>
  <si>
    <t>Horry Electric Cooperative</t>
  </si>
  <si>
    <t>@HorryElectric</t>
  </si>
  <si>
    <t>http://www.facebook.com/pages/Horry-Electric-Cooperative-Inc/77182677537</t>
  </si>
  <si>
    <t>http://www.horryelectric.com/</t>
  </si>
  <si>
    <t>Charleston Commissioners of Public Works</t>
  </si>
  <si>
    <t>Easley Combined Utilities</t>
  </si>
  <si>
    <t>Grand Strand Water &amp; Sewer Authority</t>
  </si>
  <si>
    <t>Greenville Water System</t>
  </si>
  <si>
    <t>Greer Commission Of Public Works</t>
  </si>
  <si>
    <t>Inman-Campobello Water District</t>
  </si>
  <si>
    <t>Laurens Commission of Public Works</t>
  </si>
  <si>
    <t>Mount Pleasant Waterworks</t>
  </si>
  <si>
    <t>Santee Cooper</t>
  </si>
  <si>
    <t>SJWD Water District</t>
  </si>
  <si>
    <t>Spartanburg Water System/ Sanitary Sewer District</t>
  </si>
  <si>
    <t>Columbia Metropolitan Airport</t>
  </si>
  <si>
    <t>@CAE_ColumbiaSC</t>
  </si>
  <si>
    <t>http://www.facebook.com/flycae</t>
  </si>
  <si>
    <t>http://www.columbiaairport.com/</t>
  </si>
  <si>
    <t>Florence Regional Airport</t>
  </si>
  <si>
    <t>http://www.florencescairport.com/</t>
  </si>
  <si>
    <t>Greenville-Spartanburg International Airport (Roger Milliken Field)</t>
  </si>
  <si>
    <t>@GSPAirport</t>
  </si>
  <si>
    <t>http://www.facebook.com/greenvillespartanburgairport?v=wall&amp;ref=ts</t>
  </si>
  <si>
    <t>http://www.gspairport.com/</t>
  </si>
  <si>
    <t>Hilton Head Airport</t>
  </si>
  <si>
    <t>http://www.savannahairport.com/</t>
  </si>
  <si>
    <t>Myrtle Beach International Airport</t>
  </si>
  <si>
    <t>http://www.flymyrtlebeach.com/</t>
  </si>
  <si>
    <t>South Dakota State Website</t>
  </si>
  <si>
    <t>SDGovDaugaard</t>
  </si>
  <si>
    <t>http://www.facebook.com/SDGovDaugaard</t>
  </si>
  <si>
    <t>http://sd.gov/</t>
  </si>
  <si>
    <t>South Dakota EMA</t>
  </si>
  <si>
    <t>@sdemergencymgmt</t>
  </si>
  <si>
    <t>www.oem.sd.gov/</t>
  </si>
  <si>
    <t>South Dakota  DHS</t>
  </si>
  <si>
    <t>South Dakota Wildlife Rescue</t>
  </si>
  <si>
    <t>Aurora</t>
  </si>
  <si>
    <t>http://www.auroracountyem.com/</t>
  </si>
  <si>
    <t>Beadle</t>
  </si>
  <si>
    <t>http://beadle.sdcounties.org/emergency-management/</t>
  </si>
  <si>
    <t>Bennett</t>
  </si>
  <si>
    <t>Bon Homme</t>
  </si>
  <si>
    <t>Brookings</t>
  </si>
  <si>
    <t>http://www.brookingscountysd.gov/county-offices/emergency-management</t>
  </si>
  <si>
    <t>Brule</t>
  </si>
  <si>
    <t>Butte</t>
  </si>
  <si>
    <t>Campbell</t>
  </si>
  <si>
    <t>Charles Mix</t>
  </si>
  <si>
    <t>https://twitter.com/ClayCountySDOEM</t>
  </si>
  <si>
    <t>https://www.facebook.com/pages/Clay-County-Emergency-Management/139950789419128</t>
  </si>
  <si>
    <t>http://www.claycountyoem.org/</t>
  </si>
  <si>
    <t>Codington</t>
  </si>
  <si>
    <t>http://www.codington.org/emergency_managementRev.htm</t>
  </si>
  <si>
    <t>Corson</t>
  </si>
  <si>
    <t>http://www.custercountysd.com/emergency-services/</t>
  </si>
  <si>
    <t>Davison</t>
  </si>
  <si>
    <t>http://www.davisoncounty.org/emergency-management.html</t>
  </si>
  <si>
    <t>Day</t>
  </si>
  <si>
    <t>Edmunds</t>
  </si>
  <si>
    <t>Fall River</t>
  </si>
  <si>
    <t>https://www.facebook.com/pages/Fall-River-County/116377175067075?ref=ts&amp;fref=ts</t>
  </si>
  <si>
    <t>http://fallriver.sdcounties.org/emergency-management/</t>
  </si>
  <si>
    <t>Faulk</t>
  </si>
  <si>
    <t>Gregory</t>
  </si>
  <si>
    <t>Haakon</t>
  </si>
  <si>
    <t>Hamlin</t>
  </si>
  <si>
    <t>Hand</t>
  </si>
  <si>
    <t>https://www.facebook.com/pages/Hand-County-South-Dakota/122273121129224</t>
  </si>
  <si>
    <t>http://hand.sdcounties.org/emergency-management/</t>
  </si>
  <si>
    <t>Hanson</t>
  </si>
  <si>
    <t>http://www.hughescounty.org/index.asp?folderID=10&amp;fileID=27</t>
  </si>
  <si>
    <t>Hutchinson</t>
  </si>
  <si>
    <t>Jerauld</t>
  </si>
  <si>
    <t>Kingsbury</t>
  </si>
  <si>
    <t>http://www.lakecountysd.com/lepc/ema.htm</t>
  </si>
  <si>
    <t>http://www.lawrence.sd.us/emergenc.htm</t>
  </si>
  <si>
    <t>http://lincolncountysd.org/Page.cfm/Departments/3/Emergency-Management</t>
  </si>
  <si>
    <t>Lyman</t>
  </si>
  <si>
    <t>http://www.lymancounty.org/page.php?15</t>
  </si>
  <si>
    <t>McCook</t>
  </si>
  <si>
    <t>https://www.facebook.com/pages/Meade-County-South-Dakota/173982205984182</t>
  </si>
  <si>
    <t>http://www.meadecounty.org/emergency-management/</t>
  </si>
  <si>
    <t>Mellette</t>
  </si>
  <si>
    <t>Miner</t>
  </si>
  <si>
    <t>http://www.minercountysd.org/departments/emergencymanagement/</t>
  </si>
  <si>
    <t>Minnehaha</t>
  </si>
  <si>
    <t>http://www.minnehahacounty.org/dept/em/em.aspx</t>
  </si>
  <si>
    <t>Moody</t>
  </si>
  <si>
    <t>http://www.moodycounty.net/emergency-management/</t>
  </si>
  <si>
    <t>http://www.rcpcem.com/</t>
  </si>
  <si>
    <t>Roberts</t>
  </si>
  <si>
    <t>Sanborn</t>
  </si>
  <si>
    <t>Spink</t>
  </si>
  <si>
    <t>http://www.spinkcounty-sd.org/emergency.html</t>
  </si>
  <si>
    <t>Stanley</t>
  </si>
  <si>
    <t>Sully</t>
  </si>
  <si>
    <t>http://www.sullycounty.net/content.asp?secId=16&amp;ParentId=14</t>
  </si>
  <si>
    <t>Tripp</t>
  </si>
  <si>
    <t>Turner</t>
  </si>
  <si>
    <t>Walworth</t>
  </si>
  <si>
    <t>Yankton</t>
  </si>
  <si>
    <t>http://www.co.yankton.sd.us/Departments/EmergencyManagement/tabid/72/Default.aspx</t>
  </si>
  <si>
    <t>Ziebach</t>
  </si>
  <si>
    <t>Sioux Falls Water</t>
  </si>
  <si>
    <t>Montana-Dakota Utilities</t>
  </si>
  <si>
    <t>Black Hills Power</t>
  </si>
  <si>
    <t>East River Electric Cooperative</t>
  </si>
  <si>
    <t>Rushmore Electric Cooperative</t>
  </si>
  <si>
    <t>Aberdeen Regional Airport</t>
  </si>
  <si>
    <t>Pierre Regional Airport</t>
  </si>
  <si>
    <t>Rapid City Regional Airport</t>
  </si>
  <si>
    <t>Sioux Falls Regional Airport (Joe Foss Field)</t>
  </si>
  <si>
    <t>Tennessee State Website</t>
  </si>
  <si>
    <t>@BillHaslam</t>
  </si>
  <si>
    <t>https://www.facebook.com/TeamHaslam</t>
  </si>
  <si>
    <t>http://www.tennessee.gov/</t>
  </si>
  <si>
    <t>Tennessee EMA</t>
  </si>
  <si>
    <t>@T_E_M_A</t>
  </si>
  <si>
    <t>http://www.facebook.com/TNDisasterInfo</t>
  </si>
  <si>
    <t>Tennessee  DHS</t>
  </si>
  <si>
    <t>https://www.facebook.com/TennesseeSafety</t>
  </si>
  <si>
    <t>Tennessee Wildlife Rescue</t>
  </si>
  <si>
    <t>Bledsoe</t>
  </si>
  <si>
    <t>Blount</t>
  </si>
  <si>
    <t>Bradley</t>
  </si>
  <si>
    <t>Cannon</t>
  </si>
  <si>
    <t>Cheatham</t>
  </si>
  <si>
    <t>Cocke</t>
  </si>
  <si>
    <t>Coffee</t>
  </si>
  <si>
    <t>Crockett</t>
  </si>
  <si>
    <t>Dickson</t>
  </si>
  <si>
    <t>Dyer</t>
  </si>
  <si>
    <t>Fentress</t>
  </si>
  <si>
    <t>Giles</t>
  </si>
  <si>
    <t>Grainger</t>
  </si>
  <si>
    <t>Hamblen</t>
  </si>
  <si>
    <t>Hardeman</t>
  </si>
  <si>
    <t>Hawkins</t>
  </si>
  <si>
    <t>Hickman</t>
  </si>
  <si>
    <t>Loudon</t>
  </si>
  <si>
    <t>Maury</t>
  </si>
  <si>
    <t>McMinn</t>
  </si>
  <si>
    <t>McNairy</t>
  </si>
  <si>
    <t>Obion</t>
  </si>
  <si>
    <t>Overton</t>
  </si>
  <si>
    <t>Pickett</t>
  </si>
  <si>
    <t>Rhea</t>
  </si>
  <si>
    <t>Roane</t>
  </si>
  <si>
    <t>Robertson</t>
  </si>
  <si>
    <t>Sequatchie</t>
  </si>
  <si>
    <t>Sevier</t>
  </si>
  <si>
    <t>Stewart</t>
  </si>
  <si>
    <t>Trousdale</t>
  </si>
  <si>
    <t>Unicoi</t>
  </si>
  <si>
    <t>Weakley</t>
  </si>
  <si>
    <t>Citizens Utilities Board</t>
  </si>
  <si>
    <t>Electric Power Board</t>
  </si>
  <si>
    <t>Knoxville Utilities Board</t>
  </si>
  <si>
    <t>Kingsport Power (Appalachian Power)</t>
  </si>
  <si>
    <t>Lenoir City Utilities Board</t>
  </si>
  <si>
    <t>Memphis Light, Gas and Water</t>
  </si>
  <si>
    <t>Nashville Electric Service</t>
  </si>
  <si>
    <t>Jackson Energy Authority</t>
  </si>
  <si>
    <t>Brownsville Utilities</t>
  </si>
  <si>
    <t>Cleveland Utilities</t>
  </si>
  <si>
    <t>Duck River Utility Commission</t>
  </si>
  <si>
    <t>Erwin Utilities</t>
  </si>
  <si>
    <t>Jackson Utility Division</t>
  </si>
  <si>
    <t>Johnson City Water &amp; Sewer Services Department</t>
  </si>
  <si>
    <t>Kingsport</t>
  </si>
  <si>
    <t>Knoxville Utilities Board</t>
  </si>
  <si>
    <t>Knoxville Water Quality Forum</t>
  </si>
  <si>
    <t>LaFollette Utilities Board</t>
  </si>
  <si>
    <t>Lenoir City Utilities</t>
  </si>
  <si>
    <t>Memphis Light, Gas &amp; Water</t>
  </si>
  <si>
    <t>Morristown Utility Systems</t>
  </si>
  <si>
    <t>Nashville Metro Water Services</t>
  </si>
  <si>
    <t>Tennessee-American Water Company</t>
  </si>
  <si>
    <t>Tullahoma Utilities Board</t>
  </si>
  <si>
    <t>Tri-Cities Regional Airport (Tri-Cities Regional TN/VA)</t>
  </si>
  <si>
    <t>Chattanooga Metropolitan Airport (Lovell Field)</t>
  </si>
  <si>
    <t>McGhee Tyson Airport</t>
  </si>
  <si>
    <t>Memphis International Airport</t>
  </si>
  <si>
    <t>Nashville International Airport (Berry Field)</t>
  </si>
  <si>
    <t>Texas State Website</t>
  </si>
  <si>
    <t>@texasgov</t>
  </si>
  <si>
    <t>http://www.facebook.com/Texas.gov</t>
  </si>
  <si>
    <t>http://www.texas.gov/en/Pages/default.aspx</t>
  </si>
  <si>
    <t>Texas EMA</t>
  </si>
  <si>
    <t>http://emergency.portal.texas.gov/en/Pages/Home.aspx</t>
  </si>
  <si>
    <t>Texas  DHS</t>
  </si>
  <si>
    <t>http://www.txdps.state.tx.us/index.htm</t>
  </si>
  <si>
    <t>Texas Wildlife Rescue</t>
  </si>
  <si>
    <t>Texas Dept. Public Safety</t>
  </si>
  <si>
    <t>@TxDPS</t>
  </si>
  <si>
    <t>https://www.facebook.com/TxDPS</t>
  </si>
  <si>
    <t>http://www.txdps.state.tx.us/</t>
  </si>
  <si>
    <t>http://www.co.anderson.tx.us</t>
  </si>
  <si>
    <t>Andrews</t>
  </si>
  <si>
    <t>http://www.co.andrews.tx.us</t>
  </si>
  <si>
    <t>Angelina</t>
  </si>
  <si>
    <t>@AngelinaCounty</t>
  </si>
  <si>
    <t>https://www.facebook.com/pages/Angelina-County/251542921523782</t>
  </si>
  <si>
    <t>http://www.angelinacounty.net</t>
  </si>
  <si>
    <t>Aransas</t>
  </si>
  <si>
    <t>https://www.facebook.com/AransasPassPD?fref=ts</t>
  </si>
  <si>
    <t>http://www.aransascountytx.gov
http://www.aransascounty.org/emergencymgmt/</t>
  </si>
  <si>
    <t>Archer</t>
  </si>
  <si>
    <t>http://www.co.archer.tx.us</t>
  </si>
  <si>
    <t>http://www.co.armstrong.tx.us/ips/cms</t>
  </si>
  <si>
    <t>Atascosa</t>
  </si>
  <si>
    <t>http://www.atascosacountytexas.net</t>
  </si>
  <si>
    <t>Austin</t>
  </si>
  <si>
    <t>@CenTexRedCross</t>
  </si>
  <si>
    <t>https://www.facebook.com/AustinCountyTX?fref=ts</t>
  </si>
  <si>
    <t>http://www.austincounty.com/ips/cms</t>
  </si>
  <si>
    <t>Bailey</t>
  </si>
  <si>
    <t>@RedCrossSPRC</t>
  </si>
  <si>
    <t>http://www.co.bailey.tx.us</t>
  </si>
  <si>
    <t>Bandera</t>
  </si>
  <si>
    <t>https://www.facebook.com/banderacountyoem</t>
  </si>
  <si>
    <t>http://www.banderacounty.org</t>
  </si>
  <si>
    <t>Bastrop</t>
  </si>
  <si>
    <t>@BastropCntyOEM</t>
  </si>
  <si>
    <t>http://www.facebook.com/pages/Bastrop-County-Office-of-Emergency-Management/193202960708177</t>
  </si>
  <si>
    <t>http://www.co.bastrop.tx.us</t>
  </si>
  <si>
    <t>Baylor</t>
  </si>
  <si>
    <t>http://www.baylorcountytexas.com</t>
  </si>
  <si>
    <t>Bee</t>
  </si>
  <si>
    <t>http://www.co.bee.tx.us/ips/cms</t>
  </si>
  <si>
    <t>Bell</t>
  </si>
  <si>
    <t>@bellcountytx</t>
  </si>
  <si>
    <t>https://www.facebook.com/pages/Bell-County-Texas/377030725678951</t>
  </si>
  <si>
    <t>http://www.bellcountytx.com</t>
  </si>
  <si>
    <t>Bexar</t>
  </si>
  <si>
    <t>@BexarCounty</t>
  </si>
  <si>
    <t>https://www.facebook.com/CountyofBexar</t>
  </si>
  <si>
    <t>http://www.co.bexar.tx.us</t>
  </si>
  <si>
    <t>Blanco</t>
  </si>
  <si>
    <t>http://www.co.blanco.tx.us</t>
  </si>
  <si>
    <t>Borden</t>
  </si>
  <si>
    <t>http://www.co.borden.tx.us</t>
  </si>
  <si>
    <t>Bosque</t>
  </si>
  <si>
    <t>http://www.bosquecounty.us</t>
  </si>
  <si>
    <t>Bowie</t>
  </si>
  <si>
    <t>http://www.co.bowie.tx.us/ips/cms</t>
  </si>
  <si>
    <t>Brazoria</t>
  </si>
  <si>
    <t>@BrazoriaCounty</t>
  </si>
  <si>
    <t>https://www.facebook.com/BCCommuniuty</t>
  </si>
  <si>
    <t>http://www.brazoria-county.com</t>
  </si>
  <si>
    <t>Brazos</t>
  </si>
  <si>
    <t>http://www.facebook.com/BrazosCounty</t>
  </si>
  <si>
    <t>http://www.brazoscountytx.gov</t>
  </si>
  <si>
    <t>Brewster</t>
  </si>
  <si>
    <t>http://www.facebook.com/pages/Brewster-County-Texas/106385246062199</t>
  </si>
  <si>
    <t>http://brewstercountytx.com</t>
  </si>
  <si>
    <t>Briscoe</t>
  </si>
  <si>
    <t>http://www.co.briscoe.tx.us</t>
  </si>
  <si>
    <t>Brooks</t>
  </si>
  <si>
    <t>http://www.co.brooks.tx.us</t>
  </si>
  <si>
    <t>http://www.browncountytx.org</t>
  </si>
  <si>
    <t>Burleson</t>
  </si>
  <si>
    <t>@bcoem</t>
  </si>
  <si>
    <t>http://www.facebook.com/pages/Burleson-County-Texas/193210604088471</t>
  </si>
  <si>
    <t>http://www.co.burleson.tx.us</t>
  </si>
  <si>
    <t>Burnet</t>
  </si>
  <si>
    <t>@TxDOTAustin</t>
  </si>
  <si>
    <t>https://www.facebook.com/pages/Burnet-County-Law-Enforcement/343049021907?fref=ts</t>
  </si>
  <si>
    <t>http://www.burnetcountytexas.org</t>
  </si>
  <si>
    <t>http://www.facebook.com/pages/Caldwell-County-Texas-Alerts/351014188253735</t>
  </si>
  <si>
    <t>http://www.co.caldwell.tx.us</t>
  </si>
  <si>
    <t>http://www.calhouncotx.org</t>
  </si>
  <si>
    <t>Callahan</t>
  </si>
  <si>
    <t>http://www.co.callahan.tx.us</t>
  </si>
  <si>
    <t>http://www.co.cameron.tx.us</t>
  </si>
  <si>
    <t>Camp</t>
  </si>
  <si>
    <t>http://www.co.camp.tx.us</t>
  </si>
  <si>
    <t>Carson</t>
  </si>
  <si>
    <t>http://www.co.carson.tx.us</t>
  </si>
  <si>
    <t>http://www.co.cass.tx.us</t>
  </si>
  <si>
    <t>Castro</t>
  </si>
  <si>
    <t>http://www.castro.tx.us</t>
  </si>
  <si>
    <t>Chambers</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</si>
  <si>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</si>
  <si>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</si>
  <si>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</si>
  <si>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</si>
  <si>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</si>
  <si>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</si>
  <si>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</si>
  <si>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</si>
  <si>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</si>
  <si>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</si>
  <si>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</si>
  <si>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</si>
  <si>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</si>
  <si>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</si>
  <si>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</si>
  <si>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</si>
  <si>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</si>
  <si>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Dickens</t>
  </si>
  <si>
    <t>Dimmit</t>
  </si>
  <si>
    <t>Donley</t>
  </si>
  <si>
    <t>Duval</t>
  </si>
  <si>
    <t>Eastland</t>
  </si>
  <si>
    <t>Ector</t>
  </si>
  <si>
    <t>El Paso</t>
  </si>
  <si>
    <t>Erath</t>
  </si>
  <si>
    <t>Falls</t>
  </si>
  <si>
    <t>Fannin</t>
  </si>
  <si>
    <t>Fisher</t>
  </si>
  <si>
    <t>Foard</t>
  </si>
  <si>
    <t>Fort Bend</t>
  </si>
  <si>
    <t>Freestone</t>
  </si>
  <si>
    <t>Frio</t>
  </si>
  <si>
    <t>Gaines</t>
  </si>
  <si>
    <t>Galveston</t>
  </si>
  <si>
    <t>Garza</t>
  </si>
  <si>
    <t>Gillespie</t>
  </si>
  <si>
    <t>Glasscock</t>
  </si>
  <si>
    <t>Goliad</t>
  </si>
  <si>
    <t>Gonzales</t>
  </si>
  <si>
    <t>Grayson</t>
  </si>
  <si>
    <t>Gregg</t>
  </si>
  <si>
    <t>Grimes</t>
  </si>
  <si>
    <t>Hale</t>
  </si>
  <si>
    <t>Hansford</t>
  </si>
  <si>
    <t>Harris</t>
  </si>
  <si>
    <t>Hartley</t>
  </si>
  <si>
    <t>Hays</t>
  </si>
  <si>
    <t>Hemphill</t>
  </si>
  <si>
    <t>Hockley</t>
  </si>
  <si>
    <t>Hood</t>
  </si>
  <si>
    <t>Hopkins</t>
  </si>
  <si>
    <t>Hudspeth</t>
  </si>
  <si>
    <t>Hunt</t>
  </si>
  <si>
    <t>Irion</t>
  </si>
  <si>
    <t>Jack</t>
  </si>
  <si>
    <t>Jeff Davis</t>
  </si>
  <si>
    <t>Jim Hogg</t>
  </si>
  <si>
    <t>Jim Wells</t>
  </si>
  <si>
    <t>Karnes</t>
  </si>
  <si>
    <t>Kaufman</t>
  </si>
  <si>
    <t>Kenedy</t>
  </si>
  <si>
    <t>Kerr</t>
  </si>
  <si>
    <t>Kimble</t>
  </si>
  <si>
    <t>King</t>
  </si>
  <si>
    <t>Kinney</t>
  </si>
  <si>
    <t>Kleberg</t>
  </si>
  <si>
    <t>Lamb</t>
  </si>
  <si>
    <t>Lampasas</t>
  </si>
  <si>
    <t>Lavaca</t>
  </si>
  <si>
    <t>Leon</t>
  </si>
  <si>
    <t>Limestone</t>
  </si>
  <si>
    <t>Lipscomb</t>
  </si>
  <si>
    <t>Live Oak</t>
  </si>
  <si>
    <t>Llano</t>
  </si>
  <si>
    <t>Loving</t>
  </si>
  <si>
    <t>Lubbock</t>
  </si>
  <si>
    <t>Lynn</t>
  </si>
  <si>
    <t>Matagorda</t>
  </si>
  <si>
    <t>Maverick</t>
  </si>
  <si>
    <t>McCulloch</t>
  </si>
  <si>
    <t>McLennan</t>
  </si>
  <si>
    <t>McMullen</t>
  </si>
  <si>
    <t>Milam</t>
  </si>
  <si>
    <t>Montague</t>
  </si>
  <si>
    <t>Motley</t>
  </si>
  <si>
    <t>Nacogdoches</t>
  </si>
  <si>
    <t>Navarro</t>
  </si>
  <si>
    <t>Nolan</t>
  </si>
  <si>
    <t>Nueces</t>
  </si>
  <si>
    <t>Ochiltree</t>
  </si>
  <si>
    <t>Oldham</t>
  </si>
  <si>
    <t>Palo Pinto</t>
  </si>
  <si>
    <t>Parker</t>
  </si>
  <si>
    <t>Parmer</t>
  </si>
  <si>
    <t>Pecos</t>
  </si>
  <si>
    <t>Presidio</t>
  </si>
  <si>
    <t>Rains</t>
  </si>
  <si>
    <t>Randall</t>
  </si>
  <si>
    <t>Reagan</t>
  </si>
  <si>
    <t>Real</t>
  </si>
  <si>
    <t>Reeves</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</si>
  <si>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</si>
  <si>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</si>
  <si>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</si>
  <si>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</si>
  <si>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</si>
  <si>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</si>
  <si>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</si>
  <si>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</si>
  <si>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</si>
  <si>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</si>
  <si>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</si>
  <si>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</si>
  <si>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</si>
  <si>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</si>
  <si>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</si>
  <si>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</si>
  <si>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</si>
  <si>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</si>
  <si>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</si>
  <si>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Terrell</t>
  </si>
  <si>
    <t>Terry</t>
  </si>
  <si>
    <t>Throckmorton</t>
  </si>
  <si>
    <t>Titus</t>
  </si>
  <si>
    <t>Tom Green</t>
  </si>
  <si>
    <t>Travis</t>
  </si>
  <si>
    <t>Trinity</t>
  </si>
  <si>
    <t>Tyler</t>
  </si>
  <si>
    <t>Upshur</t>
  </si>
  <si>
    <t>Upton</t>
  </si>
  <si>
    <t>Uvalde</t>
  </si>
  <si>
    <t>Val Verde</t>
  </si>
  <si>
    <t>Van Zandt</t>
  </si>
  <si>
    <t>Victoria</t>
  </si>
  <si>
    <t>Walker</t>
  </si>
  <si>
    <t>Waller</t>
  </si>
  <si>
    <t>Webb</t>
  </si>
  <si>
    <t>Wharton</t>
  </si>
  <si>
    <t>Wichita</t>
  </si>
  <si>
    <t>Wilbarger</t>
  </si>
  <si>
    <t>Willacy</t>
  </si>
  <si>
    <t>Winkler</t>
  </si>
  <si>
    <t>Wise</t>
  </si>
  <si>
    <t>Yoakum</t>
  </si>
  <si>
    <t>Young</t>
  </si>
  <si>
    <t>Zapata</t>
  </si>
  <si>
    <t>Zavala</t>
  </si>
  <si>
    <t>Acton Municipal Utility District</t>
  </si>
  <si>
    <t>http://www.amud.com/</t>
  </si>
  <si>
    <t>Arlington Water Utilities</t>
  </si>
  <si>
    <t>@CityOfArlington</t>
  </si>
  <si>
    <t>http://www.arlingtontx.gov/water/index.html</t>
  </si>
  <si>
    <t>Austin Water &amp; Wastewater Utility</t>
  </si>
  <si>
    <t>@AustinWater</t>
  </si>
  <si>
    <t>https://www.facebook.com/AustinWater</t>
  </si>
  <si>
    <t>http://austintexas.gov/department/water</t>
  </si>
  <si>
    <t>Bandera County River Authority and Groundwater District</t>
  </si>
  <si>
    <t>http://www.bcragd.org/</t>
  </si>
  <si>
    <t>Bandera Electric Co-op</t>
  </si>
  <si>
    <t>@BanderaElectric</t>
  </si>
  <si>
    <t>https://www.facebook.com/banderaelectric</t>
  </si>
  <si>
    <t>http://www.banderaelectric.com/</t>
  </si>
  <si>
    <t>Benbrook Water &amp; Sewer Authority</t>
  </si>
  <si>
    <t>@benbrookwater</t>
  </si>
  <si>
    <t>http://www.bwsa.org/</t>
  </si>
  <si>
    <t>Bexar Metropolitan Water District</t>
  </si>
  <si>
    <t>@MySAWS</t>
  </si>
  <si>
    <t>https://www.facebook.com/MySAWS</t>
  </si>
  <si>
    <t>http://www.saws.org/welcome/landing.cfm</t>
  </si>
  <si>
    <t>https://www.facebook.com/brownsvillepub?fref=ts</t>
  </si>
  <si>
    <t>http://www.budutil.com/</t>
  </si>
  <si>
    <t>Canadian River Municipal Water Authority</t>
  </si>
  <si>
    <t>http://crmwa.com/</t>
  </si>
  <si>
    <t>Canyon Regional Water Authority</t>
  </si>
  <si>
    <t>http://www.crwa.com/index.html</t>
  </si>
  <si>
    <t>City of College Station Water Services</t>
  </si>
  <si>
    <t>http://www.cstx.gov/index.aspx?page=821</t>
  </si>
  <si>
    <t>Colorado River Municipal Water District</t>
  </si>
  <si>
    <t>https://www.facebook.com/CRMWD</t>
  </si>
  <si>
    <t>http://www.crmwd.org/index.html</t>
  </si>
  <si>
    <t>Dallas Water Utilities</t>
  </si>
  <si>
    <t>http://www.dallascityhall.com/dwu/water_utilities.html</t>
  </si>
  <si>
    <t>Denton Municipal Utilities</t>
  </si>
  <si>
    <t>https://www.facebook.com/CityofDenton</t>
  </si>
  <si>
    <t>http://www.cityofdenton.com/index.aspx?page=322</t>
  </si>
  <si>
    <t>El Paso Water Utilities</t>
  </si>
  <si>
    <t>@EPWater</t>
  </si>
  <si>
    <t>https://www.facebook.com/EPWater</t>
  </si>
  <si>
    <t>http://www.epwu.org/?reload</t>
  </si>
  <si>
    <t>Fort Worth Water Department</t>
  </si>
  <si>
    <t>http://fortworthtexas.gov/water/</t>
  </si>
  <si>
    <t>Garland Water Utilities</t>
  </si>
  <si>
    <t>@garlandtxgov</t>
  </si>
  <si>
    <t>http://www.ci.garland.tx.us/gov/rz/utilities/water/default.asp</t>
  </si>
  <si>
    <t>Grand Prairie Water Utilities</t>
  </si>
  <si>
    <t>@gp_tx</t>
  </si>
  <si>
    <t>https://www.facebook.com/grandprairie</t>
  </si>
  <si>
    <t>http://www.gptx.org/index.aspx?page=450</t>
  </si>
  <si>
    <t>Greenville</t>
  </si>
  <si>
    <t>Gulf Coast Waste Disposal Authority</t>
  </si>
  <si>
    <t>G&amp;W Water Supply Corporation</t>
  </si>
  <si>
    <t>Houston Public Works</t>
  </si>
  <si>
    <t>Lower Colorado River Authority</t>
  </si>
  <si>
    <t>Lubbock Water Utilities</t>
  </si>
  <si>
    <t>Lufkin</t>
  </si>
  <si>
    <t>New Braunfels Utilities</t>
  </si>
  <si>
    <t>San Antonio Water System</t>
  </si>
  <si>
    <t>Tarrant Regional Water District</t>
  </si>
  <si>
    <t>Trinity River Authority</t>
  </si>
  <si>
    <t>Tyler</t>
  </si>
  <si>
    <t>Walnut Grove Water Utility</t>
  </si>
  <si>
    <t>Wells Branch Municipal Utility District</t>
  </si>
  <si>
    <t>Austin Energy</t>
  </si>
  <si>
    <t>CPS Energy</t>
  </si>
  <si>
    <t>dPi Energy</t>
  </si>
  <si>
    <t>Electric Database Publishing</t>
  </si>
  <si>
    <t>First Texas Energy Corporation</t>
  </si>
  <si>
    <t>Garland Power and Light</t>
  </si>
  <si>
    <t>Luminant</t>
  </si>
  <si>
    <t>Reliant Energy</t>
  </si>
  <si>
    <t>CenterPoint Energy</t>
  </si>
  <si>
    <t>Texas Electric Service Company</t>
  </si>
  <si>
    <t>Lower Colorado River Authority</t>
  </si>
  <si>
    <t>Magic Valley</t>
  </si>
  <si>
    <t>Oncor Electric (Formerly TXU)</t>
  </si>
  <si>
    <t>Coserv Electric</t>
  </si>
  <si>
    <t>Stream Energy</t>
  </si>
  <si>
    <t>Denton Municipal Electric</t>
  </si>
  <si>
    <t>Abilene Regional Airport</t>
  </si>
  <si>
    <t>Rick Husband Amarillo International Airport</t>
  </si>
  <si>
    <t>Austin-Bergstrom International Airport</t>
  </si>
  <si>
    <t>Southeast Texas Regional Airport</t>
  </si>
  <si>
    <t>Brownsville/South Padre Island International Airport</t>
  </si>
  <si>
    <t>Easterwood Airport (Easterwood Field)</t>
  </si>
  <si>
    <t>Corpus Christi International Airport</t>
  </si>
  <si>
    <t>Dallas Love Field</t>
  </si>
  <si>
    <t>Dallas–Fort Worth International Airport</t>
  </si>
  <si>
    <t>Del Rio International Airport</t>
  </si>
  <si>
    <t>El Paso International Airport</t>
  </si>
  <si>
    <t>Killeen-Fort Hood Regional Airport / Robert Gray Army Airfield</t>
  </si>
  <si>
    <t>Valley International Airport</t>
  </si>
  <si>
    <t>George Bush Intercontinental Airport</t>
  </si>
  <si>
    <t>William P. Hobby Airport</t>
  </si>
  <si>
    <t>Laredo International Airport</t>
  </si>
  <si>
    <t>East Texas Regional Airport</t>
  </si>
  <si>
    <t>Lubbock Preston Smith International Airport</t>
  </si>
  <si>
    <t>McAllen-Miller International Airport</t>
  </si>
  <si>
    <t>Midland International Airport</t>
  </si>
  <si>
    <t>San Angelo Regional Airport (Mathis Field)</t>
  </si>
  <si>
    <t>San Antonio International Airport</t>
  </si>
  <si>
    <t>Tyler Pounds Regional Airport</t>
  </si>
  <si>
    <t>Waco Regional Airport</t>
  </si>
  <si>
    <t>Wichita Falls Municipal Airport / Sheppard Air Force Base</t>
  </si>
  <si>
    <t>Utah State Website</t>
  </si>
  <si>
    <t>@UtahGov</t>
  </si>
  <si>
    <t>http://www.facebook.com/utahgov</t>
  </si>
  <si>
    <t>http://www.utah.gov/index.html</t>
  </si>
  <si>
    <t>Utah  DP</t>
  </si>
  <si>
    <t>@utdpspio</t>
  </si>
  <si>
    <t>http://www.facebook.com/utah.dps?ref=search&amp;sid=181898642.29939922..1</t>
  </si>
  <si>
    <t>Utah Wildlife Rescue</t>
  </si>
  <si>
    <t>http://beaver.utah.gov/</t>
  </si>
  <si>
    <t>Box Elder</t>
  </si>
  <si>
    <t>http://www.boxeldercounty.org/</t>
  </si>
  <si>
    <t>Cache</t>
  </si>
  <si>
    <t>http://www.cachecounty.org/</t>
  </si>
  <si>
    <t>http://www.carbon.utah.gov/</t>
  </si>
  <si>
    <t>Daggett</t>
  </si>
  <si>
    <t>http://www.daggettcounty.org/</t>
  </si>
  <si>
    <t>http://www.co.davis.ut.us/</t>
  </si>
  <si>
    <t>Duchesne</t>
  </si>
  <si>
    <t>http://duchesne.utah.gov/</t>
  </si>
  <si>
    <t>Emery</t>
  </si>
  <si>
    <t>http://www.emerycounty.com/</t>
  </si>
  <si>
    <t>http://garfield.utah.gov/</t>
  </si>
  <si>
    <t>Grand</t>
  </si>
  <si>
    <t>http://www.grandcountyutah.net/</t>
  </si>
  <si>
    <t>http://www.ironcounty.net/</t>
  </si>
  <si>
    <t>Juab</t>
  </si>
  <si>
    <t>http://www.co.juab.ut.us/</t>
  </si>
  <si>
    <t>http://kane.utah.gov/</t>
  </si>
  <si>
    <t>Millard</t>
  </si>
  <si>
    <t>http://www.millardcounty.org/</t>
  </si>
  <si>
    <t>http://www.morgan-county.net/</t>
  </si>
  <si>
    <t>Piute</t>
  </si>
  <si>
    <t>Rich</t>
  </si>
  <si>
    <t>http://www.richcountyut.org/</t>
  </si>
  <si>
    <t>Salt Lake</t>
  </si>
  <si>
    <t>@SLCoMayorPIO</t>
  </si>
  <si>
    <t>http://www.slco.org/</t>
  </si>
  <si>
    <t>http://www.sanjuancounty.org/</t>
  </si>
  <si>
    <t>Sanpete</t>
  </si>
  <si>
    <t>@sanpeterec</t>
  </si>
  <si>
    <t>http://sanpete.com/</t>
  </si>
  <si>
    <t>http://www.sevierutah.net/</t>
  </si>
  <si>
    <t>@SummitCountySO</t>
  </si>
  <si>
    <t>http://www.summitcountysheriff.org/</t>
  </si>
  <si>
    <t>Tooele</t>
  </si>
  <si>
    <t>http://www.co.tooele.ut.us/</t>
  </si>
  <si>
    <t>Uintah</t>
  </si>
  <si>
    <t>http://www.co.uintah.ut.us/</t>
  </si>
  <si>
    <t>@UtahCountyGov</t>
  </si>
  <si>
    <t>https://www.facebook.com/UtahCountyToday</t>
  </si>
  <si>
    <t>http://www.co.utah.ut.us/</t>
  </si>
  <si>
    <t>Wasatch</t>
  </si>
  <si>
    <t>@WasatchCounty</t>
  </si>
  <si>
    <t>https://www.facebook.com/WasatchCounty</t>
  </si>
  <si>
    <t>http://www.co.wasatch.ut.us/</t>
  </si>
  <si>
    <t>http://www.washco.utah.gov/</t>
  </si>
  <si>
    <t>http://www.waynecountyutah.org/</t>
  </si>
  <si>
    <t>Weber</t>
  </si>
  <si>
    <t>http://www.co.weber.ut.us/</t>
  </si>
  <si>
    <t>Park City Water</t>
  </si>
  <si>
    <t>http://www.parkcity.org/index.aspx?page=838</t>
  </si>
  <si>
    <t>Jordan Valley Water Conservancy District</t>
  </si>
  <si>
    <t>http://www.jvwcd.org/</t>
  </si>
  <si>
    <t>Provo Water Resources Department</t>
  </si>
  <si>
    <t>http://www.provo.org/pubworks.Water_Resources_main.html</t>
  </si>
  <si>
    <t>Ogden City Water</t>
  </si>
  <si>
    <t>http://www.ogdencity.com/community/public_services/water_services.aspx</t>
  </si>
  <si>
    <t>Salt Lake City Department of Public Utilities</t>
  </si>
  <si>
    <t>@SLCPU</t>
  </si>
  <si>
    <t>https://www.facebook.com/slcpu</t>
  </si>
  <si>
    <t>http://www.slcgov.com/utilities</t>
  </si>
  <si>
    <t>St. George Water</t>
  </si>
  <si>
    <t>@sgcitypubsafety</t>
  </si>
  <si>
    <t>https://www.facebook.com/cityofstgeorge?ref=nf</t>
  </si>
  <si>
    <t>http://www.sgcity.org/waterservices/</t>
  </si>
  <si>
    <t>PacifiCorp (Rocky Mountain Power)</t>
  </si>
  <si>
    <t>@RMP_Utah</t>
  </si>
  <si>
    <t>https://www.facebook.com/rockymountainpower.centennial</t>
  </si>
  <si>
    <t>Intermountain Power Agency</t>
  </si>
  <si>
    <t>http://www.ipautah.com/</t>
  </si>
  <si>
    <t>Provo Municipal Airport</t>
  </si>
  <si>
    <t>http://www.provo.org/airport.main.html</t>
  </si>
  <si>
    <t>Salt Lake City International Airport</t>
  </si>
  <si>
    <t>http://www.slcairport.com/</t>
  </si>
  <si>
    <t>St. George Municipal Airport</t>
  </si>
  <si>
    <t>http://www.flysgu.com/</t>
  </si>
  <si>
    <t>Vermont State Website</t>
  </si>
  <si>
    <t>@vermontgov</t>
  </si>
  <si>
    <t>http://www.vermont.gov/portal/</t>
  </si>
  <si>
    <t>Vermont EMA</t>
  </si>
  <si>
    <t>http://www.facebook.com/vermontemergencymanagement</t>
  </si>
  <si>
    <t>http://vem.vermont.gov/</t>
  </si>
  <si>
    <t>Vermont  DHS</t>
  </si>
  <si>
    <t>http://hsu.vermont.gov/</t>
  </si>
  <si>
    <t>Vermont Wildlife Rescue</t>
  </si>
  <si>
    <t>Burlington</t>
  </si>
  <si>
    <t>http://www.burlingtonvt.gov/</t>
  </si>
  <si>
    <t>Chittenden</t>
  </si>
  <si>
    <t>South Burlington</t>
  </si>
  <si>
    <t>@SBCityVT</t>
  </si>
  <si>
    <t>https://www.facebook.com/SouthBurlington</t>
  </si>
  <si>
    <t>http://www.sburl.com/</t>
  </si>
  <si>
    <t>Rutland</t>
  </si>
  <si>
    <t>http://www.rutlandcity.com/</t>
  </si>
  <si>
    <t>Barre</t>
  </si>
  <si>
    <t>http://www.barrecity.org/</t>
  </si>
  <si>
    <t>Montpelier</t>
  </si>
  <si>
    <t>@vtmontpelier</t>
  </si>
  <si>
    <t>https://www.facebook.com/MontpelierVT</t>
  </si>
  <si>
    <t>http://www.montpelier-vt.org/</t>
  </si>
  <si>
    <t>Wikipedia List of Cities</t>
  </si>
  <si>
    <t>http://en.wikipedia.org/wiki/List_of_cities_in_Vermont</t>
  </si>
  <si>
    <t>Addison</t>
  </si>
  <si>
    <t>https://www.facebook.com/AddisonCounty</t>
  </si>
  <si>
    <t>http://www.addisoncounty.com/</t>
  </si>
  <si>
    <t>Bennington</t>
  </si>
  <si>
    <t>https://www.facebook.com/benningtonchamber</t>
  </si>
  <si>
    <t>http://www.bennington.com/index.html</t>
  </si>
  <si>
    <t>Caledonia</t>
  </si>
  <si>
    <t>http://www.facebook.com/CaledoniaCounty?fref=pb</t>
  </si>
  <si>
    <t>Chittenden</t>
  </si>
  <si>
    <t>https://www.facebook.com/ChittendenCounty</t>
  </si>
  <si>
    <t>http://www.ccrpcvt.org/</t>
  </si>
  <si>
    <t>http://www.facebook.com/EssexCountyVT</t>
  </si>
  <si>
    <t>http://www.utg-vt.org/</t>
  </si>
  <si>
    <t>http://www.facebook.com/FranklinCounty?fref=pb</t>
  </si>
  <si>
    <t>http://www.stalbanschamber.com/default.asp?Key=1</t>
  </si>
  <si>
    <t>Grand Isle</t>
  </si>
  <si>
    <t>http://www.facebook.com/GrandIsleCounty?fref=pb</t>
  </si>
  <si>
    <t>http://grandislevt.org/</t>
  </si>
  <si>
    <t>Lamoille</t>
  </si>
  <si>
    <t>http://www.facebook.com/LamoilleCounty</t>
  </si>
  <si>
    <t>http://www.lcpcvt.org/</t>
  </si>
  <si>
    <t>https://www.facebook.com/OrangeCountyVT</t>
  </si>
  <si>
    <t>http://www.orangecountysheriff.com/</t>
  </si>
  <si>
    <t>http://www.facebook.com/OrleansCounty?fref=pb</t>
  </si>
  <si>
    <t>Rutland</t>
  </si>
  <si>
    <t>http://www.facebook.com/RutlandCounty?fref=pb</t>
  </si>
  <si>
    <t>http://www.rutlandvermont.com/</t>
  </si>
  <si>
    <t>https://www.facebook.com/WashingtonCounty</t>
  </si>
  <si>
    <t>Windham</t>
  </si>
  <si>
    <t>http://www.facebook.com/WindhamCounty</t>
  </si>
  <si>
    <t>Windsor</t>
  </si>
  <si>
    <t>http://www.facebook.com/WindsorCounty</t>
  </si>
  <si>
    <t>Green Mountain Power</t>
  </si>
  <si>
    <t>@GreenMtnPower</t>
  </si>
  <si>
    <t>https://www.facebook.com/GreenMountainPower</t>
  </si>
  <si>
    <t>http://www.greenmountainpower.com/</t>
  </si>
  <si>
    <t>Swanton Village Water</t>
  </si>
  <si>
    <t>http://www.swanton.net/utility-highway/water/</t>
  </si>
  <si>
    <t>Burlington International Airport</t>
  </si>
  <si>
    <t>@BTVAirport</t>
  </si>
  <si>
    <t>https://www.facebook.com/FlyBTV</t>
  </si>
  <si>
    <t>http://www.burlingtonintlairport.com/</t>
  </si>
  <si>
    <t>Rutland Southern Vermont Regional Airport</t>
  </si>
  <si>
    <t>http://www.flyrutlandvt.com/</t>
  </si>
  <si>
    <t>Morrisville-Stowe State Airport</t>
  </si>
  <si>
    <t>http://www.stowesoaring.com/</t>
  </si>
  <si>
    <t>Burlington Harbor</t>
  </si>
  <si>
    <t>http://www.enjoyburlington.com/waterfront.cfm</t>
  </si>
  <si>
    <t>Times Argus (Barre)</t>
  </si>
  <si>
    <t>@TimesArgus</t>
  </si>
  <si>
    <t>https://www.facebook.com/timesargus</t>
  </si>
  <si>
    <t>http://www.timesargus.com/</t>
  </si>
  <si>
    <t>Burlington Free Press</t>
  </si>
  <si>
    <t>@bfp_news</t>
  </si>
  <si>
    <t>https://www.facebook.com/bfpnews</t>
  </si>
  <si>
    <t>http://www.burlingtonfreepress.com/</t>
  </si>
  <si>
    <t>Chester Telegraph</t>
  </si>
  <si>
    <t>https://www.facebook.com/ChesterTelegraph</t>
  </si>
  <si>
    <t>http://chestertelegraph.org/</t>
  </si>
  <si>
    <t>Rutland Herald</t>
  </si>
  <si>
    <t>@RutlandHerald</t>
  </si>
  <si>
    <t>https://www.facebook.com/rutlandherald?ref=ts</t>
  </si>
  <si>
    <t>http://www.rutlandherald.com/</t>
  </si>
  <si>
    <t>Manchester Journal</t>
  </si>
  <si>
    <t>@ManJourn</t>
  </si>
  <si>
    <t>https://www.facebook.com/manchesterjournal</t>
  </si>
  <si>
    <t>http://www.manchesterjournal.com/</t>
  </si>
  <si>
    <t>WCAX (Burlington)</t>
  </si>
  <si>
    <t>https://www.facebook.com/WCAXTV</t>
  </si>
  <si>
    <t>http://www.wcax.com/</t>
  </si>
  <si>
    <t>WNNE (White River Junction) (NBC)</t>
  </si>
  <si>
    <t>@WPTZ</t>
  </si>
  <si>
    <t>https://www.facebook.com/5WPTZ</t>
  </si>
  <si>
    <t>http://www.wptz.com/news/vermont-new-york/upper-valley-wnne</t>
  </si>
  <si>
    <t>WRUV 90.1 FM (Burlington)</t>
  </si>
  <si>
    <t>http://wruv.org/</t>
  </si>
  <si>
    <t>WVMT 620 AM (Burlington)</t>
  </si>
  <si>
    <t>http://www.newstalk620wvmt.com/</t>
  </si>
  <si>
    <t>Bennington College</t>
  </si>
  <si>
    <t>http://www.bennington.edu/Home.aspx</t>
  </si>
  <si>
    <t>Bennington</t>
  </si>
  <si>
    <t>Burlington College</t>
  </si>
  <si>
    <t>@BurlingtonEdu</t>
  </si>
  <si>
    <t>https://www.facebook.com/burlingtoncollegevt</t>
  </si>
  <si>
    <t>https://www.burlington.edu/</t>
  </si>
  <si>
    <t>Castleton State College</t>
  </si>
  <si>
    <t>@CastletonState</t>
  </si>
  <si>
    <t>https://www.facebook.com/CastletonStateCollege</t>
  </si>
  <si>
    <t>http://www.castleton.edu/</t>
  </si>
  <si>
    <t>Castleton</t>
  </si>
  <si>
    <t>Champlain College</t>
  </si>
  <si>
    <t>@ChamplainColleg</t>
  </si>
  <si>
    <t>https://www.facebook.com/ChamplainEdu</t>
  </si>
  <si>
    <t>http://www.champlain.edu/</t>
  </si>
  <si>
    <t>College of St. Joseph</t>
  </si>
  <si>
    <t>https://www.facebook.com/collegeofstjoseph</t>
  </si>
  <si>
    <t>http://www.csj.edu/</t>
  </si>
  <si>
    <t>Community College of Vermont</t>
  </si>
  <si>
    <t>@CCV_VT</t>
  </si>
  <si>
    <t>https://www.facebook.com/CommunityCollegeOfVermont</t>
  </si>
  <si>
    <t>http://www.ccv.edu/</t>
  </si>
  <si>
    <t>12 locations</t>
  </si>
  <si>
    <t>Goddard College</t>
  </si>
  <si>
    <t>@goddardcollege</t>
  </si>
  <si>
    <t>https://www.facebook.com/GoddardCollege</t>
  </si>
  <si>
    <t>http://goddard.edu/</t>
  </si>
  <si>
    <t>Plainfield</t>
  </si>
  <si>
    <t>Green Mountain College</t>
  </si>
  <si>
    <t>@greenmtncollege</t>
  </si>
  <si>
    <t>https://www.facebook.com/pages/Green-Mountain-College/137783307864</t>
  </si>
  <si>
    <t>http://www.greenmtn.edu/default.aspx</t>
  </si>
  <si>
    <t>Poultney</t>
  </si>
  <si>
    <t>Landmark College</t>
  </si>
  <si>
    <t>https://www.facebook.com/pages/Landmark-College/386235728069684</t>
  </si>
  <si>
    <t>http://www.landmark.edu/</t>
  </si>
  <si>
    <t>Putney</t>
  </si>
  <si>
    <t>Lyndon State College</t>
  </si>
  <si>
    <t>https://www.facebook.com/LyndonState</t>
  </si>
  <si>
    <t>http://www.lyndonstate.edu/</t>
  </si>
  <si>
    <t>Lyndonville</t>
  </si>
  <si>
    <t>Marlboro College</t>
  </si>
  <si>
    <t>@MarlboroCollege</t>
  </si>
  <si>
    <t>https://www.facebook.com/marlborocollege</t>
  </si>
  <si>
    <t>http://www.marlboro.edu/</t>
  </si>
  <si>
    <t>Marlboro</t>
  </si>
  <si>
    <t>Middlebury College</t>
  </si>
  <si>
    <t>http://www.middlebury.edu/#story452493</t>
  </si>
  <si>
    <t>Middlebury</t>
  </si>
  <si>
    <t>New England Culinary Institute</t>
  </si>
  <si>
    <t>@necidotedu</t>
  </si>
  <si>
    <t>https://www.facebook.com/necidotedu</t>
  </si>
  <si>
    <t>http://www.neci.edu/</t>
  </si>
  <si>
    <t>Montpelier, Essex Junction</t>
  </si>
  <si>
    <t>Norwich University</t>
  </si>
  <si>
    <t>@norwichnews</t>
  </si>
  <si>
    <t>https://www.facebook.com/NorwichUniversity</t>
  </si>
  <si>
    <t>http://www.norwich.edu/</t>
  </si>
  <si>
    <t>Northfield</t>
  </si>
  <si>
    <t>Saint Michael's College</t>
  </si>
  <si>
    <t>@saintmichaels</t>
  </si>
  <si>
    <t>https://www.facebook.com/SaintMichaelsCollege</t>
  </si>
  <si>
    <t>http://www.smcvt.edu/</t>
  </si>
  <si>
    <t>Colchester</t>
  </si>
  <si>
    <t>Johnson State College</t>
  </si>
  <si>
    <t>@johnsonstate</t>
  </si>
  <si>
    <t>https://www.facebook.com/JohnsonStateCollege</t>
  </si>
  <si>
    <t>http://www.jsc.edu/</t>
  </si>
  <si>
    <t>Johnson</t>
  </si>
  <si>
    <t>SIT Graduate Institute</t>
  </si>
  <si>
    <t>http://www.sit.edu/sit_index.htm</t>
  </si>
  <si>
    <t>Brattleboro</t>
  </si>
  <si>
    <t>Southern Vermont College</t>
  </si>
  <si>
    <t>@SoVtCo</t>
  </si>
  <si>
    <t>https://www.facebook.com/pages/SVC/365971236850191</t>
  </si>
  <si>
    <t>http://www.svc.edu/</t>
  </si>
  <si>
    <t>Sterling College</t>
  </si>
  <si>
    <t>@SterlingCLife</t>
  </si>
  <si>
    <t>https://www.facebook.com/sterlingcollege</t>
  </si>
  <si>
    <t>http://www.sterling.edu/</t>
  </si>
  <si>
    <t>Craftsbury Common</t>
  </si>
  <si>
    <t>University of Vermont</t>
  </si>
  <si>
    <t>@uvmvermont</t>
  </si>
  <si>
    <t>https://www.facebook.com/UniversityofVermont</t>
  </si>
  <si>
    <t>http://www.uvm.edu/</t>
  </si>
  <si>
    <t>Vermont College of Fine Arts</t>
  </si>
  <si>
    <t>@VCFA</t>
  </si>
  <si>
    <t>https://www.facebook.com/vermont.college.of.fine.arts</t>
  </si>
  <si>
    <t>http://www.vcfa.edu/</t>
  </si>
  <si>
    <t>Vermont Law School</t>
  </si>
  <si>
    <t>@VTLawSchool</t>
  </si>
  <si>
    <t>https://www.facebook.com/pages/Vermont-Law-School/205164243980</t>
  </si>
  <si>
    <t>http://www.vermontlaw.edu/</t>
  </si>
  <si>
    <t>South Royalton</t>
  </si>
  <si>
    <t>Vermont Technical College</t>
  </si>
  <si>
    <t>@vttech</t>
  </si>
  <si>
    <t>https://www.facebook.com/pages/Vermont-Technical-College/66216087656</t>
  </si>
  <si>
    <t>http://www.vtc.edu/</t>
  </si>
  <si>
    <t>Randolph Center</t>
  </si>
  <si>
    <t>Virginia State Website</t>
  </si>
  <si>
    <t>@GovernorVA</t>
  </si>
  <si>
    <t>http://www.facebook.com/pages/Governor-of-Virginia/616344694</t>
  </si>
  <si>
    <t>http://portal.virginia.gov/</t>
  </si>
  <si>
    <t>Virginia EMA</t>
  </si>
  <si>
    <t>@VDEM</t>
  </si>
  <si>
    <t>http://www.facebook.com/VAemergency</t>
  </si>
  <si>
    <t>http://www.vaemergency.gov/</t>
  </si>
  <si>
    <t>Virginia Wildlife Rescue</t>
  </si>
  <si>
    <t>Virginia  DHS</t>
  </si>
  <si>
    <t>Virginia Emergency Prep</t>
  </si>
  <si>
    <t>https://www.facebook.com/VAemergency</t>
  </si>
  <si>
    <t>www.readyvirginia.gov</t>
  </si>
  <si>
    <t>Accomack</t>
  </si>
  <si>
    <t>www.co.accomack.va.us</t>
  </si>
  <si>
    <t>Albemarle</t>
  </si>
  <si>
    <t>www.facebook.com/Albemarle.County</t>
  </si>
  <si>
    <t>www.Albemarle.org</t>
  </si>
  <si>
    <t>Alexandria</t>
  </si>
  <si>
    <t>@AlexandriaVAGov</t>
  </si>
  <si>
    <t>www.facebook.com/AlexandriaVAGov</t>
  </si>
  <si>
    <t>http://alexandriava.gov</t>
  </si>
  <si>
    <t>www.alleghanycounty.us</t>
  </si>
  <si>
    <t>Amelia</t>
  </si>
  <si>
    <t>www.facebook.com/AmeliaCountyVA</t>
  </si>
  <si>
    <t>www.ameliacova.com</t>
  </si>
  <si>
    <t>Amherst</t>
  </si>
  <si>
    <t>www.countyofamherst.com</t>
  </si>
  <si>
    <t>Appomattox</t>
  </si>
  <si>
    <t>www.appomattoxcountyva.gov</t>
  </si>
  <si>
    <t>Arlington</t>
  </si>
  <si>
    <t>@ArlingtonVA</t>
  </si>
  <si>
    <t>www.facebook.com/ArlingtonVA</t>
  </si>
  <si>
    <t>www.ArlingtonVA.us</t>
  </si>
  <si>
    <t>Augusta</t>
  </si>
  <si>
    <t>@AugustaCountyVA</t>
  </si>
  <si>
    <t>http://tinyurl.com/8hspne2</t>
  </si>
  <si>
    <t>www.co.augusta.va.us</t>
  </si>
  <si>
    <t>Bath</t>
  </si>
  <si>
    <t>www.bathcountyva.org</t>
  </si>
  <si>
    <t>www.co.bedford.va.us</t>
  </si>
  <si>
    <t>Bland</t>
  </si>
  <si>
    <t>www.bland.org</t>
  </si>
  <si>
    <t>Botetourt</t>
  </si>
  <si>
    <t>@firefighterzach</t>
  </si>
  <si>
    <t>http://tinyurl.com/8bed87o</t>
  </si>
  <si>
    <t>www.co.botetourt.va.us</t>
  </si>
  <si>
    <t>www.bristolva.org</t>
  </si>
  <si>
    <t>www.brunswickco.com</t>
  </si>
  <si>
    <t>www.buchanancountyonline.com</t>
  </si>
  <si>
    <t>Buckingham</t>
  </si>
  <si>
    <t>www.BuckinghamCountyVA.org</t>
  </si>
  <si>
    <t>http://www.buenavistavirginia.org</t>
  </si>
  <si>
    <t>@CCVASafety</t>
  </si>
  <si>
    <t>www.facebook.com/CCVASafety</t>
  </si>
  <si>
    <t>www.co.campbell.va.us</t>
  </si>
  <si>
    <t>Caroline</t>
  </si>
  <si>
    <t>http://tinyurl.com/8v36wjz</t>
  </si>
  <si>
    <t>www.co.caroline.va.us</t>
  </si>
  <si>
    <t>@carrollcountyva</t>
  </si>
  <si>
    <t>www.facebook.com/carrollcova</t>
  </si>
  <si>
    <t>http://carrollcountyva.org</t>
  </si>
  <si>
    <t>Charles City</t>
  </si>
  <si>
    <t>@CharlesCityGov</t>
  </si>
  <si>
    <t>http://tinyurl.com/9lrhzpw</t>
  </si>
  <si>
    <t>http://co.charles-city.va.us</t>
  </si>
  <si>
    <t>Charlotte</t>
  </si>
  <si>
    <t>www.CharlotteVA.com</t>
  </si>
  <si>
    <t>Charlottesville</t>
  </si>
  <si>
    <t>http://www.charlottesville.org</t>
  </si>
  <si>
    <t>Chesapeake</t>
  </si>
  <si>
    <t>@AboutChesapeake</t>
  </si>
  <si>
    <t>www.facebook.com/CityofChesapeake</t>
  </si>
  <si>
    <t>www.cityofchesapeake.net</t>
  </si>
  <si>
    <t>@ChesterfieldVA</t>
  </si>
  <si>
    <t>www.facebook.com/ChesterfieldVA</t>
  </si>
  <si>
    <t>www.Chesterfield.gov</t>
  </si>
  <si>
    <t>www.clarkecounty.gov</t>
  </si>
  <si>
    <t>Colonial Heights</t>
  </si>
  <si>
    <t>@ColHeightsVA</t>
  </si>
  <si>
    <t>https://www.facebook.com/colonialheightsva</t>
  </si>
  <si>
    <t>http://www.colonialheightsva.gov</t>
  </si>
  <si>
    <t>Covington</t>
  </si>
  <si>
    <t>http://www.covington.va.us</t>
  </si>
  <si>
    <t>http://craigcountyva.gov</t>
  </si>
  <si>
    <t>Culpeper</t>
  </si>
  <si>
    <t>http://web.culpepercounty.gov</t>
  </si>
  <si>
    <t>http://cumberlandcounty.virginia.gov</t>
  </si>
  <si>
    <t>Danville</t>
  </si>
  <si>
    <t>@cityofdanville</t>
  </si>
  <si>
    <t>https://www.facebook.com/CityOfDanville</t>
  </si>
  <si>
    <t>http://www.danville-va.gov</t>
  </si>
  <si>
    <t>Dickenson</t>
  </si>
  <si>
    <t>www.dickensoncountyvirginia.org</t>
  </si>
  <si>
    <t>Dinwiddie</t>
  </si>
  <si>
    <t>www.DinwiddieVA.us</t>
  </si>
  <si>
    <t>Emporia</t>
  </si>
  <si>
    <t>http://www.ci.emporia.va.us</t>
  </si>
  <si>
    <t>www.Essex.va.us</t>
  </si>
  <si>
    <t>Fairfax</t>
  </si>
  <si>
    <t>@fairfaxcounty</t>
  </si>
  <si>
    <t>www.facebook.com/fairfaxcounty</t>
  </si>
  <si>
    <t>www.FairfaxCounty.gov</t>
  </si>
  <si>
    <t>Falls Church</t>
  </si>
  <si>
    <t>@fallschurchinfo</t>
  </si>
  <si>
    <t>https://www.facebook.com/CityofFallsChurchGov</t>
  </si>
  <si>
    <t>http://www.fallschurchva.gov</t>
  </si>
  <si>
    <t>Fauquier</t>
  </si>
  <si>
    <t>www.fauquiercounty.gov</t>
  </si>
  <si>
    <t>www.floydcova.org</t>
  </si>
  <si>
    <t>Fluvanna</t>
  </si>
  <si>
    <t>www.co.Fluvanna.va.us</t>
  </si>
  <si>
    <t>@fcdps</t>
  </si>
  <si>
    <t>http://tinyurl.com/8pf8b6c</t>
  </si>
  <si>
    <t>www.franklincountyva.gov</t>
  </si>
  <si>
    <t>Frederick</t>
  </si>
  <si>
    <t>www.co.Frederick.va.us</t>
  </si>
  <si>
    <t>Fredericksburg</t>
  </si>
  <si>
    <t>http://www.fredericksburgva.gov</t>
  </si>
  <si>
    <t>Galax</t>
  </si>
  <si>
    <t>https://www.facebook.com/pages/Galax-Grayson-EMS/1894457448763</t>
  </si>
  <si>
    <t>http://www.galaxva.com</t>
  </si>
  <si>
    <t>www.gilescounty.org/emergency.html</t>
  </si>
  <si>
    <t>www.GloucesterVA.info</t>
  </si>
  <si>
    <t>Goochland</t>
  </si>
  <si>
    <t>www.co.goochland.va.us</t>
  </si>
  <si>
    <t>www.graysongovernment.com</t>
  </si>
  <si>
    <t>www.gcva.us</t>
  </si>
  <si>
    <t>Greensville</t>
  </si>
  <si>
    <t>www.GreensvilleCountyVA.gov</t>
  </si>
  <si>
    <t>www.halifaxcountyva.gov</t>
  </si>
  <si>
    <t>@cityofhampton</t>
  </si>
  <si>
    <t>https://www.facebook.com/HamptonVA</t>
  </si>
  <si>
    <t>http://www.hampton.va.us</t>
  </si>
  <si>
    <t>Hanover</t>
  </si>
  <si>
    <t>@HanoverVA</t>
  </si>
  <si>
    <t>http://tinyurl.com/9apueq3</t>
  </si>
  <si>
    <t>www.co.Hanover.va.us</t>
  </si>
  <si>
    <t>Harrisonburg</t>
  </si>
  <si>
    <t>@HarrisonburgVA</t>
  </si>
  <si>
    <t>https://www.facebook.com/HarrisonburgVA</t>
  </si>
  <si>
    <t>http://www.harrisonburgva.gov</t>
  </si>
  <si>
    <t>Henrico</t>
  </si>
  <si>
    <t>@HenricoNews</t>
  </si>
  <si>
    <t>www.co.henrico.va.us</t>
  </si>
  <si>
    <t>http://tinyurl.com/99ryan6</t>
  </si>
  <si>
    <t>www.henrycountyva.gov</t>
  </si>
  <si>
    <t>www.highlandcova.org</t>
  </si>
  <si>
    <t>Hopewell</t>
  </si>
  <si>
    <t>https://www.facebook.com/CityofHopewellGovernment</t>
  </si>
  <si>
    <t>http://www.hopewellva.gov</t>
  </si>
  <si>
    <t>Isle of Wight</t>
  </si>
  <si>
    <t>www.co.isle-of-wight.va.us</t>
  </si>
  <si>
    <t>James City</t>
  </si>
  <si>
    <t>@JamesCityCounty</t>
  </si>
  <si>
    <t>http://tinyurl.com/8tegbta</t>
  </si>
  <si>
    <t>www.JamesCityCountyVA.gov</t>
  </si>
  <si>
    <t>King and Queen</t>
  </si>
  <si>
    <t>www.kingandqueenco.net</t>
  </si>
  <si>
    <t>King George</t>
  </si>
  <si>
    <t>www.king-george.va.us</t>
  </si>
  <si>
    <t>King William</t>
  </si>
  <si>
    <t>www.kingwilliamcounty.us</t>
  </si>
  <si>
    <t>www.lancova.com</t>
  </si>
  <si>
    <t>www.leecova.org</t>
  </si>
  <si>
    <t>@lexingtonva</t>
  </si>
  <si>
    <t>https://www.facebook.com/lexingtonva</t>
  </si>
  <si>
    <t>http://www.ci.lexington.va.us</t>
  </si>
  <si>
    <t>Loudoun</t>
  </si>
  <si>
    <t>@LoudounAlerts</t>
  </si>
  <si>
    <t>www.facebook.com/LoudounCountyVa</t>
  </si>
  <si>
    <t>www.Loudoun.gov</t>
  </si>
  <si>
    <t>@LouisaCountyVA</t>
  </si>
  <si>
    <t>www.facebook.com/louisasheriff</t>
  </si>
  <si>
    <t>www.louisa-county.com</t>
  </si>
  <si>
    <t>Lunenburg</t>
  </si>
  <si>
    <t>www.lunenburgva.org</t>
  </si>
  <si>
    <t>Lynchburg</t>
  </si>
  <si>
    <t>http://www.lynchburgva.gov</t>
  </si>
  <si>
    <t>www.madisonco.virginia.gov</t>
  </si>
  <si>
    <t>Manassas</t>
  </si>
  <si>
    <t>@CityofManassas</t>
  </si>
  <si>
    <t>https://www.facebook.com/pages/City-of-Manassas-VA-Government/382148851917</t>
  </si>
  <si>
    <t>http://www.manassascity.org</t>
  </si>
  <si>
    <t>Manassas Park</t>
  </si>
  <si>
    <t>@ManassasParkGov</t>
  </si>
  <si>
    <t>http://www.cityofmanassaspark.us</t>
  </si>
  <si>
    <t>Martinsville</t>
  </si>
  <si>
    <t>https://www.facebook.com/pages/City-of-Martinsville-VA/198737356712?v=wall&amp;ref=search</t>
  </si>
  <si>
    <t>http://martinsville-va.gov</t>
  </si>
  <si>
    <t>Mathews</t>
  </si>
  <si>
    <t>www.co.mathews.va.us</t>
  </si>
  <si>
    <t>www.MecklenburgVA.com</t>
  </si>
  <si>
    <t>www.co.middlesex.va.us</t>
  </si>
  <si>
    <t>www.montva.com</t>
  </si>
  <si>
    <t>http://nelsoncounty.com</t>
  </si>
  <si>
    <t>New Kent</t>
  </si>
  <si>
    <t>@NKCounty</t>
  </si>
  <si>
    <t>http://tinyurl.com/9hvg6pd</t>
  </si>
  <si>
    <t>www.co.new-kent.va.us</t>
  </si>
  <si>
    <t>Newport News</t>
  </si>
  <si>
    <t>@CityofNN</t>
  </si>
  <si>
    <t>https://www.facebook.com/CityofNewportNews</t>
  </si>
  <si>
    <t>http://www.nngov.com</t>
  </si>
  <si>
    <t>@CityofNorfolkVA</t>
  </si>
  <si>
    <t>https://www.facebook.com/NorfolkVA</t>
  </si>
  <si>
    <t>http://www.norfolk.gov</t>
  </si>
  <si>
    <t>www.co.northampton.va.us</t>
  </si>
  <si>
    <t>www.co.northumberland.va.us</t>
  </si>
  <si>
    <t>@cityofnortonva</t>
  </si>
  <si>
    <t>https://www.facebook.com/pages/City-of-Norton-Virginia/14743198642558</t>
  </si>
  <si>
    <t>http://www.nortonva.org</t>
  </si>
  <si>
    <t>Nottoway</t>
  </si>
  <si>
    <t>www.Nottoway.org</t>
  </si>
  <si>
    <t>http://orangecountyva.gov/index.asp</t>
  </si>
  <si>
    <t>www.pagecounty.virginia.gov</t>
  </si>
  <si>
    <t>Patrick</t>
  </si>
  <si>
    <t>www.co.patrick.va.us</t>
  </si>
  <si>
    <t>Petersburg</t>
  </si>
  <si>
    <t>https://www.facebook.com/petersburg.va.9</t>
  </si>
  <si>
    <t>http://www.petersburg-va.org</t>
  </si>
  <si>
    <t>Pittsylvania</t>
  </si>
  <si>
    <t>www.pittgov.org</t>
  </si>
  <si>
    <t>Poquoson</t>
  </si>
  <si>
    <t>@CityofPoquoson</t>
  </si>
  <si>
    <t>https://www.facebook.com/CityofPoquoson</t>
  </si>
  <si>
    <t>http://www.ci.poquoson.va.us</t>
  </si>
  <si>
    <t>Portsmouth</t>
  </si>
  <si>
    <t>https://www.facebook.com/portsmouth.va</t>
  </si>
  <si>
    <t>http://www.portsmouthva.gov</t>
  </si>
  <si>
    <t>Powhatan</t>
  </si>
  <si>
    <t>http://tinyurl.com/9k363xc</t>
  </si>
  <si>
    <t>www.PowhatanVA.gov</t>
  </si>
  <si>
    <t>Prince Edward</t>
  </si>
  <si>
    <t>www.co.prince-edward.va.us</t>
  </si>
  <si>
    <t>Prince George</t>
  </si>
  <si>
    <t>@PrinceGeorgeVA</t>
  </si>
  <si>
    <t>http://tinyurl.com/8lztrex</t>
  </si>
  <si>
    <t>www.PrinceGeorgeVA.org</t>
  </si>
  <si>
    <t>Prince William</t>
  </si>
  <si>
    <t>@PWCGov</t>
  </si>
  <si>
    <t>www.facebook.com/pwcgov</t>
  </si>
  <si>
    <t>www.pwcgov.org/Pages/default.aspx</t>
  </si>
  <si>
    <t>www.pulaskicounty.org</t>
  </si>
  <si>
    <t>Radford</t>
  </si>
  <si>
    <t>@TheNewRiverCity</t>
  </si>
  <si>
    <t>https://www.facebook.com/pages/Radford-City-Police-Department/1674281728681</t>
  </si>
  <si>
    <t>http://www.radford.va.us</t>
  </si>
  <si>
    <t>Rappahannock</t>
  </si>
  <si>
    <t>www.rappahannockcountyva.gov</t>
  </si>
  <si>
    <t>www.co.richmond.va.us</t>
  </si>
  <si>
    <t>Roanoke</t>
  </si>
  <si>
    <t>@RoanokeCounty</t>
  </si>
  <si>
    <t>http://tinyurl.com/8d9aqlu</t>
  </si>
  <si>
    <t>www.RoanokeCountyVA.gov</t>
  </si>
  <si>
    <t>Rockbridge</t>
  </si>
  <si>
    <t>www.co.rockbridge.va.us</t>
  </si>
  <si>
    <t>www.rockinghamcountyva.gov</t>
  </si>
  <si>
    <t>Russell</t>
  </si>
  <si>
    <t>www.russellcountyva.us</t>
  </si>
  <si>
    <t>@SalemVA</t>
  </si>
  <si>
    <t>https://www.facebook.com/cityofsalem</t>
  </si>
  <si>
    <t>http://www.salemva.gov</t>
  </si>
  <si>
    <t>www.scottcountyva.com</t>
  </si>
  <si>
    <t>Shenandoah</t>
  </si>
  <si>
    <t>www.ShenandoahCountyVA.us</t>
  </si>
  <si>
    <t>Smyth</t>
  </si>
  <si>
    <t>http://tinyurl.com/9s2zlzl</t>
  </si>
  <si>
    <t>www.smythcounty.org/emergency_mgmt/emerg_mgmt.htm</t>
  </si>
  <si>
    <t>Southampton</t>
  </si>
  <si>
    <t>www.SouthhamptonCounty.org</t>
  </si>
  <si>
    <t>Spotsylvania</t>
  </si>
  <si>
    <t>@SpotsyGov</t>
  </si>
  <si>
    <t>http://tinyurl.com/8z37emd</t>
  </si>
  <si>
    <t>www.spotsylvania.va.us</t>
  </si>
  <si>
    <t>@StaffordVAGov</t>
  </si>
  <si>
    <t>http://tinyurl.com/8vjkvau</t>
  </si>
  <si>
    <t>www.StaffordCountyVA.gov</t>
  </si>
  <si>
    <t>Staunton</t>
  </si>
  <si>
    <t>http://www.staunton.va.us</t>
  </si>
  <si>
    <t>@CityofSuffolk</t>
  </si>
  <si>
    <t>https://www.facebook.com/suffolkva</t>
  </si>
  <si>
    <t>http://www.suffolkva.us</t>
  </si>
  <si>
    <t>www.SurryCountyVA.gov</t>
  </si>
  <si>
    <t>www.SussexCountyVA.gov</t>
  </si>
  <si>
    <t>http://tazewellcounty.org</t>
  </si>
  <si>
    <t>Virginia Beach</t>
  </si>
  <si>
    <t>@CityofVaBeach</t>
  </si>
  <si>
    <t>https://www.facebook.com/CityofVaBeach</t>
  </si>
  <si>
    <t>http://www.vbgov.com/Pages/home.aspx</t>
  </si>
  <si>
    <t>www.warrencountyva.net</t>
  </si>
  <si>
    <t>www.washcova.com</t>
  </si>
  <si>
    <t>Waynesboro</t>
  </si>
  <si>
    <t>http://www.waynesboro.va.us</t>
  </si>
  <si>
    <t>www.westmoreland-county.org</t>
  </si>
  <si>
    <t>@WilliamsburgGov</t>
  </si>
  <si>
    <t>https://www.facebook.com/Williamsburg.Virginia</t>
  </si>
  <si>
    <t>http://www.williamsburgva.gov</t>
  </si>
  <si>
    <t>Winchester</t>
  </si>
  <si>
    <t>@WincVAgov</t>
  </si>
  <si>
    <t>https://www.facebook.com/pages/City-of-Winchester-VA-Local-Government/3428274654</t>
  </si>
  <si>
    <t>http://www.winchesterva.gov</t>
  </si>
  <si>
    <t>http://www.wisecounty.org</t>
  </si>
  <si>
    <t>Wythe</t>
  </si>
  <si>
    <t>www.facebook.com/wytheco</t>
  </si>
  <si>
    <t>www.wytheco.org</t>
  </si>
  <si>
    <t>www.YorkCounty.gov</t>
  </si>
  <si>
    <t>Albemarle County Service Authority</t>
  </si>
  <si>
    <t>n/a</t>
  </si>
  <si>
    <t>Alexandria Renew Enterprises</t>
  </si>
  <si>
    <t>https://www.facebook.com/alexandriasanitation</t>
  </si>
  <si>
    <t>http://alexrenew.com/</t>
  </si>
  <si>
    <t>Name change of org.</t>
  </si>
  <si>
    <t>Blacksburg, Christiansburg, VPI Water Authority</t>
  </si>
  <si>
    <t>http://www.h2o4u.org/</t>
  </si>
  <si>
    <t>Chesterfield County Department of Utilities</t>
  </si>
  <si>
    <t>https://www.facebook.com/ChesterfieldVA</t>
  </si>
  <si>
    <t>http://www.chesterfield.gov/Utilities.aspx?id=2750</t>
  </si>
  <si>
    <t>Danville Water &amp; Gas Distribution</t>
  </si>
  <si>
    <t>http://www.danville-va.gov/index.aspx?nid=505</t>
  </si>
  <si>
    <t>Fairfax County Water Authority</t>
  </si>
  <si>
    <t>https://www.facebook.com/pages/Fairfax-County-Water-Authority/108053422555815</t>
  </si>
  <si>
    <t>http://www.fcwa.org/</t>
  </si>
  <si>
    <t>Harrisonburg Water and Sewer Department</t>
  </si>
  <si>
    <t>http://www.harrisonburgva.gov/water</t>
  </si>
  <si>
    <t>Henrico County - Department of Public Utilities</t>
  </si>
  <si>
    <t>@HenricoDPU</t>
  </si>
  <si>
    <t>http://www.co.henrico.va.us/utility/</t>
  </si>
  <si>
    <t>Loudoun County Sanitation Authority</t>
  </si>
  <si>
    <t>@loudounwater</t>
  </si>
  <si>
    <t>https://www.facebook.com/loudounwater</t>
  </si>
  <si>
    <t>http://www.loudounwater.org/</t>
  </si>
  <si>
    <t>Newport News Waterworks</t>
  </si>
  <si>
    <t>https://www.nngov.com/waterworks</t>
  </si>
  <si>
    <t>Norfolk's Department of Utilities</t>
  </si>
  <si>
    <t>http://www.norfolk.gov/utilities/</t>
  </si>
  <si>
    <t>Richmond Public Utilities</t>
  </si>
  <si>
    <t>@CityRichmondVA</t>
  </si>
  <si>
    <t>http://www.richmondgov.com/PublicUtilities/index.aspx</t>
  </si>
  <si>
    <t>Roanoke County (Western VA Water Authority)</t>
  </si>
  <si>
    <t>https://www.facebook.com/westernvawaterauthority</t>
  </si>
  <si>
    <t>http://www.westernvawater.org/WebMgmt/ywbase61b.nsf/DocName/$WVWAHome</t>
  </si>
  <si>
    <t>Virgina Beach Department of Public Utilities</t>
  </si>
  <si>
    <t>https://www.facebook.com/VBPublicUtilities</t>
  </si>
  <si>
    <t>http://www.vbgov.com/government/departments/public-utilities/Pages/default.aspx</t>
  </si>
  <si>
    <t>Dominion Virginia Power</t>
  </si>
  <si>
    <t>@DomVAPower</t>
  </si>
  <si>
    <t>https://www.facebook.com/dominionvirginiapower?sk=app_14167664298</t>
  </si>
  <si>
    <t>https://www.dom.com/dominion-virginia-power/index.jsp</t>
  </si>
  <si>
    <t>Rappahannock Electric Cooperative</t>
  </si>
  <si>
    <t>@RappElecCoop</t>
  </si>
  <si>
    <t>https://www.facebook.com/RappahannockElectricCooperative</t>
  </si>
  <si>
    <t>http://www.myrec.coop/residential/index.cfm</t>
  </si>
  <si>
    <t>Now owned by Rappahannock</t>
  </si>
  <si>
    <t>Appalachian Power</t>
  </si>
  <si>
    <t>@appalachianpowe</t>
  </si>
  <si>
    <t>https://www.facebook.com/AppalachianPower?ref=ts</t>
  </si>
  <si>
    <t>https://www.appalachianpower.com/Default.aspx</t>
  </si>
  <si>
    <t>Delmarva Power (subsidiary of Pepco Holdings)</t>
  </si>
  <si>
    <t>NOVEC</t>
  </si>
  <si>
    <t>@NOVEC</t>
  </si>
  <si>
    <t>https://www.facebook.com/novec</t>
  </si>
  <si>
    <t>http://www.novec.com/</t>
  </si>
  <si>
    <t>Danville Utilities (municipally owned)</t>
  </si>
  <si>
    <t>Central Virginia Electric Coop</t>
  </si>
  <si>
    <t>https://www.facebook.com/myCVEC</t>
  </si>
  <si>
    <t>http://www.mycvec.com/</t>
  </si>
  <si>
    <t>Virgina Railway Express</t>
  </si>
  <si>
    <t>Charlottesville-Albemarle Airport</t>
  </si>
  <si>
    <t>Lynchburg Regional Airport (Preston Glenn Field)</t>
  </si>
  <si>
    <t>Newport News/Williamsburg International Airport</t>
  </si>
  <si>
    <t>Norfolk International Airport</t>
  </si>
  <si>
    <t>Richmond International Airport (Byrd Field)</t>
  </si>
  <si>
    <t>Roanoke Regional Airport (Woodrum Field)</t>
  </si>
  <si>
    <t>Washington Dulles International Airport</t>
  </si>
  <si>
    <t>Washington State Website</t>
  </si>
  <si>
    <t>@GovGregoire</t>
  </si>
  <si>
    <t>http://www.facebook.com/govgregoire</t>
  </si>
  <si>
    <t>http://access.wa.gov/</t>
  </si>
  <si>
    <t>Washington EMA</t>
  </si>
  <si>
    <t>@waEMD</t>
  </si>
  <si>
    <t>http://www.emd.wa.gov/</t>
  </si>
  <si>
    <t>Washington DHS</t>
  </si>
  <si>
    <t>http://mil.wa.gov/index.shtml</t>
  </si>
  <si>
    <t>Washington Wildlife Rescue</t>
  </si>
  <si>
    <t>http://wildlife.rescueshelter.com/Washington</t>
  </si>
  <si>
    <t>Seattle</t>
  </si>
  <si>
    <t>@mayormcginn</t>
  </si>
  <si>
    <t>https://www.facebook.com/MayorMcGinn</t>
  </si>
  <si>
    <t>http://www.seattle.gov/default.aspx</t>
  </si>
  <si>
    <t>King</t>
  </si>
  <si>
    <t>Spokane</t>
  </si>
  <si>
    <t>@SpokaneCity</t>
  </si>
  <si>
    <t>https://www.facebook.com/spokanecity</t>
  </si>
  <si>
    <t>http://www.spokanecity.org/</t>
  </si>
  <si>
    <t>Tacoma</t>
  </si>
  <si>
    <t>@CityofTacoma</t>
  </si>
  <si>
    <t>https://www.facebook.com/CityofTacoma?fref=ts</t>
  </si>
  <si>
    <t>http://www.cityoftacoma.org/</t>
  </si>
  <si>
    <t>Pierce</t>
  </si>
  <si>
    <t>Vancouver</t>
  </si>
  <si>
    <t>@VancouverUS</t>
  </si>
  <si>
    <t>https://www.facebook.com/VancouverUSA</t>
  </si>
  <si>
    <t>http://www.cityofvancouver.us/</t>
  </si>
  <si>
    <t>Bellevue</t>
  </si>
  <si>
    <t>@bellevuewa</t>
  </si>
  <si>
    <t>https://www.facebook.com/BellevueOEM</t>
  </si>
  <si>
    <t>http://www.ci.bellevue.wa.us/</t>
  </si>
  <si>
    <t>https://http://www.co.adams.wa.us/</t>
  </si>
  <si>
    <t>Asotin</t>
  </si>
  <si>
    <t>https://www.facebook.com/pages/Asotin-County-Washington/137933942902142?ref=ts&amp;fref=ts</t>
  </si>
  <si>
    <t>https://www.co.asotin.wa.us/</t>
  </si>
  <si>
    <t>https://www.facebook.com/pages/Benton-County-Washington/144005975613107?ref=ts&amp;fref=ts</t>
  </si>
  <si>
    <t>https://www.co.benton.wa.us/</t>
  </si>
  <si>
    <t>Chelan</t>
  </si>
  <si>
    <t>https://www.facebook.com/pages/Chelan-County-Washington/113223838726710?ref=ts&amp;fref=ts</t>
  </si>
  <si>
    <t>http://www.co.chelan.wa.us/</t>
  </si>
  <si>
    <t>Clallam</t>
  </si>
  <si>
    <t>https://www.facebook.com/pages/Clallam-County-Washington/103189899734712?fref=ts</t>
  </si>
  <si>
    <t>http://www.clallam.net/</t>
  </si>
  <si>
    <t>https://twitter.com/ClarkCoWA</t>
  </si>
  <si>
    <t>http://www.clark.wa.gov/index.asp</t>
  </si>
  <si>
    <t>https://www.facebook.com/pages/Columbia-County-Washington/134932789872333?fref=ts</t>
  </si>
  <si>
    <t>http://www.columbiaco.com/</t>
  </si>
  <si>
    <t>Cowlitz</t>
  </si>
  <si>
    <t>https://twitter.com/CowlitzDEM</t>
  </si>
  <si>
    <t>https://www.facebook.com/pages/Cowlitz-County-Washington/139803752705631</t>
  </si>
  <si>
    <t>http://www.co.cowlitz.wa.us/</t>
  </si>
  <si>
    <t>https://www.facebook.com/pages/Douglas-County-Washington/129635180411079</t>
  </si>
  <si>
    <t>http://www.douglascountywa.net/</t>
  </si>
  <si>
    <t>Ferry</t>
  </si>
  <si>
    <t>https://www.facebook.com/pages/Ferry-County-Washington/139377739414306?ref=ts&amp;fref=ts</t>
  </si>
  <si>
    <t>http://www.ferry-county.com/</t>
  </si>
  <si>
    <t>http://www.co.franklin.wa.us/</t>
  </si>
  <si>
    <t>https://www.facebook.com/pages/Garfield-County/110141699037812?ref=ts&amp;fref=ts&amp;rf=142688015744074</t>
  </si>
  <si>
    <t>http://www.co.garfield.wa.us/</t>
  </si>
  <si>
    <t>www.co.grant.wa.us/</t>
  </si>
  <si>
    <t>Grays Harbor</t>
  </si>
  <si>
    <t>http://www.co.grays-harbor.wa.us/Index.asp</t>
  </si>
  <si>
    <t>Island</t>
  </si>
  <si>
    <t>http://www.islandcounty.net/</t>
  </si>
  <si>
    <t>http://www.co.jefferson.wa.us/Default.htm</t>
  </si>
  <si>
    <t>@kcnews</t>
  </si>
  <si>
    <t>https://www.facebook.com/KingCountyWA</t>
  </si>
  <si>
    <t>http://www.kingcounty.gov/</t>
  </si>
  <si>
    <t>Kitsap</t>
  </si>
  <si>
    <t>@KitsapWa</t>
  </si>
  <si>
    <t>https://www.facebook.com/KitsapWa</t>
  </si>
  <si>
    <t>http://www.kitsapgov.com/</t>
  </si>
  <si>
    <t>Kittitas</t>
  </si>
  <si>
    <t>http://www.co.kittitas.wa.us/</t>
  </si>
  <si>
    <t>Klickitat</t>
  </si>
  <si>
    <t>http://www.klickitatcounty.org/</t>
  </si>
  <si>
    <t>http://lewiscountywa.gov/</t>
  </si>
  <si>
    <t>http://www.co.lincoln.wa.us/</t>
  </si>
  <si>
    <t>http://www.co.mason.wa.us/</t>
  </si>
  <si>
    <t>Okanogan</t>
  </si>
  <si>
    <t>http://www.okanogancounty.org/</t>
  </si>
  <si>
    <t>Pacific</t>
  </si>
  <si>
    <t>http://www.co.pacific.wa.us/</t>
  </si>
  <si>
    <t>Pend Oreille</t>
  </si>
  <si>
    <t>http://www.pendoreilleco.org/</t>
  </si>
  <si>
    <t>@PierceCo</t>
  </si>
  <si>
    <t>https://www.facebook.com/pierceco</t>
  </si>
  <si>
    <t>http://www.co.pierce.wa.us/</t>
  </si>
  <si>
    <t>http://www.co.san-juan.wa.us/</t>
  </si>
  <si>
    <t>Skagit</t>
  </si>
  <si>
    <t>@SkagitGov</t>
  </si>
  <si>
    <t>https://www.facebook.com/pages/Skagit-County-Washington/91867240745</t>
  </si>
  <si>
    <t>http://www.skagitcounty.net/Common/asp/default.asp?d=Home&amp;c=General&amp;P=main.htm</t>
  </si>
  <si>
    <t>Skamania</t>
  </si>
  <si>
    <t>http://www.skamaniacounty.org/</t>
  </si>
  <si>
    <t>Snohomish</t>
  </si>
  <si>
    <t>@snocounty</t>
  </si>
  <si>
    <t>http://www1.co.snohomish.wa.us/</t>
  </si>
  <si>
    <t>Spokane</t>
  </si>
  <si>
    <t>@spokanecounty</t>
  </si>
  <si>
    <t>https://www.facebook.com/SpokaneCountyWA</t>
  </si>
  <si>
    <t>http://www.spokanecounty.org/</t>
  </si>
  <si>
    <t>http://www.co.stevens.wa.us/</t>
  </si>
  <si>
    <t>@ThurstonCounty</t>
  </si>
  <si>
    <t>https://www.facebook.com/pages/Thurston-County-Washington/188512476580</t>
  </si>
  <si>
    <t>http://www.co.thurston.wa.us/home/index.asp</t>
  </si>
  <si>
    <t>Wahkiakum</t>
  </si>
  <si>
    <t>@WahkiakumCounty</t>
  </si>
  <si>
    <t>https://www.facebook.com/WahkiakumCounty</t>
  </si>
  <si>
    <t>http://www.co.wahkiakum.wa.us/</t>
  </si>
  <si>
    <t>Walla Walla</t>
  </si>
  <si>
    <t>http://www.co.walla-walla.wa.us/index.shtml</t>
  </si>
  <si>
    <t>Whatcom</t>
  </si>
  <si>
    <t>https://www.facebook.com/WhatcomCountyGovernment</t>
  </si>
  <si>
    <t>http://www.co.whatcom.wa.us/</t>
  </si>
  <si>
    <t>Whitman</t>
  </si>
  <si>
    <t>http://www.whitmancounty.org/</t>
  </si>
  <si>
    <t>Yakima</t>
  </si>
  <si>
    <t>http://www.yakimacounty.us/</t>
  </si>
  <si>
    <t>Bellevue Utilities Department</t>
  </si>
  <si>
    <t>http://www.ci.bellevue.wa.us/utilities.htm</t>
  </si>
  <si>
    <t>Chelan County Public Utility District</t>
  </si>
  <si>
    <t>http://www.chelanpud.org/</t>
  </si>
  <si>
    <t>Clallam County PUD #1</t>
  </si>
  <si>
    <t>@ClallamPUD</t>
  </si>
  <si>
    <t>https://www.facebook.com/ClallamPUD</t>
  </si>
  <si>
    <t>http://www.clallampud.net/</t>
  </si>
  <si>
    <t>Clark Public Utilities</t>
  </si>
  <si>
    <t>http://www.clarkpublicutilities.com/</t>
  </si>
  <si>
    <t>Highline Water District</t>
  </si>
  <si>
    <t>http://www.highlinewater.org/</t>
  </si>
  <si>
    <t>Kennewick Irrigation District</t>
  </si>
  <si>
    <t>http://kid.org/</t>
  </si>
  <si>
    <t>Kitsap Public Utility District</t>
  </si>
  <si>
    <t>https://www.facebook.com/pages/Kitsap-Public-Utility-District/155081861200927</t>
  </si>
  <si>
    <t>http://www.kpud.org/</t>
  </si>
  <si>
    <t>Lakehaven Utility District</t>
  </si>
  <si>
    <t>http://www.lakehaven.org/</t>
  </si>
  <si>
    <t>Modern Electric Water Company</t>
  </si>
  <si>
    <t>http://mewco.com/</t>
  </si>
  <si>
    <t>Northshore Utility District</t>
  </si>
  <si>
    <t>https://www.facebook.com/pages/Northshore-Utility-District/141349785911673</t>
  </si>
  <si>
    <t>http://www.nud.net/</t>
  </si>
  <si>
    <t>Pacific County PUD #2</t>
  </si>
  <si>
    <t>http://www.pacificpud.org/</t>
  </si>
  <si>
    <t>Pierce County Sewer Utilities Fund</t>
  </si>
  <si>
    <t>http://www.co.pierce.wa.us/index.aspx?NID=1643</t>
  </si>
  <si>
    <t>Port Angeles Public Works &amp; Utilities</t>
  </si>
  <si>
    <t>http://www.cityofpa.us/publicworks.htm</t>
  </si>
  <si>
    <t>Richland Utilities and Physical Services</t>
  </si>
  <si>
    <t>@RichlandWA</t>
  </si>
  <si>
    <t>https://www.facebook.com/RichlandWA</t>
  </si>
  <si>
    <t>http://www.ci.richland.wa.us/index.aspx?NID=350</t>
  </si>
  <si>
    <t>Seattle Public Utilities</t>
  </si>
  <si>
    <t>@SeattleSPU</t>
  </si>
  <si>
    <t>http://www.seattle.gov/util/</t>
  </si>
  <si>
    <t>Tacoma Public Utilities</t>
  </si>
  <si>
    <t>@MyTPU</t>
  </si>
  <si>
    <t>https://www.facebook.com/mytpu</t>
  </si>
  <si>
    <t>http://www.mytpu.org/</t>
  </si>
  <si>
    <t>Woodinville Water District</t>
  </si>
  <si>
    <t>http://www.woodinvillewater.com/</t>
  </si>
  <si>
    <t>http://www.pacificorp.com/index.html</t>
  </si>
  <si>
    <t>Puget Sound Energy</t>
  </si>
  <si>
    <t>@PSETalk</t>
  </si>
  <si>
    <t>https://www.facebook.com/pugetsoundenergy?utm_source=public&amp;utm_medium=homebutton&amp;utm_campaign=fb</t>
  </si>
  <si>
    <t>http://pse.com/Pages/default.aspx</t>
  </si>
  <si>
    <t>Seattle City Light</t>
  </si>
  <si>
    <t>@SEACityLight</t>
  </si>
  <si>
    <t>https://www.facebook.com/SeattleCityLight</t>
  </si>
  <si>
    <t>http://www.seattle.gov/light/</t>
  </si>
  <si>
    <t>Benton PUD</t>
  </si>
  <si>
    <t>https://www.facebook.com/pages/Benton-PUD/104468735587?ref=hl</t>
  </si>
  <si>
    <t>http://www.bentonpud.org/</t>
  </si>
  <si>
    <t>Snohomish County Public Utility District (PUD)</t>
  </si>
  <si>
    <t>@SnoPUD</t>
  </si>
  <si>
    <t>https://www.facebook.com/snopud</t>
  </si>
  <si>
    <t>http://www.snopud.com/</t>
  </si>
  <si>
    <t>Mason County Public Utility District 3</t>
  </si>
  <si>
    <t>@PUD3</t>
  </si>
  <si>
    <t>https://www.facebook.com/MASONPUD3</t>
  </si>
  <si>
    <t>http://www.masonpud3.org/</t>
  </si>
  <si>
    <t>Klickitat Public Utility District</t>
  </si>
  <si>
    <t>http://www.klickitatpud.com/</t>
  </si>
  <si>
    <t>Avista Utilities</t>
  </si>
  <si>
    <t>@AvistaUtilities</t>
  </si>
  <si>
    <t>https://www.facebook.com/AvistaUtilities</t>
  </si>
  <si>
    <t>http://www.avistautilities.com/residential/Pages/default.aspx</t>
  </si>
  <si>
    <t>Grant County Public Utility District</t>
  </si>
  <si>
    <t>@GrantPUD</t>
  </si>
  <si>
    <t>https://www.facebook.com/GrantCountyPUD?sk=wall</t>
  </si>
  <si>
    <t>http://www.grantpud.org/</t>
  </si>
  <si>
    <t>Tacoma Power</t>
  </si>
  <si>
    <t>http://www.mytpu.org/tacomapower/</t>
  </si>
  <si>
    <t>Douglas County Public Utility District</t>
  </si>
  <si>
    <t>@DouglasPUD</t>
  </si>
  <si>
    <t>http://www.douglaspud.org/</t>
  </si>
  <si>
    <t>Bellingham International Airport</t>
  </si>
  <si>
    <t>@PortBellingham</t>
  </si>
  <si>
    <t>https://www.facebook.com/PortofBellingham</t>
  </si>
  <si>
    <t>http://www.portofbellingham.com/index.aspx?NID=27</t>
  </si>
  <si>
    <t>Friday Harbor Airport</t>
  </si>
  <si>
    <t>http://www.portfridayharbor.org/?page_id=49</t>
  </si>
  <si>
    <t>Tri-Cities Airport</t>
  </si>
  <si>
    <t>@triflight</t>
  </si>
  <si>
    <t>https://www.facebook.com/TRIflight</t>
  </si>
  <si>
    <t>http://www.triflight.com/</t>
  </si>
  <si>
    <t>William R. Fairchild International Airport</t>
  </si>
  <si>
    <t>http://www.portofpa.com/index.aspx?NID=109</t>
  </si>
  <si>
    <t>Pullman-Moscow Regional Airport</t>
  </si>
  <si>
    <t>https://www.google.com/search?q=Pullman-Moscow+Regional+Airport&amp;oq=Pullman-Moscow+Regional+Airport&amp;aqs=chrome.0.57j0l3.257j0&amp;sourceid=chrome&amp;ie=UTF-8</t>
  </si>
  <si>
    <t>King County International Airport (Boeing Field)</t>
  </si>
  <si>
    <t>http://www.kingcounty.gov/transportation/kcdot/Airport.aspx</t>
  </si>
  <si>
    <t>Seattle-Tacoma International Airport</t>
  </si>
  <si>
    <t>@SeaTacAirport</t>
  </si>
  <si>
    <t>https://www.facebook.com/seatacairport</t>
  </si>
  <si>
    <t>http://www.portseattle.org/Sea-Tac/Pages/default.aspx</t>
  </si>
  <si>
    <t>Spokane International Airport (Geiger Field)</t>
  </si>
  <si>
    <t>@iflyspokane</t>
  </si>
  <si>
    <t>https://www.facebook.com/pages/Spokane-International-Airport-GEG-Planning-for-the-Future/174030805978928</t>
  </si>
  <si>
    <t>http://www.spokaneairports.net/</t>
  </si>
  <si>
    <t>Walla Walla Regional Airport</t>
  </si>
  <si>
    <t>https://www.facebook.com/wwregionalairport</t>
  </si>
  <si>
    <t>http://www.wallawallaairport.com/</t>
  </si>
  <si>
    <t>Pangborn Memorial Airport</t>
  </si>
  <si>
    <t>@pangbornairport</t>
  </si>
  <si>
    <t>https://www.facebook.com/pages/Pangborn-Memorial-Airport/111051182306148</t>
  </si>
  <si>
    <t>http://www.pangbornairport.com/</t>
  </si>
  <si>
    <t>Yakima Air Terminal (McAllister Field)</t>
  </si>
  <si>
    <t>http://www.yakimaairterminal.com/</t>
  </si>
  <si>
    <t>Port of Grays Harbor</t>
  </si>
  <si>
    <t>http://www.portofgraysharbor.com/</t>
  </si>
  <si>
    <t>Aberdeen</t>
  </si>
  <si>
    <t>Port of Almota</t>
  </si>
  <si>
    <t>http://www.portwhitman.com/</t>
  </si>
  <si>
    <t>Almota</t>
  </si>
  <si>
    <t>Port of Anacortes</t>
  </si>
  <si>
    <t>@PortofAnacortes</t>
  </si>
  <si>
    <t>https://www.facebook.com/PortOfAnacortes</t>
  </si>
  <si>
    <t>http://www.portofanacortes.com/</t>
  </si>
  <si>
    <t>Anacortes</t>
  </si>
  <si>
    <t>Port of Allyn</t>
  </si>
  <si>
    <t>http://www.portofallyn.com/</t>
  </si>
  <si>
    <t>Allyn</t>
  </si>
  <si>
    <t>Port of Bellingham</t>
  </si>
  <si>
    <t>http://www.portofbellingham.com/</t>
  </si>
  <si>
    <t>Bellingham</t>
  </si>
  <si>
    <t>Port of Klickitat</t>
  </si>
  <si>
    <t>Bingen</t>
  </si>
  <si>
    <t>Port of Blaine</t>
  </si>
  <si>
    <t>@City_of_Blaine</t>
  </si>
  <si>
    <t>https://www.facebook.com/pages/City-of-Blaine-WA-Government/154617817913578</t>
  </si>
  <si>
    <t>http://www.ci.blaine.wa.us/</t>
  </si>
  <si>
    <t>Blaine</t>
  </si>
  <si>
    <t>Port of Bremerton</t>
  </si>
  <si>
    <t>https://www.facebook.com/PortBremerton</t>
  </si>
  <si>
    <t>http://www.portofbremerton.org/</t>
  </si>
  <si>
    <t>Bremerton</t>
  </si>
  <si>
    <t>Port of Brownsville</t>
  </si>
  <si>
    <t>http://www.portofbrownsville.org/</t>
  </si>
  <si>
    <t>Brownsville</t>
  </si>
  <si>
    <t>Port of Central Ferry</t>
  </si>
  <si>
    <t>Central Ferry</t>
  </si>
  <si>
    <t>Port of Clarkston</t>
  </si>
  <si>
    <t>http://www.portofclarkston.com/</t>
  </si>
  <si>
    <t>Clarkston</t>
  </si>
  <si>
    <t>Port of Edmonds</t>
  </si>
  <si>
    <t>http://www.portofedmonds.org/</t>
  </si>
  <si>
    <t>Edmonds</t>
  </si>
  <si>
    <t>Port of Everett</t>
  </si>
  <si>
    <t>@PortofEverett</t>
  </si>
  <si>
    <t>https://www.facebook.com/PortofEverett</t>
  </si>
  <si>
    <t>http://www.portofeverett.com/home/index.asp</t>
  </si>
  <si>
    <t>Everett</t>
  </si>
  <si>
    <t>Alcoa Intalco Works</t>
  </si>
  <si>
    <t>@Alcoa</t>
  </si>
  <si>
    <t>https://www.facebook.com/alcoa</t>
  </si>
  <si>
    <t>http://www.alcoa.com/global/en/home.asp</t>
  </si>
  <si>
    <t>Ferndale</t>
  </si>
  <si>
    <t>ConocoPhillips Ferndale Refinery</t>
  </si>
  <si>
    <t>@conocophillips</t>
  </si>
  <si>
    <t>https://www.facebook.com/conocophillips</t>
  </si>
  <si>
    <t>http://www.conocophillips.com/Pages/default.aspx</t>
  </si>
  <si>
    <t>Port of Friday Harbor</t>
  </si>
  <si>
    <t>http://www.portfridayharbor.org/</t>
  </si>
  <si>
    <t>Friday Harbor</t>
  </si>
  <si>
    <t>Port of Ilwaco</t>
  </si>
  <si>
    <t>@DiscoverIlwaco</t>
  </si>
  <si>
    <t>https://www.facebook.com/DiscoverIlwaco</t>
  </si>
  <si>
    <t>http://portofilwaco.com/</t>
  </si>
  <si>
    <t>Ilwaco</t>
  </si>
  <si>
    <t>Port of Garfield</t>
  </si>
  <si>
    <t>http://www.portofgarfield.com/</t>
  </si>
  <si>
    <t>Garfield</t>
  </si>
  <si>
    <t>Hoquiam Harbor</t>
  </si>
  <si>
    <t>Hoquiam</t>
  </si>
  <si>
    <t>Port of Kalama</t>
  </si>
  <si>
    <t>@PortofKalama</t>
  </si>
  <si>
    <t>http://www.portofkalama.com/</t>
  </si>
  <si>
    <t>Kalama</t>
  </si>
  <si>
    <t>Port of Keyport</t>
  </si>
  <si>
    <t>http://www.keyport98345.com/</t>
  </si>
  <si>
    <t>Keyport</t>
  </si>
  <si>
    <t>Port of Kingston</t>
  </si>
  <si>
    <t>https://www.facebook.com/pages/Port-of-Kingston/432901756732120</t>
  </si>
  <si>
    <t>http://www.portofkingston.org/</t>
  </si>
  <si>
    <t>Kingston</t>
  </si>
  <si>
    <t>Port of Kennewick</t>
  </si>
  <si>
    <t>http://portofkennewick.org/</t>
  </si>
  <si>
    <t>Kennewick</t>
  </si>
  <si>
    <t>Neah Bay Harbor</t>
  </si>
  <si>
    <t>Neah Bay</t>
  </si>
  <si>
    <t>Port of Skagit</t>
  </si>
  <si>
    <t>http://www.portofskagit.com/</t>
  </si>
  <si>
    <t>La Conner</t>
  </si>
  <si>
    <t>Port of Longview</t>
  </si>
  <si>
    <t>http://www.portoflongview.com/</t>
  </si>
  <si>
    <t>Longview</t>
  </si>
  <si>
    <t>Port of Peninsula</t>
  </si>
  <si>
    <t>http://www.portofpeninsula.org/</t>
  </si>
  <si>
    <t>Ocean Park</t>
  </si>
  <si>
    <t>Port of Olympia</t>
  </si>
  <si>
    <t>http://www.portolympia.com/</t>
  </si>
  <si>
    <t>Olympia</t>
  </si>
  <si>
    <t>Port of Pasco</t>
  </si>
  <si>
    <t>http://www.portofpasco.org/</t>
  </si>
  <si>
    <t>Pasco</t>
  </si>
  <si>
    <t>Port of Port Gamble</t>
  </si>
  <si>
    <t>http://portgamble.com/</t>
  </si>
  <si>
    <t>Port Gamble</t>
  </si>
  <si>
    <t>Port of Port Townsend</t>
  </si>
  <si>
    <t>http://www.portofpt.com/</t>
  </si>
  <si>
    <t>Port Townsend</t>
  </si>
  <si>
    <t>Port of Port Angeles</t>
  </si>
  <si>
    <t>http://www.portofpa.com/</t>
  </si>
  <si>
    <t>Port Angeles</t>
  </si>
  <si>
    <t>Port of Benton</t>
  </si>
  <si>
    <t>http://www.portofbenton.com/</t>
  </si>
  <si>
    <t>Richland</t>
  </si>
  <si>
    <t>Port of Semiahmoo</t>
  </si>
  <si>
    <t>Semiahmoo</t>
  </si>
  <si>
    <t>Port of Seattle</t>
  </si>
  <si>
    <t>http://www.portseattle.org/Pages/default.aspx</t>
  </si>
  <si>
    <t>Port of Shelton</t>
  </si>
  <si>
    <t>http://www.portofshelton.com/</t>
  </si>
  <si>
    <t>Shelton</t>
  </si>
  <si>
    <t>Port of Tacoma</t>
  </si>
  <si>
    <t>@PortofTacoma</t>
  </si>
  <si>
    <t>https://www.facebook.com/portoftacoma</t>
  </si>
  <si>
    <t>http://www.portoftacoma.com/</t>
  </si>
  <si>
    <t>Port of Vancouver</t>
  </si>
  <si>
    <t>http://www.portvanusa.com/</t>
  </si>
  <si>
    <t>Port of Walla Walla</t>
  </si>
  <si>
    <t>@PortWallaWalla</t>
  </si>
  <si>
    <t>https://www.facebook.com/PortWallaWalla?fref=ts</t>
  </si>
  <si>
    <t>http://www.portwallawalla.com/</t>
  </si>
  <si>
    <t>Walla Walla</t>
  </si>
  <si>
    <t>Port of Wilma</t>
  </si>
  <si>
    <t>Wilma</t>
  </si>
  <si>
    <t>Port of Woodland</t>
  </si>
  <si>
    <t>https://www.facebook.com/portofwoodland</t>
  </si>
  <si>
    <t>http://www.portofwoodland.com/</t>
  </si>
  <si>
    <t>Woodland</t>
  </si>
  <si>
    <t>Port of Camas-Washougal</t>
  </si>
  <si>
    <t>@portcw</t>
  </si>
  <si>
    <t>https://www.facebook.com/pages/Port-of-Camas-Washougal/169979590926</t>
  </si>
  <si>
    <t>http://www.portcw.com/</t>
  </si>
  <si>
    <t>Washougal</t>
  </si>
  <si>
    <t>Comments</t>
  </si>
  <si>
    <t>West Virginia State Website</t>
  </si>
  <si>
    <t>@wvgov</t>
  </si>
  <si>
    <t>http://www.facebook.com/wvgov</t>
  </si>
  <si>
    <t>http://www.wv.gov/Pages/default.aspx</t>
  </si>
  <si>
    <t>West Virginia Ready.gov</t>
  </si>
  <si>
    <t>@WVDHSEM</t>
  </si>
  <si>
    <t>http://www.ready.wv.gov/Pages/default.aspx</t>
  </si>
  <si>
    <t>West Virginia  DHS</t>
  </si>
  <si>
    <t>https://www.facebook.com/pages/WV-Division-of-Homeland-Security-and-Emergency-Management/139240442761774</t>
  </si>
  <si>
    <t>http://www.dhsem.wv.gov/Pages/default.aspx</t>
  </si>
  <si>
    <t>West Virginia Wildlife Rescue</t>
  </si>
  <si>
    <t>@RescueMeOrg  @WildlifeAlerts</t>
  </si>
  <si>
    <t>http://wildlife.rescueshelter.com/WestVirginia</t>
  </si>
  <si>
    <t>Local County Emergency Management Directors</t>
  </si>
  <si>
    <t>http://www.dhsem.wv.gov/countycontacts/Pages/default.aspx</t>
  </si>
  <si>
    <t>WV 511 Twitter Feeds</t>
  </si>
  <si>
    <t>http://wv511.org/#Twitter:</t>
  </si>
  <si>
    <t>Twitter feed for the all of WV</t>
  </si>
  <si>
    <t>Map w/info. on counties</t>
  </si>
  <si>
    <t>http://www.wv.gov/local/Pages/default.aspx</t>
  </si>
  <si>
    <t>Map with links to county information</t>
  </si>
  <si>
    <t>Country</t>
  </si>
  <si>
    <t>Charleston</t>
  </si>
  <si>
    <t>http://www.cityofcharleston.org/</t>
  </si>
  <si>
    <t>Kanawha</t>
  </si>
  <si>
    <t>Huntington</t>
  </si>
  <si>
    <t>http://www.cityofhuntington.com/</t>
  </si>
  <si>
    <t>Cabell</t>
  </si>
  <si>
    <t>Parkersburg</t>
  </si>
  <si>
    <t>@ParkersburgCity</t>
  </si>
  <si>
    <t>https://www.facebook.com/CityOfParkersburg</t>
  </si>
  <si>
    <t>http://parkersburgcity.com/wp/</t>
  </si>
  <si>
    <t>Wood</t>
  </si>
  <si>
    <t>Morgantown</t>
  </si>
  <si>
    <t>@Morgantown_WV</t>
  </si>
  <si>
    <t>https://www.facebook.com/CityofMorgantown</t>
  </si>
  <si>
    <t>http://www.morgantownwv.gov/</t>
  </si>
  <si>
    <t>Monongalia</t>
  </si>
  <si>
    <t>Wheeling</t>
  </si>
  <si>
    <t>http://www.wheelingwv.gov/</t>
  </si>
  <si>
    <t>http://en.wikipedia.org/wiki/List_of_cities_in_West_Virginia</t>
  </si>
  <si>
    <t>Barbour</t>
  </si>
  <si>
    <t>http://www.barbourcounty.wv.gov/Pages/default.aspx</t>
  </si>
  <si>
    <t>http://www.berkeleycountycomm.org/</t>
  </si>
  <si>
    <t>@WV511Metro</t>
  </si>
  <si>
    <t>http://www.boonecountywv.org/</t>
  </si>
  <si>
    <t>Braxton</t>
  </si>
  <si>
    <t>https://www.facebook.com/pages/Braxton-County-West-Virginia/120014581352471</t>
  </si>
  <si>
    <t>http://www.braxtoncounty.wv.gov/Pages/default.aspx</t>
  </si>
  <si>
    <t>Brooke</t>
  </si>
  <si>
    <t>https://www.facebook.com/pages/Brooke-County-Emergency-Management-Agency/113706345339873?fref=ts</t>
  </si>
  <si>
    <t>http://www.brookewv.org/gov.html</t>
  </si>
  <si>
    <t>Cabell</t>
  </si>
  <si>
    <t>@CabellCounty911 @WV511Metro</t>
  </si>
  <si>
    <t>https://www.facebook.com/cabellcounty911?ref=ts&amp;fref=ts</t>
  </si>
  <si>
    <t>http://www.cabellcounty.org/</t>
  </si>
  <si>
    <t>https://www.facebook.com/pages/City-Of-Spencer-West-Virginia/93132958555</t>
  </si>
  <si>
    <t>http://www.calhouncounty.wv.gov/Pages/default.aspx</t>
  </si>
  <si>
    <t>http://www.claycounty.wv.gov/Pages/default.aspx</t>
  </si>
  <si>
    <t>Doddridge</t>
  </si>
  <si>
    <t>@DoddridgeCounty</t>
  </si>
  <si>
    <t>http://www.doddridgecounty.wv.gov/Pages/default.aspx</t>
  </si>
  <si>
    <t>http://www.fayettecounty.wv.gov/Pages/default.aspx</t>
  </si>
  <si>
    <t>Gilmer</t>
  </si>
  <si>
    <t>http://www.gilmercounty.wv.gov/Pages/default.aspx</t>
  </si>
  <si>
    <t>@GrantCountyWV</t>
  </si>
  <si>
    <t>http://www.grantcounty.wv.gov/</t>
  </si>
  <si>
    <t>Greenbrier</t>
  </si>
  <si>
    <t>http://www.greenbriercounty.net/</t>
  </si>
  <si>
    <t>http://www.hampshirecountywv.org/</t>
  </si>
  <si>
    <t>http://hancockcountywv.org/</t>
  </si>
  <si>
    <t>Hardy</t>
  </si>
  <si>
    <t>http://hardycounty.com/</t>
  </si>
  <si>
    <t>http://www.harrisoncountywv.com/</t>
  </si>
  <si>
    <t>http://www.polsci.wvu.edu/wv/jackson/</t>
  </si>
  <si>
    <t>https://www.facebook.com/pages/Jefferson-County-Clerk-West-Virginia/165892168014</t>
  </si>
  <si>
    <t>http://www.jeffersoncountywv.org/</t>
  </si>
  <si>
    <t>Kanawha</t>
  </si>
  <si>
    <t>@kanawhaus @WV511Metro</t>
  </si>
  <si>
    <t>https://www.facebook.com/KanawhaCountyCommission?ref=ts&amp;fref=ts&amp;rf=1371379641744</t>
  </si>
  <si>
    <t>http://www.kanawha.us/</t>
  </si>
  <si>
    <t>http://www.lceda.org/display.asp?ID=141&amp;SubID=</t>
  </si>
  <si>
    <t>http://www.polsci.wvu.edu/wv/lincoln/</t>
  </si>
  <si>
    <t>http://www.polsci.wvu.edu/wv/logan/</t>
  </si>
  <si>
    <t>http://www.marioncountywv.com/</t>
  </si>
  <si>
    <t>@MarshallCoWVOEM</t>
  </si>
  <si>
    <t>https://www.facebook.com/pages/Marshall-County-Homeland-Security-Emergency-Management/120490248098217</t>
  </si>
  <si>
    <t>http://www.polsci.wvu.edu/wv/marshall/</t>
  </si>
  <si>
    <t>http://www.polsci.wvu.edu/wv/mason/</t>
  </si>
  <si>
    <t>http://www.polsci.wvu.edu/wv/mcdowell/</t>
  </si>
  <si>
    <t>@MercerWV</t>
  </si>
  <si>
    <t>http://www.polsci.wvu.edu/wv/mercer/</t>
  </si>
  <si>
    <t>http://www.mineralcountywv.com/index.asp</t>
  </si>
  <si>
    <t>Mingo</t>
  </si>
  <si>
    <t>http://www.mingocountywv.com/</t>
  </si>
  <si>
    <t>Monongalia</t>
  </si>
  <si>
    <t>@MonCoOEM</t>
  </si>
  <si>
    <t>https://www.facebook.com/MCOEM?fref=ts</t>
  </si>
  <si>
    <t>http://www.co.monongalia.wv.us/index.html</t>
  </si>
  <si>
    <t>http://www.polsci.wvu.edu/wv/monroe/</t>
  </si>
  <si>
    <t>http://www.polsci.wvu.edu/wv/morgan/</t>
  </si>
  <si>
    <t>Nicholas</t>
  </si>
  <si>
    <t>http://www.polsci.wvu.edu/wv/nicholas/</t>
  </si>
  <si>
    <t>http://www.polsci.wvu.edu/wv/ohio/</t>
  </si>
  <si>
    <t>Pendleton</t>
  </si>
  <si>
    <t>http://www.polsci.wvu.edu/wv/pendleton/</t>
  </si>
  <si>
    <t>Pleasants</t>
  </si>
  <si>
    <t>http://www.polsci.wvu.edu/wv/pleasants//</t>
  </si>
  <si>
    <t>http://www.pocahontascounty.wv.gov/Pages/default.aspx</t>
  </si>
  <si>
    <t>Preston</t>
  </si>
  <si>
    <t>http://www.polsci.wvu.edu/wv/preston/</t>
  </si>
  <si>
    <t>http://www.putnamcounty.org/government/</t>
  </si>
  <si>
    <t>Raleigh</t>
  </si>
  <si>
    <t>http://www.polsci.wvu.edu/wv/raleigh/</t>
  </si>
  <si>
    <t>http://www.polsci.wvu.edu/wv/randolph/</t>
  </si>
  <si>
    <t>Ritchie</t>
  </si>
  <si>
    <t>http://www.polsci.wvu.edu/wv/ritchie/</t>
  </si>
  <si>
    <t>http://www.polsci.wvu.edu/wv/roane/</t>
  </si>
  <si>
    <t>Summers</t>
  </si>
  <si>
    <t>http://www.polsci.wvu.edu/wv/summers/</t>
  </si>
  <si>
    <t>@Harrison911WV</t>
  </si>
  <si>
    <t>http://www.polsci.wvu.edu/wv/taylor/</t>
  </si>
  <si>
    <t>Tucker</t>
  </si>
  <si>
    <t>https://www.facebook.com/pages/Tucker-County-LEPCOEM/323210050879</t>
  </si>
  <si>
    <t>http://www.polsci.wvu.edu/wv/tucker/</t>
  </si>
  <si>
    <t>http://www.polsci.wvu.edu/wv/tyler/</t>
  </si>
  <si>
    <t>http://www.polsci.wvu.edu/wv/upshur/</t>
  </si>
  <si>
    <t>http://www.polsci.wvu.edu/wv/wayne/</t>
  </si>
  <si>
    <t>http://www.polsci.wvu.edu/wv/webster/</t>
  </si>
  <si>
    <t>Wetzel</t>
  </si>
  <si>
    <t>http://www.polsci.wvu.edu/wv/wetzel/</t>
  </si>
  <si>
    <t>Wirt</t>
  </si>
  <si>
    <t>http://www.polsci.wvu.edu/wv/Wirt/</t>
  </si>
  <si>
    <t>http://www.woodcountywv.com/</t>
  </si>
  <si>
    <t>http://www.polsci.wvu.edu/wv/wyoming/</t>
  </si>
  <si>
    <t>Wheeling Electric Power (AEP Ohio)</t>
  </si>
  <si>
    <t>@aepohio</t>
  </si>
  <si>
    <t>https://www.facebook.com/AEPOhio</t>
  </si>
  <si>
    <t>https://www.aepohio.com/Default.aspx</t>
  </si>
  <si>
    <t>MonPower</t>
  </si>
  <si>
    <t>@MonPowerWV</t>
  </si>
  <si>
    <t>https://www.facebook.com/FirstEnergyCareers</t>
  </si>
  <si>
    <t>https://www.firstenergycorp.com/content/customer/mon_power.html</t>
  </si>
  <si>
    <t>Weirton Water Department</t>
  </si>
  <si>
    <t>http://www.cityofweirton.com/government/public-works-and-utilities/1</t>
  </si>
  <si>
    <t>West Virginia - American Water Company</t>
  </si>
  <si>
    <t>@wvamwater</t>
  </si>
  <si>
    <t>https://www.facebook.com/wvamwater</t>
  </si>
  <si>
    <t>http://www.amwater.com/wvaw/</t>
  </si>
  <si>
    <t>Yeager Airport</t>
  </si>
  <si>
    <t>@YeagerAirport</t>
  </si>
  <si>
    <t>https://www.facebook.com/FlyCRW</t>
  </si>
  <si>
    <t>http://www.yeagerairport.com/</t>
  </si>
  <si>
    <t>North Central West Virginia Airport (was Harrison-Marion Regional)</t>
  </si>
  <si>
    <t>@FlyCKB</t>
  </si>
  <si>
    <t>https://www.facebook.com/pages/North-Central-West-Virginia-Airport/117158861635609</t>
  </si>
  <si>
    <t>http://www.flyckb.com/site/</t>
  </si>
  <si>
    <t>Tri-State Airport (Milton J. Ferguson Field)</t>
  </si>
  <si>
    <t>https://www.facebook.com/TriStateAirport?ref=ts&amp;fref=ts</t>
  </si>
  <si>
    <t>http://www.tristateairport.com/</t>
  </si>
  <si>
    <t>Morgantown Municipal Airport (Walter L. Bill Hart Field)</t>
  </si>
  <si>
    <t>http://www.morgantownairport.com/</t>
  </si>
  <si>
    <t>Mid-Ohio Valley Regional Airport</t>
  </si>
  <si>
    <t>https://www.facebook.com/parkersburg.airport</t>
  </si>
  <si>
    <t>http://www.flymov.com/</t>
  </si>
  <si>
    <t>Greenbrier Valley Airport</t>
  </si>
  <si>
    <t>https://www.facebook.com/greenbriervalley.airport</t>
  </si>
  <si>
    <t>http://www.gvairport.com/</t>
  </si>
  <si>
    <t>Elkins-Randolph County Airport</t>
  </si>
  <si>
    <t>http://www.elkinsairport.com/</t>
  </si>
  <si>
    <t>Greater Cumberland Regional Airport</t>
  </si>
  <si>
    <t>http://www.cumberlandairport.com/index.html</t>
  </si>
  <si>
    <t>Raleigh County Memorial Airport</t>
  </si>
  <si>
    <t>@Beckley_Weather</t>
  </si>
  <si>
    <t>https://www.facebook.com/RaleighCountyMemorialAirport?fref=ts</t>
  </si>
  <si>
    <t>http://www.flybeckley.com/</t>
  </si>
  <si>
    <t>Mercer County Airport</t>
  </si>
  <si>
    <t>http://www.flybluefield.com/</t>
  </si>
  <si>
    <t>Mason County Airport</t>
  </si>
  <si>
    <t>http://www.airnav.com/airport/3I2</t>
  </si>
  <si>
    <t>http://www.gowv.com/grantcountyairport.htm</t>
  </si>
  <si>
    <t>Marshall County Airport</t>
  </si>
  <si>
    <t>http://www.airnav.com/airport/KMPG</t>
  </si>
  <si>
    <t>Mingo County Airport</t>
  </si>
  <si>
    <t>http://www.airnav.com/airport/4I0</t>
  </si>
  <si>
    <t>Wheeling-Ohio County</t>
  </si>
  <si>
    <t>http://www.airnav.com/airport/khlg</t>
  </si>
  <si>
    <t>Logan County</t>
  </si>
  <si>
    <t>http://www.airnav.com/airport/6L4</t>
  </si>
  <si>
    <t>Eastern WV Regional - Matinsburg</t>
  </si>
  <si>
    <t>http://www.wvairport.org/</t>
  </si>
  <si>
    <t>Richwood Municipal Airport</t>
  </si>
  <si>
    <t>http://www.airnav.com/airport/3I4</t>
  </si>
  <si>
    <t>Summersville Airport</t>
  </si>
  <si>
    <t>http://www.airnav.com/airport/KSXL</t>
  </si>
  <si>
    <t>Upshur County Regional</t>
  </si>
  <si>
    <t>http://www.airnav.com/airport/w22</t>
  </si>
  <si>
    <t>Fairmont Municipal</t>
  </si>
  <si>
    <t>http://www.airnav.com/airport/4G7</t>
  </si>
  <si>
    <t>Robert Newlon Field - Huntington</t>
  </si>
  <si>
    <t>http://www.airnav.com/airport/I41</t>
  </si>
  <si>
    <t>Ona Airpark</t>
  </si>
  <si>
    <t>http://www.airnav.com/airport/12v</t>
  </si>
  <si>
    <t>Herron Airport</t>
  </si>
  <si>
    <t>http://www.airnav.com/airport/7G1</t>
  </si>
  <si>
    <t>PW Johnson Memorial</t>
  </si>
  <si>
    <t>http://www.airnav.com/airport/75d</t>
  </si>
  <si>
    <t>Philippi-Barbour County Airport</t>
  </si>
  <si>
    <t>http://www.airnav.com/airport/79d</t>
  </si>
  <si>
    <t>Kee Field</t>
  </si>
  <si>
    <t>http://www.airnav.com/airport/I16</t>
  </si>
  <si>
    <t>Jackson County</t>
  </si>
  <si>
    <t>http://www.jacksoncoairport.com/default.htm</t>
  </si>
  <si>
    <t>Braxton County</t>
  </si>
  <si>
    <t>http://www.airnav.com/airport/48i</t>
  </si>
  <si>
    <t>Wade F Maley Field Airport</t>
  </si>
  <si>
    <t>http://www.airnav.com/airport/6W0</t>
  </si>
  <si>
    <t>News Station</t>
  </si>
  <si>
    <t>West Virginia Public Broadcasting</t>
  </si>
  <si>
    <t>https://www.facebook.com/wvpubcast</t>
  </si>
  <si>
    <t>http://www.wvpubcast.org/</t>
  </si>
  <si>
    <t>WSAZ NewsChannel 3 (Huntington)</t>
  </si>
  <si>
    <t>@WSAZnews</t>
  </si>
  <si>
    <t>https://docs.google.com/spreadsheet/ccc?key=0AgnZhKE3EJxNdDBia29mMU92QkxDZENFdUxrNHVVVGc#gid=50</t>
  </si>
  <si>
    <t>http://www.wsaz.com/</t>
  </si>
  <si>
    <t>WCHS TV (Charleston - Huntington)</t>
  </si>
  <si>
    <t>@WCHS_WVAH</t>
  </si>
  <si>
    <t>https://www.facebook.com/eyewitnessnewscharleston</t>
  </si>
  <si>
    <t>http://www.wchstv.com/</t>
  </si>
  <si>
    <t>WDTV (Weston/Clarksburg/Fairmont)</t>
  </si>
  <si>
    <t>@WDTV5News</t>
  </si>
  <si>
    <t>https://www.facebook.com/pages/WDTV-5-News/188274944537706</t>
  </si>
  <si>
    <t>http://www.wdtv.com/</t>
  </si>
  <si>
    <t>WOWK TV (Huntington &amp; Charleston)</t>
  </si>
  <si>
    <t>@WOWK13News</t>
  </si>
  <si>
    <t>https://www.facebook.com/13news</t>
  </si>
  <si>
    <t>http://www.wowktv.com/</t>
  </si>
  <si>
    <t>WVVA (Bluefield, Beckley)</t>
  </si>
  <si>
    <t>@WVVA</t>
  </si>
  <si>
    <t>https://www.facebook.com/wvvanews</t>
  </si>
  <si>
    <t>http://www.wvva.com/</t>
  </si>
  <si>
    <t>WOAY  (Bluefield, Beckley, Oak Hill)</t>
  </si>
  <si>
    <t>http://www.woay.com/</t>
  </si>
  <si>
    <t>WTRF (Wheeling)</t>
  </si>
  <si>
    <t>@WTRF7News</t>
  </si>
  <si>
    <t>https://www.facebook.com/wtrf7news</t>
  </si>
  <si>
    <t>http://www.wtrf.com/</t>
  </si>
  <si>
    <t>WBOY (Clarksburg)</t>
  </si>
  <si>
    <t>@WBOY12News</t>
  </si>
  <si>
    <t>https://www.facebook.com/wboy12news</t>
  </si>
  <si>
    <t>http://www.wboy.com/</t>
  </si>
  <si>
    <t>WTAP (Parkersburg)</t>
  </si>
  <si>
    <t>https://www.facebook.com/wtaptelevision</t>
  </si>
  <si>
    <t>http://www.thenewscenter.tv/</t>
  </si>
  <si>
    <t>News Papers</t>
  </si>
  <si>
    <t>WVA.gov - List of Qualified Newspapers</t>
  </si>
  <si>
    <t>http://www.sos.wv.gov/elections/Documents/Qualified%20Newspapers/2012-2013%20Certified%20Newspapers.pdf</t>
  </si>
  <si>
    <t>Doddridge News</t>
  </si>
  <si>
    <t>http://www.doddridgenews.com/</t>
  </si>
  <si>
    <t>Alderson-Broaddus College</t>
  </si>
  <si>
    <t>https://www.facebook.com/pages/Alderson-Broaddus-University/50419146547</t>
  </si>
  <si>
    <t>http://www.ab.edu/</t>
  </si>
  <si>
    <t>Philippi</t>
  </si>
  <si>
    <t>Bethany College</t>
  </si>
  <si>
    <t>@BethanyCollege1</t>
  </si>
  <si>
    <t>https://www.facebook.com/ScottDMillerBCprez</t>
  </si>
  <si>
    <t>http://www.bethanywv.edu/</t>
  </si>
  <si>
    <t>Bethany</t>
  </si>
  <si>
    <t>Davis and Elkins College</t>
  </si>
  <si>
    <t>@davisandelkins</t>
  </si>
  <si>
    <t>https://www.facebook.com/DavisAndElkins</t>
  </si>
  <si>
    <t>http://www.dewv.edu/</t>
  </si>
  <si>
    <t>Elkins</t>
  </si>
  <si>
    <t>Ohio Valley University</t>
  </si>
  <si>
    <t>https://www.facebook.com/ohiovalleyuniversity</t>
  </si>
  <si>
    <t>http://www.ovu.edu/</t>
  </si>
  <si>
    <t>Vienna</t>
  </si>
  <si>
    <t>University of Charleston</t>
  </si>
  <si>
    <t>@UCWV</t>
  </si>
  <si>
    <t>https://www.facebook.com/universityofcharleston?ref=ts</t>
  </si>
  <si>
    <t>http://www.ucwv.edu/</t>
  </si>
  <si>
    <t>Charleston, Beckley, and Martinsburg</t>
  </si>
  <si>
    <t>West Virginia Wesleyan College</t>
  </si>
  <si>
    <t>@WVWesleyan</t>
  </si>
  <si>
    <t>https://www.facebook.com/wvwesleyan</t>
  </si>
  <si>
    <t>http://www.wvwc.edu/</t>
  </si>
  <si>
    <t>Buckhannon</t>
  </si>
  <si>
    <t>Wheeling Jesuit University</t>
  </si>
  <si>
    <t>@WheelingJesuit</t>
  </si>
  <si>
    <t>https://www.facebook.com/wheelingjesuit</t>
  </si>
  <si>
    <t>http://www.wju.edu/</t>
  </si>
  <si>
    <t>Appalachian Bible College</t>
  </si>
  <si>
    <t>https://www.facebook.com/pages/Appalachian-Bible-College/174006840360</t>
  </si>
  <si>
    <t>http://www.abc.edu/</t>
  </si>
  <si>
    <t>Bradley</t>
  </si>
  <si>
    <t>Salem International University</t>
  </si>
  <si>
    <t>https://www.facebook.com/pages/Salem-International-University/34432636986</t>
  </si>
  <si>
    <t>http://www.salemu.edu/</t>
  </si>
  <si>
    <t>Salem</t>
  </si>
  <si>
    <t>Bluefield State College</t>
  </si>
  <si>
    <t>https://www.facebook.com/pages/Bluefield-State-College/324029311740</t>
  </si>
  <si>
    <t>http://bluefieldstate.edu/</t>
  </si>
  <si>
    <t>Bluefield</t>
  </si>
  <si>
    <t>Concord University</t>
  </si>
  <si>
    <t>@CampusBeautiful</t>
  </si>
  <si>
    <t>https://www.facebook.com/concorduniversity</t>
  </si>
  <si>
    <t>http://www.concord.edu/</t>
  </si>
  <si>
    <t>Fairmont State University</t>
  </si>
  <si>
    <t>http://www.fairmontstate.edu/</t>
  </si>
  <si>
    <t>Fairmont</t>
  </si>
  <si>
    <t>Glenville State College</t>
  </si>
  <si>
    <t>https://www.facebook.com/go.pioneers</t>
  </si>
  <si>
    <t>http://www.glenville.edu/</t>
  </si>
  <si>
    <t>Glenville</t>
  </si>
  <si>
    <t>Marshall University</t>
  </si>
  <si>
    <t>@marshallu</t>
  </si>
  <si>
    <t>https://www.facebook.com/marshallu</t>
  </si>
  <si>
    <t>http://muwww-new.marshall.edu/landing/home/index.html</t>
  </si>
  <si>
    <t>Shepherd University</t>
  </si>
  <si>
    <t>@ShepherdU</t>
  </si>
  <si>
    <t>https://www.facebook.com/ShepherdUniversity</t>
  </si>
  <si>
    <t>http://www.shepherd.edu/</t>
  </si>
  <si>
    <t>Shepherdstown</t>
  </si>
  <si>
    <t>West Liberty University</t>
  </si>
  <si>
    <t>@AdmissionsatWLU</t>
  </si>
  <si>
    <t>https://www.facebook.com/WestLiberty</t>
  </si>
  <si>
    <t>http://westliberty.edu/</t>
  </si>
  <si>
    <t>West Liberty</t>
  </si>
  <si>
    <t>West Virginia School of Osteopathic Medicine</t>
  </si>
  <si>
    <t>http://www.wvsom.edu/</t>
  </si>
  <si>
    <t>Lewisburg</t>
  </si>
  <si>
    <t>West Virginia State University</t>
  </si>
  <si>
    <t>@WVStateU</t>
  </si>
  <si>
    <t>https://www.facebook.com/wvstateu</t>
  </si>
  <si>
    <t>http://www.wvstateu.edu/</t>
  </si>
  <si>
    <t>Institute</t>
  </si>
  <si>
    <t>West Virginia University</t>
  </si>
  <si>
    <t>@WestVirginiaU</t>
  </si>
  <si>
    <t>https://www.facebook.com/wvumountaineers</t>
  </si>
  <si>
    <t>http://www.wvu.edu/</t>
  </si>
  <si>
    <t>West Virginia University Institute of Technology,</t>
  </si>
  <si>
    <t>@WVU_Tech</t>
  </si>
  <si>
    <t>https://www.facebook.com/WVUInstituteofTechnology</t>
  </si>
  <si>
    <t>http://www.wvutech.edu/</t>
  </si>
  <si>
    <t>West Virginia University at Parkersburg</t>
  </si>
  <si>
    <t>@WVUParkersburg</t>
  </si>
  <si>
    <t>https://www.facebook.com/wvuparkersburg</t>
  </si>
  <si>
    <t>http://www.wvup.edu/</t>
  </si>
  <si>
    <t>Blue Ridge Community and Technical College</t>
  </si>
  <si>
    <t>@BlueRidgeCTC</t>
  </si>
  <si>
    <t>https://www.facebook.com/BlueRidgeCTC</t>
  </si>
  <si>
    <t>http://www.blueridgectc.edu/</t>
  </si>
  <si>
    <t>Martinsburg</t>
  </si>
  <si>
    <t>Bridgemont Community and Technical College</t>
  </si>
  <si>
    <t>http://www.bridgemont.edu/</t>
  </si>
  <si>
    <t>Eastern West Virginia Community and Technical College</t>
  </si>
  <si>
    <t>https://www.facebook.com/pages/Eastern-West-Virginia-Community-and-Technical-College/164590374481?ref=hl</t>
  </si>
  <si>
    <t>http://www.easternwv.edu/Home.aspx</t>
  </si>
  <si>
    <t>Moorefield</t>
  </si>
  <si>
    <t>Kanawha Valley Community and Technical College</t>
  </si>
  <si>
    <t>@kvctc</t>
  </si>
  <si>
    <t>https://www.facebook.com/KanawhaValleyCTC</t>
  </si>
  <si>
    <t>http://www.kvctc.edu/</t>
  </si>
  <si>
    <t>South Charleston</t>
  </si>
  <si>
    <t>Mountwest Community and Technical College</t>
  </si>
  <si>
    <t>http://www.mctc.edu/</t>
  </si>
  <si>
    <t>New River Community and Technical College</t>
  </si>
  <si>
    <t>@newriverctc</t>
  </si>
  <si>
    <t>https://www.facebook.com/NewRiverCTC</t>
  </si>
  <si>
    <t>http://www.newriver.edu/</t>
  </si>
  <si>
    <t>4 campuses</t>
  </si>
  <si>
    <t>Pierpont Community and Technical College</t>
  </si>
  <si>
    <t>@Pierpont</t>
  </si>
  <si>
    <t>https://www.facebook.com/PierpontCTC</t>
  </si>
  <si>
    <t>http://www.pierpont.edu/</t>
  </si>
  <si>
    <t>Potomac State College of West Virginia University</t>
  </si>
  <si>
    <t>@PotomacState</t>
  </si>
  <si>
    <t>https://www.facebook.com/PotomacStateCollege</t>
  </si>
  <si>
    <t>http://www.potomacstatecollege.edu/</t>
  </si>
  <si>
    <t>Keyser</t>
  </si>
  <si>
    <t>Southern West Virginia Community and Technical College</t>
  </si>
  <si>
    <t>@SWVCTC</t>
  </si>
  <si>
    <t>https://www.facebook.com/southernwv.edu</t>
  </si>
  <si>
    <t>http://www.southernwv.edu/</t>
  </si>
  <si>
    <t>West Virginia Northern Community College</t>
  </si>
  <si>
    <t>@WVNCC</t>
  </si>
  <si>
    <t>https://www.facebook.com/pages/West-Virginia-Northern-Community-College/127909087263258</t>
  </si>
  <si>
    <t>http://www.wvncc.edu/</t>
  </si>
  <si>
    <t>3 campuses</t>
  </si>
  <si>
    <t>Wisconsin State Website</t>
  </si>
  <si>
    <t>https://www.facebook.com/pages/Wisconsin/109146809103536</t>
  </si>
  <si>
    <t>http://www.wisconsin.gov/state/</t>
  </si>
  <si>
    <t>Wisconsin EMA</t>
  </si>
  <si>
    <t>http://www.facebook.com/ReadyWisconsin</t>
  </si>
  <si>
    <t>http://www.wema.us/index.htm</t>
  </si>
  <si>
    <t>Wisconsin EMA county map w/links</t>
  </si>
  <si>
    <t>http://www.wema.us/map.htm</t>
  </si>
  <si>
    <t>Wisconsin Wildlife Rescue</t>
  </si>
  <si>
    <t>http://wildlife.rescueshelter.com/Wisconsin</t>
  </si>
  <si>
    <t>http://www.co.adams.wi.gov/</t>
  </si>
  <si>
    <t>http://www.co.ashland.wi.us/</t>
  </si>
  <si>
    <t>Barron</t>
  </si>
  <si>
    <t>https://www.facebook.com/pages/Barron-County-Sheriffs-Department/124545170895526</t>
  </si>
  <si>
    <t>http://www.barroncountywi.gov/</t>
  </si>
  <si>
    <t>Bayfield</t>
  </si>
  <si>
    <t>@bayfieldcounty</t>
  </si>
  <si>
    <t>https://www.facebook.com/bayfieldcounty?ref=ts&amp;fref=ts&amp;rf=131919936844364</t>
  </si>
  <si>
    <t>http://www.bayfieldcounty.org/</t>
  </si>
  <si>
    <t>http://www.co.brown.wi.us/</t>
  </si>
  <si>
    <t>https://www.facebook.com/pages/Buffalo-County-Wisconsin/535088183185544?ref=ts&amp;fref=ts</t>
  </si>
  <si>
    <t>http://www.buffalocounty.com/index.htm</t>
  </si>
  <si>
    <t>Burnett</t>
  </si>
  <si>
    <t>http://www.burnettcounty.com/</t>
  </si>
  <si>
    <t>Calumet</t>
  </si>
  <si>
    <t>http://www.co.calumet.wi.us/</t>
  </si>
  <si>
    <t>http://www.co.chippewa.wi.us/</t>
  </si>
  <si>
    <t>http://www.co.clark.wi.us/</t>
  </si>
  <si>
    <t>http://www.co.columbia.wi.us/ColumbiaCounty/</t>
  </si>
  <si>
    <t>http://crawfordcountywi.org/</t>
  </si>
  <si>
    <t>Dane</t>
  </si>
  <si>
    <t>http://www.countyofdane.com/</t>
  </si>
  <si>
    <t>https://www.facebook.com/DodgeCountyWI</t>
  </si>
  <si>
    <t>http://www.co.dodge.wi.us/</t>
  </si>
  <si>
    <t>Door</t>
  </si>
  <si>
    <t>https://www.facebook.com/pages/Door-County-Wisconsin/105580472810286?ref=ts&amp;fref=ts</t>
  </si>
  <si>
    <t>http://www.co.door.wi.gov/</t>
  </si>
  <si>
    <t>@DouglasCountyWI</t>
  </si>
  <si>
    <t>https://www.facebook.com/pages/Douglas-County-Wisconsin/113150505385509</t>
  </si>
  <si>
    <t>http://www.douglascountywi.org/</t>
  </si>
  <si>
    <t>https://www.facebook.com/dunncountywi</t>
  </si>
  <si>
    <t>http://www.dunncountywi.govoffice2.com/</t>
  </si>
  <si>
    <t>Eau Claire</t>
  </si>
  <si>
    <t>@EauClaireCounty</t>
  </si>
  <si>
    <t>https://www.facebook.com/EauClaireCounty</t>
  </si>
  <si>
    <t>http://www.co.eau-claire.wi.us/</t>
  </si>
  <si>
    <t>https://www.facebook.com/pages/Florence-County/63809513966?ref=ts&amp;fref=ts&amp;rf=137215402967377</t>
  </si>
  <si>
    <t>http://www.florencewisconsin.com/</t>
  </si>
  <si>
    <t>Fond du Lac</t>
  </si>
  <si>
    <t>http://www.fdlco.wi.gov/</t>
  </si>
  <si>
    <t>http://www.co.forest.wi.gov/</t>
  </si>
  <si>
    <t>@wiplatteville</t>
  </si>
  <si>
    <t>http://www.co.grant.wi.gov/</t>
  </si>
  <si>
    <t>Green</t>
  </si>
  <si>
    <t>@ScWiRedCross</t>
  </si>
  <si>
    <t>http://www.co.green.wi.gov/</t>
  </si>
  <si>
    <t>Green Lake</t>
  </si>
  <si>
    <t>http://www.co.green-lake.wi.us/</t>
  </si>
  <si>
    <t>http://www.iowacounty.org/</t>
  </si>
  <si>
    <t>http://www.co.iron.wi.gov/</t>
  </si>
  <si>
    <t>http://www.co.jackson.wi.us/</t>
  </si>
  <si>
    <t>@JCTCWI @ScWiRedCross</t>
  </si>
  <si>
    <t>https://www.facebook.com/JeffersonCountyWisconsin</t>
  </si>
  <si>
    <t>http://www.jeffersoncountywi.gov/jc/public/jchome.php</t>
  </si>
  <si>
    <t>Juneau</t>
  </si>
  <si>
    <t>https://www.facebook.com/JuneauCountyEconomicDevelopment?ref=ts&amp;fref=ts</t>
  </si>
  <si>
    <t>http://www.co.juneau.wi.gov/</t>
  </si>
  <si>
    <t>Kenosha</t>
  </si>
  <si>
    <t>@wikenosha</t>
  </si>
  <si>
    <t>https://www.facebook.com/pages/Kenosha-County-WI-Government/276968032421725</t>
  </si>
  <si>
    <t>http://www.co.kenosha.wi.us/</t>
  </si>
  <si>
    <t>Kewaunee</t>
  </si>
  <si>
    <t>http://www.kewauneeco.org/</t>
  </si>
  <si>
    <t>La Crosse</t>
  </si>
  <si>
    <t>@wilacrosse</t>
  </si>
  <si>
    <t>https://www.facebook.com/pages/WI-La-Crosse/119435054745588</t>
  </si>
  <si>
    <t>http://www.co.la-crosse.wi.us/</t>
  </si>
  <si>
    <t>http://www.co.lafayette.wi.gov/</t>
  </si>
  <si>
    <t>Langlade</t>
  </si>
  <si>
    <t>http://www.co.langlade.wi.us/</t>
  </si>
  <si>
    <t>@LincolnCountyWI</t>
  </si>
  <si>
    <t>https://www.facebook.com/pages/Lincoln-County/476608495686690</t>
  </si>
  <si>
    <t>http://www.co.lincoln.wi.us/</t>
  </si>
  <si>
    <t>Manitowoc</t>
  </si>
  <si>
    <t>http://www.co.manitowoc.wi.us/</t>
  </si>
  <si>
    <t>Marathon</t>
  </si>
  <si>
    <t>http://www.co.marathon.wi.us/</t>
  </si>
  <si>
    <t>Marinette</t>
  </si>
  <si>
    <t>http://www.marinettecounty.com/</t>
  </si>
  <si>
    <t>https://www.facebook.com/MarquetteCountyWi?ref=ts&amp;fref=ts</t>
  </si>
  <si>
    <t>http://co.marquette.wi.us/</t>
  </si>
  <si>
    <t>http://www.menomineecounty.com/</t>
  </si>
  <si>
    <t>Milwaukee</t>
  </si>
  <si>
    <t>https://www.facebook.com/pages/Milwaukee-County-Wi/102316239822685?ref=ts&amp;fref=ts&amp;rf=134905449875798</t>
  </si>
  <si>
    <t>http://county.milwaukee.gov/Milwaukee%20County7699.htm</t>
  </si>
  <si>
    <t>http://www.co.monroe.wi.us/</t>
  </si>
  <si>
    <t>Oconto</t>
  </si>
  <si>
    <t>http://www.co.oconto.wi.us/</t>
  </si>
  <si>
    <t>http://www.co.oneida.wi.gov/</t>
  </si>
  <si>
    <t>Outagamie</t>
  </si>
  <si>
    <t>https://www.facebook.com/outagamiecoem</t>
  </si>
  <si>
    <t>http://www.outagamie.org/</t>
  </si>
  <si>
    <t>Ozaukee</t>
  </si>
  <si>
    <t>https://www.facebook.com/OzaukeeCounty</t>
  </si>
  <si>
    <t>http://www.co.ozaukee.wi.us/</t>
  </si>
  <si>
    <t>Pepin</t>
  </si>
  <si>
    <t>http://www.co.pepin.wi.us/</t>
  </si>
  <si>
    <t>http://www.co.pierce.wi.us/</t>
  </si>
  <si>
    <t>http://www.co.polk.wi.us/</t>
  </si>
  <si>
    <t>@wistevenspoint</t>
  </si>
  <si>
    <t>http://www.co.portage.wi.us/</t>
  </si>
  <si>
    <t>Price</t>
  </si>
  <si>
    <t>http://www.co.price.wi.us/</t>
  </si>
  <si>
    <t>Racine</t>
  </si>
  <si>
    <t>@RacineCounty</t>
  </si>
  <si>
    <t>http://www.racineco.com/</t>
  </si>
  <si>
    <t>http://www.co.richland.wi.us/</t>
  </si>
  <si>
    <t>@rocksheriff @ScWiRedCross</t>
  </si>
  <si>
    <t>http://www.co.rock.wi.us/</t>
  </si>
  <si>
    <t>@RuskCountyWI</t>
  </si>
  <si>
    <t>http://www.ruskcounty.org/</t>
  </si>
  <si>
    <t>St Croix</t>
  </si>
  <si>
    <t>@SCCWIESS</t>
  </si>
  <si>
    <t>https://www.facebook.com/stcroixcountywi</t>
  </si>
  <si>
    <t>http://www.co.saint-croix.wi.us/</t>
  </si>
  <si>
    <t>Sauk</t>
  </si>
  <si>
    <t>http://www.co.sauk.wi.us/</t>
  </si>
  <si>
    <t>Sawyer</t>
  </si>
  <si>
    <t>http://www.sawyercountygov.org/</t>
  </si>
  <si>
    <t>Shawano</t>
  </si>
  <si>
    <t>http://www.co.shawano.wi.us/</t>
  </si>
  <si>
    <t>Sheboygan</t>
  </si>
  <si>
    <t>@WISheboygan</t>
  </si>
  <si>
    <t>https://www.facebook.com/pages/WI-Sheboygan/124645847546452</t>
  </si>
  <si>
    <t>http://www.co.sheboygan.wi.us/</t>
  </si>
  <si>
    <t>http://www.co.taylor.wi.us/</t>
  </si>
  <si>
    <t>Trempealeau</t>
  </si>
  <si>
    <t>http://www.tremplocounty.com/default/</t>
  </si>
  <si>
    <t>http://www.vernoncounty.org/</t>
  </si>
  <si>
    <t>Vilas</t>
  </si>
  <si>
    <t>@VilasCounty</t>
  </si>
  <si>
    <t>https://www.facebook.com/VilasCounty</t>
  </si>
  <si>
    <t>http://co.vilas.wi.us/</t>
  </si>
  <si>
    <t>http://www.co.walworth.wi.us/</t>
  </si>
  <si>
    <t>Washburn</t>
  </si>
  <si>
    <t>@washburncounty</t>
  </si>
  <si>
    <t>http://www.co.washburn.wi.us/</t>
  </si>
  <si>
    <t>@WashingtonSO</t>
  </si>
  <si>
    <t>https://www.facebook.com/pages/Washington-County-Wisconsin/181684245226110?ref=ts&amp;fref=ts</t>
  </si>
  <si>
    <t>http://www.co.washington.wi.us/</t>
  </si>
  <si>
    <t>Waukesha</t>
  </si>
  <si>
    <t>@CoExecDanVrakas</t>
  </si>
  <si>
    <t>http://www.waukeshacounty.gov/defaultwc.aspx?id=38588</t>
  </si>
  <si>
    <t>http://www.waukeshacounty.gov/</t>
  </si>
  <si>
    <t>Waupaca</t>
  </si>
  <si>
    <t>http://www.co.waupaca.wi.us/Home.aspx</t>
  </si>
  <si>
    <t>Waushara</t>
  </si>
  <si>
    <t>https://www.facebook.com/pages/Waushara-County-Sheriffs-Department/409232600936?fref=ts</t>
  </si>
  <si>
    <t>http://www.co.waushara.wi.us/</t>
  </si>
  <si>
    <t>@WinnCoEM</t>
  </si>
  <si>
    <t>https://www.facebook.com/pages/Winnebago-County-Wisconsin-Sheriffs-Office/254401866742?fref=ts</t>
  </si>
  <si>
    <t>http://www.co.winnebago.wi.us/</t>
  </si>
  <si>
    <t>http://www.co.wood.wi.us/</t>
  </si>
  <si>
    <t>Madison Gas and Electric</t>
  </si>
  <si>
    <t>@MGEMadison</t>
  </si>
  <si>
    <t>https://www.facebook.com/madisongasandelectric</t>
  </si>
  <si>
    <t>http://www.mge.com/</t>
  </si>
  <si>
    <t>Dairyland Power Co-op</t>
  </si>
  <si>
    <t>@DairylandPower</t>
  </si>
  <si>
    <t>https://www.facebook.com/DairylandPower?sk=wall</t>
  </si>
  <si>
    <t>http://www.dairynet.com/</t>
  </si>
  <si>
    <t>@we_energies</t>
  </si>
  <si>
    <t>https://www.facebook.com/WeEnergies?ref=ts</t>
  </si>
  <si>
    <t>http://www.we-energies.com/</t>
  </si>
  <si>
    <t>Wisconsin Public Service Corporation</t>
  </si>
  <si>
    <t>@WPSforBiz</t>
  </si>
  <si>
    <t>https://www.facebook.com/pages/Wisconsin-Public-Service-Corporation/103719919666773?fref=ts</t>
  </si>
  <si>
    <t>http://www.wisconsinpublicservice.com/</t>
  </si>
  <si>
    <t>Wisconsin Power and Light Company--a part of Alliant Energy</t>
  </si>
  <si>
    <t>@alliantenergy</t>
  </si>
  <si>
    <t>https://www.facebook.com/alliantenergycenter?ref=ts&amp;fref=ts</t>
  </si>
  <si>
    <t>Green Bay Metropolitan Sewerage</t>
  </si>
  <si>
    <t>https://www.facebook.com/GreenBayMetropolitanSewerageDistrict</t>
  </si>
  <si>
    <t>http://www.gbmsd.org/</t>
  </si>
  <si>
    <t>Kaukauna Utilities</t>
  </si>
  <si>
    <t>https://www.facebook.com/pages/Kaukauna-Utilities/207199669317456?ref=ts&amp;fref=ts</t>
  </si>
  <si>
    <t>http://www.kaukaunautilities.com/</t>
  </si>
  <si>
    <t>Madison Water Utility</t>
  </si>
  <si>
    <t>https://www.facebook.com/pages/City-of-Madison-Water-Utility/169404976403098?ref=ts&amp;fref=ts</t>
  </si>
  <si>
    <t>http://www.cityofmadison.com/water/</t>
  </si>
  <si>
    <t>Marshfield Electric and Water Department</t>
  </si>
  <si>
    <t>@MarshfldUtility</t>
  </si>
  <si>
    <t>https://www.facebook.com/pages/Marshfield-Utilities/314152343144</t>
  </si>
  <si>
    <t>http://www.marshfieldutilities.org/</t>
  </si>
  <si>
    <t>Menasha Utilities</t>
  </si>
  <si>
    <t>http://www.menashautilities.com/</t>
  </si>
  <si>
    <t>Milwaukee Metropolitan Sewerage District</t>
  </si>
  <si>
    <t>https://www.facebook.com/pages/Milwaukee-Metropolitan-Sewerage-District-MMSD/327273808264?ref=ts&amp;fref=ts</t>
  </si>
  <si>
    <t>http://v3.mmsd.com/</t>
  </si>
  <si>
    <t>Milwaukee Water Works</t>
  </si>
  <si>
    <t>http://city.milwaukee.gov/water</t>
  </si>
  <si>
    <t>Plymouth Utilities</t>
  </si>
  <si>
    <t>https://www.facebook.com/pages/Plymouth-Utilities/138926426154609?ref=ts&amp;fref=ts</t>
  </si>
  <si>
    <t>http://www.plymouthutilities.com/</t>
  </si>
  <si>
    <t>Shawano Municipal Uilities</t>
  </si>
  <si>
    <t>http://www.shawano.tv/</t>
  </si>
  <si>
    <t>Stevens Point Water Department</t>
  </si>
  <si>
    <t>http://stevenspoint.com/index.aspx?NID=264</t>
  </si>
  <si>
    <t>Waunakee Utilities</t>
  </si>
  <si>
    <t>https://www.facebook.com/pages/Waunakee-Utilities/163956323622032?ref=ts&amp;fref=ts&amp;rf=160836937270975</t>
  </si>
  <si>
    <t>http://www.waunakeeutilities.com/</t>
  </si>
  <si>
    <t>Wauwatosa Water Department</t>
  </si>
  <si>
    <t>http://www.wauwatosa.net/index.aspx?nid=165</t>
  </si>
  <si>
    <t>Wisconsin Rapids Water Works and Lighting Commission</t>
  </si>
  <si>
    <t>http://www.wrwwlc.com/</t>
  </si>
  <si>
    <t>ATW - Outagamie County Regional Airport</t>
  </si>
  <si>
    <t>@ATWairport</t>
  </si>
  <si>
    <t>https://www.facebook.com/pages/Outagamie-County-Regional-Airport/132303496805314?ref=ts&amp;fref=ts</t>
  </si>
  <si>
    <t>http://www.atwairport.com/</t>
  </si>
  <si>
    <t>Chippewa Valley Regional Airport</t>
  </si>
  <si>
    <t>https://www.facebook.com/ChippewaValleyRegionalAirport?ref=ts&amp;fref=ts</t>
  </si>
  <si>
    <t>http://www.chippewavalleyairport.com/</t>
  </si>
  <si>
    <t>Austin Straubel International Airport</t>
  </si>
  <si>
    <t>https://www.facebook.com/pages/Austin-Straubel-Airport-Green-Bay-WI/170879178502</t>
  </si>
  <si>
    <t>http://www.flygrb.com/</t>
  </si>
  <si>
    <t>La Crosse Municipal Airport</t>
  </si>
  <si>
    <t>https://www.facebook.com/lseairport</t>
  </si>
  <si>
    <t>http://www.lseairport.com/</t>
  </si>
  <si>
    <t>Dane County Regional Airport (Truax Field)</t>
  </si>
  <si>
    <t>https://www.facebook.com/DRCAMadison?ref=ts&amp;fref=ts</t>
  </si>
  <si>
    <t>http://www.msnairport.com/</t>
  </si>
  <si>
    <t>Mitchell International Airport</t>
  </si>
  <si>
    <t>@MitchellAirport</t>
  </si>
  <si>
    <t>https://www.facebook.com/MitchellAirport?ref=ts&amp;fref=ts</t>
  </si>
  <si>
    <t>http://www.mitchellairport.com/</t>
  </si>
  <si>
    <t>CWA - Central Wisconsin Airport</t>
  </si>
  <si>
    <t>@FlyCWA</t>
  </si>
  <si>
    <t>https://www.facebook.com/pages/Central-Wisconsin-Airport/322192086522</t>
  </si>
  <si>
    <t>http://www.fly-cwa.org/</t>
  </si>
  <si>
    <t>Rhinelander-Oneida County Airport</t>
  </si>
  <si>
    <t>https://www.facebook.com/pages/Rhinelander-Oneida-County-Airport/113540685346266?ref=ts&amp;fref=ts</t>
  </si>
  <si>
    <t>http://www.fly-rhi.org/</t>
  </si>
  <si>
    <t>WAOW (North Central WI)</t>
  </si>
  <si>
    <t>@WAOW</t>
  </si>
  <si>
    <t>https://www.facebook.com/Newsline9?sk=wall</t>
  </si>
  <si>
    <t>http://www.waow.com/</t>
  </si>
  <si>
    <t>WQOW (EAU CLAIRE)</t>
  </si>
  <si>
    <t>@WQOW</t>
  </si>
  <si>
    <t>https://www.facebook.com/wqow18</t>
  </si>
  <si>
    <t>http://www.wqow.com/</t>
  </si>
  <si>
    <t>WBAY (Green Bay - NE WI)</t>
  </si>
  <si>
    <t>@WBAY</t>
  </si>
  <si>
    <t>https://www.facebook.com/WBAYTV?ref=ts</t>
  </si>
  <si>
    <t>http://www.wbay.com/</t>
  </si>
  <si>
    <t>WXOW  (La Crosse)</t>
  </si>
  <si>
    <t>@WXOW</t>
  </si>
  <si>
    <t>https://www.facebook.com/wxow19?ref=ts</t>
  </si>
  <si>
    <t>http://www.wxow.com/</t>
  </si>
  <si>
    <t>WKOW (Madison)</t>
  </si>
  <si>
    <t>@WKOW</t>
  </si>
  <si>
    <t>https://www.facebook.com/27news?ref=ts&amp;fref=ts</t>
  </si>
  <si>
    <t>http://www.wkow.com/</t>
  </si>
  <si>
    <t>WISN (Milwaukee)</t>
  </si>
  <si>
    <t>@WISN12News</t>
  </si>
  <si>
    <t>https://www.facebook.com/wisn12</t>
  </si>
  <si>
    <t>http://www.wisn.com/</t>
  </si>
  <si>
    <t>WFRV (Green Bay)</t>
  </si>
  <si>
    <t>@WFRVPackers</t>
  </si>
  <si>
    <t>https://www.facebook.com/wfrv5?ref=ts&amp;fref=ts</t>
  </si>
  <si>
    <t>http://wearegreenbay.com/home</t>
  </si>
  <si>
    <t>WKBT (LA CROSSE)</t>
  </si>
  <si>
    <t>@wkbt</t>
  </si>
  <si>
    <t>http://www.news8000.com/about-wkbt/social/-/1292/-/a7iks4z/-/index.html</t>
  </si>
  <si>
    <t>http://www.news8000.com/</t>
  </si>
  <si>
    <t>WISC (Madison)</t>
  </si>
  <si>
    <t>@channel_3000</t>
  </si>
  <si>
    <t>https://www.facebook.com/channel3000</t>
  </si>
  <si>
    <t>http://www.channel3000.com/</t>
  </si>
  <si>
    <t>WDJT (Milwaukee)</t>
  </si>
  <si>
    <t>@CBS58</t>
  </si>
  <si>
    <t>https://www.facebook.com/CBS58</t>
  </si>
  <si>
    <t>http://www.cbs58.com/</t>
  </si>
  <si>
    <t>WLUK (Green Bay)</t>
  </si>
  <si>
    <t>@fox11new</t>
  </si>
  <si>
    <t>https://www.facebook.com/wlukfox11</t>
  </si>
  <si>
    <t>http://www.fox11online.com/</t>
  </si>
  <si>
    <t>WITI (Milwaukee)</t>
  </si>
  <si>
    <t>@fox6now</t>
  </si>
  <si>
    <t>https://www.facebook.com/fox6news</t>
  </si>
  <si>
    <t>http://fox6now.com/</t>
  </si>
  <si>
    <t>WEAU (EAU CLAIRE)</t>
  </si>
  <si>
    <t>@WEAU13News</t>
  </si>
  <si>
    <t>https://www.facebook.com/WEAU13News</t>
  </si>
  <si>
    <t>http://www.weau.com/</t>
  </si>
  <si>
    <t>WGBA (Green Bay)</t>
  </si>
  <si>
    <t>@NBC26</t>
  </si>
  <si>
    <t>https://www.facebook.com/pages/NBC26/137189316959</t>
  </si>
  <si>
    <t>http://www.nbc26.com/</t>
  </si>
  <si>
    <t>WMTV Madison)</t>
  </si>
  <si>
    <t>@nbc15_madison</t>
  </si>
  <si>
    <t>https://www.facebook.com/NBC15Madison</t>
  </si>
  <si>
    <t>http://www.nbc15.com/</t>
  </si>
  <si>
    <t>WTMJ (Milwaukee)</t>
  </si>
  <si>
    <t>@TODAYSTMJ4</t>
  </si>
  <si>
    <t>https://www.facebook.com/todaystmj4</t>
  </si>
  <si>
    <t>http://www.todaystmj4.com/</t>
  </si>
  <si>
    <t>WJFW (Rhinelander)</t>
  </si>
  <si>
    <t>@WJFW12</t>
  </si>
  <si>
    <t>https://www.facebook.com/pages/WJFW-Newswatch-12/161956232193</t>
  </si>
  <si>
    <t>http://www.wjfw-nbc12.com/</t>
  </si>
  <si>
    <t>WPNE</t>
  </si>
  <si>
    <t>@wispublictv</t>
  </si>
  <si>
    <t>https://www.facebook.com/WisconsinPublicTelevision</t>
  </si>
  <si>
    <t>http://www.wpt5.org/</t>
  </si>
  <si>
    <t>MPTV</t>
  </si>
  <si>
    <t>@InsideMPTV10_36</t>
  </si>
  <si>
    <t>https://www.facebook.com/pages/Milwaukee-Public-Television/46081763207</t>
  </si>
  <si>
    <t>http://www.mptv.org/</t>
  </si>
  <si>
    <t>WACY</t>
  </si>
  <si>
    <t>https://www.facebook.com/pages/WACY-TV/108204095867984?fref=ts&amp;rf=116023835074366</t>
  </si>
  <si>
    <t>http://www.wacy.com/Home/tabid/1327/Default.aspx</t>
  </si>
  <si>
    <t>Wyoming State Website</t>
  </si>
  <si>
    <t>http://wyoming.gov/</t>
  </si>
  <si>
    <t>Wyoming EMA</t>
  </si>
  <si>
    <t>http://www.health.wyo.gov/sho/ems/index.html</t>
  </si>
  <si>
    <t>Wyoming  DHS</t>
  </si>
  <si>
    <t>@WyOHS</t>
  </si>
  <si>
    <t>http://www.facebook.com/wyohs</t>
  </si>
  <si>
    <t>http://wyohomelandsecurity.state.wy.us/main.aspx</t>
  </si>
  <si>
    <t>Wyoming Wildlife Rescue</t>
  </si>
  <si>
    <t>http://wildlife.rescueshelter.com/Wyoming</t>
  </si>
  <si>
    <t>@AlbanyCounty</t>
  </si>
  <si>
    <t>http://www.facebook.com/pages/Albany-County-Wyoming-Government/118583984821269</t>
  </si>
  <si>
    <t>http://www.co.albany.wy.us/ema.aspx</t>
  </si>
  <si>
    <t>http://www.bighorncountywy.gov/index.htm</t>
  </si>
  <si>
    <t>http://www.ccgov.net/departments/emergency_management/index.html</t>
  </si>
  <si>
    <t>http://www.carbonwy.com/</t>
  </si>
  <si>
    <t>Converse</t>
  </si>
  <si>
    <t>http://conversecounty.org/</t>
  </si>
  <si>
    <t>@WY_Crook_Fire</t>
  </si>
  <si>
    <t>https://www.facebook.com/pages/Crook-County-Fire-Emergency-Management/38915668113972</t>
  </si>
  <si>
    <t>http://www.crookcounty.wy.gov/</t>
  </si>
  <si>
    <t>http://fremontcountywy.org/</t>
  </si>
  <si>
    <t>Goshen</t>
  </si>
  <si>
    <t>http://goshencounty.org/</t>
  </si>
  <si>
    <t>Hot Springs</t>
  </si>
  <si>
    <t>http://www.hscounty.com/</t>
  </si>
  <si>
    <t>http://www.johnsoncountywyoming.org/</t>
  </si>
  <si>
    <t>Laramie</t>
  </si>
  <si>
    <t>http://www.laramiecounty.com/_departments/_emergency_management/index.asp</t>
  </si>
  <si>
    <t>@LCOHS</t>
  </si>
  <si>
    <t>http://www.facebook.com/LincolnCountyOHS</t>
  </si>
  <si>
    <t>http://www.lcwy.org/</t>
  </si>
  <si>
    <t>Natrona</t>
  </si>
  <si>
    <t>http://www.facebook.com/pages/Natrona-County-WY/1256843685915</t>
  </si>
  <si>
    <t>http://www.natrona.net/index.aspx?nid=122</t>
  </si>
  <si>
    <t>Niobrara</t>
  </si>
  <si>
    <t>http://niobraracounty.org/</t>
  </si>
  <si>
    <t>http://www.parkcounty.us/</t>
  </si>
  <si>
    <t>http://www.facebook.com/pages/Platte-County/1545513139434</t>
  </si>
  <si>
    <t>http://www.plattecountywyoming.com/EmergencyManagement/Default.aspx</t>
  </si>
  <si>
    <t>http://www.sheridancounty.com/scema/index.html</t>
  </si>
  <si>
    <t>Sublette</t>
  </si>
  <si>
    <t>http://www.sublettewyo.com/</t>
  </si>
  <si>
    <t>Sweetwater</t>
  </si>
  <si>
    <t>http://www.sweet.wy.us/index.aspx?nid=96</t>
  </si>
  <si>
    <t>http://www.tetonwyo.org/</t>
  </si>
  <si>
    <t>Uinta</t>
  </si>
  <si>
    <t>@UintaCountyWY</t>
  </si>
  <si>
    <t>http://www.facebook.com/pages/Uinta-County-WY/3526714812863</t>
  </si>
  <si>
    <t>http://www.uintacounty.com/index.aspx?nid=41</t>
  </si>
  <si>
    <t>Washakie</t>
  </si>
  <si>
    <t>http://www.washakiecounty.net/</t>
  </si>
  <si>
    <t>Weston</t>
  </si>
  <si>
    <t>http://westongov.com/_departments/_homeland_security/index.asp</t>
  </si>
  <si>
    <t>High Plains Power</t>
  </si>
  <si>
    <t>http://www.highplainspower.org/</t>
  </si>
  <si>
    <t>Lower Valley Energy</t>
  </si>
  <si>
    <t>http://www.lvenergy.com/</t>
  </si>
  <si>
    <t>Cheyenne Light, Fuel &amp; Power</t>
  </si>
  <si>
    <t>@CheyenneLight</t>
  </si>
  <si>
    <t>http://www.facebook.com/pages/Cheyenne-Light-Fuel-Power/3958134388562?fref=ts</t>
  </si>
  <si>
    <t>http://www.cheyennelight.com/</t>
  </si>
  <si>
    <t>High West Energy (East of Cheyenne to Pine Bluffs, WY)</t>
  </si>
  <si>
    <t>http://www.highwest-energy.com/public/</t>
  </si>
  <si>
    <t>Gillette Utilities Department</t>
  </si>
  <si>
    <t>http://www.ci.gillette.wy.us/index.aspx?page=159</t>
  </si>
  <si>
    <t>Casper/Natrona County International Airport</t>
  </si>
  <si>
    <t>http://www.facebook.com/CNCIA</t>
  </si>
  <si>
    <t>http://www.iflycasper.com/</t>
  </si>
  <si>
    <t>Cheyenne Regional Airport (Jerry Olson Field)</t>
  </si>
  <si>
    <t>http://www.facebook.com/CheyenneRegionalAirport</t>
  </si>
  <si>
    <t>http://www.cheyenneairport.com/</t>
  </si>
  <si>
    <t>Yellowstone Regional Airport</t>
  </si>
  <si>
    <t>@flyyra</t>
  </si>
  <si>
    <t>http://www.facebook.com/codyyra</t>
  </si>
  <si>
    <t>http://www.flyyra.com/</t>
  </si>
  <si>
    <t>Gillette-Campbell County Airport</t>
  </si>
  <si>
    <t>@gilletteair</t>
  </si>
  <si>
    <t>http://www.facebook.com/groups/1594242158459/</t>
  </si>
  <si>
    <t>http://iflygillette.com/</t>
  </si>
  <si>
    <t>Jackson Hole Airport</t>
  </si>
  <si>
    <t>http://www.jacksonholeairport.com/</t>
  </si>
  <si>
    <t>Laramie Regional Airport</t>
  </si>
  <si>
    <t>http://www.laramieairport.com/</t>
  </si>
  <si>
    <t>Riverton Regional Airport</t>
  </si>
  <si>
    <t>http://www.flyriverton.com/</t>
  </si>
  <si>
    <t>Rock Springs – Sweetwater County Airport</t>
  </si>
  <si>
    <t>@RKSAirport</t>
  </si>
  <si>
    <t>http://www.rockspringsairport.com/</t>
  </si>
  <si>
    <t>Sheridan County Airport</t>
  </si>
  <si>
    <t>http://www.sheridancountyairport.com/index-o.html</t>
  </si>
  <si>
    <t>American Samoa State Website</t>
  </si>
  <si>
    <t>@letapuitea</t>
  </si>
  <si>
    <t>http://www.facebook.com/pages/American-Samoa-Government/1749776314676</t>
  </si>
  <si>
    <t>http://americansamoa.gov/</t>
  </si>
  <si>
    <t>American Samoa Wildlife Rescue</t>
  </si>
  <si>
    <t>http://animal.rescueme.org/as</t>
  </si>
  <si>
    <t>Ituau</t>
  </si>
  <si>
    <t>No website</t>
  </si>
  <si>
    <t>Ma'oputasi</t>
  </si>
  <si>
    <t>Sa'Ole</t>
  </si>
  <si>
    <t>Sua</t>
  </si>
  <si>
    <t>Vaifanua</t>
  </si>
  <si>
    <t>Alataua</t>
  </si>
  <si>
    <t>Fofo</t>
  </si>
  <si>
    <t>Leasina</t>
  </si>
  <si>
    <t>Tualatai</t>
  </si>
  <si>
    <t>Tualauta</t>
  </si>
  <si>
    <t>Faleasao</t>
  </si>
  <si>
    <t>Fitiuta</t>
  </si>
  <si>
    <t>Ofu</t>
  </si>
  <si>
    <t>Olosega</t>
  </si>
  <si>
    <t>Ta'u</t>
  </si>
  <si>
    <t>Rose Atoll</t>
  </si>
  <si>
    <t>Swains Island</t>
  </si>
  <si>
    <t>American Samoa Power Authority</t>
  </si>
  <si>
    <t>http://www.aspower.com/</t>
  </si>
  <si>
    <t>Pago Pago International Airport</t>
  </si>
  <si>
    <t>Fitiuta Airport</t>
  </si>
  <si>
    <t>Ofu Airport</t>
  </si>
  <si>
    <t>Media</t>
  </si>
  <si>
    <t>Guam State Website</t>
  </si>
  <si>
    <t>Guam EMA</t>
  </si>
  <si>
    <t>Guam  DHS</t>
  </si>
  <si>
    <t>Guam Wildlife Rescue</t>
  </si>
  <si>
    <t>http://wildlife.rescueshelter.com/international?gu</t>
  </si>
  <si>
    <t>Northern Marianas State Website</t>
  </si>
  <si>
    <t>Northern Marianas EMA</t>
  </si>
  <si>
    <t>Northern Marianas  DHS</t>
  </si>
  <si>
    <t>Northern Marianas Wildlife Rescue</t>
  </si>
  <si>
    <t>Puerto Rico State Website</t>
  </si>
  <si>
    <t>Puerto Rico EMA</t>
  </si>
  <si>
    <t>Puerto Rico  DHS</t>
  </si>
  <si>
    <t>Puerto Rico Wildlife Rescue</t>
  </si>
  <si>
    <t>http://wildlife.rescueshelter.com/pr</t>
  </si>
  <si>
    <t>Puerto Rico VOAD</t>
  </si>
  <si>
    <t>https://www.facebook.com/pages/Puerto-Rico-VOAD/557792390901668</t>
  </si>
  <si>
    <t>US Virgin Islands State Website</t>
  </si>
  <si>
    <t>US Virgin Islands EMA</t>
  </si>
  <si>
    <t>US Virgin Islands  DHS</t>
  </si>
  <si>
    <t>US Virgin Islands Wildlife Rescue</t>
  </si>
  <si>
    <t>http://wildlife.rescueshelter.com/international?vi</t>
  </si>
  <si>
    <t>Minor Outlying Islands State Website</t>
  </si>
  <si>
    <t>Minor Outlying Islands EMA</t>
  </si>
  <si>
    <t>Minor Outlying Islands  DHS</t>
  </si>
  <si>
    <t>Minor Outlying Islands Wildlife Rescue</t>
  </si>
  <si>
    <t>Federation of Micronesia State Website</t>
  </si>
  <si>
    <t>Federation of Micronesia EMA</t>
  </si>
  <si>
    <t>Federation of Micronesia  DHS</t>
  </si>
  <si>
    <t>Federation of Micronesia Wildlife Rescue</t>
  </si>
  <si>
    <t>http://wildlife.rescueshelter.com/international?fm</t>
  </si>
  <si>
    <t>Marshall Islands Website</t>
  </si>
  <si>
    <t>http://www.rmigovernment.org/index.jsp</t>
  </si>
  <si>
    <t>Marshall Islands Wildlife Rescue</t>
  </si>
  <si>
    <t>http://wildlife.rescueshelter.com/international?mh</t>
  </si>
  <si>
    <t>Island Government</t>
  </si>
  <si>
    <t>Ailinglaplap Atoll</t>
  </si>
  <si>
    <t>Ailuk Atoll</t>
  </si>
  <si>
    <t>Arno Atoll</t>
  </si>
  <si>
    <t>Aur Atoll</t>
  </si>
  <si>
    <t>Ebon Atoll</t>
  </si>
  <si>
    <t>Enewetak/Ujelang</t>
  </si>
  <si>
    <t>Jabat Island</t>
  </si>
  <si>
    <t>Jaluit Atoll</t>
  </si>
  <si>
    <t>Kili/Bikini/Ejit</t>
  </si>
  <si>
    <t>Kwajalein Atoll</t>
  </si>
  <si>
    <t>Lae Atoll</t>
  </si>
  <si>
    <t>Lib Island</t>
  </si>
  <si>
    <t>Likiep Atoll</t>
  </si>
  <si>
    <t>Majuro Atoll</t>
  </si>
  <si>
    <t>Maloelap Atoll</t>
  </si>
  <si>
    <t>Mejit Island</t>
  </si>
  <si>
    <t>Mili Atoll</t>
  </si>
  <si>
    <t>Namorik Atoll</t>
  </si>
  <si>
    <t>Namu Atoll</t>
  </si>
  <si>
    <t>Rongelap Atoll</t>
  </si>
  <si>
    <t>Ujae Atoll</t>
  </si>
  <si>
    <t>Utirik Atoll</t>
  </si>
  <si>
    <t>Wotho Atoll</t>
  </si>
  <si>
    <t>Wotje Atoll</t>
  </si>
  <si>
    <t>Kwajalein Atoll Joint Utility Resource</t>
  </si>
  <si>
    <t>http://www.mecrmi.net/KAJUR.htm</t>
  </si>
  <si>
    <t>Marshalls Energy Company</t>
  </si>
  <si>
    <t>http://mecrmi.net/</t>
  </si>
  <si>
    <t>Marshall Islands International Airport</t>
  </si>
  <si>
    <t>No Website</t>
  </si>
  <si>
    <t>Government</t>
  </si>
  <si>
    <t>Palau Website</t>
  </si>
  <si>
    <t>http://www.palaugov.net/</t>
  </si>
  <si>
    <t>Palau Wildlife Rescue</t>
  </si>
  <si>
    <t>http://wildlife.rescueshelter.com/international?pw</t>
  </si>
  <si>
    <t>Aimeliik</t>
  </si>
  <si>
    <t>Airai</t>
  </si>
  <si>
    <t>http://airaistate.com/</t>
  </si>
  <si>
    <t>Angaur</t>
  </si>
  <si>
    <t>Hatohobei</t>
  </si>
  <si>
    <t>http://www.friendsoftobi.org/hsg/hsg.htm</t>
  </si>
  <si>
    <t>Kayangel</t>
  </si>
  <si>
    <t>Koror</t>
  </si>
  <si>
    <t>https://www.facebook.com/koror.state?ref=tn_tnmn</t>
  </si>
  <si>
    <t>http://www.kororstategov.com/</t>
  </si>
  <si>
    <t>Melekeok</t>
  </si>
  <si>
    <t>Ngaraard</t>
  </si>
  <si>
    <t>Ngarchelong</t>
  </si>
  <si>
    <t>Ngardmau</t>
  </si>
  <si>
    <t>http://www.ngardmau.com/</t>
  </si>
  <si>
    <t>Ngatpang</t>
  </si>
  <si>
    <t>Ngchesar</t>
  </si>
  <si>
    <t>Ngeremlengui</t>
  </si>
  <si>
    <t>Ngiwal</t>
  </si>
  <si>
    <t>Peleliu</t>
  </si>
  <si>
    <t>Sonsorol</t>
  </si>
  <si>
    <t>http://www.sonsorol.com/</t>
  </si>
  <si>
    <t>Palau Public Utilities</t>
  </si>
  <si>
    <t>http://www.ppuc.com/aboutus.html</t>
  </si>
  <si>
    <t>Palau Water and Sewer Corporation</t>
  </si>
  <si>
    <t>http://palauwsc.com/</t>
  </si>
  <si>
    <t>Roman Tmetuchl International Airport</t>
  </si>
  <si>
    <t>Angaur Airstrip</t>
  </si>
  <si>
    <t>Peleliu Airfield</t>
  </si>
</sst>
</file>

<file path=xl/styles.xml><?xml version="1.0" encoding="utf-8"?>
<styleSheet xmlns="http://schemas.openxmlformats.org/spreadsheetml/2006/main">
  <fonts count="97">
    <font>
      <sz val="10"/>
      <color rgb="FF000000"/>
      <name val="Arial"/>
    </font>
    <font>
      <b/>
      <sz val="10"/>
      <color rgb="FF000000"/>
      <name val="Arial"/>
    </font>
    <font>
      <sz val="10"/>
      <color rgb="FF000000"/>
      <name val="Calibri"/>
    </font>
    <font>
      <b/>
      <sz val="9"/>
      <color rgb="FF000000"/>
      <name val="Arial"/>
    </font>
    <font>
      <b/>
      <sz val="11"/>
      <color rgb="FF000000"/>
      <name val="Calibri"/>
    </font>
    <font>
      <sz val="10"/>
      <color rgb="FF000000"/>
      <name val="Arial"/>
    </font>
    <font>
      <b/>
      <sz val="9"/>
      <color rgb="FFFF0000"/>
      <name val="Arial"/>
    </font>
    <font>
      <u/>
      <sz val="11"/>
      <color rgb="FF0000FF"/>
      <name val="Calibri"/>
    </font>
    <font>
      <sz val="11"/>
      <color rgb="FF000000"/>
      <name val="Calibri"/>
    </font>
    <font>
      <u/>
      <sz val="11"/>
      <color rgb="FF0000FF"/>
      <name val="Calibri"/>
    </font>
    <font>
      <sz val="11"/>
      <color rgb="FF000000"/>
      <name val="Calibri"/>
    </font>
    <font>
      <b/>
      <sz val="10"/>
      <color rgb="FFFF0000"/>
      <name val="Arial"/>
    </font>
    <font>
      <b/>
      <sz val="9"/>
      <color rgb="FF000000"/>
      <name val="Arial"/>
    </font>
    <font>
      <sz val="9"/>
      <color rgb="FF000000"/>
      <name val="Arial"/>
    </font>
    <font>
      <sz val="14"/>
      <color rgb="FF000000"/>
      <name val="Arial"/>
    </font>
    <font>
      <sz val="11"/>
      <color rgb="FF000000"/>
      <name val="Calibri"/>
    </font>
    <font>
      <b/>
      <sz val="10"/>
      <color rgb="FF000000"/>
      <name val="Arial"/>
    </font>
    <font>
      <sz val="11"/>
      <color rgb="FF000000"/>
      <name val="Calibri"/>
    </font>
    <font>
      <b/>
      <sz val="12"/>
      <color rgb="FF000000"/>
      <name val="Calibri"/>
    </font>
    <font>
      <sz val="12"/>
      <color rgb="FF000000"/>
      <name val="Calibri"/>
    </font>
    <font>
      <sz val="9"/>
      <color rgb="FF000000"/>
      <name val="Arial"/>
    </font>
    <font>
      <sz val="11"/>
      <color rgb="FF000000"/>
      <name val="Calibri"/>
    </font>
    <font>
      <sz val="9"/>
      <color rgb="FF000000"/>
      <name val="Arial"/>
    </font>
    <font>
      <sz val="11"/>
      <color rgb="FF000000"/>
      <name val="Calibri"/>
    </font>
    <font>
      <b/>
      <sz val="10"/>
      <color rgb="FF000000"/>
      <name val="Arial"/>
    </font>
    <font>
      <i/>
      <sz val="11"/>
      <color rgb="FF000000"/>
      <name val="Calibri"/>
    </font>
    <font>
      <b/>
      <sz val="11"/>
      <color rgb="FF000000"/>
      <name val="Calibri"/>
    </font>
    <font>
      <sz val="11"/>
      <color rgb="FFFF0000"/>
      <name val="Calibri"/>
    </font>
    <font>
      <b/>
      <sz val="11"/>
      <color rgb="FF000000"/>
      <name val="Calibri"/>
    </font>
    <font>
      <sz val="11"/>
      <color rgb="FF000000"/>
      <name val="Calibri"/>
    </font>
    <font>
      <b/>
      <sz val="14"/>
      <color rgb="FFFF0000"/>
      <name val="Arial"/>
    </font>
    <font>
      <b/>
      <sz val="10"/>
      <color rgb="FF000000"/>
      <name val="Arial"/>
    </font>
    <font>
      <sz val="9"/>
      <color rgb="FF000000"/>
      <name val="Arial"/>
    </font>
    <font>
      <sz val="11"/>
      <color rgb="FF000000"/>
      <name val="Calibri"/>
    </font>
    <font>
      <sz val="11"/>
      <color rgb="FF000000"/>
      <name val="Arial"/>
    </font>
    <font>
      <b/>
      <sz val="9"/>
      <color rgb="FF000000"/>
      <name val="Arial"/>
    </font>
    <font>
      <sz val="9"/>
      <color rgb="FF000000"/>
      <name val="Arial"/>
    </font>
    <font>
      <u/>
      <sz val="11"/>
      <color rgb="FF0000FF"/>
      <name val="Calibri"/>
    </font>
    <font>
      <b/>
      <sz val="10"/>
      <color rgb="FF000000"/>
      <name val="Arial"/>
    </font>
    <font>
      <b/>
      <sz val="11"/>
      <color rgb="FF000000"/>
      <name val="Calibri"/>
    </font>
    <font>
      <sz val="11"/>
      <color rgb="FF000000"/>
      <name val="Calibri"/>
    </font>
    <font>
      <b/>
      <sz val="9"/>
      <color rgb="FF000000"/>
      <name val="Arial"/>
    </font>
    <font>
      <sz val="9"/>
      <color rgb="FF000000"/>
      <name val="Arial"/>
    </font>
    <font>
      <sz val="11"/>
      <color rgb="FF000000"/>
      <name val="Calibri"/>
    </font>
    <font>
      <sz val="11"/>
      <color rgb="FF000000"/>
      <name val="Calibri"/>
    </font>
    <font>
      <sz val="10"/>
      <color rgb="FFFF0000"/>
      <name val="Arial"/>
    </font>
    <font>
      <b/>
      <sz val="14"/>
      <color rgb="FFFF0000"/>
      <name val="Calibri"/>
    </font>
    <font>
      <b/>
      <sz val="10"/>
      <color rgb="FFFF0000"/>
      <name val="Calibri"/>
    </font>
    <font>
      <b/>
      <sz val="9"/>
      <color rgb="FFFF0000"/>
      <name val="Arial"/>
    </font>
    <font>
      <i/>
      <sz val="10"/>
      <color rgb="FF000000"/>
      <name val="Arial"/>
    </font>
    <font>
      <sz val="10"/>
      <color rgb="FF000000"/>
      <name val="Arial"/>
    </font>
    <font>
      <sz val="10"/>
      <color rgb="FF000000"/>
      <name val="Calibri"/>
    </font>
    <font>
      <sz val="11"/>
      <color rgb="FF000000"/>
      <name val="Calibri"/>
    </font>
    <font>
      <sz val="10"/>
      <color rgb="FF000000"/>
      <name val="Calibri"/>
    </font>
    <font>
      <sz val="18"/>
      <color rgb="FFFF0000"/>
      <name val="Arial"/>
    </font>
    <font>
      <sz val="11"/>
      <color rgb="FF000000"/>
      <name val="Calibri"/>
    </font>
    <font>
      <sz val="10"/>
      <color rgb="FF000000"/>
      <name val="Arial"/>
    </font>
    <font>
      <sz val="10"/>
      <color rgb="FFFF0000"/>
      <name val="Arial"/>
    </font>
    <font>
      <sz val="9"/>
      <color rgb="FF000000"/>
      <name val="Arial"/>
    </font>
    <font>
      <strike/>
      <sz val="11"/>
      <color rgb="FF000000"/>
      <name val="Calibri"/>
    </font>
    <font>
      <u/>
      <sz val="11"/>
      <color rgb="FF0000FF"/>
      <name val="Calibri"/>
    </font>
    <font>
      <b/>
      <sz val="11"/>
      <color rgb="FF000000"/>
      <name val="Calibri"/>
    </font>
    <font>
      <b/>
      <sz val="9"/>
      <color rgb="FF000000"/>
      <name val="Arial"/>
    </font>
    <font>
      <sz val="10"/>
      <color rgb="FF000000"/>
      <name val="Arial"/>
    </font>
    <font>
      <b/>
      <sz val="11"/>
      <color rgb="FF000000"/>
      <name val="Calibri"/>
    </font>
    <font>
      <sz val="9"/>
      <color rgb="FF000000"/>
      <name val="Arial"/>
    </font>
    <font>
      <sz val="9"/>
      <color rgb="FF000000"/>
      <name val="Arial"/>
    </font>
    <font>
      <b/>
      <sz val="18"/>
      <color rgb="FF000000"/>
      <name val="Arial"/>
    </font>
    <font>
      <sz val="11"/>
      <color rgb="FF000000"/>
      <name val="Calibri"/>
    </font>
    <font>
      <sz val="9"/>
      <color rgb="FF000000"/>
      <name val="Arial"/>
    </font>
    <font>
      <sz val="11"/>
      <color rgb="FF000000"/>
      <name val="Calibri"/>
    </font>
    <font>
      <sz val="11"/>
      <color rgb="FF000000"/>
      <name val="Calibri"/>
    </font>
    <font>
      <sz val="10"/>
      <color rgb="FF000000"/>
      <name val="Arial"/>
    </font>
    <font>
      <b/>
      <sz val="12"/>
      <color rgb="FF000000"/>
      <name val="Arial"/>
    </font>
    <font>
      <b/>
      <sz val="11"/>
      <color rgb="FF000000"/>
      <name val="Calibri"/>
    </font>
    <font>
      <b/>
      <sz val="10"/>
      <color rgb="FF000000"/>
      <name val="Arial"/>
    </font>
    <font>
      <b/>
      <sz val="10"/>
      <color rgb="FF000000"/>
      <name val="Calibri"/>
    </font>
    <font>
      <b/>
      <sz val="10"/>
      <color rgb="FF000000"/>
      <name val="Arial"/>
    </font>
    <font>
      <b/>
      <sz val="11"/>
      <color rgb="FF000000"/>
      <name val="Calibri"/>
    </font>
    <font>
      <b/>
      <sz val="11"/>
      <color rgb="FF000000"/>
      <name val="Calibri"/>
    </font>
    <font>
      <sz val="11"/>
      <color rgb="FF000000"/>
      <name val="Calibri"/>
    </font>
    <font>
      <b/>
      <sz val="11"/>
      <color rgb="FF000000"/>
      <name val="Calibri"/>
    </font>
    <font>
      <sz val="11"/>
      <color rgb="FF000000"/>
      <name val="Calibri"/>
    </font>
    <font>
      <b/>
      <sz val="9"/>
      <color rgb="FF000000"/>
      <name val="Arial"/>
    </font>
    <font>
      <sz val="12"/>
      <color rgb="FF000000"/>
      <name val="Calibri"/>
    </font>
    <font>
      <sz val="11"/>
      <color rgb="FF000000"/>
      <name val="Calibri"/>
    </font>
    <font>
      <sz val="9"/>
      <color rgb="FFFF0000"/>
      <name val="Arial"/>
    </font>
    <font>
      <b/>
      <sz val="11"/>
      <color rgb="FFFF0000"/>
      <name val="Calibri"/>
    </font>
    <font>
      <sz val="11"/>
      <color rgb="FF000000"/>
      <name val="Calibri"/>
    </font>
    <font>
      <b/>
      <sz val="11"/>
      <color rgb="FF000000"/>
      <name val="Calibri"/>
    </font>
    <font>
      <b/>
      <strike/>
      <sz val="18"/>
      <color rgb="FF000000"/>
      <name val="Calibri"/>
    </font>
    <font>
      <b/>
      <sz val="11"/>
      <color rgb="FF000000"/>
      <name val="Calibri"/>
    </font>
    <font>
      <sz val="9"/>
      <color rgb="FFFF0000"/>
      <name val="Arial"/>
    </font>
    <font>
      <b/>
      <sz val="10"/>
      <color rgb="FF000000"/>
      <name val="Arial"/>
    </font>
    <font>
      <b/>
      <sz val="10"/>
      <color rgb="FF000000"/>
      <name val="Arial"/>
    </font>
    <font>
      <sz val="11"/>
      <color rgb="FF000000"/>
      <name val="Calibri"/>
    </font>
    <font>
      <sz val="9"/>
      <color rgb="FF000000"/>
      <name val="Arial"/>
    </font>
  </fonts>
  <fills count="39">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2">
    <xf numFmtId="0" fontId="0" fillId="0" borderId="0" xfId="0" applyAlignment="1">
      <alignment wrapText="1"/>
    </xf>
    <xf numFmtId="0" fontId="1" fillId="0" borderId="0" xfId="0" applyFont="1"/>
    <xf numFmtId="0" fontId="2" fillId="0" borderId="0" xfId="0" applyFont="1" applyAlignment="1">
      <alignment vertical="center"/>
    </xf>
    <xf numFmtId="0" fontId="3" fillId="2" borderId="0" xfId="0" applyFont="1" applyFill="1" applyAlignment="1">
      <alignment wrapText="1"/>
    </xf>
    <xf numFmtId="0" fontId="0" fillId="0" borderId="0" xfId="0" applyAlignment="1">
      <alignment vertical="top" wrapText="1"/>
    </xf>
    <xf numFmtId="49" fontId="4" fillId="3" borderId="0" xfId="0" applyNumberFormat="1" applyFont="1" applyFill="1" applyAlignment="1">
      <alignment wrapText="1"/>
    </xf>
    <xf numFmtId="0" fontId="5" fillId="4" borderId="0" xfId="0" applyFont="1" applyFill="1" applyAlignment="1">
      <alignment wrapText="1"/>
    </xf>
    <xf numFmtId="0" fontId="6" fillId="0" borderId="0" xfId="0" applyFont="1" applyAlignment="1">
      <alignment wrapText="1"/>
    </xf>
    <xf numFmtId="0" fontId="0" fillId="0" borderId="0" xfId="0" applyAlignment="1">
      <alignment wrapText="1"/>
    </xf>
    <xf numFmtId="0" fontId="7" fillId="0" borderId="0" xfId="0" applyFont="1" applyAlignment="1">
      <alignment wrapText="1"/>
    </xf>
    <xf numFmtId="0" fontId="8" fillId="5" borderId="0" xfId="0" applyFont="1" applyFill="1"/>
    <xf numFmtId="0" fontId="9" fillId="0" borderId="0" xfId="0" applyFont="1"/>
    <xf numFmtId="0" fontId="10" fillId="0" borderId="0" xfId="0" applyFont="1" applyAlignment="1">
      <alignment wrapText="1"/>
    </xf>
    <xf numFmtId="0" fontId="11" fillId="0" borderId="0" xfId="0" applyFont="1" applyAlignment="1">
      <alignment wrapText="1"/>
    </xf>
    <xf numFmtId="0" fontId="12" fillId="6" borderId="0" xfId="0" applyFont="1" applyFill="1"/>
    <xf numFmtId="0" fontId="13" fillId="0" borderId="0" xfId="0" applyFont="1"/>
    <xf numFmtId="49" fontId="15" fillId="0" borderId="0" xfId="0" applyNumberFormat="1" applyFont="1"/>
    <xf numFmtId="0" fontId="16" fillId="0" borderId="0" xfId="0" applyFont="1" applyAlignment="1">
      <alignment vertical="top" wrapText="1"/>
    </xf>
    <xf numFmtId="49" fontId="17" fillId="7" borderId="0" xfId="0" applyNumberFormat="1" applyFont="1" applyFill="1" applyAlignment="1">
      <alignment wrapText="1"/>
    </xf>
    <xf numFmtId="0" fontId="18" fillId="0" borderId="0" xfId="0" applyFont="1"/>
    <xf numFmtId="0" fontId="19" fillId="0" borderId="0" xfId="0" applyFont="1" applyAlignment="1">
      <alignment vertical="center"/>
    </xf>
    <xf numFmtId="0" fontId="20" fillId="8" borderId="0" xfId="0" applyFont="1" applyFill="1"/>
    <xf numFmtId="0" fontId="21" fillId="0" borderId="0" xfId="0" applyFont="1" applyAlignment="1">
      <alignment vertical="center"/>
    </xf>
    <xf numFmtId="0" fontId="22" fillId="0" borderId="0" xfId="0" applyFont="1" applyAlignment="1">
      <alignment vertical="center" wrapText="1"/>
    </xf>
    <xf numFmtId="0" fontId="0" fillId="9" borderId="0" xfId="0" applyFill="1" applyAlignment="1">
      <alignment wrapText="1"/>
    </xf>
    <xf numFmtId="0" fontId="23" fillId="0" borderId="0" xfId="0" applyFont="1" applyAlignment="1">
      <alignment horizontal="left" vertical="center" wrapText="1"/>
    </xf>
    <xf numFmtId="0" fontId="24" fillId="10" borderId="0" xfId="0" applyFont="1" applyFill="1"/>
    <xf numFmtId="0" fontId="0" fillId="0" borderId="0" xfId="0" applyAlignment="1">
      <alignment horizontal="left" wrapText="1"/>
    </xf>
    <xf numFmtId="0" fontId="26" fillId="0" borderId="0" xfId="0" applyFont="1" applyAlignment="1">
      <alignment vertical="center"/>
    </xf>
    <xf numFmtId="0" fontId="0" fillId="11" borderId="0" xfId="0" applyFill="1" applyAlignment="1">
      <alignment wrapText="1"/>
    </xf>
    <xf numFmtId="0" fontId="27" fillId="0" borderId="0" xfId="0" applyFont="1"/>
    <xf numFmtId="0" fontId="28" fillId="12" borderId="0" xfId="0" applyFont="1" applyFill="1"/>
    <xf numFmtId="3" fontId="29" fillId="0" borderId="0" xfId="0" applyNumberFormat="1" applyFont="1"/>
    <xf numFmtId="0" fontId="31" fillId="0" borderId="0" xfId="0" applyFont="1" applyAlignment="1">
      <alignment wrapText="1"/>
    </xf>
    <xf numFmtId="0" fontId="0" fillId="0" borderId="0" xfId="0"/>
    <xf numFmtId="49" fontId="32" fillId="0" borderId="0" xfId="0" applyNumberFormat="1" applyFont="1" applyAlignment="1">
      <alignment wrapText="1"/>
    </xf>
    <xf numFmtId="0" fontId="33" fillId="13" borderId="0" xfId="0" applyFont="1" applyFill="1" applyAlignment="1">
      <alignment wrapText="1"/>
    </xf>
    <xf numFmtId="0" fontId="34" fillId="0" borderId="0" xfId="0" applyFont="1" applyAlignment="1">
      <alignment wrapText="1"/>
    </xf>
    <xf numFmtId="49" fontId="35" fillId="14" borderId="0" xfId="0" applyNumberFormat="1" applyFont="1" applyFill="1" applyAlignment="1">
      <alignment wrapText="1"/>
    </xf>
    <xf numFmtId="0" fontId="36" fillId="0" borderId="0" xfId="0" applyFont="1" applyAlignment="1">
      <alignment wrapText="1"/>
    </xf>
    <xf numFmtId="0" fontId="37" fillId="0" borderId="0" xfId="0" applyFont="1"/>
    <xf numFmtId="0" fontId="38" fillId="15" borderId="0" xfId="0" applyFont="1" applyFill="1" applyAlignment="1">
      <alignment wrapText="1"/>
    </xf>
    <xf numFmtId="0" fontId="39" fillId="16" borderId="0" xfId="0" applyFont="1" applyFill="1"/>
    <xf numFmtId="0" fontId="40" fillId="17" borderId="0" xfId="0" applyFont="1" applyFill="1"/>
    <xf numFmtId="0" fontId="41" fillId="18" borderId="0" xfId="0" applyFont="1" applyFill="1"/>
    <xf numFmtId="49" fontId="42" fillId="0" borderId="0" xfId="0" applyNumberFormat="1" applyFont="1" applyAlignment="1">
      <alignment vertical="center" wrapText="1"/>
    </xf>
    <xf numFmtId="0" fontId="43" fillId="19" borderId="0" xfId="0" applyFont="1" applyFill="1"/>
    <xf numFmtId="0" fontId="44" fillId="20" borderId="0" xfId="0" applyFont="1" applyFill="1" applyAlignment="1">
      <alignment vertical="center"/>
    </xf>
    <xf numFmtId="0" fontId="45" fillId="0" borderId="0" xfId="0" applyFont="1"/>
    <xf numFmtId="0" fontId="47" fillId="0" borderId="0" xfId="0" applyFont="1" applyAlignment="1">
      <alignment wrapText="1"/>
    </xf>
    <xf numFmtId="0" fontId="48" fillId="0" borderId="0" xfId="0" applyFont="1"/>
    <xf numFmtId="0" fontId="50" fillId="0" borderId="0" xfId="0" applyFont="1"/>
    <xf numFmtId="0" fontId="51" fillId="0" borderId="0" xfId="0" applyFont="1"/>
    <xf numFmtId="0" fontId="52" fillId="0" borderId="0" xfId="0" applyFont="1" applyAlignment="1">
      <alignment horizontal="left"/>
    </xf>
    <xf numFmtId="0" fontId="55" fillId="0" borderId="0" xfId="0" applyFont="1" applyAlignment="1">
      <alignment vertical="center" wrapText="1"/>
    </xf>
    <xf numFmtId="0" fontId="56" fillId="21" borderId="0" xfId="0" applyFont="1" applyFill="1"/>
    <xf numFmtId="0" fontId="57" fillId="0" borderId="0" xfId="0" applyFont="1" applyAlignment="1">
      <alignment wrapText="1"/>
    </xf>
    <xf numFmtId="0" fontId="58" fillId="22" borderId="0" xfId="0" applyFont="1" applyFill="1" applyAlignment="1">
      <alignment wrapText="1"/>
    </xf>
    <xf numFmtId="0" fontId="59" fillId="0" borderId="0" xfId="0" applyFont="1" applyAlignment="1">
      <alignment vertical="center"/>
    </xf>
    <xf numFmtId="0" fontId="60" fillId="0" borderId="0" xfId="0" applyFont="1" applyAlignment="1">
      <alignment vertical="center"/>
    </xf>
    <xf numFmtId="0" fontId="61" fillId="23" borderId="0" xfId="0" applyFont="1" applyFill="1"/>
    <xf numFmtId="0" fontId="62" fillId="24" borderId="0" xfId="0" applyFont="1" applyFill="1"/>
    <xf numFmtId="0" fontId="63" fillId="0" borderId="0" xfId="0" applyFont="1" applyAlignment="1">
      <alignment wrapText="1"/>
    </xf>
    <xf numFmtId="0" fontId="0" fillId="0" borderId="0" xfId="0"/>
    <xf numFmtId="0" fontId="64" fillId="25" borderId="0" xfId="0" applyFont="1" applyFill="1"/>
    <xf numFmtId="0" fontId="65" fillId="0" borderId="0" xfId="0" applyFont="1"/>
    <xf numFmtId="0" fontId="66" fillId="26" borderId="0" xfId="0" applyFont="1" applyFill="1"/>
    <xf numFmtId="0" fontId="68" fillId="0" borderId="0" xfId="0" applyFont="1"/>
    <xf numFmtId="0" fontId="69" fillId="0" borderId="0" xfId="0" applyFont="1" applyAlignment="1">
      <alignment wrapText="1"/>
    </xf>
    <xf numFmtId="49" fontId="70" fillId="0" borderId="0" xfId="0" applyNumberFormat="1" applyFont="1" applyAlignment="1">
      <alignment wrapText="1"/>
    </xf>
    <xf numFmtId="0" fontId="71" fillId="0" borderId="0" xfId="0" applyFont="1" applyAlignment="1">
      <alignment vertical="center"/>
    </xf>
    <xf numFmtId="0" fontId="72" fillId="0" borderId="0" xfId="0" applyFont="1" applyAlignment="1">
      <alignment wrapText="1"/>
    </xf>
    <xf numFmtId="0" fontId="0" fillId="27" borderId="0" xfId="0" applyFill="1" applyAlignment="1">
      <alignment wrapText="1"/>
    </xf>
    <xf numFmtId="0" fontId="73" fillId="0" borderId="0" xfId="0" applyFont="1" applyAlignment="1">
      <alignment wrapText="1"/>
    </xf>
    <xf numFmtId="0" fontId="74" fillId="0" borderId="0" xfId="0" applyFont="1"/>
    <xf numFmtId="0" fontId="75" fillId="28" borderId="0" xfId="0" applyFont="1" applyFill="1"/>
    <xf numFmtId="0" fontId="76" fillId="0" borderId="0" xfId="0" applyFont="1"/>
    <xf numFmtId="0" fontId="77" fillId="29" borderId="0" xfId="0" applyFont="1" applyFill="1"/>
    <xf numFmtId="0" fontId="78" fillId="0" borderId="0" xfId="0" applyFont="1" applyAlignment="1">
      <alignment wrapText="1"/>
    </xf>
    <xf numFmtId="0" fontId="79" fillId="30" borderId="0" xfId="0" applyFont="1" applyFill="1"/>
    <xf numFmtId="0" fontId="80" fillId="0" borderId="0" xfId="0" applyFont="1" applyAlignment="1">
      <alignment wrapText="1"/>
    </xf>
    <xf numFmtId="49" fontId="81" fillId="0" borderId="0" xfId="0" applyNumberFormat="1" applyFont="1" applyAlignment="1">
      <alignment wrapText="1"/>
    </xf>
    <xf numFmtId="0" fontId="82" fillId="31" borderId="0" xfId="0" applyFont="1" applyFill="1"/>
    <xf numFmtId="0" fontId="83" fillId="0" borderId="0" xfId="0" applyFont="1"/>
    <xf numFmtId="0" fontId="84" fillId="0" borderId="0" xfId="0" applyFont="1" applyAlignment="1">
      <alignment horizontal="left" vertical="center"/>
    </xf>
    <xf numFmtId="0" fontId="85" fillId="0" borderId="0" xfId="0" applyFont="1"/>
    <xf numFmtId="0" fontId="86" fillId="0" borderId="0" xfId="0" applyFont="1" applyAlignment="1">
      <alignment wrapText="1"/>
    </xf>
    <xf numFmtId="0" fontId="0" fillId="32" borderId="0" xfId="0" applyFill="1"/>
    <xf numFmtId="0" fontId="87" fillId="0" borderId="0" xfId="0" applyFont="1" applyAlignment="1">
      <alignment wrapText="1"/>
    </xf>
    <xf numFmtId="0" fontId="0" fillId="33" borderId="0" xfId="0" applyFill="1"/>
    <xf numFmtId="0" fontId="88" fillId="0" borderId="0" xfId="0" applyFont="1"/>
    <xf numFmtId="0" fontId="89" fillId="34" borderId="0" xfId="0" applyFont="1" applyFill="1" applyAlignment="1">
      <alignment wrapText="1"/>
    </xf>
    <xf numFmtId="0" fontId="90" fillId="0" borderId="0" xfId="0" applyFont="1" applyAlignment="1">
      <alignment vertical="center"/>
    </xf>
    <xf numFmtId="0" fontId="91" fillId="35" borderId="0" xfId="0" applyFont="1" applyFill="1" applyAlignment="1">
      <alignment wrapText="1"/>
    </xf>
    <xf numFmtId="0" fontId="92" fillId="0" borderId="0" xfId="0" applyFont="1"/>
    <xf numFmtId="0" fontId="93" fillId="36" borderId="0" xfId="0" applyFont="1" applyFill="1"/>
    <xf numFmtId="0" fontId="94" fillId="0" borderId="0" xfId="0" applyFont="1"/>
    <xf numFmtId="0" fontId="95" fillId="37" borderId="0" xfId="0" applyFont="1" applyFill="1"/>
    <xf numFmtId="0" fontId="96" fillId="38" borderId="0" xfId="0" applyFont="1" applyFill="1"/>
    <xf numFmtId="0" fontId="30" fillId="0" borderId="0" xfId="0" applyFont="1" applyAlignment="1">
      <alignment wrapText="1"/>
    </xf>
    <xf numFmtId="0" fontId="0" fillId="0" borderId="0" xfId="0" applyAlignment="1">
      <alignment wrapText="1"/>
    </xf>
    <xf numFmtId="0" fontId="67" fillId="0" borderId="0" xfId="0" applyFont="1" applyAlignment="1">
      <alignment horizontal="center" vertical="center"/>
    </xf>
    <xf numFmtId="0" fontId="53" fillId="0" borderId="0" xfId="0" applyFont="1" applyAlignment="1">
      <alignment horizontal="center" vertical="top" wrapText="1"/>
    </xf>
    <xf numFmtId="0" fontId="46" fillId="0" borderId="0" xfId="0" applyFont="1"/>
    <xf numFmtId="0" fontId="14" fillId="0" borderId="0" xfId="0" applyFont="1" applyAlignment="1">
      <alignment wrapText="1"/>
    </xf>
    <xf numFmtId="0" fontId="73" fillId="0" borderId="0" xfId="0" applyFont="1" applyAlignment="1">
      <alignment wrapText="1"/>
    </xf>
    <xf numFmtId="0" fontId="54" fillId="0" borderId="0" xfId="0" applyFont="1"/>
    <xf numFmtId="0" fontId="0" fillId="0" borderId="0" xfId="0"/>
    <xf numFmtId="0" fontId="25" fillId="0" borderId="0" xfId="0" applyFont="1" applyAlignment="1">
      <alignment wrapText="1"/>
    </xf>
    <xf numFmtId="0" fontId="49" fillId="0" borderId="0" xfId="0" applyFont="1" applyAlignment="1">
      <alignment wrapText="1"/>
    </xf>
    <xf numFmtId="0" fontId="57" fillId="0" borderId="0" xfId="0" applyFont="1" applyAlignment="1">
      <alignment wrapText="1"/>
    </xf>
    <xf numFmtId="0" fontId="4" fillId="30" borderId="0" xfId="0" applyFont="1" applyFill="1"/>
  </cellXfs>
  <cellStyles count="1">
    <cellStyle name="Normal" xfId="0" builtinId="0"/>
  </cellStyles>
  <dxfs count="1">
    <dxf>
      <font>
        <color rgb="FF9C0006"/>
      </font>
      <fill>
        <patternFill patternType="solid">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revisionHeaders" Target="revisions/revisionHeader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1295400</xdr:colOff>
      <xdr:row>4</xdr:row>
      <xdr:rowOff>476250</xdr:rowOff>
    </xdr:from>
    <xdr:ext cx="1238250" cy="962025"/>
    <xdr:pic>
      <xdr:nvPicPr>
        <xdr:cNvPr id="2" name="image00.png"/>
        <xdr:cNvPicPr preferRelativeResize="0"/>
      </xdr:nvPicPr>
      <xdr:blipFill>
        <a:blip xmlns:r="http://schemas.openxmlformats.org/officeDocument/2006/relationships" r:embed="rId1" cstate="print"/>
        <a:stretch>
          <a:fillRect/>
        </a:stretch>
      </xdr:blipFill>
      <xdr:spPr>
        <a:xfrm>
          <a:off x="0" y="0"/>
          <a:ext cx="1238250" cy="962025"/>
        </a:xfrm>
        <a:prstGeom prst="rect">
          <a:avLst/>
        </a:prstGeom>
        <a:noFill/>
      </xdr:spPr>
    </xdr:pic>
    <xdr:clientData fLocksWithSheet="0"/>
  </xdr:one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guid="{8B514A53-C531-4BD4-A009-194093C3FCF4}">
  <header guid="{8B514A53-C531-4BD4-A009-194093C3FCF4}" dateTime="2013-12-14T14:22:27" maxSheetId="65" userName="Derek" r:id="rId1">
    <sheetIdMap count="6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 val="29"/>
      <sheetId val="30"/>
      <sheetId val="31"/>
      <sheetId val="32"/>
      <sheetId val="33"/>
      <sheetId val="34"/>
      <sheetId val="35"/>
      <sheetId val="36"/>
      <sheetId val="37"/>
      <sheetId val="38"/>
      <sheetId val="39"/>
      <sheetId val="40"/>
      <sheetId val="41"/>
      <sheetId val="42"/>
      <sheetId val="43"/>
      <sheetId val="44"/>
      <sheetId val="45"/>
      <sheetId val="46"/>
      <sheetId val="47"/>
      <sheetId val="48"/>
      <sheetId val="49"/>
      <sheetId val="50"/>
      <sheetId val="51"/>
      <sheetId val="52"/>
      <sheetId val="53"/>
      <sheetId val="54"/>
      <sheetId val="55"/>
      <sheetId val="56"/>
      <sheetId val="57"/>
      <sheetId val="58"/>
      <sheetId val="59"/>
      <sheetId val="60"/>
      <sheetId val="61"/>
      <sheetId val="62"/>
      <sheetId val="63"/>
      <sheetId val="64"/>
    </sheetIdMap>
  </header>
</headers>
</file>

<file path=xl/revisions/revisionLog1.xml><?xml version="1.0" encoding="utf-8"?>
<revisions xmlns="http://schemas.openxmlformats.org/spreadsheetml/2006/main" xmlns:r="http://schemas.openxmlformats.org/officeDocument/2006/relationship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U100"/>
  <sheetViews>
    <sheetView workbookViewId="0"/>
  </sheetViews>
  <sheetFormatPr defaultColWidth="17.140625" defaultRowHeight="12.75" customHeight="1"/>
  <cols>
    <col min="2" max="2" width="61.7109375" customWidth="1"/>
    <col min="3" max="3" width="43.28515625" customWidth="1"/>
  </cols>
  <sheetData>
    <row r="1" spans="1:21" ht="12.75" customHeight="1">
      <c r="A1" s="4" t="s">
        <v>0</v>
      </c>
      <c r="B1" s="17" t="s">
        <v>1</v>
      </c>
      <c r="C1" s="17" t="s">
        <v>2</v>
      </c>
      <c r="D1" s="17" t="s">
        <v>3</v>
      </c>
      <c r="E1" s="17"/>
      <c r="F1" s="17"/>
      <c r="G1" s="17"/>
      <c r="H1" s="17"/>
      <c r="I1" s="17"/>
      <c r="J1" s="17"/>
      <c r="K1" s="17"/>
      <c r="L1" s="17"/>
      <c r="M1" s="17"/>
      <c r="N1" s="17"/>
      <c r="O1" s="17"/>
      <c r="P1" s="17"/>
      <c r="Q1" s="17"/>
      <c r="R1" s="17"/>
      <c r="S1" s="17"/>
      <c r="T1" s="17"/>
      <c r="U1" s="17"/>
    </row>
    <row r="2" spans="1:21" ht="12.75" customHeight="1">
      <c r="A2" s="4" t="s">
        <v>4</v>
      </c>
      <c r="B2" s="4" t="s">
        <v>5</v>
      </c>
      <c r="C2" s="4" t="s">
        <v>6</v>
      </c>
      <c r="D2" s="4"/>
      <c r="E2" s="4"/>
      <c r="F2" s="4"/>
      <c r="G2" s="4"/>
      <c r="H2" s="4"/>
      <c r="I2" s="4"/>
      <c r="J2" s="4"/>
      <c r="K2" s="4"/>
      <c r="L2" s="4"/>
      <c r="M2" s="4"/>
      <c r="N2" s="4"/>
      <c r="O2" s="4"/>
      <c r="P2" s="4"/>
      <c r="Q2" s="4"/>
      <c r="R2" s="4"/>
      <c r="S2" s="4"/>
      <c r="T2" s="4"/>
      <c r="U2" s="4"/>
    </row>
    <row r="3" spans="1:21" ht="12.75" customHeight="1">
      <c r="A3" s="4" t="s">
        <v>4</v>
      </c>
      <c r="B3" s="4" t="s">
        <v>7</v>
      </c>
      <c r="C3" s="4" t="s">
        <v>8</v>
      </c>
      <c r="D3" s="4" t="s">
        <v>9</v>
      </c>
      <c r="E3" s="4"/>
      <c r="F3" s="4"/>
      <c r="G3" s="4"/>
      <c r="H3" s="4"/>
      <c r="I3" s="4"/>
      <c r="J3" s="4"/>
      <c r="K3" s="4"/>
      <c r="L3" s="4"/>
      <c r="M3" s="4"/>
      <c r="N3" s="4"/>
      <c r="O3" s="4"/>
      <c r="P3" s="4"/>
      <c r="Q3" s="4"/>
      <c r="R3" s="4"/>
      <c r="S3" s="4"/>
      <c r="T3" s="4"/>
      <c r="U3" s="4"/>
    </row>
    <row r="4" spans="1:21" ht="12.75" customHeight="1">
      <c r="A4" s="4"/>
      <c r="B4" s="4"/>
      <c r="C4" s="4"/>
      <c r="D4" s="4"/>
      <c r="E4" s="4"/>
      <c r="F4" s="4"/>
      <c r="G4" s="4"/>
      <c r="H4" s="4"/>
      <c r="I4" s="4"/>
      <c r="J4" s="4"/>
      <c r="K4" s="4"/>
      <c r="L4" s="4"/>
      <c r="M4" s="4"/>
      <c r="N4" s="4"/>
      <c r="O4" s="4"/>
      <c r="P4" s="4"/>
      <c r="Q4" s="4"/>
      <c r="R4" s="4"/>
      <c r="S4" s="4"/>
      <c r="T4" s="4"/>
      <c r="U4" s="4"/>
    </row>
    <row r="5" spans="1:21" ht="12.75" customHeight="1">
      <c r="A5" s="4"/>
      <c r="B5" s="4"/>
      <c r="C5" s="4"/>
      <c r="D5" s="4"/>
      <c r="E5" s="4"/>
      <c r="F5" s="4"/>
      <c r="G5" s="4"/>
      <c r="H5" s="4"/>
      <c r="I5" s="4"/>
      <c r="J5" s="4"/>
      <c r="K5" s="4"/>
      <c r="L5" s="4"/>
      <c r="M5" s="4"/>
      <c r="N5" s="4"/>
      <c r="O5" s="4"/>
      <c r="P5" s="4"/>
      <c r="Q5" s="4"/>
      <c r="R5" s="4"/>
      <c r="S5" s="4"/>
      <c r="T5" s="4"/>
      <c r="U5" s="4"/>
    </row>
    <row r="6" spans="1:21" ht="12.75" customHeight="1">
      <c r="A6" s="4"/>
      <c r="B6" s="4"/>
      <c r="C6" s="4"/>
      <c r="D6" s="4"/>
      <c r="E6" s="4"/>
      <c r="F6" s="4"/>
      <c r="G6" s="4"/>
      <c r="H6" s="4"/>
      <c r="I6" s="4"/>
      <c r="J6" s="4"/>
      <c r="K6" s="4"/>
      <c r="L6" s="4"/>
      <c r="M6" s="4"/>
      <c r="N6" s="4"/>
      <c r="O6" s="4"/>
      <c r="P6" s="4"/>
      <c r="Q6" s="4"/>
      <c r="R6" s="4"/>
      <c r="S6" s="4"/>
      <c r="T6" s="4"/>
      <c r="U6" s="4"/>
    </row>
    <row r="7" spans="1:21" ht="12.75" customHeight="1">
      <c r="A7" s="4"/>
      <c r="B7" s="4"/>
      <c r="C7" s="4"/>
      <c r="D7" s="4"/>
      <c r="E7" s="4"/>
      <c r="F7" s="4"/>
      <c r="G7" s="4"/>
      <c r="H7" s="4"/>
      <c r="I7" s="4"/>
      <c r="J7" s="4"/>
      <c r="K7" s="4"/>
      <c r="L7" s="4"/>
      <c r="M7" s="4"/>
      <c r="N7" s="4"/>
      <c r="O7" s="4"/>
      <c r="P7" s="4"/>
      <c r="Q7" s="4"/>
      <c r="R7" s="4"/>
      <c r="S7" s="4"/>
      <c r="T7" s="4"/>
      <c r="U7" s="4"/>
    </row>
    <row r="8" spans="1:21" ht="12.75" customHeight="1">
      <c r="A8" s="4"/>
      <c r="B8" s="4"/>
      <c r="C8" s="4"/>
      <c r="D8" s="4"/>
      <c r="E8" s="4"/>
      <c r="F8" s="4"/>
      <c r="G8" s="4"/>
      <c r="H8" s="4"/>
      <c r="I8" s="4"/>
      <c r="J8" s="4"/>
      <c r="K8" s="4"/>
      <c r="L8" s="4"/>
      <c r="M8" s="4"/>
      <c r="N8" s="4"/>
      <c r="O8" s="4"/>
      <c r="P8" s="4"/>
      <c r="Q8" s="4"/>
      <c r="R8" s="4"/>
      <c r="S8" s="4"/>
      <c r="T8" s="4"/>
      <c r="U8" s="4"/>
    </row>
    <row r="9" spans="1:21" ht="12.75" customHeight="1">
      <c r="A9" s="4"/>
      <c r="B9" s="4"/>
      <c r="C9" s="4"/>
      <c r="D9" s="4"/>
      <c r="E9" s="4"/>
      <c r="F9" s="4"/>
      <c r="G9" s="4"/>
      <c r="H9" s="4"/>
      <c r="I9" s="4"/>
      <c r="J9" s="4"/>
      <c r="K9" s="4"/>
      <c r="L9" s="4"/>
      <c r="M9" s="4"/>
      <c r="N9" s="4"/>
      <c r="O9" s="4"/>
      <c r="P9" s="4"/>
      <c r="Q9" s="4"/>
      <c r="R9" s="4"/>
      <c r="S9" s="4"/>
      <c r="T9" s="4"/>
      <c r="U9" s="4"/>
    </row>
    <row r="10" spans="1:21" ht="12.75" customHeight="1">
      <c r="A10" s="4"/>
      <c r="B10" s="4"/>
      <c r="C10" s="4"/>
      <c r="D10" s="4"/>
      <c r="E10" s="4"/>
      <c r="F10" s="4"/>
      <c r="G10" s="4"/>
      <c r="H10" s="4"/>
      <c r="I10" s="4"/>
      <c r="J10" s="4"/>
      <c r="K10" s="4"/>
      <c r="L10" s="4"/>
      <c r="M10" s="4"/>
      <c r="N10" s="4"/>
      <c r="O10" s="4"/>
      <c r="P10" s="4"/>
      <c r="Q10" s="4"/>
      <c r="R10" s="4"/>
      <c r="S10" s="4"/>
      <c r="T10" s="4"/>
      <c r="U10" s="4"/>
    </row>
    <row r="11" spans="1:21" ht="12.75" customHeight="1">
      <c r="A11" s="4"/>
      <c r="B11" s="4"/>
      <c r="C11" s="4"/>
      <c r="D11" s="4"/>
      <c r="E11" s="4"/>
      <c r="F11" s="4"/>
      <c r="G11" s="4"/>
      <c r="H11" s="4"/>
      <c r="I11" s="4"/>
      <c r="J11" s="4"/>
      <c r="K11" s="4"/>
      <c r="L11" s="4"/>
      <c r="M11" s="4"/>
      <c r="N11" s="4"/>
      <c r="O11" s="4"/>
      <c r="P11" s="4"/>
      <c r="Q11" s="4"/>
      <c r="R11" s="4"/>
      <c r="S11" s="4"/>
      <c r="T11" s="4"/>
      <c r="U11" s="4"/>
    </row>
    <row r="12" spans="1:21" ht="12.75" customHeight="1">
      <c r="A12" s="4"/>
      <c r="B12" s="4"/>
      <c r="C12" s="4"/>
      <c r="D12" s="4"/>
      <c r="E12" s="4"/>
      <c r="F12" s="4"/>
      <c r="G12" s="4"/>
      <c r="H12" s="4"/>
      <c r="I12" s="4"/>
      <c r="J12" s="4"/>
      <c r="K12" s="4"/>
      <c r="L12" s="4"/>
      <c r="M12" s="4"/>
      <c r="N12" s="4"/>
      <c r="O12" s="4"/>
      <c r="P12" s="4"/>
      <c r="Q12" s="4"/>
      <c r="R12" s="4"/>
      <c r="S12" s="4"/>
      <c r="T12" s="4"/>
      <c r="U12" s="4"/>
    </row>
    <row r="13" spans="1:21" ht="12.75" customHeight="1">
      <c r="A13" s="4"/>
      <c r="B13" s="4"/>
      <c r="C13" s="4"/>
      <c r="D13" s="4"/>
      <c r="E13" s="4"/>
      <c r="F13" s="4"/>
      <c r="G13" s="4"/>
      <c r="H13" s="4"/>
      <c r="I13" s="4"/>
      <c r="J13" s="4"/>
      <c r="K13" s="4"/>
      <c r="L13" s="4"/>
      <c r="M13" s="4"/>
      <c r="N13" s="4"/>
      <c r="O13" s="4"/>
      <c r="P13" s="4"/>
      <c r="Q13" s="4"/>
      <c r="R13" s="4"/>
      <c r="S13" s="4"/>
      <c r="T13" s="4"/>
      <c r="U13" s="4"/>
    </row>
    <row r="14" spans="1:21" ht="12.75" customHeight="1">
      <c r="A14" s="4"/>
      <c r="B14" s="4"/>
      <c r="C14" s="4"/>
      <c r="D14" s="4"/>
      <c r="E14" s="4"/>
      <c r="F14" s="4"/>
      <c r="G14" s="4"/>
      <c r="H14" s="4"/>
      <c r="I14" s="4"/>
      <c r="J14" s="4"/>
      <c r="K14" s="4"/>
      <c r="L14" s="4"/>
      <c r="M14" s="4"/>
      <c r="N14" s="4"/>
      <c r="O14" s="4"/>
      <c r="P14" s="4"/>
      <c r="Q14" s="4"/>
      <c r="R14" s="4"/>
      <c r="S14" s="4"/>
      <c r="T14" s="4"/>
      <c r="U14" s="4"/>
    </row>
    <row r="15" spans="1:21" ht="12.75" customHeight="1">
      <c r="A15" s="4"/>
      <c r="B15" s="4"/>
      <c r="C15" s="4"/>
      <c r="D15" s="4"/>
      <c r="E15" s="4"/>
      <c r="F15" s="4"/>
      <c r="G15" s="4"/>
      <c r="H15" s="4"/>
      <c r="I15" s="4"/>
      <c r="J15" s="4"/>
      <c r="K15" s="4"/>
      <c r="L15" s="4"/>
      <c r="M15" s="4"/>
      <c r="N15" s="4"/>
      <c r="O15" s="4"/>
      <c r="P15" s="4"/>
      <c r="Q15" s="4"/>
      <c r="R15" s="4"/>
      <c r="S15" s="4"/>
      <c r="T15" s="4"/>
      <c r="U15" s="4"/>
    </row>
    <row r="16" spans="1:21" ht="12.75" customHeight="1">
      <c r="A16" s="4"/>
      <c r="B16" s="4"/>
      <c r="C16" s="4"/>
      <c r="D16" s="4"/>
      <c r="E16" s="4"/>
      <c r="F16" s="4"/>
      <c r="G16" s="4"/>
      <c r="H16" s="4"/>
      <c r="I16" s="4"/>
      <c r="J16" s="4"/>
      <c r="K16" s="4"/>
      <c r="L16" s="4"/>
      <c r="M16" s="4"/>
      <c r="N16" s="4"/>
      <c r="O16" s="4"/>
      <c r="P16" s="4"/>
      <c r="Q16" s="4"/>
      <c r="R16" s="4"/>
      <c r="S16" s="4"/>
      <c r="T16" s="4"/>
      <c r="U16" s="4"/>
    </row>
    <row r="17" spans="1:21" ht="12.75" customHeight="1">
      <c r="A17" s="4"/>
      <c r="B17" s="4"/>
      <c r="C17" s="4"/>
      <c r="D17" s="4"/>
      <c r="E17" s="4"/>
      <c r="F17" s="4"/>
      <c r="G17" s="4"/>
      <c r="H17" s="4"/>
      <c r="I17" s="4"/>
      <c r="J17" s="4"/>
      <c r="K17" s="4"/>
      <c r="L17" s="4"/>
      <c r="M17" s="4"/>
      <c r="N17" s="4"/>
      <c r="O17" s="4"/>
      <c r="P17" s="4"/>
      <c r="Q17" s="4"/>
      <c r="R17" s="4"/>
      <c r="S17" s="4"/>
      <c r="T17" s="4"/>
      <c r="U17" s="4"/>
    </row>
    <row r="18" spans="1:21" ht="12.75" customHeight="1">
      <c r="A18" s="4"/>
      <c r="B18" s="4"/>
      <c r="C18" s="4"/>
      <c r="D18" s="4"/>
      <c r="E18" s="4"/>
      <c r="F18" s="4"/>
      <c r="G18" s="4"/>
      <c r="H18" s="4"/>
      <c r="I18" s="4"/>
      <c r="J18" s="4"/>
      <c r="K18" s="4"/>
      <c r="L18" s="4"/>
      <c r="M18" s="4"/>
      <c r="N18" s="4"/>
      <c r="O18" s="4"/>
      <c r="P18" s="4"/>
      <c r="Q18" s="4"/>
      <c r="R18" s="4"/>
      <c r="S18" s="4"/>
      <c r="T18" s="4"/>
      <c r="U18" s="4"/>
    </row>
    <row r="19" spans="1:21" ht="12.75" customHeight="1">
      <c r="A19" s="4"/>
      <c r="B19" s="4"/>
      <c r="C19" s="4"/>
      <c r="D19" s="4"/>
      <c r="E19" s="4"/>
      <c r="F19" s="4"/>
      <c r="G19" s="4"/>
      <c r="H19" s="4"/>
      <c r="I19" s="4"/>
      <c r="J19" s="4"/>
      <c r="K19" s="4"/>
      <c r="L19" s="4"/>
      <c r="M19" s="4"/>
      <c r="N19" s="4"/>
      <c r="O19" s="4"/>
      <c r="P19" s="4"/>
      <c r="Q19" s="4"/>
      <c r="R19" s="4"/>
      <c r="S19" s="4"/>
      <c r="T19" s="4"/>
      <c r="U19" s="4"/>
    </row>
    <row r="20" spans="1:21" ht="12.75" customHeight="1">
      <c r="A20" s="4"/>
      <c r="B20" s="4"/>
      <c r="C20" s="4"/>
      <c r="D20" s="4"/>
      <c r="E20" s="4"/>
      <c r="F20" s="4"/>
      <c r="G20" s="4"/>
      <c r="H20" s="4"/>
      <c r="I20" s="4"/>
      <c r="J20" s="4"/>
      <c r="K20" s="4"/>
      <c r="L20" s="4"/>
      <c r="M20" s="4"/>
      <c r="N20" s="4"/>
      <c r="O20" s="4"/>
      <c r="P20" s="4"/>
      <c r="Q20" s="4"/>
      <c r="R20" s="4"/>
      <c r="S20" s="4"/>
      <c r="T20" s="4"/>
      <c r="U20" s="4"/>
    </row>
    <row r="21" spans="1:21" ht="12.75" customHeight="1">
      <c r="A21" s="4"/>
      <c r="B21" s="4"/>
      <c r="C21" s="4"/>
      <c r="D21" s="4"/>
      <c r="E21" s="4"/>
      <c r="F21" s="4"/>
      <c r="G21" s="4"/>
      <c r="H21" s="4"/>
      <c r="I21" s="4"/>
      <c r="J21" s="4"/>
      <c r="K21" s="4"/>
      <c r="L21" s="4"/>
      <c r="M21" s="4"/>
      <c r="N21" s="4"/>
      <c r="O21" s="4"/>
      <c r="P21" s="4"/>
      <c r="Q21" s="4"/>
      <c r="R21" s="4"/>
      <c r="S21" s="4"/>
      <c r="T21" s="4"/>
      <c r="U21" s="4"/>
    </row>
    <row r="22" spans="1:21" ht="12.75" customHeight="1">
      <c r="A22" s="4"/>
      <c r="B22" s="4"/>
      <c r="C22" s="4"/>
      <c r="D22" s="4"/>
      <c r="E22" s="4"/>
      <c r="F22" s="4"/>
      <c r="G22" s="4"/>
      <c r="H22" s="4"/>
      <c r="I22" s="4"/>
      <c r="J22" s="4"/>
      <c r="K22" s="4"/>
      <c r="L22" s="4"/>
      <c r="M22" s="4"/>
      <c r="N22" s="4"/>
      <c r="O22" s="4"/>
      <c r="P22" s="4"/>
      <c r="Q22" s="4"/>
      <c r="R22" s="4"/>
      <c r="S22" s="4"/>
      <c r="T22" s="4"/>
      <c r="U22" s="4"/>
    </row>
    <row r="23" spans="1:21" ht="12.75" customHeight="1">
      <c r="A23" s="4"/>
      <c r="B23" s="4"/>
      <c r="C23" s="4"/>
      <c r="D23" s="4"/>
      <c r="E23" s="4"/>
      <c r="F23" s="4"/>
      <c r="G23" s="4"/>
      <c r="H23" s="4"/>
      <c r="I23" s="4"/>
      <c r="J23" s="4"/>
      <c r="K23" s="4"/>
      <c r="L23" s="4"/>
      <c r="M23" s="4"/>
      <c r="N23" s="4"/>
      <c r="O23" s="4"/>
      <c r="P23" s="4"/>
      <c r="Q23" s="4"/>
      <c r="R23" s="4"/>
      <c r="S23" s="4"/>
      <c r="T23" s="4"/>
      <c r="U23" s="4"/>
    </row>
    <row r="24" spans="1:21" ht="12.75" customHeight="1">
      <c r="A24" s="4"/>
      <c r="B24" s="4"/>
      <c r="C24" s="4"/>
      <c r="D24" s="4"/>
      <c r="E24" s="4"/>
      <c r="F24" s="4"/>
      <c r="G24" s="4"/>
      <c r="H24" s="4"/>
      <c r="I24" s="4"/>
      <c r="J24" s="4"/>
      <c r="K24" s="4"/>
      <c r="L24" s="4"/>
      <c r="M24" s="4"/>
      <c r="N24" s="4"/>
      <c r="O24" s="4"/>
      <c r="P24" s="4"/>
      <c r="Q24" s="4"/>
      <c r="R24" s="4"/>
      <c r="S24" s="4"/>
      <c r="T24" s="4"/>
      <c r="U24" s="4"/>
    </row>
    <row r="25" spans="1:21" ht="12.75" customHeight="1">
      <c r="A25" s="4"/>
      <c r="B25" s="4"/>
      <c r="C25" s="4"/>
      <c r="D25" s="4"/>
      <c r="E25" s="4"/>
      <c r="F25" s="4"/>
      <c r="G25" s="4"/>
      <c r="H25" s="4"/>
      <c r="I25" s="4"/>
      <c r="J25" s="4"/>
      <c r="K25" s="4"/>
      <c r="L25" s="4"/>
      <c r="M25" s="4"/>
      <c r="N25" s="4"/>
      <c r="O25" s="4"/>
      <c r="P25" s="4"/>
      <c r="Q25" s="4"/>
      <c r="R25" s="4"/>
      <c r="S25" s="4"/>
      <c r="T25" s="4"/>
      <c r="U25" s="4"/>
    </row>
    <row r="26" spans="1:21" ht="12.75" customHeight="1">
      <c r="A26" s="4"/>
      <c r="B26" s="4"/>
      <c r="C26" s="4"/>
      <c r="D26" s="4"/>
      <c r="E26" s="4"/>
      <c r="F26" s="4"/>
      <c r="G26" s="4"/>
      <c r="H26" s="4"/>
      <c r="I26" s="4"/>
      <c r="J26" s="4"/>
      <c r="K26" s="4"/>
      <c r="L26" s="4"/>
      <c r="M26" s="4"/>
      <c r="N26" s="4"/>
      <c r="O26" s="4"/>
      <c r="P26" s="4"/>
      <c r="Q26" s="4"/>
      <c r="R26" s="4"/>
      <c r="S26" s="4"/>
      <c r="T26" s="4"/>
      <c r="U26" s="4"/>
    </row>
    <row r="27" spans="1:21" ht="12.75" customHeight="1">
      <c r="A27" s="4"/>
      <c r="B27" s="4"/>
      <c r="C27" s="4"/>
      <c r="D27" s="4"/>
      <c r="E27" s="4"/>
      <c r="F27" s="4"/>
      <c r="G27" s="4"/>
      <c r="H27" s="4"/>
      <c r="I27" s="4"/>
      <c r="J27" s="4"/>
      <c r="K27" s="4"/>
      <c r="L27" s="4"/>
      <c r="M27" s="4"/>
      <c r="N27" s="4"/>
      <c r="O27" s="4"/>
      <c r="P27" s="4"/>
      <c r="Q27" s="4"/>
      <c r="R27" s="4"/>
      <c r="S27" s="4"/>
      <c r="T27" s="4"/>
      <c r="U27" s="4"/>
    </row>
    <row r="28" spans="1:21" ht="12.75" customHeight="1">
      <c r="A28" s="4"/>
      <c r="B28" s="4"/>
      <c r="C28" s="4"/>
      <c r="D28" s="4"/>
      <c r="E28" s="4"/>
      <c r="F28" s="4"/>
      <c r="G28" s="4"/>
      <c r="H28" s="4"/>
      <c r="I28" s="4"/>
      <c r="J28" s="4"/>
      <c r="K28" s="4"/>
      <c r="L28" s="4"/>
      <c r="M28" s="4"/>
      <c r="N28" s="4"/>
      <c r="O28" s="4"/>
      <c r="P28" s="4"/>
      <c r="Q28" s="4"/>
      <c r="R28" s="4"/>
      <c r="S28" s="4"/>
      <c r="T28" s="4"/>
      <c r="U28" s="4"/>
    </row>
    <row r="29" spans="1:21" ht="12.75" customHeight="1">
      <c r="A29" s="4"/>
      <c r="B29" s="4"/>
      <c r="C29" s="4"/>
      <c r="D29" s="4"/>
      <c r="E29" s="4"/>
      <c r="F29" s="4"/>
      <c r="G29" s="4"/>
      <c r="H29" s="4"/>
      <c r="I29" s="4"/>
      <c r="J29" s="4"/>
      <c r="K29" s="4"/>
      <c r="L29" s="4"/>
      <c r="M29" s="4"/>
      <c r="N29" s="4"/>
      <c r="O29" s="4"/>
      <c r="P29" s="4"/>
      <c r="Q29" s="4"/>
      <c r="R29" s="4"/>
      <c r="S29" s="4"/>
      <c r="T29" s="4"/>
      <c r="U29" s="4"/>
    </row>
    <row r="30" spans="1:21" ht="12.75" customHeight="1">
      <c r="A30" s="4"/>
      <c r="B30" s="4"/>
      <c r="C30" s="4"/>
      <c r="D30" s="4"/>
      <c r="E30" s="4"/>
      <c r="F30" s="4"/>
      <c r="G30" s="4"/>
      <c r="H30" s="4"/>
      <c r="I30" s="4"/>
      <c r="J30" s="4"/>
      <c r="K30" s="4"/>
      <c r="L30" s="4"/>
      <c r="M30" s="4"/>
      <c r="N30" s="4"/>
      <c r="O30" s="4"/>
      <c r="P30" s="4"/>
      <c r="Q30" s="4"/>
      <c r="R30" s="4"/>
      <c r="S30" s="4"/>
      <c r="T30" s="4"/>
      <c r="U30" s="4"/>
    </row>
    <row r="31" spans="1:21" ht="12.75" customHeight="1">
      <c r="A31" s="4"/>
      <c r="B31" s="4"/>
      <c r="C31" s="4"/>
      <c r="D31" s="4"/>
      <c r="E31" s="4"/>
      <c r="F31" s="4"/>
      <c r="G31" s="4"/>
      <c r="H31" s="4"/>
      <c r="I31" s="4"/>
      <c r="J31" s="4"/>
      <c r="K31" s="4"/>
      <c r="L31" s="4"/>
      <c r="M31" s="4"/>
      <c r="N31" s="4"/>
      <c r="O31" s="4"/>
      <c r="P31" s="4"/>
      <c r="Q31" s="4"/>
      <c r="R31" s="4"/>
      <c r="S31" s="4"/>
      <c r="T31" s="4"/>
      <c r="U31" s="4"/>
    </row>
    <row r="32" spans="1:21" ht="12.75" customHeight="1">
      <c r="A32" s="4"/>
      <c r="B32" s="4"/>
      <c r="C32" s="4"/>
      <c r="D32" s="4"/>
      <c r="E32" s="4"/>
      <c r="F32" s="4"/>
      <c r="G32" s="4"/>
      <c r="H32" s="4"/>
      <c r="I32" s="4"/>
      <c r="J32" s="4"/>
      <c r="K32" s="4"/>
      <c r="L32" s="4"/>
      <c r="M32" s="4"/>
      <c r="N32" s="4"/>
      <c r="O32" s="4"/>
      <c r="P32" s="4"/>
      <c r="Q32" s="4"/>
      <c r="R32" s="4"/>
      <c r="S32" s="4"/>
      <c r="T32" s="4"/>
      <c r="U32" s="4"/>
    </row>
    <row r="33" spans="1:21" ht="12.75" customHeight="1">
      <c r="A33" s="4"/>
      <c r="B33" s="4"/>
      <c r="C33" s="4"/>
      <c r="D33" s="4"/>
      <c r="E33" s="4"/>
      <c r="F33" s="4"/>
      <c r="G33" s="4"/>
      <c r="H33" s="4"/>
      <c r="I33" s="4"/>
      <c r="J33" s="4"/>
      <c r="K33" s="4"/>
      <c r="L33" s="4"/>
      <c r="M33" s="4"/>
      <c r="N33" s="4"/>
      <c r="O33" s="4"/>
      <c r="P33" s="4"/>
      <c r="Q33" s="4"/>
      <c r="R33" s="4"/>
      <c r="S33" s="4"/>
      <c r="T33" s="4"/>
      <c r="U33" s="4"/>
    </row>
    <row r="34" spans="1:21" ht="12.75" customHeight="1">
      <c r="A34" s="4"/>
      <c r="B34" s="4"/>
      <c r="C34" s="4"/>
      <c r="D34" s="4"/>
      <c r="E34" s="4"/>
      <c r="F34" s="4"/>
      <c r="G34" s="4"/>
      <c r="H34" s="4"/>
      <c r="I34" s="4"/>
      <c r="J34" s="4"/>
      <c r="K34" s="4"/>
      <c r="L34" s="4"/>
      <c r="M34" s="4"/>
      <c r="N34" s="4"/>
      <c r="O34" s="4"/>
      <c r="P34" s="4"/>
      <c r="Q34" s="4"/>
      <c r="R34" s="4"/>
      <c r="S34" s="4"/>
      <c r="T34" s="4"/>
      <c r="U34" s="4"/>
    </row>
    <row r="35" spans="1:21" ht="12.75" customHeight="1">
      <c r="A35" s="4"/>
      <c r="B35" s="4"/>
      <c r="C35" s="4"/>
      <c r="D35" s="4"/>
      <c r="E35" s="4"/>
      <c r="F35" s="4"/>
      <c r="G35" s="4"/>
      <c r="H35" s="4"/>
      <c r="I35" s="4"/>
      <c r="J35" s="4"/>
      <c r="K35" s="4"/>
      <c r="L35" s="4"/>
      <c r="M35" s="4"/>
      <c r="N35" s="4"/>
      <c r="O35" s="4"/>
      <c r="P35" s="4"/>
      <c r="Q35" s="4"/>
      <c r="R35" s="4"/>
      <c r="S35" s="4"/>
      <c r="T35" s="4"/>
      <c r="U35" s="4"/>
    </row>
    <row r="36" spans="1:21" ht="12.75" customHeight="1">
      <c r="A36" s="4"/>
      <c r="B36" s="4"/>
      <c r="C36" s="4"/>
      <c r="D36" s="4"/>
      <c r="E36" s="4"/>
      <c r="F36" s="4"/>
      <c r="G36" s="4"/>
      <c r="H36" s="4"/>
      <c r="I36" s="4"/>
      <c r="J36" s="4"/>
      <c r="K36" s="4"/>
      <c r="L36" s="4"/>
      <c r="M36" s="4"/>
      <c r="N36" s="4"/>
      <c r="O36" s="4"/>
      <c r="P36" s="4"/>
      <c r="Q36" s="4"/>
      <c r="R36" s="4"/>
      <c r="S36" s="4"/>
      <c r="T36" s="4"/>
      <c r="U36" s="4"/>
    </row>
    <row r="37" spans="1:21" ht="12.75" customHeight="1">
      <c r="A37" s="4"/>
      <c r="B37" s="4"/>
      <c r="C37" s="4"/>
      <c r="D37" s="4"/>
      <c r="E37" s="4"/>
      <c r="F37" s="4"/>
      <c r="G37" s="4"/>
      <c r="H37" s="4"/>
      <c r="I37" s="4"/>
      <c r="J37" s="4"/>
      <c r="K37" s="4"/>
      <c r="L37" s="4"/>
      <c r="M37" s="4"/>
      <c r="N37" s="4"/>
      <c r="O37" s="4"/>
      <c r="P37" s="4"/>
      <c r="Q37" s="4"/>
      <c r="R37" s="4"/>
      <c r="S37" s="4"/>
      <c r="T37" s="4"/>
      <c r="U37" s="4"/>
    </row>
    <row r="38" spans="1:21" ht="12.75" customHeight="1">
      <c r="A38" s="4"/>
      <c r="B38" s="4"/>
      <c r="C38" s="4"/>
      <c r="D38" s="4"/>
      <c r="E38" s="4"/>
      <c r="F38" s="4"/>
      <c r="G38" s="4"/>
      <c r="H38" s="4"/>
      <c r="I38" s="4"/>
      <c r="J38" s="4"/>
      <c r="K38" s="4"/>
      <c r="L38" s="4"/>
      <c r="M38" s="4"/>
      <c r="N38" s="4"/>
      <c r="O38" s="4"/>
      <c r="P38" s="4"/>
      <c r="Q38" s="4"/>
      <c r="R38" s="4"/>
      <c r="S38" s="4"/>
      <c r="T38" s="4"/>
      <c r="U38" s="4"/>
    </row>
    <row r="39" spans="1:21" ht="12.75" customHeight="1">
      <c r="A39" s="4"/>
      <c r="B39" s="4"/>
      <c r="C39" s="4"/>
      <c r="D39" s="4"/>
      <c r="E39" s="4"/>
      <c r="F39" s="4"/>
      <c r="G39" s="4"/>
      <c r="H39" s="4"/>
      <c r="I39" s="4"/>
      <c r="J39" s="4"/>
      <c r="K39" s="4"/>
      <c r="L39" s="4"/>
      <c r="M39" s="4"/>
      <c r="N39" s="4"/>
      <c r="O39" s="4"/>
      <c r="P39" s="4"/>
      <c r="Q39" s="4"/>
      <c r="R39" s="4"/>
      <c r="S39" s="4"/>
      <c r="T39" s="4"/>
      <c r="U39" s="4"/>
    </row>
    <row r="40" spans="1:21" ht="12.75" customHeight="1">
      <c r="A40" s="4"/>
      <c r="B40" s="4"/>
      <c r="C40" s="4"/>
      <c r="D40" s="4"/>
      <c r="E40" s="4"/>
      <c r="F40" s="4"/>
      <c r="G40" s="4"/>
      <c r="H40" s="4"/>
      <c r="I40" s="4"/>
      <c r="J40" s="4"/>
      <c r="K40" s="4"/>
      <c r="L40" s="4"/>
      <c r="M40" s="4"/>
      <c r="N40" s="4"/>
      <c r="O40" s="4"/>
      <c r="P40" s="4"/>
      <c r="Q40" s="4"/>
      <c r="R40" s="4"/>
      <c r="S40" s="4"/>
      <c r="T40" s="4"/>
      <c r="U40" s="4"/>
    </row>
    <row r="41" spans="1:21" ht="12.75" customHeight="1">
      <c r="A41" s="4"/>
      <c r="B41" s="4"/>
      <c r="C41" s="4"/>
      <c r="D41" s="4"/>
      <c r="E41" s="4"/>
      <c r="F41" s="4"/>
      <c r="G41" s="4"/>
      <c r="H41" s="4"/>
      <c r="I41" s="4"/>
      <c r="J41" s="4"/>
      <c r="K41" s="4"/>
      <c r="L41" s="4"/>
      <c r="M41" s="4"/>
      <c r="N41" s="4"/>
      <c r="O41" s="4"/>
      <c r="P41" s="4"/>
      <c r="Q41" s="4"/>
      <c r="R41" s="4"/>
      <c r="S41" s="4"/>
      <c r="T41" s="4"/>
      <c r="U41" s="4"/>
    </row>
    <row r="42" spans="1:21" ht="12.75" customHeight="1">
      <c r="A42" s="4"/>
      <c r="B42" s="4"/>
      <c r="C42" s="4"/>
      <c r="D42" s="4"/>
      <c r="E42" s="4"/>
      <c r="F42" s="4"/>
      <c r="G42" s="4"/>
      <c r="H42" s="4"/>
      <c r="I42" s="4"/>
      <c r="J42" s="4"/>
      <c r="K42" s="4"/>
      <c r="L42" s="4"/>
      <c r="M42" s="4"/>
      <c r="N42" s="4"/>
      <c r="O42" s="4"/>
      <c r="P42" s="4"/>
      <c r="Q42" s="4"/>
      <c r="R42" s="4"/>
      <c r="S42" s="4"/>
      <c r="T42" s="4"/>
      <c r="U42" s="4"/>
    </row>
    <row r="43" spans="1:21" ht="12.75" customHeight="1">
      <c r="A43" s="4"/>
      <c r="B43" s="4"/>
      <c r="C43" s="4"/>
      <c r="D43" s="4"/>
      <c r="E43" s="4"/>
      <c r="F43" s="4"/>
      <c r="G43" s="4"/>
      <c r="H43" s="4"/>
      <c r="I43" s="4"/>
      <c r="J43" s="4"/>
      <c r="K43" s="4"/>
      <c r="L43" s="4"/>
      <c r="M43" s="4"/>
      <c r="N43" s="4"/>
      <c r="O43" s="4"/>
      <c r="P43" s="4"/>
      <c r="Q43" s="4"/>
      <c r="R43" s="4"/>
      <c r="S43" s="4"/>
      <c r="T43" s="4"/>
      <c r="U43" s="4"/>
    </row>
    <row r="44" spans="1:21" ht="12.75" customHeight="1">
      <c r="A44" s="4"/>
      <c r="B44" s="4"/>
      <c r="C44" s="4"/>
      <c r="D44" s="4"/>
      <c r="E44" s="4"/>
      <c r="F44" s="4"/>
      <c r="G44" s="4"/>
      <c r="H44" s="4"/>
      <c r="I44" s="4"/>
      <c r="J44" s="4"/>
      <c r="K44" s="4"/>
      <c r="L44" s="4"/>
      <c r="M44" s="4"/>
      <c r="N44" s="4"/>
      <c r="O44" s="4"/>
      <c r="P44" s="4"/>
      <c r="Q44" s="4"/>
      <c r="R44" s="4"/>
      <c r="S44" s="4"/>
      <c r="T44" s="4"/>
      <c r="U44" s="4"/>
    </row>
    <row r="45" spans="1:21" ht="12.75" customHeight="1">
      <c r="A45" s="4"/>
      <c r="B45" s="4"/>
      <c r="C45" s="4"/>
      <c r="D45" s="4"/>
      <c r="E45" s="4"/>
      <c r="F45" s="4"/>
      <c r="G45" s="4"/>
      <c r="H45" s="4"/>
      <c r="I45" s="4"/>
      <c r="J45" s="4"/>
      <c r="K45" s="4"/>
      <c r="L45" s="4"/>
      <c r="M45" s="4"/>
      <c r="N45" s="4"/>
      <c r="O45" s="4"/>
      <c r="P45" s="4"/>
      <c r="Q45" s="4"/>
      <c r="R45" s="4"/>
      <c r="S45" s="4"/>
      <c r="T45" s="4"/>
      <c r="U45" s="4"/>
    </row>
    <row r="46" spans="1:21" ht="12.75" customHeight="1">
      <c r="A46" s="4"/>
      <c r="B46" s="4"/>
      <c r="C46" s="4"/>
      <c r="D46" s="4"/>
      <c r="E46" s="4"/>
      <c r="F46" s="4"/>
      <c r="G46" s="4"/>
      <c r="H46" s="4"/>
      <c r="I46" s="4"/>
      <c r="J46" s="4"/>
      <c r="K46" s="4"/>
      <c r="L46" s="4"/>
      <c r="M46" s="4"/>
      <c r="N46" s="4"/>
      <c r="O46" s="4"/>
      <c r="P46" s="4"/>
      <c r="Q46" s="4"/>
      <c r="R46" s="4"/>
      <c r="S46" s="4"/>
      <c r="T46" s="4"/>
      <c r="U46" s="4"/>
    </row>
    <row r="47" spans="1:21" ht="12.75" customHeight="1">
      <c r="A47" s="4"/>
      <c r="B47" s="4"/>
      <c r="C47" s="4"/>
      <c r="D47" s="4"/>
      <c r="E47" s="4"/>
      <c r="F47" s="4"/>
      <c r="G47" s="4"/>
      <c r="H47" s="4"/>
      <c r="I47" s="4"/>
      <c r="J47" s="4"/>
      <c r="K47" s="4"/>
      <c r="L47" s="4"/>
      <c r="M47" s="4"/>
      <c r="N47" s="4"/>
      <c r="O47" s="4"/>
      <c r="P47" s="4"/>
      <c r="Q47" s="4"/>
      <c r="R47" s="4"/>
      <c r="S47" s="4"/>
      <c r="T47" s="4"/>
      <c r="U47" s="4"/>
    </row>
    <row r="48" spans="1:21" ht="12.75" customHeight="1">
      <c r="A48" s="4"/>
      <c r="B48" s="4"/>
      <c r="C48" s="4"/>
      <c r="D48" s="4"/>
      <c r="E48" s="4"/>
      <c r="F48" s="4"/>
      <c r="G48" s="4"/>
      <c r="H48" s="4"/>
      <c r="I48" s="4"/>
      <c r="J48" s="4"/>
      <c r="K48" s="4"/>
      <c r="L48" s="4"/>
      <c r="M48" s="4"/>
      <c r="N48" s="4"/>
      <c r="O48" s="4"/>
      <c r="P48" s="4"/>
      <c r="Q48" s="4"/>
      <c r="R48" s="4"/>
      <c r="S48" s="4"/>
      <c r="T48" s="4"/>
      <c r="U48" s="4"/>
    </row>
    <row r="49" spans="1:21" ht="12.75" customHeight="1">
      <c r="A49" s="4"/>
      <c r="B49" s="4"/>
      <c r="C49" s="4"/>
      <c r="D49" s="4"/>
      <c r="E49" s="4"/>
      <c r="F49" s="4"/>
      <c r="G49" s="4"/>
      <c r="H49" s="4"/>
      <c r="I49" s="4"/>
      <c r="J49" s="4"/>
      <c r="K49" s="4"/>
      <c r="L49" s="4"/>
      <c r="M49" s="4"/>
      <c r="N49" s="4"/>
      <c r="O49" s="4"/>
      <c r="P49" s="4"/>
      <c r="Q49" s="4"/>
      <c r="R49" s="4"/>
      <c r="S49" s="4"/>
      <c r="T49" s="4"/>
      <c r="U49" s="4"/>
    </row>
    <row r="50" spans="1:21" ht="12.75" customHeight="1">
      <c r="A50" s="4"/>
      <c r="B50" s="4"/>
      <c r="C50" s="4"/>
      <c r="D50" s="4"/>
      <c r="E50" s="4"/>
      <c r="F50" s="4"/>
      <c r="G50" s="4"/>
      <c r="H50" s="4"/>
      <c r="I50" s="4"/>
      <c r="J50" s="4"/>
      <c r="K50" s="4"/>
      <c r="L50" s="4"/>
      <c r="M50" s="4"/>
      <c r="N50" s="4"/>
      <c r="O50" s="4"/>
      <c r="P50" s="4"/>
      <c r="Q50" s="4"/>
      <c r="R50" s="4"/>
      <c r="S50" s="4"/>
      <c r="T50" s="4"/>
      <c r="U50" s="4"/>
    </row>
    <row r="51" spans="1:21" ht="12.75" customHeight="1">
      <c r="A51" s="4"/>
      <c r="B51" s="4"/>
      <c r="C51" s="4"/>
      <c r="D51" s="4"/>
      <c r="E51" s="4"/>
      <c r="F51" s="4"/>
      <c r="G51" s="4"/>
      <c r="H51" s="4"/>
      <c r="I51" s="4"/>
      <c r="J51" s="4"/>
      <c r="K51" s="4"/>
      <c r="L51" s="4"/>
      <c r="M51" s="4"/>
      <c r="N51" s="4"/>
      <c r="O51" s="4"/>
      <c r="P51" s="4"/>
      <c r="Q51" s="4"/>
      <c r="R51" s="4"/>
      <c r="S51" s="4"/>
      <c r="T51" s="4"/>
      <c r="U51" s="4"/>
    </row>
    <row r="52" spans="1:21" ht="12.75" customHeight="1">
      <c r="A52" s="4"/>
      <c r="B52" s="4"/>
      <c r="C52" s="4"/>
      <c r="D52" s="4"/>
      <c r="E52" s="4"/>
      <c r="F52" s="4"/>
      <c r="G52" s="4"/>
      <c r="H52" s="4"/>
      <c r="I52" s="4"/>
      <c r="J52" s="4"/>
      <c r="K52" s="4"/>
      <c r="L52" s="4"/>
      <c r="M52" s="4"/>
      <c r="N52" s="4"/>
      <c r="O52" s="4"/>
      <c r="P52" s="4"/>
      <c r="Q52" s="4"/>
      <c r="R52" s="4"/>
      <c r="S52" s="4"/>
      <c r="T52" s="4"/>
      <c r="U52" s="4"/>
    </row>
    <row r="53" spans="1:21" ht="12.75" customHeight="1">
      <c r="A53" s="4"/>
      <c r="B53" s="4"/>
      <c r="C53" s="4"/>
      <c r="D53" s="4"/>
      <c r="E53" s="4"/>
      <c r="F53" s="4"/>
      <c r="G53" s="4"/>
      <c r="H53" s="4"/>
      <c r="I53" s="4"/>
      <c r="J53" s="4"/>
      <c r="K53" s="4"/>
      <c r="L53" s="4"/>
      <c r="M53" s="4"/>
      <c r="N53" s="4"/>
      <c r="O53" s="4"/>
      <c r="P53" s="4"/>
      <c r="Q53" s="4"/>
      <c r="R53" s="4"/>
      <c r="S53" s="4"/>
      <c r="T53" s="4"/>
      <c r="U53" s="4"/>
    </row>
    <row r="54" spans="1:21" ht="12.75" customHeight="1">
      <c r="A54" s="4"/>
      <c r="B54" s="4"/>
      <c r="C54" s="4"/>
      <c r="D54" s="4"/>
      <c r="E54" s="4"/>
      <c r="F54" s="4"/>
      <c r="G54" s="4"/>
      <c r="H54" s="4"/>
      <c r="I54" s="4"/>
      <c r="J54" s="4"/>
      <c r="K54" s="4"/>
      <c r="L54" s="4"/>
      <c r="M54" s="4"/>
      <c r="N54" s="4"/>
      <c r="O54" s="4"/>
      <c r="P54" s="4"/>
      <c r="Q54" s="4"/>
      <c r="R54" s="4"/>
      <c r="S54" s="4"/>
      <c r="T54" s="4"/>
      <c r="U54" s="4"/>
    </row>
    <row r="55" spans="1:21" ht="12.75" customHeight="1">
      <c r="A55" s="4"/>
      <c r="B55" s="4"/>
      <c r="C55" s="4"/>
      <c r="D55" s="4"/>
      <c r="E55" s="4"/>
      <c r="F55" s="4"/>
      <c r="G55" s="4"/>
      <c r="H55" s="4"/>
      <c r="I55" s="4"/>
      <c r="J55" s="4"/>
      <c r="K55" s="4"/>
      <c r="L55" s="4"/>
      <c r="M55" s="4"/>
      <c r="N55" s="4"/>
      <c r="O55" s="4"/>
      <c r="P55" s="4"/>
      <c r="Q55" s="4"/>
      <c r="R55" s="4"/>
      <c r="S55" s="4"/>
      <c r="T55" s="4"/>
      <c r="U55" s="4"/>
    </row>
    <row r="56" spans="1:21" ht="12.75" customHeight="1">
      <c r="A56" s="4"/>
      <c r="B56" s="4"/>
      <c r="C56" s="4"/>
      <c r="D56" s="4"/>
      <c r="E56" s="4"/>
      <c r="F56" s="4"/>
      <c r="G56" s="4"/>
      <c r="H56" s="4"/>
      <c r="I56" s="4"/>
      <c r="J56" s="4"/>
      <c r="K56" s="4"/>
      <c r="L56" s="4"/>
      <c r="M56" s="4"/>
      <c r="N56" s="4"/>
      <c r="O56" s="4"/>
      <c r="P56" s="4"/>
      <c r="Q56" s="4"/>
      <c r="R56" s="4"/>
      <c r="S56" s="4"/>
      <c r="T56" s="4"/>
      <c r="U56" s="4"/>
    </row>
    <row r="57" spans="1:21" ht="12.75" customHeight="1">
      <c r="A57" s="4"/>
      <c r="B57" s="4"/>
      <c r="C57" s="4"/>
      <c r="D57" s="4"/>
      <c r="E57" s="4"/>
      <c r="F57" s="4"/>
      <c r="G57" s="4"/>
      <c r="H57" s="4"/>
      <c r="I57" s="4"/>
      <c r="J57" s="4"/>
      <c r="K57" s="4"/>
      <c r="L57" s="4"/>
      <c r="M57" s="4"/>
      <c r="N57" s="4"/>
      <c r="O57" s="4"/>
      <c r="P57" s="4"/>
      <c r="Q57" s="4"/>
      <c r="R57" s="4"/>
      <c r="S57" s="4"/>
      <c r="T57" s="4"/>
      <c r="U57" s="4"/>
    </row>
    <row r="58" spans="1:21" ht="12.75" customHeight="1">
      <c r="A58" s="4"/>
      <c r="B58" s="4"/>
      <c r="C58" s="4"/>
      <c r="D58" s="4"/>
      <c r="E58" s="4"/>
      <c r="F58" s="4"/>
      <c r="G58" s="4"/>
      <c r="H58" s="4"/>
      <c r="I58" s="4"/>
      <c r="J58" s="4"/>
      <c r="K58" s="4"/>
      <c r="L58" s="4"/>
      <c r="M58" s="4"/>
      <c r="N58" s="4"/>
      <c r="O58" s="4"/>
      <c r="P58" s="4"/>
      <c r="Q58" s="4"/>
      <c r="R58" s="4"/>
      <c r="S58" s="4"/>
      <c r="T58" s="4"/>
      <c r="U58" s="4"/>
    </row>
    <row r="59" spans="1:21" ht="12.75" customHeight="1">
      <c r="A59" s="4"/>
      <c r="B59" s="4"/>
      <c r="C59" s="4"/>
      <c r="D59" s="4"/>
      <c r="E59" s="4"/>
      <c r="F59" s="4"/>
      <c r="G59" s="4"/>
      <c r="H59" s="4"/>
      <c r="I59" s="4"/>
      <c r="J59" s="4"/>
      <c r="K59" s="4"/>
      <c r="L59" s="4"/>
      <c r="M59" s="4"/>
      <c r="N59" s="4"/>
      <c r="O59" s="4"/>
      <c r="P59" s="4"/>
      <c r="Q59" s="4"/>
      <c r="R59" s="4"/>
      <c r="S59" s="4"/>
      <c r="T59" s="4"/>
      <c r="U59" s="4"/>
    </row>
    <row r="60" spans="1:21" ht="12.75" customHeight="1">
      <c r="A60" s="4"/>
      <c r="B60" s="4"/>
      <c r="C60" s="4"/>
      <c r="D60" s="4"/>
      <c r="E60" s="4"/>
      <c r="F60" s="4"/>
      <c r="G60" s="4"/>
      <c r="H60" s="4"/>
      <c r="I60" s="4"/>
      <c r="J60" s="4"/>
      <c r="K60" s="4"/>
      <c r="L60" s="4"/>
      <c r="M60" s="4"/>
      <c r="N60" s="4"/>
      <c r="O60" s="4"/>
      <c r="P60" s="4"/>
      <c r="Q60" s="4"/>
      <c r="R60" s="4"/>
      <c r="S60" s="4"/>
      <c r="T60" s="4"/>
      <c r="U60" s="4"/>
    </row>
    <row r="61" spans="1:21" ht="12.75" customHeight="1">
      <c r="A61" s="4"/>
      <c r="B61" s="4"/>
      <c r="C61" s="4"/>
      <c r="D61" s="4"/>
      <c r="E61" s="4"/>
      <c r="F61" s="4"/>
      <c r="G61" s="4"/>
      <c r="H61" s="4"/>
      <c r="I61" s="4"/>
      <c r="J61" s="4"/>
      <c r="K61" s="4"/>
      <c r="L61" s="4"/>
      <c r="M61" s="4"/>
      <c r="N61" s="4"/>
      <c r="O61" s="4"/>
      <c r="P61" s="4"/>
      <c r="Q61" s="4"/>
      <c r="R61" s="4"/>
      <c r="S61" s="4"/>
      <c r="T61" s="4"/>
      <c r="U61" s="4"/>
    </row>
    <row r="62" spans="1:21" ht="12.75" customHeight="1">
      <c r="A62" s="4"/>
      <c r="B62" s="4"/>
      <c r="C62" s="4"/>
      <c r="D62" s="4"/>
      <c r="E62" s="4"/>
      <c r="F62" s="4"/>
      <c r="G62" s="4"/>
      <c r="H62" s="4"/>
      <c r="I62" s="4"/>
      <c r="J62" s="4"/>
      <c r="K62" s="4"/>
      <c r="L62" s="4"/>
      <c r="M62" s="4"/>
      <c r="N62" s="4"/>
      <c r="O62" s="4"/>
      <c r="P62" s="4"/>
      <c r="Q62" s="4"/>
      <c r="R62" s="4"/>
      <c r="S62" s="4"/>
      <c r="T62" s="4"/>
      <c r="U62" s="4"/>
    </row>
    <row r="63" spans="1:21" ht="12.75" customHeight="1">
      <c r="A63" s="4"/>
      <c r="B63" s="4"/>
      <c r="C63" s="4"/>
      <c r="D63" s="4"/>
      <c r="E63" s="4"/>
      <c r="F63" s="4"/>
      <c r="G63" s="4"/>
      <c r="H63" s="4"/>
      <c r="I63" s="4"/>
      <c r="J63" s="4"/>
      <c r="K63" s="4"/>
      <c r="L63" s="4"/>
      <c r="M63" s="4"/>
      <c r="N63" s="4"/>
      <c r="O63" s="4"/>
      <c r="P63" s="4"/>
      <c r="Q63" s="4"/>
      <c r="R63" s="4"/>
      <c r="S63" s="4"/>
      <c r="T63" s="4"/>
      <c r="U63" s="4"/>
    </row>
    <row r="64" spans="1:21" ht="12.75" customHeight="1">
      <c r="A64" s="4"/>
      <c r="B64" s="4"/>
      <c r="C64" s="4"/>
      <c r="D64" s="4"/>
      <c r="E64" s="4"/>
      <c r="F64" s="4"/>
      <c r="G64" s="4"/>
      <c r="H64" s="4"/>
      <c r="I64" s="4"/>
      <c r="J64" s="4"/>
      <c r="K64" s="4"/>
      <c r="L64" s="4"/>
      <c r="M64" s="4"/>
      <c r="N64" s="4"/>
      <c r="O64" s="4"/>
      <c r="P64" s="4"/>
      <c r="Q64" s="4"/>
      <c r="R64" s="4"/>
      <c r="S64" s="4"/>
      <c r="T64" s="4"/>
      <c r="U64" s="4"/>
    </row>
    <row r="65" spans="1:21" ht="12.75" customHeight="1">
      <c r="A65" s="4"/>
      <c r="B65" s="4"/>
      <c r="C65" s="4"/>
      <c r="D65" s="4"/>
      <c r="E65" s="4"/>
      <c r="F65" s="4"/>
      <c r="G65" s="4"/>
      <c r="H65" s="4"/>
      <c r="I65" s="4"/>
      <c r="J65" s="4"/>
      <c r="K65" s="4"/>
      <c r="L65" s="4"/>
      <c r="M65" s="4"/>
      <c r="N65" s="4"/>
      <c r="O65" s="4"/>
      <c r="P65" s="4"/>
      <c r="Q65" s="4"/>
      <c r="R65" s="4"/>
      <c r="S65" s="4"/>
      <c r="T65" s="4"/>
      <c r="U65" s="4"/>
    </row>
    <row r="66" spans="1:21" ht="12.75" customHeight="1">
      <c r="A66" s="4"/>
      <c r="B66" s="4"/>
      <c r="C66" s="4"/>
      <c r="D66" s="4"/>
      <c r="E66" s="4"/>
      <c r="F66" s="4"/>
      <c r="G66" s="4"/>
      <c r="H66" s="4"/>
      <c r="I66" s="4"/>
      <c r="J66" s="4"/>
      <c r="K66" s="4"/>
      <c r="L66" s="4"/>
      <c r="M66" s="4"/>
      <c r="N66" s="4"/>
      <c r="O66" s="4"/>
      <c r="P66" s="4"/>
      <c r="Q66" s="4"/>
      <c r="R66" s="4"/>
      <c r="S66" s="4"/>
      <c r="T66" s="4"/>
      <c r="U66" s="4"/>
    </row>
    <row r="67" spans="1:21" ht="12.75" customHeight="1">
      <c r="A67" s="4"/>
      <c r="B67" s="4"/>
      <c r="C67" s="4"/>
      <c r="D67" s="4"/>
      <c r="E67" s="4"/>
      <c r="F67" s="4"/>
      <c r="G67" s="4"/>
      <c r="H67" s="4"/>
      <c r="I67" s="4"/>
      <c r="J67" s="4"/>
      <c r="K67" s="4"/>
      <c r="L67" s="4"/>
      <c r="M67" s="4"/>
      <c r="N67" s="4"/>
      <c r="O67" s="4"/>
      <c r="P67" s="4"/>
      <c r="Q67" s="4"/>
      <c r="R67" s="4"/>
      <c r="S67" s="4"/>
      <c r="T67" s="4"/>
      <c r="U67" s="4"/>
    </row>
    <row r="68" spans="1:21" ht="12.75" customHeight="1">
      <c r="A68" s="4"/>
      <c r="B68" s="4"/>
      <c r="C68" s="4"/>
      <c r="D68" s="4"/>
      <c r="E68" s="4"/>
      <c r="F68" s="4"/>
      <c r="G68" s="4"/>
      <c r="H68" s="4"/>
      <c r="I68" s="4"/>
      <c r="J68" s="4"/>
      <c r="K68" s="4"/>
      <c r="L68" s="4"/>
      <c r="M68" s="4"/>
      <c r="N68" s="4"/>
      <c r="O68" s="4"/>
      <c r="P68" s="4"/>
      <c r="Q68" s="4"/>
      <c r="R68" s="4"/>
      <c r="S68" s="4"/>
      <c r="T68" s="4"/>
      <c r="U68" s="4"/>
    </row>
    <row r="69" spans="1:21" ht="12.75" customHeight="1">
      <c r="A69" s="4"/>
      <c r="B69" s="4"/>
      <c r="C69" s="4"/>
      <c r="D69" s="4"/>
      <c r="E69" s="4"/>
      <c r="F69" s="4"/>
      <c r="G69" s="4"/>
      <c r="H69" s="4"/>
      <c r="I69" s="4"/>
      <c r="J69" s="4"/>
      <c r="K69" s="4"/>
      <c r="L69" s="4"/>
      <c r="M69" s="4"/>
      <c r="N69" s="4"/>
      <c r="O69" s="4"/>
      <c r="P69" s="4"/>
      <c r="Q69" s="4"/>
      <c r="R69" s="4"/>
      <c r="S69" s="4"/>
      <c r="T69" s="4"/>
      <c r="U69" s="4"/>
    </row>
    <row r="70" spans="1:21" ht="12.75" customHeight="1">
      <c r="A70" s="4"/>
      <c r="B70" s="4"/>
      <c r="C70" s="4"/>
      <c r="D70" s="4"/>
      <c r="E70" s="4"/>
      <c r="F70" s="4"/>
      <c r="G70" s="4"/>
      <c r="H70" s="4"/>
      <c r="I70" s="4"/>
      <c r="J70" s="4"/>
      <c r="K70" s="4"/>
      <c r="L70" s="4"/>
      <c r="M70" s="4"/>
      <c r="N70" s="4"/>
      <c r="O70" s="4"/>
      <c r="P70" s="4"/>
      <c r="Q70" s="4"/>
      <c r="R70" s="4"/>
      <c r="S70" s="4"/>
      <c r="T70" s="4"/>
      <c r="U70" s="4"/>
    </row>
    <row r="71" spans="1:21" ht="12.75" customHeight="1">
      <c r="A71" s="4"/>
      <c r="B71" s="4"/>
      <c r="C71" s="4"/>
      <c r="D71" s="4"/>
      <c r="E71" s="4"/>
      <c r="F71" s="4"/>
      <c r="G71" s="4"/>
      <c r="H71" s="4"/>
      <c r="I71" s="4"/>
      <c r="J71" s="4"/>
      <c r="K71" s="4"/>
      <c r="L71" s="4"/>
      <c r="M71" s="4"/>
      <c r="N71" s="4"/>
      <c r="O71" s="4"/>
      <c r="P71" s="4"/>
      <c r="Q71" s="4"/>
      <c r="R71" s="4"/>
      <c r="S71" s="4"/>
      <c r="T71" s="4"/>
      <c r="U71" s="4"/>
    </row>
    <row r="72" spans="1:21" ht="12.75" customHeight="1">
      <c r="A72" s="4"/>
      <c r="B72" s="4"/>
      <c r="C72" s="4"/>
      <c r="D72" s="4"/>
      <c r="E72" s="4"/>
      <c r="F72" s="4"/>
      <c r="G72" s="4"/>
      <c r="H72" s="4"/>
      <c r="I72" s="4"/>
      <c r="J72" s="4"/>
      <c r="K72" s="4"/>
      <c r="L72" s="4"/>
      <c r="M72" s="4"/>
      <c r="N72" s="4"/>
      <c r="O72" s="4"/>
      <c r="P72" s="4"/>
      <c r="Q72" s="4"/>
      <c r="R72" s="4"/>
      <c r="S72" s="4"/>
      <c r="T72" s="4"/>
      <c r="U72" s="4"/>
    </row>
    <row r="73" spans="1:21" ht="12.75" customHeight="1">
      <c r="A73" s="4"/>
      <c r="B73" s="4"/>
      <c r="C73" s="4"/>
      <c r="D73" s="4"/>
      <c r="E73" s="4"/>
      <c r="F73" s="4"/>
      <c r="G73" s="4"/>
      <c r="H73" s="4"/>
      <c r="I73" s="4"/>
      <c r="J73" s="4"/>
      <c r="K73" s="4"/>
      <c r="L73" s="4"/>
      <c r="M73" s="4"/>
      <c r="N73" s="4"/>
      <c r="O73" s="4"/>
      <c r="P73" s="4"/>
      <c r="Q73" s="4"/>
      <c r="R73" s="4"/>
      <c r="S73" s="4"/>
      <c r="T73" s="4"/>
      <c r="U73" s="4"/>
    </row>
    <row r="74" spans="1:21" ht="12.75" customHeight="1">
      <c r="A74" s="4"/>
      <c r="B74" s="4"/>
      <c r="C74" s="4"/>
      <c r="D74" s="4"/>
      <c r="E74" s="4"/>
      <c r="F74" s="4"/>
      <c r="G74" s="4"/>
      <c r="H74" s="4"/>
      <c r="I74" s="4"/>
      <c r="J74" s="4"/>
      <c r="K74" s="4"/>
      <c r="L74" s="4"/>
      <c r="M74" s="4"/>
      <c r="N74" s="4"/>
      <c r="O74" s="4"/>
      <c r="P74" s="4"/>
      <c r="Q74" s="4"/>
      <c r="R74" s="4"/>
      <c r="S74" s="4"/>
      <c r="T74" s="4"/>
      <c r="U74" s="4"/>
    </row>
    <row r="75" spans="1:21" ht="12.75" customHeight="1">
      <c r="A75" s="4"/>
      <c r="B75" s="4"/>
      <c r="C75" s="4"/>
      <c r="D75" s="4"/>
      <c r="E75" s="4"/>
      <c r="F75" s="4"/>
      <c r="G75" s="4"/>
      <c r="H75" s="4"/>
      <c r="I75" s="4"/>
      <c r="J75" s="4"/>
      <c r="K75" s="4"/>
      <c r="L75" s="4"/>
      <c r="M75" s="4"/>
      <c r="N75" s="4"/>
      <c r="O75" s="4"/>
      <c r="P75" s="4"/>
      <c r="Q75" s="4"/>
      <c r="R75" s="4"/>
      <c r="S75" s="4"/>
      <c r="T75" s="4"/>
      <c r="U75" s="4"/>
    </row>
    <row r="76" spans="1:21" ht="12.75" customHeight="1">
      <c r="A76" s="4"/>
      <c r="B76" s="4"/>
      <c r="C76" s="4"/>
      <c r="D76" s="4"/>
      <c r="E76" s="4"/>
      <c r="F76" s="4"/>
      <c r="G76" s="4"/>
      <c r="H76" s="4"/>
      <c r="I76" s="4"/>
      <c r="J76" s="4"/>
      <c r="K76" s="4"/>
      <c r="L76" s="4"/>
      <c r="M76" s="4"/>
      <c r="N76" s="4"/>
      <c r="O76" s="4"/>
      <c r="P76" s="4"/>
      <c r="Q76" s="4"/>
      <c r="R76" s="4"/>
      <c r="S76" s="4"/>
      <c r="T76" s="4"/>
      <c r="U76" s="4"/>
    </row>
    <row r="77" spans="1:21" ht="12.75" customHeight="1">
      <c r="A77" s="4"/>
      <c r="B77" s="4"/>
      <c r="C77" s="4"/>
      <c r="D77" s="4"/>
      <c r="E77" s="4"/>
      <c r="F77" s="4"/>
      <c r="G77" s="4"/>
      <c r="H77" s="4"/>
      <c r="I77" s="4"/>
      <c r="J77" s="4"/>
      <c r="K77" s="4"/>
      <c r="L77" s="4"/>
      <c r="M77" s="4"/>
      <c r="N77" s="4"/>
      <c r="O77" s="4"/>
      <c r="P77" s="4"/>
      <c r="Q77" s="4"/>
      <c r="R77" s="4"/>
      <c r="S77" s="4"/>
      <c r="T77" s="4"/>
      <c r="U77" s="4"/>
    </row>
    <row r="78" spans="1:21" ht="12.75" customHeight="1">
      <c r="A78" s="4"/>
      <c r="B78" s="4"/>
      <c r="C78" s="4"/>
      <c r="D78" s="4"/>
      <c r="E78" s="4"/>
      <c r="F78" s="4"/>
      <c r="G78" s="4"/>
      <c r="H78" s="4"/>
      <c r="I78" s="4"/>
      <c r="J78" s="4"/>
      <c r="K78" s="4"/>
      <c r="L78" s="4"/>
      <c r="M78" s="4"/>
      <c r="N78" s="4"/>
      <c r="O78" s="4"/>
      <c r="P78" s="4"/>
      <c r="Q78" s="4"/>
      <c r="R78" s="4"/>
      <c r="S78" s="4"/>
      <c r="T78" s="4"/>
      <c r="U78" s="4"/>
    </row>
    <row r="79" spans="1:21" ht="12.75" customHeight="1">
      <c r="A79" s="4"/>
      <c r="B79" s="4"/>
      <c r="C79" s="4"/>
      <c r="D79" s="4"/>
      <c r="E79" s="4"/>
      <c r="F79" s="4"/>
      <c r="G79" s="4"/>
      <c r="H79" s="4"/>
      <c r="I79" s="4"/>
      <c r="J79" s="4"/>
      <c r="K79" s="4"/>
      <c r="L79" s="4"/>
      <c r="M79" s="4"/>
      <c r="N79" s="4"/>
      <c r="O79" s="4"/>
      <c r="P79" s="4"/>
      <c r="Q79" s="4"/>
      <c r="R79" s="4"/>
      <c r="S79" s="4"/>
      <c r="T79" s="4"/>
      <c r="U79" s="4"/>
    </row>
    <row r="80" spans="1:21" ht="12.75" customHeight="1">
      <c r="A80" s="4"/>
      <c r="B80" s="4"/>
      <c r="C80" s="4"/>
      <c r="D80" s="4"/>
      <c r="E80" s="4"/>
      <c r="F80" s="4"/>
      <c r="G80" s="4"/>
      <c r="H80" s="4"/>
      <c r="I80" s="4"/>
      <c r="J80" s="4"/>
      <c r="K80" s="4"/>
      <c r="L80" s="4"/>
      <c r="M80" s="4"/>
      <c r="N80" s="4"/>
      <c r="O80" s="4"/>
      <c r="P80" s="4"/>
      <c r="Q80" s="4"/>
      <c r="R80" s="4"/>
      <c r="S80" s="4"/>
      <c r="T80" s="4"/>
      <c r="U80" s="4"/>
    </row>
    <row r="81" spans="1:21" ht="12.75" customHeight="1">
      <c r="A81" s="4"/>
      <c r="B81" s="4"/>
      <c r="C81" s="4"/>
      <c r="D81" s="4"/>
      <c r="E81" s="4"/>
      <c r="F81" s="4"/>
      <c r="G81" s="4"/>
      <c r="H81" s="4"/>
      <c r="I81" s="4"/>
      <c r="J81" s="4"/>
      <c r="K81" s="4"/>
      <c r="L81" s="4"/>
      <c r="M81" s="4"/>
      <c r="N81" s="4"/>
      <c r="O81" s="4"/>
      <c r="P81" s="4"/>
      <c r="Q81" s="4"/>
      <c r="R81" s="4"/>
      <c r="S81" s="4"/>
      <c r="T81" s="4"/>
      <c r="U81" s="4"/>
    </row>
    <row r="82" spans="1:21" ht="12.75" customHeight="1">
      <c r="A82" s="4"/>
      <c r="B82" s="4"/>
      <c r="C82" s="4"/>
      <c r="D82" s="4"/>
      <c r="E82" s="4"/>
      <c r="F82" s="4"/>
      <c r="G82" s="4"/>
      <c r="H82" s="4"/>
      <c r="I82" s="4"/>
      <c r="J82" s="4"/>
      <c r="K82" s="4"/>
      <c r="L82" s="4"/>
      <c r="M82" s="4"/>
      <c r="N82" s="4"/>
      <c r="O82" s="4"/>
      <c r="P82" s="4"/>
      <c r="Q82" s="4"/>
      <c r="R82" s="4"/>
      <c r="S82" s="4"/>
      <c r="T82" s="4"/>
      <c r="U82" s="4"/>
    </row>
    <row r="83" spans="1:21" ht="12.75" customHeight="1">
      <c r="A83" s="4"/>
      <c r="B83" s="4"/>
      <c r="C83" s="4"/>
      <c r="D83" s="4"/>
      <c r="E83" s="4"/>
      <c r="F83" s="4"/>
      <c r="G83" s="4"/>
      <c r="H83" s="4"/>
      <c r="I83" s="4"/>
      <c r="J83" s="4"/>
      <c r="K83" s="4"/>
      <c r="L83" s="4"/>
      <c r="M83" s="4"/>
      <c r="N83" s="4"/>
      <c r="O83" s="4"/>
      <c r="P83" s="4"/>
      <c r="Q83" s="4"/>
      <c r="R83" s="4"/>
      <c r="S83" s="4"/>
      <c r="T83" s="4"/>
      <c r="U83" s="4"/>
    </row>
    <row r="84" spans="1:21" ht="12.75" customHeight="1">
      <c r="A84" s="4"/>
      <c r="B84" s="4"/>
      <c r="C84" s="4"/>
      <c r="D84" s="4"/>
      <c r="E84" s="4"/>
      <c r="F84" s="4"/>
      <c r="G84" s="4"/>
      <c r="H84" s="4"/>
      <c r="I84" s="4"/>
      <c r="J84" s="4"/>
      <c r="K84" s="4"/>
      <c r="L84" s="4"/>
      <c r="M84" s="4"/>
      <c r="N84" s="4"/>
      <c r="O84" s="4"/>
      <c r="P84" s="4"/>
      <c r="Q84" s="4"/>
      <c r="R84" s="4"/>
      <c r="S84" s="4"/>
      <c r="T84" s="4"/>
      <c r="U84" s="4"/>
    </row>
    <row r="85" spans="1:21" ht="12.75" customHeight="1">
      <c r="A85" s="4"/>
      <c r="B85" s="4"/>
      <c r="C85" s="4"/>
      <c r="D85" s="4"/>
      <c r="E85" s="4"/>
      <c r="F85" s="4"/>
      <c r="G85" s="4"/>
      <c r="H85" s="4"/>
      <c r="I85" s="4"/>
      <c r="J85" s="4"/>
      <c r="K85" s="4"/>
      <c r="L85" s="4"/>
      <c r="M85" s="4"/>
      <c r="N85" s="4"/>
      <c r="O85" s="4"/>
      <c r="P85" s="4"/>
      <c r="Q85" s="4"/>
      <c r="R85" s="4"/>
      <c r="S85" s="4"/>
      <c r="T85" s="4"/>
      <c r="U85" s="4"/>
    </row>
    <row r="86" spans="1:21" ht="12.75" customHeight="1">
      <c r="A86" s="4"/>
      <c r="B86" s="4"/>
      <c r="C86" s="4"/>
      <c r="D86" s="4"/>
      <c r="E86" s="4"/>
      <c r="F86" s="4"/>
      <c r="G86" s="4"/>
      <c r="H86" s="4"/>
      <c r="I86" s="4"/>
      <c r="J86" s="4"/>
      <c r="K86" s="4"/>
      <c r="L86" s="4"/>
      <c r="M86" s="4"/>
      <c r="N86" s="4"/>
      <c r="O86" s="4"/>
      <c r="P86" s="4"/>
      <c r="Q86" s="4"/>
      <c r="R86" s="4"/>
      <c r="S86" s="4"/>
      <c r="T86" s="4"/>
      <c r="U86" s="4"/>
    </row>
    <row r="87" spans="1:21" ht="12.75" customHeight="1">
      <c r="A87" s="4"/>
      <c r="B87" s="4"/>
      <c r="C87" s="4"/>
      <c r="D87" s="4"/>
      <c r="E87" s="4"/>
      <c r="F87" s="4"/>
      <c r="G87" s="4"/>
      <c r="H87" s="4"/>
      <c r="I87" s="4"/>
      <c r="J87" s="4"/>
      <c r="K87" s="4"/>
      <c r="L87" s="4"/>
      <c r="M87" s="4"/>
      <c r="N87" s="4"/>
      <c r="O87" s="4"/>
      <c r="P87" s="4"/>
      <c r="Q87" s="4"/>
      <c r="R87" s="4"/>
      <c r="S87" s="4"/>
      <c r="T87" s="4"/>
      <c r="U87" s="4"/>
    </row>
    <row r="88" spans="1:21" ht="12.75" customHeight="1">
      <c r="A88" s="4"/>
      <c r="B88" s="4"/>
      <c r="C88" s="4"/>
      <c r="D88" s="4"/>
      <c r="E88" s="4"/>
      <c r="F88" s="4"/>
      <c r="G88" s="4"/>
      <c r="H88" s="4"/>
      <c r="I88" s="4"/>
      <c r="J88" s="4"/>
      <c r="K88" s="4"/>
      <c r="L88" s="4"/>
      <c r="M88" s="4"/>
      <c r="N88" s="4"/>
      <c r="O88" s="4"/>
      <c r="P88" s="4"/>
      <c r="Q88" s="4"/>
      <c r="R88" s="4"/>
      <c r="S88" s="4"/>
      <c r="T88" s="4"/>
      <c r="U88" s="4"/>
    </row>
    <row r="89" spans="1:21" ht="12.75" customHeight="1">
      <c r="A89" s="4"/>
      <c r="B89" s="4"/>
      <c r="C89" s="4"/>
      <c r="D89" s="4"/>
      <c r="E89" s="4"/>
      <c r="F89" s="4"/>
      <c r="G89" s="4"/>
      <c r="H89" s="4"/>
      <c r="I89" s="4"/>
      <c r="J89" s="4"/>
      <c r="K89" s="4"/>
      <c r="L89" s="4"/>
      <c r="M89" s="4"/>
      <c r="N89" s="4"/>
      <c r="O89" s="4"/>
      <c r="P89" s="4"/>
      <c r="Q89" s="4"/>
      <c r="R89" s="4"/>
      <c r="S89" s="4"/>
      <c r="T89" s="4"/>
      <c r="U89" s="4"/>
    </row>
    <row r="90" spans="1:21" ht="12.75" customHeight="1">
      <c r="A90" s="4"/>
      <c r="B90" s="4"/>
      <c r="C90" s="4"/>
      <c r="D90" s="4"/>
      <c r="E90" s="4"/>
      <c r="F90" s="4"/>
      <c r="G90" s="4"/>
      <c r="H90" s="4"/>
      <c r="I90" s="4"/>
      <c r="J90" s="4"/>
      <c r="K90" s="4"/>
      <c r="L90" s="4"/>
      <c r="M90" s="4"/>
      <c r="N90" s="4"/>
      <c r="O90" s="4"/>
      <c r="P90" s="4"/>
      <c r="Q90" s="4"/>
      <c r="R90" s="4"/>
      <c r="S90" s="4"/>
      <c r="T90" s="4"/>
      <c r="U90" s="4"/>
    </row>
    <row r="91" spans="1:21" ht="12.75" customHeight="1">
      <c r="A91" s="4"/>
      <c r="B91" s="4"/>
      <c r="C91" s="4"/>
      <c r="D91" s="4"/>
      <c r="E91" s="4"/>
      <c r="F91" s="4"/>
      <c r="G91" s="4"/>
      <c r="H91" s="4"/>
      <c r="I91" s="4"/>
      <c r="J91" s="4"/>
      <c r="K91" s="4"/>
      <c r="L91" s="4"/>
      <c r="M91" s="4"/>
      <c r="N91" s="4"/>
      <c r="O91" s="4"/>
      <c r="P91" s="4"/>
      <c r="Q91" s="4"/>
      <c r="R91" s="4"/>
      <c r="S91" s="4"/>
      <c r="T91" s="4"/>
      <c r="U91" s="4"/>
    </row>
    <row r="92" spans="1:21" ht="12.75" customHeight="1">
      <c r="A92" s="4"/>
      <c r="B92" s="4"/>
      <c r="C92" s="4"/>
      <c r="D92" s="4"/>
      <c r="E92" s="4"/>
      <c r="F92" s="4"/>
      <c r="G92" s="4"/>
      <c r="H92" s="4"/>
      <c r="I92" s="4"/>
      <c r="J92" s="4"/>
      <c r="K92" s="4"/>
      <c r="L92" s="4"/>
      <c r="M92" s="4"/>
      <c r="N92" s="4"/>
      <c r="O92" s="4"/>
      <c r="P92" s="4"/>
      <c r="Q92" s="4"/>
      <c r="R92" s="4"/>
      <c r="S92" s="4"/>
      <c r="T92" s="4"/>
      <c r="U92" s="4"/>
    </row>
    <row r="93" spans="1:21" ht="12.75" customHeight="1">
      <c r="A93" s="4"/>
      <c r="B93" s="4"/>
      <c r="C93" s="4"/>
      <c r="D93" s="4"/>
      <c r="E93" s="4"/>
      <c r="F93" s="4"/>
      <c r="G93" s="4"/>
      <c r="H93" s="4"/>
      <c r="I93" s="4"/>
      <c r="J93" s="4"/>
      <c r="K93" s="4"/>
      <c r="L93" s="4"/>
      <c r="M93" s="4"/>
      <c r="N93" s="4"/>
      <c r="O93" s="4"/>
      <c r="P93" s="4"/>
      <c r="Q93" s="4"/>
      <c r="R93" s="4"/>
      <c r="S93" s="4"/>
      <c r="T93" s="4"/>
      <c r="U93" s="4"/>
    </row>
    <row r="94" spans="1:21" ht="12.75" customHeight="1">
      <c r="A94" s="4"/>
      <c r="B94" s="4"/>
      <c r="C94" s="4"/>
      <c r="D94" s="4"/>
      <c r="E94" s="4"/>
      <c r="F94" s="4"/>
      <c r="G94" s="4"/>
      <c r="H94" s="4"/>
      <c r="I94" s="4"/>
      <c r="J94" s="4"/>
      <c r="K94" s="4"/>
      <c r="L94" s="4"/>
      <c r="M94" s="4"/>
      <c r="N94" s="4"/>
      <c r="O94" s="4"/>
      <c r="P94" s="4"/>
      <c r="Q94" s="4"/>
      <c r="R94" s="4"/>
      <c r="S94" s="4"/>
      <c r="T94" s="4"/>
      <c r="U94" s="4"/>
    </row>
    <row r="95" spans="1:21" ht="12.75" customHeight="1">
      <c r="A95" s="4"/>
      <c r="B95" s="4"/>
      <c r="C95" s="4"/>
      <c r="D95" s="4"/>
      <c r="E95" s="4"/>
      <c r="F95" s="4"/>
      <c r="G95" s="4"/>
      <c r="H95" s="4"/>
      <c r="I95" s="4"/>
      <c r="J95" s="4"/>
      <c r="K95" s="4"/>
      <c r="L95" s="4"/>
      <c r="M95" s="4"/>
      <c r="N95" s="4"/>
      <c r="O95" s="4"/>
      <c r="P95" s="4"/>
      <c r="Q95" s="4"/>
      <c r="R95" s="4"/>
      <c r="S95" s="4"/>
      <c r="T95" s="4"/>
      <c r="U95" s="4"/>
    </row>
    <row r="96" spans="1:21" ht="12.75" customHeight="1">
      <c r="A96" s="4"/>
      <c r="B96" s="4"/>
      <c r="C96" s="4"/>
      <c r="D96" s="4"/>
      <c r="E96" s="4"/>
      <c r="F96" s="4"/>
      <c r="G96" s="4"/>
      <c r="H96" s="4"/>
      <c r="I96" s="4"/>
      <c r="J96" s="4"/>
      <c r="K96" s="4"/>
      <c r="L96" s="4"/>
      <c r="M96" s="4"/>
      <c r="N96" s="4"/>
      <c r="O96" s="4"/>
      <c r="P96" s="4"/>
      <c r="Q96" s="4"/>
      <c r="R96" s="4"/>
      <c r="S96" s="4"/>
      <c r="T96" s="4"/>
      <c r="U96" s="4"/>
    </row>
    <row r="97" spans="1:21" ht="12.75" customHeight="1">
      <c r="A97" s="4"/>
      <c r="B97" s="4"/>
      <c r="C97" s="4"/>
      <c r="D97" s="4"/>
      <c r="E97" s="4"/>
      <c r="F97" s="4"/>
      <c r="G97" s="4"/>
      <c r="H97" s="4"/>
      <c r="I97" s="4"/>
      <c r="J97" s="4"/>
      <c r="K97" s="4"/>
      <c r="L97" s="4"/>
      <c r="M97" s="4"/>
      <c r="N97" s="4"/>
      <c r="O97" s="4"/>
      <c r="P97" s="4"/>
      <c r="Q97" s="4"/>
      <c r="R97" s="4"/>
      <c r="S97" s="4"/>
      <c r="T97" s="4"/>
      <c r="U97" s="4"/>
    </row>
    <row r="98" spans="1:21" ht="12.75" customHeight="1">
      <c r="A98" s="4"/>
      <c r="B98" s="4"/>
      <c r="C98" s="4"/>
      <c r="D98" s="4"/>
      <c r="E98" s="4"/>
      <c r="F98" s="4"/>
      <c r="G98" s="4"/>
      <c r="H98" s="4"/>
      <c r="I98" s="4"/>
      <c r="J98" s="4"/>
      <c r="K98" s="4"/>
      <c r="L98" s="4"/>
      <c r="M98" s="4"/>
      <c r="N98" s="4"/>
      <c r="O98" s="4"/>
      <c r="P98" s="4"/>
      <c r="Q98" s="4"/>
      <c r="R98" s="4"/>
      <c r="S98" s="4"/>
      <c r="T98" s="4"/>
      <c r="U98" s="4"/>
    </row>
    <row r="99" spans="1:21" ht="12.75" customHeight="1">
      <c r="A99" s="4"/>
      <c r="B99" s="4"/>
      <c r="C99" s="4"/>
      <c r="D99" s="4"/>
      <c r="E99" s="4"/>
      <c r="F99" s="4"/>
      <c r="G99" s="4"/>
      <c r="H99" s="4"/>
      <c r="I99" s="4"/>
      <c r="J99" s="4"/>
      <c r="K99" s="4"/>
      <c r="L99" s="4"/>
      <c r="M99" s="4"/>
      <c r="N99" s="4"/>
      <c r="O99" s="4"/>
      <c r="P99" s="4"/>
      <c r="Q99" s="4"/>
      <c r="R99" s="4"/>
      <c r="S99" s="4"/>
      <c r="T99" s="4"/>
      <c r="U99" s="4"/>
    </row>
    <row r="100" spans="1:21" ht="12.75" customHeight="1">
      <c r="A100" s="4"/>
      <c r="B100" s="4"/>
      <c r="C100" s="4"/>
      <c r="D100" s="4"/>
      <c r="E100" s="4"/>
      <c r="F100" s="4"/>
      <c r="G100" s="4"/>
      <c r="H100" s="4"/>
      <c r="I100" s="4"/>
      <c r="J100" s="4"/>
      <c r="K100" s="4"/>
      <c r="L100" s="4"/>
      <c r="M100" s="4"/>
      <c r="N100" s="4"/>
      <c r="O100" s="4"/>
      <c r="P100" s="4"/>
      <c r="Q100" s="4"/>
      <c r="R100" s="4"/>
      <c r="S100" s="4"/>
      <c r="T100" s="4"/>
      <c r="U100" s="4"/>
    </row>
  </sheetData>
  <customSheetViews>
    <customSheetView guid="{617856E6-44D1-4ADD-8CA5-796514BA6839}">
      <pageMargins left="0.7" right="0.7" top="0.75" bottom="0.75" header="0.3" footer="0.3"/>
    </customSheetView>
  </customSheetView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G19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25" customWidth="1"/>
    <col min="6" max="6" width="26.42578125" customWidth="1"/>
    <col min="7" max="7" width="17.28515625" customWidth="1"/>
  </cols>
  <sheetData>
    <row r="1" spans="1:6">
      <c r="A1" s="79" t="str">
        <f>HYPERLINK("http://en.wikipedia.org/wiki/Colorado","Colorado")</f>
        <v>Colorado</v>
      </c>
      <c r="B1" s="79" t="s">
        <v>147</v>
      </c>
      <c r="C1" s="79" t="s">
        <v>148</v>
      </c>
      <c r="D1" s="79" t="s">
        <v>182</v>
      </c>
      <c r="E1" s="46"/>
    </row>
    <row r="2" spans="1:6">
      <c r="A2" s="67" t="s">
        <v>2889</v>
      </c>
      <c r="B2" s="67" t="s">
        <v>2890</v>
      </c>
      <c r="C2" t="s">
        <v>2891</v>
      </c>
      <c r="D2" s="67" t="s">
        <v>2892</v>
      </c>
    </row>
    <row r="3" spans="1:6">
      <c r="A3" s="67" t="s">
        <v>2893</v>
      </c>
      <c r="B3" t="s">
        <v>2894</v>
      </c>
      <c r="C3" t="s">
        <v>2895</v>
      </c>
      <c r="D3" s="67" t="str">
        <f>HYPERLINK("http://www.coemergency.com/","Colorado Emergency")</f>
        <v>Colorado Emergency</v>
      </c>
      <c r="E3" t="str">
        <f>HYPERLINK("http://www.dhsem.state.co.us/emergency-management/mitigation-recovery/local-emergency-managers","Local EM Contact Information")</f>
        <v>Local EM Contact Information</v>
      </c>
    </row>
    <row r="4" spans="1:6">
      <c r="A4" s="67" t="s">
        <v>2896</v>
      </c>
      <c r="B4" t="s">
        <v>2894</v>
      </c>
      <c r="C4" t="s">
        <v>2895</v>
      </c>
      <c r="D4" s="67" t="s">
        <v>2897</v>
      </c>
    </row>
    <row r="5" spans="1:6">
      <c r="A5" s="67" t="s">
        <v>2898</v>
      </c>
      <c r="D5" s="67" t="s">
        <v>2899</v>
      </c>
    </row>
    <row r="6" spans="1:6">
      <c r="A6" t="s">
        <v>2900</v>
      </c>
      <c r="B6" s="67" t="s">
        <v>2901</v>
      </c>
      <c r="C6" t="s">
        <v>2902</v>
      </c>
      <c r="D6" t="s">
        <v>2903</v>
      </c>
    </row>
    <row r="7" spans="1:6">
      <c r="A7" t="s">
        <v>2904</v>
      </c>
      <c r="B7" s="67" t="s">
        <v>2905</v>
      </c>
      <c r="C7" t="s">
        <v>2906</v>
      </c>
      <c r="D7" t="s">
        <v>2907</v>
      </c>
      <c r="E7" t="str">
        <f>HYPERLINK("http://www.cotrip.org/home.htm;jsessionid=5DA541713E48E336CF51C9D32FB9B720.node1","CO Road Conditions")</f>
        <v>CO Road Conditions</v>
      </c>
    </row>
    <row r="8" spans="1:6" ht="15" customHeight="1">
      <c r="A8" t="s">
        <v>2908</v>
      </c>
      <c r="D8" t="s">
        <v>2909</v>
      </c>
    </row>
    <row r="9" spans="1:6" ht="15" customHeight="1">
      <c r="A9" s="34" t="s">
        <v>2910</v>
      </c>
      <c r="D9" t="s">
        <v>2911</v>
      </c>
    </row>
    <row r="10" spans="1:6" ht="15" customHeight="1">
      <c r="A10" t="s">
        <v>2912</v>
      </c>
      <c r="B10" t="s">
        <v>2913</v>
      </c>
      <c r="C10" t="s">
        <v>2914</v>
      </c>
      <c r="D10" t="s">
        <v>2915</v>
      </c>
      <c r="E10" t="str">
        <f>HYPERLINK("http://www.cde.state.co.us/scripts/districtprofiles/k12schlwebsites.asp#districts","CO School District websites")</f>
        <v>CO School District websites</v>
      </c>
    </row>
    <row r="11" spans="1:6" ht="15" customHeight="1">
      <c r="A11" s="13" t="s">
        <v>1403</v>
      </c>
    </row>
    <row r="12" spans="1:6" ht="15" customHeight="1">
      <c r="A12" s="3" t="s">
        <v>181</v>
      </c>
      <c r="B12" s="3" t="s">
        <v>147</v>
      </c>
      <c r="C12" s="77" t="s">
        <v>148</v>
      </c>
      <c r="D12" s="77" t="s">
        <v>182</v>
      </c>
      <c r="E12" s="14" t="s">
        <v>183</v>
      </c>
      <c r="F12" s="61" t="s">
        <v>184</v>
      </c>
    </row>
    <row r="13" spans="1:6" ht="15" customHeight="1">
      <c r="A13" t="str">
        <f>HYPERLINK("http://en.wikipedia.org/wiki/Denver"," Denver")</f>
        <v xml:space="preserve"> Denver</v>
      </c>
      <c r="B13" t="s">
        <v>2916</v>
      </c>
      <c r="C13" s="34" t="s">
        <v>2917</v>
      </c>
      <c r="D13" s="34" t="s">
        <v>2918</v>
      </c>
      <c r="E13" s="55" t="str">
        <f>HYPERLINK("http://www.denvergov.org/Default.aspx?alias=www.denvergov.org/oem","Denver OEM")</f>
        <v>Denver OEM</v>
      </c>
      <c r="F13" s="34" t="s">
        <v>2919</v>
      </c>
    </row>
    <row r="14" spans="1:6" ht="15" customHeight="1">
      <c r="A14" t="str">
        <f>HYPERLINK("http://en.wikipedia.org/wiki/Colorado_Springs,_Colorado","Colorado Springs")</f>
        <v>Colorado Springs</v>
      </c>
      <c r="B14" t="s">
        <v>2920</v>
      </c>
      <c r="C14" s="34" t="s">
        <v>2921</v>
      </c>
      <c r="D14" s="34" t="s">
        <v>2922</v>
      </c>
      <c r="E14" s="55" t="str">
        <f>HYPERLINK("http://www.springsgov.com/SectionIndex.aspx?SectionID=33","Colorado springs OEM")</f>
        <v>Colorado springs OEM</v>
      </c>
      <c r="F14" s="34" t="s">
        <v>2923</v>
      </c>
    </row>
    <row r="15" spans="1:6" ht="15" customHeight="1">
      <c r="A15" t="str">
        <f>HYPERLINK("http://en.wikipedia.org/wiki/Aurora,_Colorado","Aurora")</f>
        <v>Aurora</v>
      </c>
      <c r="B15" t="s">
        <v>2924</v>
      </c>
      <c r="C15" s="34" t="s">
        <v>2925</v>
      </c>
      <c r="D15" s="34" t="s">
        <v>2926</v>
      </c>
      <c r="E15" s="55" t="str">
        <f>HYPERLINK("https://www.auroragov.org/LivingHere/PublicSafety/EmergencyPreparedness/index.htm","Aurora OEM")</f>
        <v>Aurora OEM</v>
      </c>
      <c r="F15" s="34" t="s">
        <v>2927</v>
      </c>
    </row>
    <row r="16" spans="1:6" ht="15" customHeight="1">
      <c r="A16" t="str">
        <f>HYPERLINK("http://en.wikipedia.org/wiki/Fort_Collins,_Colorado","Fort Collins")</f>
        <v>Fort Collins</v>
      </c>
      <c r="B16" t="s">
        <v>2928</v>
      </c>
      <c r="C16" s="34" t="s">
        <v>2929</v>
      </c>
      <c r="D16" s="34" t="s">
        <v>2930</v>
      </c>
      <c r="E16" s="55" t="str">
        <f>HYPERLINK("http://www.fcgov.com/oem/","Fort Collins OEM")</f>
        <v>Fort Collins OEM</v>
      </c>
      <c r="F16" s="34" t="s">
        <v>2931</v>
      </c>
    </row>
    <row r="17" spans="1:7" ht="15" customHeight="1">
      <c r="A17" t="str">
        <f>HYPERLINK("http://en.wikipedia.org/wiki/Lakewood,_Colorado","Lakewood")</f>
        <v>Lakewood</v>
      </c>
      <c r="B17" t="s">
        <v>2932</v>
      </c>
      <c r="C17" s="34" t="s">
        <v>2933</v>
      </c>
      <c r="D17" s="34" t="s">
        <v>2934</v>
      </c>
      <c r="E17" s="55" t="str">
        <f>HYPERLINK("http://www.lakewood.org/EmergencyManagementHomelandSecurity/","Lakewood OEM")</f>
        <v>Lakewood OEM</v>
      </c>
      <c r="F17" s="34" t="s">
        <v>2935</v>
      </c>
    </row>
    <row r="18" spans="1:7" ht="15" customHeight="1">
      <c r="C18" s="34"/>
      <c r="D18" s="34"/>
      <c r="E18" s="51"/>
      <c r="F18" s="34"/>
    </row>
    <row r="19" spans="1:7">
      <c r="A19" s="79" t="s">
        <v>184</v>
      </c>
      <c r="B19" s="79" t="s">
        <v>147</v>
      </c>
      <c r="C19" s="79" t="s">
        <v>148</v>
      </c>
      <c r="D19" s="79" t="s">
        <v>182</v>
      </c>
      <c r="E19" s="79" t="s">
        <v>183</v>
      </c>
      <c r="F19" s="79" t="s">
        <v>211</v>
      </c>
    </row>
    <row r="20" spans="1:7">
      <c r="A20" t="str">
        <f>HYPERLINK("http://en.wikipedia.org/wiki/Adams_County,_Colorado","Adams")</f>
        <v>Adams</v>
      </c>
      <c r="B20" s="67" t="s">
        <v>2936</v>
      </c>
      <c r="C20" s="67" t="s">
        <v>164</v>
      </c>
      <c r="D20" t="s">
        <v>2937</v>
      </c>
      <c r="E20" s="34" t="str">
        <f>HYPERLINK("http://www.co.adams.co.us/index.aspx?nid=293","Adams Emergency")</f>
        <v>Adams Emergency</v>
      </c>
    </row>
    <row r="21" spans="1:7" ht="15" customHeight="1">
      <c r="A21" t="str">
        <f>HYPERLINK("http://en.wikipedia.org/wiki/Alamosa_County,_Colorado","Alamosa")</f>
        <v>Alamosa</v>
      </c>
      <c r="B21" t="s">
        <v>2938</v>
      </c>
      <c r="C21" t="s">
        <v>164</v>
      </c>
      <c r="D21" t="s">
        <v>2939</v>
      </c>
      <c r="E21" t="str">
        <f>HYPERLINK("http://www.alamosacounty.org/index.php?option=com_content&amp;view=article&amp;id=249&amp;Itemid=198","Alamosa Emergency")</f>
        <v>Alamosa Emergency</v>
      </c>
    </row>
    <row r="22" spans="1:7">
      <c r="A22" t="str">
        <f>HYPERLINK("http://en.wikipedia.org/wiki/Arapahoe_County,_Colorado","Arapahoe")</f>
        <v>Arapahoe</v>
      </c>
      <c r="B22" s="67" t="s">
        <v>2940</v>
      </c>
      <c r="D22" t="s">
        <v>2941</v>
      </c>
      <c r="E22" t="str">
        <f>HYPERLINK("https://www.co.arapahoe.co.us/departments/sh/administration/print/emermanagement.asp","Arapahoe OEM")</f>
        <v>Arapahoe OEM</v>
      </c>
      <c r="G22" s="90"/>
    </row>
    <row r="23" spans="1:7" ht="15" customHeight="1">
      <c r="A23" t="str">
        <f>HYPERLINK("http://en.wikipedia.org/wiki/Archuleta_County,_Colorado","Archuleta")</f>
        <v>Archuleta</v>
      </c>
      <c r="B23" t="s">
        <v>164</v>
      </c>
      <c r="C23" t="s">
        <v>164</v>
      </c>
      <c r="D23" t="s">
        <v>2942</v>
      </c>
      <c r="E23" t="str">
        <f>HYPERLINK("http://www.archuletacounty.org/?nid=275","Archuleta EM &amp; S/R")</f>
        <v>Archuleta EM &amp; S/R</v>
      </c>
    </row>
    <row r="24" spans="1:7">
      <c r="A24" t="str">
        <f>HYPERLINK("http://en.wikipedia.org/wiki/Aspen,_Colorado","City of Aspen")</f>
        <v>City of Aspen</v>
      </c>
      <c r="B24" s="67" t="s">
        <v>2943</v>
      </c>
      <c r="C24" t="s">
        <v>2944</v>
      </c>
      <c r="D24" t="s">
        <v>2945</v>
      </c>
      <c r="E24" t="str">
        <f>HYPERLINK("http://pitkinemergency.org/","Aspen-Pitkin Emergency")</f>
        <v>Aspen-Pitkin Emergency</v>
      </c>
    </row>
    <row r="25" spans="1:7">
      <c r="A25" s="67" t="str">
        <f>HYPERLINK("http://en.wikipedia.org/wiki/Baca_County,_Colorado","BACA")</f>
        <v>BACA</v>
      </c>
      <c r="B25" t="s">
        <v>2946</v>
      </c>
      <c r="C25" t="s">
        <v>164</v>
      </c>
      <c r="D25" t="s">
        <v>2947</v>
      </c>
      <c r="E25" s="67" t="str">
        <f>HYPERLINK("https://www.facebook.com/baca.eoc","BacaEOC-FB")</f>
        <v>BacaEOC-FB</v>
      </c>
      <c r="G25" s="90"/>
    </row>
    <row r="26" spans="1:7">
      <c r="A26" s="67" t="str">
        <f>HYPERLINK("http://en.wikipedia.org/wiki/Bent_County,_Colorado","Bent")</f>
        <v>Bent</v>
      </c>
      <c r="B26" s="67" t="s">
        <v>164</v>
      </c>
      <c r="C26" s="67" t="s">
        <v>164</v>
      </c>
      <c r="D26" t="s">
        <v>164</v>
      </c>
      <c r="E26" t="s">
        <v>164</v>
      </c>
      <c r="F26" t="str">
        <f>HYPERLINK("http://bentcounty.org/","Bent County Development Corp.")</f>
        <v>Bent County Development Corp.</v>
      </c>
    </row>
    <row r="27" spans="1:7">
      <c r="A27" s="67" t="str">
        <f>HYPERLINK("http://en.wikipedia.org/wiki/Boulder_County,_Colorado","Boulder")</f>
        <v>Boulder</v>
      </c>
      <c r="B27" s="67" t="s">
        <v>2948</v>
      </c>
      <c r="C27" s="67" t="s">
        <v>2949</v>
      </c>
      <c r="D27" t="s">
        <v>2950</v>
      </c>
      <c r="E27" t="str">
        <f>HYPERLINK("http://www.bouldercounty.org/safety/emergency/pages/default.aspx","Boulder Emergency")</f>
        <v>Boulder Emergency</v>
      </c>
    </row>
    <row r="28" spans="1:7">
      <c r="A28" s="67" t="str">
        <f>HYPERLINK("http://en.wikipedia.org/wiki/Broomfield,_Colorado","City and County of Broomfield")</f>
        <v>City and County of Broomfield</v>
      </c>
      <c r="B28" t="s">
        <v>2951</v>
      </c>
      <c r="C28" t="s">
        <v>2952</v>
      </c>
      <c r="D28" t="s">
        <v>2953</v>
      </c>
      <c r="E28" t="s">
        <v>164</v>
      </c>
      <c r="F28" t="s">
        <v>2954</v>
      </c>
    </row>
    <row r="29" spans="1:7">
      <c r="A29" s="67" t="str">
        <f>HYPERLINK("http://en.wikipedia.org/wiki/Chaffee_County,_Colorado","Chaffee")</f>
        <v>Chaffee</v>
      </c>
      <c r="B29" t="s">
        <v>164</v>
      </c>
      <c r="C29" t="s">
        <v>164</v>
      </c>
      <c r="D29" t="s">
        <v>2955</v>
      </c>
      <c r="E29" t="str">
        <f>HYPERLINK("http://www.chaffeecounty.org/Emergency-Management","Chaffee OEM")</f>
        <v>Chaffee OEM</v>
      </c>
    </row>
    <row r="30" spans="1:7">
      <c r="A30" s="67" t="str">
        <f>HYPERLINK("http://en.wikipedia.org/wiki/Cheyenne_County,_Colorado","Cheyenne")</f>
        <v>Cheyenne</v>
      </c>
      <c r="B30" t="s">
        <v>164</v>
      </c>
      <c r="C30" s="67" t="s">
        <v>164</v>
      </c>
      <c r="D30" t="s">
        <v>2956</v>
      </c>
      <c r="E30" t="str">
        <f>HYPERLINK("http://www.co.cheyenne.co.us/countydepartments/emergencypreparedness.htm","Cheyenne OEM")</f>
        <v>Cheyenne OEM</v>
      </c>
    </row>
    <row r="31" spans="1:7">
      <c r="A31" s="67" t="str">
        <f>HYPERLINK("http://en.wikipedia.org/wiki/Clear_Creek_County,_Colorado","Clear Creek")</f>
        <v>Clear Creek</v>
      </c>
      <c r="B31" t="s">
        <v>2957</v>
      </c>
      <c r="C31" s="34" t="s">
        <v>2958</v>
      </c>
      <c r="D31" t="s">
        <v>2959</v>
      </c>
      <c r="E31" t="str">
        <f>HYPERLINK("http://www.co.clear-creek.co.us/index.aspx?nid=97","Clear Creek OEm")</f>
        <v>Clear Creek OEm</v>
      </c>
      <c r="F31" s="29" t="str">
        <f>HYPERLINK("","")</f>
        <v/>
      </c>
    </row>
    <row r="32" spans="1:7">
      <c r="A32" s="67" t="str">
        <f>HYPERLINK("http://en.wikipedia.org/wiki/Conejos_County,_Colorado","Conejos")</f>
        <v>Conejos</v>
      </c>
      <c r="B32" t="s">
        <v>164</v>
      </c>
      <c r="C32" t="s">
        <v>164</v>
      </c>
      <c r="D32" t="s">
        <v>2960</v>
      </c>
      <c r="E32" t="str">
        <f>HYPERLINK("http://www.conejoscounty.org/?q=node/307","Conejos Sheriff")</f>
        <v>Conejos Sheriff</v>
      </c>
    </row>
    <row r="33" spans="1:6">
      <c r="A33" s="67" t="str">
        <f>HYPERLINK("http://en.wikipedia.org/wiki/Costilla_County,_Colorado ","Costilla")</f>
        <v>Costilla</v>
      </c>
      <c r="B33" t="s">
        <v>164</v>
      </c>
      <c r="C33" t="s">
        <v>164</v>
      </c>
      <c r="D33" s="34" t="s">
        <v>2961</v>
      </c>
      <c r="E33" t="str">
        <f>HYPERLINK("http://www.colorado.gov/cs/Satellite/CNTY-Costilla/CBON/1251595054963","Costilla OEM")</f>
        <v>Costilla OEM</v>
      </c>
    </row>
    <row r="34" spans="1:6">
      <c r="A34" s="67" t="str">
        <f>HYPERLINK("http://en.wikipedia.org/wiki/Crowley_County,_Colorado","Crowley")</f>
        <v>Crowley</v>
      </c>
      <c r="B34" t="s">
        <v>164</v>
      </c>
      <c r="C34" t="s">
        <v>164</v>
      </c>
      <c r="D34" t="s">
        <v>2962</v>
      </c>
      <c r="E34" t="str">
        <f>HYPERLINK("http://www.crowleycounty.net/emergency.htm ","Crowley Emergency")</f>
        <v>Crowley Emergency</v>
      </c>
    </row>
    <row r="35" spans="1:6">
      <c r="A35" s="67" t="str">
        <f>HYPERLINK("http://en.wikipedia.org/wiki/Custer_County,_Colorado ","Custer")</f>
        <v>Custer</v>
      </c>
      <c r="B35" t="s">
        <v>164</v>
      </c>
      <c r="C35" s="67" t="s">
        <v>164</v>
      </c>
      <c r="D35" t="s">
        <v>2963</v>
      </c>
      <c r="E35" t="str">
        <f>HYPERLINK("http://oem.custercountygov.com/ ","Custer OEM")</f>
        <v>Custer OEM</v>
      </c>
      <c r="F35" s="29"/>
    </row>
    <row r="36" spans="1:6">
      <c r="A36" s="67" t="str">
        <f>HYPERLINK("http://en.wikipedia.org/wiki/Delta_County,_Colorado","Delta")</f>
        <v>Delta</v>
      </c>
      <c r="B36" s="67" t="s">
        <v>164</v>
      </c>
      <c r="C36" s="67" t="s">
        <v>164</v>
      </c>
      <c r="D36" t="s">
        <v>2964</v>
      </c>
      <c r="E36" t="str">
        <f>HYPERLINK("http://www.deltacounty.com/index.aspx?nid=11 ","Delta OEM")</f>
        <v>Delta OEM</v>
      </c>
    </row>
    <row r="37" spans="1:6">
      <c r="A37" s="67" t="str">
        <f>HYPERLINK("http://en.wikipedia.org/wiki/Denver_County ","City and County of Denver")</f>
        <v>City and County of Denver</v>
      </c>
      <c r="B37" t="s">
        <v>2916</v>
      </c>
      <c r="C37" t="s">
        <v>2917</v>
      </c>
      <c r="D37" t="s">
        <v>2965</v>
      </c>
      <c r="E37" t="str">
        <f>HYPERLINK("http://www.denvergov.org/safety/DepartmentofSafety/tabid/443269/Default.aspx ","Denver Dept. of Safety")</f>
        <v>Denver Dept. of Safety</v>
      </c>
    </row>
    <row r="38" spans="1:6">
      <c r="A38" s="67" t="str">
        <f>HYPERLINK("http://en.wikipedia.org/wiki/Dolores_County,_Colorado ","Dolores")</f>
        <v>Dolores</v>
      </c>
      <c r="B38" s="67" t="s">
        <v>164</v>
      </c>
      <c r="C38" t="s">
        <v>164</v>
      </c>
      <c r="D38" t="s">
        <v>2966</v>
      </c>
      <c r="E38" t="str">
        <f>HYPERLINK("http://www.dolorescounty.org/sheriff/dolores_county_sheriff_numbers.html ","Dolores Emer. #s")</f>
        <v>Dolores Emer. #s</v>
      </c>
    </row>
    <row r="39" spans="1:6">
      <c r="A39" s="67" t="str">
        <f>HYPERLINK("http://en.wikipedia.org/wiki/Douglas_County,_Colorado ","Douglas")</f>
        <v>Douglas</v>
      </c>
      <c r="B39" t="s">
        <v>2967</v>
      </c>
      <c r="C39" t="s">
        <v>2968</v>
      </c>
      <c r="D39" t="s">
        <v>2969</v>
      </c>
      <c r="E39" t="str">
        <f>HYPERLINK("http://www.dcsheriff.net/emergencymanagement/","Douglas OEM")</f>
        <v>Douglas OEM</v>
      </c>
    </row>
    <row r="40" spans="1:6">
      <c r="A40" s="67" t="str">
        <f>HYPERLINK("http://en.wikipedia.org/wiki/Eagle_County,_Colorado ","Eagle")</f>
        <v>Eagle</v>
      </c>
      <c r="B40" t="s">
        <v>2970</v>
      </c>
      <c r="C40" t="s">
        <v>164</v>
      </c>
      <c r="D40" t="s">
        <v>2971</v>
      </c>
      <c r="E40" t="str">
        <f>HYPERLINK("http://www.eaglecounty.us/Emergency/ ","Eagle OEM")</f>
        <v>Eagle OEM</v>
      </c>
    </row>
    <row r="41" spans="1:6">
      <c r="A41" s="67" t="str">
        <f>HYPERLINK("http://en.wikipedia.org/wiki/El_Paso_County,_Colorado ","El Paso")</f>
        <v>El Paso</v>
      </c>
      <c r="B41" t="s">
        <v>2972</v>
      </c>
      <c r="C41" s="67" t="s">
        <v>2973</v>
      </c>
      <c r="D41" t="s">
        <v>2974</v>
      </c>
      <c r="E41" t="str">
        <f>HYPERLINK("http://adm.elpasoco.com/emprep/Pages/default.aspx","El Paso OEM")</f>
        <v>El Paso OEM</v>
      </c>
      <c r="F41" t="s">
        <v>2975</v>
      </c>
    </row>
    <row r="42" spans="1:6">
      <c r="A42" s="67" t="str">
        <f>HYPERLINK("http://en.wikipedia.org/wiki/Elbert_County,_Colorado","Elbert")</f>
        <v>Elbert</v>
      </c>
      <c r="B42" t="s">
        <v>2976</v>
      </c>
      <c r="D42" t="s">
        <v>2977</v>
      </c>
      <c r="E42" t="str">
        <f>HYPERLINK("http://www.elbertcounty-co.gov/dept_emergency.php ","Elbert OEM")</f>
        <v>Elbert OEM</v>
      </c>
    </row>
    <row r="43" spans="1:6">
      <c r="A43" s="67" t="str">
        <f>HYPERLINK("http://en.wikipedia.org/wiki/Fremont_County,_Colorado ","Fremont")</f>
        <v>Fremont</v>
      </c>
      <c r="B43" s="67" t="s">
        <v>164</v>
      </c>
      <c r="C43" s="67" t="s">
        <v>164</v>
      </c>
      <c r="D43" t="s">
        <v>2978</v>
      </c>
      <c r="E43" t="str">
        <f>HYPERLINK("http://www.fremontco.com/emergencyservices/index.shtml ","Fremont OEM")</f>
        <v>Fremont OEM</v>
      </c>
    </row>
    <row r="44" spans="1:6">
      <c r="A44" s="67" t="str">
        <f>HYPERLINK("http://en.wikipedia.org/wiki/Garfield_County,_Colorado","Garfield")</f>
        <v>Garfield</v>
      </c>
      <c r="B44" t="s">
        <v>2979</v>
      </c>
      <c r="C44" s="34" t="s">
        <v>2980</v>
      </c>
      <c r="D44" s="34" t="s">
        <v>2981</v>
      </c>
      <c r="E44" t="str">
        <f>HYPERLINK("http://www.garfield-county.com/emergency-management/index.aspx","Garfield OEM")</f>
        <v>Garfield OEM</v>
      </c>
      <c r="F44" t="str">
        <f>HYPERLINK("http://www.facebook.com/GarCo911","GarCo911_FB")</f>
        <v>GarCo911_FB</v>
      </c>
    </row>
    <row r="45" spans="1:6">
      <c r="A45" s="67" t="str">
        <f>HYPERLINK("http://en.wikipedia.org/wiki/Gilpin_County,_Colorado ","Gilpin")</f>
        <v>Gilpin</v>
      </c>
      <c r="B45" t="s">
        <v>2982</v>
      </c>
      <c r="C45" s="67" t="s">
        <v>2983</v>
      </c>
      <c r="D45" t="s">
        <v>2984</v>
      </c>
      <c r="E45" t="str">
        <f>HYPERLINK("http://www.co.gilpin.co.us/Emergency%20Services/Emergencydefault.htm","Gilpin Emer Ser")</f>
        <v>Gilpin Emer Ser</v>
      </c>
    </row>
    <row r="46" spans="1:6">
      <c r="A46" s="67" t="str">
        <f>HYPERLINK("http://en.wikipedia.org/wiki/Grand_County,_Colorado","Grand")</f>
        <v>Grand</v>
      </c>
      <c r="B46" t="s">
        <v>2985</v>
      </c>
      <c r="C46" s="67" t="s">
        <v>2986</v>
      </c>
      <c r="D46" t="s">
        <v>2987</v>
      </c>
      <c r="E46" t="str">
        <f>HYPERLINK("http://www.co.grand.co.us/oem.html","Grand OEM")</f>
        <v>Grand OEM</v>
      </c>
    </row>
    <row r="47" spans="1:6">
      <c r="A47" s="67" t="str">
        <f>HYPERLINK("http://en.wikipedia.org/wiki/Gunnison_County,_Colorado ","Gunnison")</f>
        <v>Gunnison</v>
      </c>
      <c r="B47" t="s">
        <v>2988</v>
      </c>
      <c r="C47" s="67" t="s">
        <v>2989</v>
      </c>
      <c r="D47" t="s">
        <v>2990</v>
      </c>
      <c r="E47" t="str">
        <f>HYPERLINK("http://www.gunnisoncounty.org/emergency_management.html","Gunnison OEM")</f>
        <v>Gunnison OEM</v>
      </c>
    </row>
    <row r="48" spans="1:6">
      <c r="A48" s="67" t="str">
        <f>HYPERLINK("http://en.wikipedia.org/wiki/Hinsdale_County,_Colorado ","Hinsdale ")</f>
        <v xml:space="preserve">Hinsdale </v>
      </c>
      <c r="B48" t="s">
        <v>164</v>
      </c>
      <c r="C48" s="67" t="s">
        <v>164</v>
      </c>
      <c r="D48" t="s">
        <v>2991</v>
      </c>
      <c r="E48" t="str">
        <f>HYPERLINK("http://hinsdalecountycolorado.us/EMS.html","Hinsdale EMS")</f>
        <v>Hinsdale EMS</v>
      </c>
    </row>
    <row r="49" spans="1:6">
      <c r="A49" s="67" t="str">
        <f>HYPERLINK("http://en.wikipedia.org/wiki/Huerfano_County,_Colorado ","Huerfano")</f>
        <v>Huerfano</v>
      </c>
      <c r="B49" s="67" t="s">
        <v>2992</v>
      </c>
      <c r="C49" t="s">
        <v>164</v>
      </c>
      <c r="D49" t="s">
        <v>2993</v>
      </c>
      <c r="E49" t="str">
        <f>HYPERLINK("http://www.huerfano.us/Emergency_Management.php","Hwerfano OEM")</f>
        <v>Hwerfano OEM</v>
      </c>
    </row>
    <row r="50" spans="1:6">
      <c r="A50" s="67" t="str">
        <f>HYPERLINK("http://en.wikipedia.org/wiki/Jackson_County,_Colorado","Jackson")</f>
        <v>Jackson</v>
      </c>
      <c r="B50" s="67" t="s">
        <v>164</v>
      </c>
      <c r="C50" s="67" t="s">
        <v>164</v>
      </c>
      <c r="D50" t="s">
        <v>164</v>
      </c>
      <c r="E50" s="34" t="s">
        <v>2994</v>
      </c>
    </row>
    <row r="51" spans="1:6">
      <c r="A51" s="67" t="str">
        <f>HYPERLINK("http://en.wikipedia.org/wiki/Jefferson_County,_Colorado ","Jefferson")</f>
        <v>Jefferson</v>
      </c>
      <c r="B51" s="67" t="s">
        <v>2995</v>
      </c>
      <c r="C51" t="s">
        <v>2996</v>
      </c>
      <c r="D51" t="s">
        <v>2997</v>
      </c>
      <c r="E51" t="str">
        <f>HYPERLINK("https://www.co.jefferson.co.us/sheriff/sheriff_T62_R191.htm ","Jefferson OEM")</f>
        <v>Jefferson OEM</v>
      </c>
      <c r="F51" s="29"/>
    </row>
    <row r="52" spans="1:6">
      <c r="A52" s="67" t="str">
        <f>HYPERLINK("http://en.wikipedia.org/wiki/Kiowa_County,_Colorado ","Kiowa")</f>
        <v>Kiowa</v>
      </c>
      <c r="B52" t="s">
        <v>2998</v>
      </c>
      <c r="C52" t="s">
        <v>164</v>
      </c>
      <c r="D52" t="s">
        <v>164</v>
      </c>
      <c r="E52" t="s">
        <v>2999</v>
      </c>
    </row>
    <row r="53" spans="1:6">
      <c r="A53" s="67" t="str">
        <f>HYPERLINK("http://en.wikipedia.org/wiki/Kit_Carson_County,_Colorado ","Kit Carson")</f>
        <v>Kit Carson</v>
      </c>
      <c r="B53" t="s">
        <v>164</v>
      </c>
      <c r="C53" t="s">
        <v>164</v>
      </c>
      <c r="D53" t="s">
        <v>3000</v>
      </c>
      <c r="E53" t="str">
        <f>HYPERLINK("http://www.kitcarsoncounty.org/Emergency_Management.html","Kit Carson OEM")</f>
        <v>Kit Carson OEM</v>
      </c>
    </row>
    <row r="54" spans="1:6">
      <c r="A54" s="67" t="str">
        <f>HYPERLINK("http://en.wikipedia.org/wiki/La_Plata_County,_Colorado ","La Plata")</f>
        <v>La Plata</v>
      </c>
      <c r="B54" t="s">
        <v>3001</v>
      </c>
      <c r="C54" t="s">
        <v>164</v>
      </c>
      <c r="D54" t="s">
        <v>3002</v>
      </c>
      <c r="E54" t="str">
        <f>HYPERLINK("http://co.laplata.co.us/departments_elected_officials/office_emergency_management","LaPlata OEM")</f>
        <v>LaPlata OEM</v>
      </c>
      <c r="F54" t="str">
        <f>HYPERLINK("http://www.laplatasar.org/www/"," La Plata County Search and Rescue")</f>
        <v xml:space="preserve"> La Plata County Search and Rescue</v>
      </c>
    </row>
    <row r="55" spans="1:6">
      <c r="A55" s="67" t="str">
        <f>HYPERLINK("http://en.wikipedia.org/wiki/Lake_County,_Colorado ","Lake")</f>
        <v>Lake</v>
      </c>
      <c r="B55" s="67" t="s">
        <v>164</v>
      </c>
      <c r="C55" s="67" t="s">
        <v>164</v>
      </c>
      <c r="D55" t="s">
        <v>3003</v>
      </c>
      <c r="E55" t="str">
        <f>HYPERLINK("http://www.lakecountyco.com/emergencymanagement/","Lake OEM")</f>
        <v>Lake OEM</v>
      </c>
    </row>
    <row r="56" spans="1:6">
      <c r="A56" s="67" t="str">
        <f>HYPERLINK("http://en.wikipedia.org/wiki/Larimer_County,_Colorado ","Larimer")</f>
        <v>Larimer</v>
      </c>
      <c r="B56" t="s">
        <v>3004</v>
      </c>
      <c r="C56" t="s">
        <v>3005</v>
      </c>
      <c r="D56" t="s">
        <v>3006</v>
      </c>
      <c r="E56" t="str">
        <f>HYPERLINK("http://www.larimer.org/sheriff/emerg.htm#emu","Larimer OEM")</f>
        <v>Larimer OEM</v>
      </c>
    </row>
    <row r="57" spans="1:6">
      <c r="A57" s="67" t="str">
        <f>HYPERLINK("http://en.wikipedia.org/wiki/Las_Animas_County,_Colorado ","Las Animas")</f>
        <v>Las Animas</v>
      </c>
      <c r="B57" t="s">
        <v>164</v>
      </c>
      <c r="C57" t="s">
        <v>164</v>
      </c>
      <c r="D57" t="s">
        <v>3007</v>
      </c>
      <c r="E57" t="str">
        <f>HYPERLINK("http://www.lasanimascounty.net/index.php/departments/sheriff.html","Las Animas Sheriff")</f>
        <v>Las Animas Sheriff</v>
      </c>
    </row>
    <row r="58" spans="1:6">
      <c r="A58" s="67" t="str">
        <f>HYPERLINK("http://en.wikipedia.org/wiki/Lincoln_County,_Colorado ","Lincoln")</f>
        <v>Lincoln</v>
      </c>
      <c r="B58" t="s">
        <v>164</v>
      </c>
      <c r="C58" t="s">
        <v>164</v>
      </c>
      <c r="D58" t="s">
        <v>3008</v>
      </c>
      <c r="E58" t="str">
        <f>HYPERLINK("http://www.lincolncountyco.us/emergency_manager/emergency_manager.html","Lincoln OEM")</f>
        <v>Lincoln OEM</v>
      </c>
    </row>
    <row r="59" spans="1:6">
      <c r="A59" s="67" t="str">
        <f>HYPERLINK("http://en.wikipedia.org/wiki/Logan_County,_Colorado ","Logan")</f>
        <v>Logan</v>
      </c>
      <c r="B59" t="s">
        <v>164</v>
      </c>
      <c r="C59" t="s">
        <v>164</v>
      </c>
      <c r="D59" t="s">
        <v>3009</v>
      </c>
      <c r="E59" t="str">
        <f>HYPERLINK("http://www.sterlingcolo.com/?page_id=32","Logan/Sterling OEM")</f>
        <v>Logan/Sterling OEM</v>
      </c>
    </row>
    <row r="60" spans="1:6">
      <c r="A60" s="67" t="str">
        <f>HYPERLINK("http://en.wikipedia.org/wiki/Mesa_County,_Colorado ","Mesa ")</f>
        <v xml:space="preserve">Mesa </v>
      </c>
      <c r="B60" t="s">
        <v>3010</v>
      </c>
      <c r="C60" t="s">
        <v>3011</v>
      </c>
      <c r="D60" t="s">
        <v>3012</v>
      </c>
      <c r="E60" t="str">
        <f>HYPERLINK("http://sheriff.mesacounty.us/oem/","Mesa Sheriff/OEM")</f>
        <v>Mesa Sheriff/OEM</v>
      </c>
    </row>
    <row r="61" spans="1:6">
      <c r="A61" s="67" t="str">
        <f>HYPERLINK("http://en.wikipedia.org/wiki/Mineral_County,_Colorado#External_links ","Mineral")</f>
        <v>Mineral</v>
      </c>
      <c r="B61" t="s">
        <v>164</v>
      </c>
      <c r="C61" s="67" t="s">
        <v>164</v>
      </c>
      <c r="D61" t="s">
        <v>3013</v>
      </c>
      <c r="E61" t="str">
        <f>HYPERLINK("http://www.mineralcountycolorado.com/sheriff.html","Mineral Sheriff/OEM")</f>
        <v>Mineral Sheriff/OEM</v>
      </c>
    </row>
    <row r="62" spans="1:6">
      <c r="A62" s="67" t="str">
        <f>HYPERLINK("http://en.wikipedia.org/wiki/Moffat_County,_Colorado","Moffat")</f>
        <v>Moffat</v>
      </c>
      <c r="B62" t="s">
        <v>164</v>
      </c>
      <c r="C62" t="s">
        <v>164</v>
      </c>
      <c r="D62" s="34" t="s">
        <v>3014</v>
      </c>
      <c r="E62" t="str">
        <f>HYPERLINK("http://www.colorado.gov/cs/Satellite/CNTY-Moffat/CBON/1251574854295","Moffat OEM")</f>
        <v>Moffat OEM</v>
      </c>
    </row>
    <row r="63" spans="1:6">
      <c r="A63" s="67" t="str">
        <f>HYPERLINK( "http://en.wikipedia.org/wiki/Montezuma_County,_Colorado","Montezuma")</f>
        <v>Montezuma</v>
      </c>
      <c r="B63" t="s">
        <v>164</v>
      </c>
      <c r="C63" s="67" t="s">
        <v>164</v>
      </c>
      <c r="D63" t="s">
        <v>3015</v>
      </c>
      <c r="E63" t="str">
        <f>HYPERLINK("http://www.montezumasheriff.org/EM.html","Montezuma Sheriff/OEM")</f>
        <v>Montezuma Sheriff/OEM</v>
      </c>
    </row>
    <row r="64" spans="1:6">
      <c r="A64" s="67" t="str">
        <f>HYPERLINK("http://en.wikipedia.org/wiki/Montrose_County,_Colorado ","Montrose")</f>
        <v>Montrose</v>
      </c>
      <c r="B64" t="s">
        <v>164</v>
      </c>
      <c r="C64" s="34" t="s">
        <v>3016</v>
      </c>
      <c r="D64" t="s">
        <v>3017</v>
      </c>
      <c r="E64" t="str">
        <f>HYPERLINK("http://www.co.montrose.co.us/index.aspx?nid=85","Montrose OEM")</f>
        <v>Montrose OEM</v>
      </c>
    </row>
    <row r="65" spans="1:7">
      <c r="A65" s="67" t="str">
        <f>HYPERLINK("http://en.wikipedia.org/wiki/Morgan_County,_Colorado ","Morgan")</f>
        <v>Morgan</v>
      </c>
      <c r="B65" t="s">
        <v>164</v>
      </c>
      <c r="C65" t="s">
        <v>164</v>
      </c>
      <c r="D65" t="s">
        <v>3018</v>
      </c>
      <c r="E65" t="str">
        <f>HYPERLINK("http://www.co.morgan.co.us/departments.html","Morgan Dept List/OEM")</f>
        <v>Morgan Dept List/OEM</v>
      </c>
    </row>
    <row r="66" spans="1:7">
      <c r="A66" s="67" t="str">
        <f>HYPERLINK("http://en.wikipedia.org/wiki/Otero_County,_Colorado ","Otero")</f>
        <v>Otero</v>
      </c>
      <c r="B66" t="s">
        <v>3019</v>
      </c>
      <c r="C66" t="s">
        <v>164</v>
      </c>
      <c r="D66" t="s">
        <v>3020</v>
      </c>
      <c r="E66" t="str">
        <f>HYPERLINK("http://www.oterogov.com/index.php?option=com_content&amp;view=article&amp;id=121:emergency-preparedness-response-resources&amp;catid=60:emergency-preparedness-a-response-epr&amp;Itemid=126","Otero Emergency")</f>
        <v>Otero Emergency</v>
      </c>
      <c r="G66" t="str">
        <f>HYPERLINK("","")</f>
        <v/>
      </c>
    </row>
    <row r="67" spans="1:7">
      <c r="A67" s="67" t="str">
        <f>HYPERLINK("http://en.wikipedia.org/wiki/Ouray_County,_Colorado","Ouray")</f>
        <v>Ouray</v>
      </c>
      <c r="B67" s="67" t="s">
        <v>164</v>
      </c>
      <c r="C67" s="67" t="s">
        <v>164</v>
      </c>
      <c r="D67" t="s">
        <v>3021</v>
      </c>
      <c r="E67" t="str">
        <f>(HYPERLINK("http://ouraycountyco.gov/sheriff.html","Ouray Sheriff"))</f>
        <v>Ouray Sheriff</v>
      </c>
    </row>
    <row r="68" spans="1:7">
      <c r="A68" s="67" t="str">
        <f>HYPERLINK("http://en.wikipedia.org/wiki/Park_County,_Colorado","Park")</f>
        <v>Park</v>
      </c>
      <c r="B68" t="s">
        <v>3022</v>
      </c>
      <c r="C68" s="34" t="s">
        <v>3023</v>
      </c>
      <c r="D68" t="s">
        <v>3024</v>
      </c>
      <c r="E68" t="str">
        <f>HYPERLINK("http://www.parkco.us/index.aspx?nid=77","Park OEM")</f>
        <v>Park OEM</v>
      </c>
    </row>
    <row r="69" spans="1:7">
      <c r="A69" s="67" t="str">
        <f>HYPERLINK("http://en.wikipedia.org/wiki/Phillips_County,_Colorado","Phillips")</f>
        <v>Phillips</v>
      </c>
      <c r="B69" s="67" t="s">
        <v>164</v>
      </c>
      <c r="C69" s="67" t="s">
        <v>164</v>
      </c>
      <c r="D69" s="34" t="s">
        <v>3025</v>
      </c>
      <c r="E69" t="str">
        <f>HYPERLINK("http://www.colorado.gov/cs/Satellite/CNTY-Phillips/CBON/1251611080504","Phillips Emer. Ser.")</f>
        <v>Phillips Emer. Ser.</v>
      </c>
    </row>
    <row r="70" spans="1:7">
      <c r="A70" s="67" t="str">
        <f>HYPERLINK("http://en.wikipedia.org/wiki/Pitkin_County,_Colorado","Pitkin (Aspen)")</f>
        <v>Pitkin (Aspen)</v>
      </c>
      <c r="B70" t="s">
        <v>3026</v>
      </c>
      <c r="C70" t="s">
        <v>3027</v>
      </c>
      <c r="D70" s="34" t="s">
        <v>2945</v>
      </c>
      <c r="E70" t="str">
        <f>HYPERLINK("http://pitkinemergency.org/","Aspen-Pitkin Emergency")</f>
        <v>Aspen-Pitkin Emergency</v>
      </c>
    </row>
    <row r="71" spans="1:7">
      <c r="A71" s="67" t="str">
        <f>HYPERLINK("http://en.wikipedia.org/wiki/Prowers_County,_Colorado","Prowers")</f>
        <v>Prowers</v>
      </c>
      <c r="B71" s="67" t="s">
        <v>164</v>
      </c>
      <c r="C71" s="67" t="s">
        <v>164</v>
      </c>
      <c r="D71" t="s">
        <v>3028</v>
      </c>
      <c r="E71" t="str">
        <f>HYPERLINK("http://www.prowerscounty.net/","Prowers OEM")</f>
        <v>Prowers OEM</v>
      </c>
    </row>
    <row r="72" spans="1:7">
      <c r="A72" s="67" t="str">
        <f>HYPERLINK("http://en.wikipedia.org/wiki/Pueblo_County,_Colorado","Pueblo")</f>
        <v>Pueblo</v>
      </c>
      <c r="B72" t="s">
        <v>3029</v>
      </c>
      <c r="C72" t="s">
        <v>3030</v>
      </c>
      <c r="D72" t="s">
        <v>3031</v>
      </c>
      <c r="E72" t="str">
        <f>HYPERLINK("http://www.pueblosheriff.org/","Pueblo Sheriff/OEM")</f>
        <v>Pueblo Sheriff/OEM</v>
      </c>
    </row>
    <row r="73" spans="1:7">
      <c r="A73" s="67" t="str">
        <f>HYPERLINK("http://en.wikipedia.org/wiki/Rio_Blanco_County,_Colorado","Rio Blanco")</f>
        <v>Rio Blanco</v>
      </c>
      <c r="B73" t="s">
        <v>164</v>
      </c>
      <c r="C73" t="s">
        <v>164</v>
      </c>
      <c r="D73" s="34" t="s">
        <v>3032</v>
      </c>
      <c r="E73" t="str">
        <f>HYPERLINK("http://www.co.rio-blanco.co.us/sheriff/emergencymanagemnt.php","Rio Blanco Sheriff/OEM")</f>
        <v>Rio Blanco Sheriff/OEM</v>
      </c>
    </row>
    <row r="74" spans="1:7">
      <c r="A74" s="67" t="str">
        <f>HYPERLINK("http://en.wikipedia.org/wiki/Rio_Grande_County,_Colorado","Rio Grande")</f>
        <v>Rio Grande</v>
      </c>
      <c r="B74" t="s">
        <v>164</v>
      </c>
      <c r="C74" s="67" t="s">
        <v>164</v>
      </c>
      <c r="D74" t="s">
        <v>3033</v>
      </c>
      <c r="E74" t="str">
        <f>HYPERLINK("http://www.riograndecounty.org/index.php?option=com_content&amp;view=article&amp;id=32&amp;Itemid=61","Rio Grande Sheriff")</f>
        <v>Rio Grande Sheriff</v>
      </c>
    </row>
    <row r="75" spans="1:7">
      <c r="A75" s="67" t="str">
        <f>HYPERLINK("http://en.wikipedia.org/wiki/Routt_County,_Colorado","Routt")</f>
        <v>Routt</v>
      </c>
      <c r="B75" t="s">
        <v>3034</v>
      </c>
      <c r="C75" t="s">
        <v>3035</v>
      </c>
      <c r="D75" t="s">
        <v>3036</v>
      </c>
      <c r="E75" t="str">
        <f>HYPERLINK("http://www.co.routt.co.us/index.aspx?nid=153","Routt OEM")</f>
        <v>Routt OEM</v>
      </c>
    </row>
    <row r="76" spans="1:7">
      <c r="A76" s="67" t="str">
        <f>HYPERLINK("http://en.wikipedia.org/wiki/Saguache_County,_Colorado","Saguache")</f>
        <v>Saguache</v>
      </c>
      <c r="B76" t="s">
        <v>164</v>
      </c>
      <c r="C76" t="s">
        <v>164</v>
      </c>
      <c r="D76" t="s">
        <v>3037</v>
      </c>
      <c r="E76" t="str">
        <f>HYPERLINK("http://www.saguachecounty.net/departments/office-of-emergency-management","Saguache OEM")</f>
        <v>Saguache OEM</v>
      </c>
    </row>
    <row r="77" spans="1:7">
      <c r="A77" s="67" t="str">
        <f>HYPERLINK("http://en.wikipedia.org/wiki/San_Juan_County,_Colorado","San Juan")</f>
        <v>San Juan</v>
      </c>
      <c r="B77" t="s">
        <v>164</v>
      </c>
      <c r="C77" t="s">
        <v>164</v>
      </c>
      <c r="D77" t="s">
        <v>3038</v>
      </c>
      <c r="E77" t="s">
        <v>164</v>
      </c>
    </row>
    <row r="78" spans="1:7">
      <c r="A78" s="67" t="str">
        <f>HYPERLINK("http://en.wikipedia.org/wiki/San_Miguel_County,_Colorado","San Miguel")</f>
        <v>San Miguel</v>
      </c>
      <c r="B78" t="s">
        <v>164</v>
      </c>
      <c r="C78" t="s">
        <v>164</v>
      </c>
      <c r="D78" t="s">
        <v>3039</v>
      </c>
      <c r="E78" t="str">
        <f>HYPERLINK("http://www.sanmiguelcounty.org/preparedness/index.html","San Miguel OEM")</f>
        <v>San Miguel OEM</v>
      </c>
    </row>
    <row r="79" spans="1:7">
      <c r="A79" s="67" t="str">
        <f>HYPERLINK("http://en.wikipedia.org/wiki/Sedgwick_County,_Colorado","Sedgwick ")</f>
        <v xml:space="preserve">Sedgwick </v>
      </c>
      <c r="B79" t="s">
        <v>164</v>
      </c>
      <c r="C79" t="s">
        <v>164</v>
      </c>
      <c r="D79" t="s">
        <v>3040</v>
      </c>
      <c r="E79" t="s">
        <v>164</v>
      </c>
    </row>
    <row r="80" spans="1:7">
      <c r="A80" s="67" t="str">
        <f>HYPERLINK("http://en.wikipedia.org/wiki/Summit_County,_Colorado","Summit")</f>
        <v>Summit</v>
      </c>
      <c r="B80" t="s">
        <v>3041</v>
      </c>
      <c r="C80" s="34" t="s">
        <v>3042</v>
      </c>
      <c r="D80" t="s">
        <v>3043</v>
      </c>
      <c r="E80" t="str">
        <f>HYPERLINK("http://www.co.summit.co.us/index.aspx?nid=96","Summit OEM")</f>
        <v>Summit OEM</v>
      </c>
    </row>
    <row r="81" spans="1:6">
      <c r="A81" s="67" t="str">
        <f>HYPERLINK("http://en.wikipedia.org/wiki/Teller_County,_Colorado","Teller")</f>
        <v>Teller</v>
      </c>
      <c r="B81" t="s">
        <v>3044</v>
      </c>
      <c r="C81" t="s">
        <v>164</v>
      </c>
      <c r="D81" t="s">
        <v>3045</v>
      </c>
      <c r="E81" t="str">
        <f>HYPERLINK("http://www.co.teller.co.us/OEM/default.aspx","Teller OEM")</f>
        <v>Teller OEM</v>
      </c>
    </row>
    <row r="82" spans="1:6">
      <c r="A82" s="67" t="str">
        <f>HYPERLINK("http://en.wikipedia.org/wiki/Washington_County,_Colorado","Washington")</f>
        <v>Washington</v>
      </c>
      <c r="B82" t="s">
        <v>164</v>
      </c>
      <c r="C82" t="s">
        <v>164</v>
      </c>
      <c r="D82" t="s">
        <v>3046</v>
      </c>
      <c r="E82" t="str">
        <f>HYPERLINK("http://www.co.washington.co.us/","Washington OEM")</f>
        <v>Washington OEM</v>
      </c>
    </row>
    <row r="83" spans="1:6">
      <c r="A83" s="67" t="str">
        <f>HYPERLINK("http://en.wikipedia.org/wiki/Weld_County,_Colorado","Weld")</f>
        <v>Weld</v>
      </c>
      <c r="B83" t="s">
        <v>3047</v>
      </c>
      <c r="C83" t="s">
        <v>164</v>
      </c>
      <c r="D83" t="s">
        <v>3048</v>
      </c>
      <c r="E83" t="str">
        <f>HYPERLINK("http://www.co.weld.co.us/Departments/OEM/index.html","Weld OEM")</f>
        <v>Weld OEM</v>
      </c>
    </row>
    <row r="84" spans="1:6" ht="15" customHeight="1">
      <c r="A84" t="str">
        <f>HYPERLINK("http://en.wikipedia.org/wiki/Yuma_County,_Colorado","Yuma")</f>
        <v>Yuma</v>
      </c>
      <c r="D84" t="s">
        <v>3049</v>
      </c>
      <c r="E84" s="34" t="s">
        <v>3050</v>
      </c>
    </row>
    <row r="86" spans="1:6">
      <c r="A86" s="79" t="s">
        <v>333</v>
      </c>
      <c r="B86" s="79" t="s">
        <v>147</v>
      </c>
      <c r="C86" s="79" t="s">
        <v>148</v>
      </c>
      <c r="D86" s="79" t="s">
        <v>182</v>
      </c>
    </row>
    <row r="87" spans="1:6">
      <c r="A87" s="33" t="s">
        <v>3051</v>
      </c>
      <c r="B87" s="67"/>
      <c r="D87" t="s">
        <v>3052</v>
      </c>
      <c r="F87" t="s">
        <v>3053</v>
      </c>
    </row>
    <row r="88" spans="1:6">
      <c r="A88" s="67" t="s">
        <v>3054</v>
      </c>
      <c r="C88" t="s">
        <v>3055</v>
      </c>
      <c r="D88" t="s">
        <v>3056</v>
      </c>
    </row>
    <row r="89" spans="1:6">
      <c r="A89" s="67" t="s">
        <v>3057</v>
      </c>
      <c r="B89" t="s">
        <v>3058</v>
      </c>
      <c r="C89" t="s">
        <v>3059</v>
      </c>
      <c r="D89" t="s">
        <v>3060</v>
      </c>
    </row>
    <row r="90" spans="1:6">
      <c r="A90" s="67" t="s">
        <v>3061</v>
      </c>
      <c r="B90" t="s">
        <v>3062</v>
      </c>
      <c r="C90" t="s">
        <v>164</v>
      </c>
      <c r="D90" t="s">
        <v>3063</v>
      </c>
    </row>
    <row r="91" spans="1:6">
      <c r="A91" s="67" t="s">
        <v>3064</v>
      </c>
      <c r="B91" t="s">
        <v>3065</v>
      </c>
      <c r="C91" t="s">
        <v>3066</v>
      </c>
      <c r="D91" t="s">
        <v>3067</v>
      </c>
    </row>
    <row r="92" spans="1:6">
      <c r="A92" s="67" t="s">
        <v>3068</v>
      </c>
      <c r="B92" t="s">
        <v>3069</v>
      </c>
      <c r="C92" t="s">
        <v>3070</v>
      </c>
      <c r="D92" t="s">
        <v>3071</v>
      </c>
    </row>
    <row r="93" spans="1:6">
      <c r="A93" s="67" t="s">
        <v>3072</v>
      </c>
      <c r="B93" t="s">
        <v>3073</v>
      </c>
      <c r="C93" t="s">
        <v>3074</v>
      </c>
      <c r="D93" t="s">
        <v>3075</v>
      </c>
    </row>
    <row r="95" spans="1:6">
      <c r="A95" s="79" t="s">
        <v>878</v>
      </c>
      <c r="B95" s="79" t="s">
        <v>147</v>
      </c>
      <c r="C95" s="79" t="s">
        <v>148</v>
      </c>
      <c r="D95" s="79" t="s">
        <v>182</v>
      </c>
    </row>
    <row r="96" spans="1:6">
      <c r="A96" s="74" t="s">
        <v>3076</v>
      </c>
      <c r="B96" s="67"/>
      <c r="C96" s="67"/>
      <c r="D96" s="67" t="s">
        <v>3077</v>
      </c>
    </row>
    <row r="97" spans="1:4">
      <c r="A97" s="33" t="s">
        <v>3078</v>
      </c>
      <c r="B97" s="67"/>
      <c r="C97" s="67"/>
      <c r="D97" s="67" t="s">
        <v>3079</v>
      </c>
    </row>
    <row r="98" spans="1:4">
      <c r="A98" t="s">
        <v>3080</v>
      </c>
      <c r="B98" s="67"/>
      <c r="C98" s="67"/>
      <c r="D98" s="67" t="s">
        <v>3081</v>
      </c>
    </row>
    <row r="99" spans="1:4">
      <c r="A99" s="67" t="s">
        <v>3082</v>
      </c>
      <c r="B99" s="67" t="s">
        <v>3083</v>
      </c>
      <c r="C99" s="67" t="s">
        <v>3084</v>
      </c>
      <c r="D99" s="67" t="s">
        <v>3085</v>
      </c>
    </row>
    <row r="100" spans="1:4">
      <c r="A100" s="67" t="s">
        <v>3086</v>
      </c>
      <c r="B100" t="s">
        <v>164</v>
      </c>
      <c r="C100" t="s">
        <v>164</v>
      </c>
      <c r="D100" s="67" t="s">
        <v>3087</v>
      </c>
    </row>
    <row r="101" spans="1:4">
      <c r="A101" s="67" t="s">
        <v>3088</v>
      </c>
      <c r="B101" s="67" t="s">
        <v>3089</v>
      </c>
      <c r="C101" s="67" t="s">
        <v>3090</v>
      </c>
      <c r="D101" s="67" t="s">
        <v>3091</v>
      </c>
    </row>
    <row r="102" spans="1:4">
      <c r="A102" s="67" t="s">
        <v>3092</v>
      </c>
      <c r="B102" t="s">
        <v>164</v>
      </c>
      <c r="C102" s="34" t="s">
        <v>3093</v>
      </c>
      <c r="D102" s="67" t="s">
        <v>3094</v>
      </c>
    </row>
    <row r="103" spans="1:4">
      <c r="A103" s="67" t="s">
        <v>3095</v>
      </c>
      <c r="B103" t="s">
        <v>164</v>
      </c>
      <c r="C103" s="34" t="s">
        <v>3096</v>
      </c>
      <c r="D103" s="67" t="s">
        <v>3097</v>
      </c>
    </row>
    <row r="104" spans="1:4">
      <c r="A104" s="67" t="s">
        <v>3098</v>
      </c>
      <c r="B104" t="s">
        <v>3099</v>
      </c>
      <c r="C104" t="s">
        <v>3100</v>
      </c>
      <c r="D104" s="67" t="s">
        <v>3101</v>
      </c>
    </row>
    <row r="105" spans="1:4">
      <c r="A105" s="67" t="s">
        <v>3102</v>
      </c>
      <c r="B105" s="67" t="s">
        <v>3103</v>
      </c>
      <c r="C105" s="67" t="s">
        <v>3104</v>
      </c>
      <c r="D105" s="67" t="s">
        <v>3105</v>
      </c>
    </row>
    <row r="106" spans="1:4">
      <c r="A106" s="67" t="s">
        <v>3106</v>
      </c>
      <c r="B106" s="67" t="s">
        <v>3107</v>
      </c>
      <c r="C106" s="67" t="s">
        <v>3108</v>
      </c>
      <c r="D106" s="67" t="s">
        <v>3109</v>
      </c>
    </row>
    <row r="107" spans="1:4">
      <c r="A107" s="67" t="s">
        <v>3110</v>
      </c>
      <c r="B107" t="s">
        <v>3034</v>
      </c>
      <c r="C107" t="s">
        <v>3111</v>
      </c>
      <c r="D107" s="67" t="s">
        <v>3112</v>
      </c>
    </row>
    <row r="108" spans="1:4">
      <c r="A108" s="67" t="s">
        <v>3113</v>
      </c>
      <c r="B108" t="s">
        <v>164</v>
      </c>
      <c r="C108" t="s">
        <v>164</v>
      </c>
      <c r="D108" s="67" t="s">
        <v>3114</v>
      </c>
    </row>
    <row r="109" spans="1:4">
      <c r="A109" s="67" t="s">
        <v>3115</v>
      </c>
      <c r="B109" s="67" t="s">
        <v>3116</v>
      </c>
      <c r="C109" s="67" t="s">
        <v>3117</v>
      </c>
      <c r="D109" s="67" t="s">
        <v>3118</v>
      </c>
    </row>
    <row r="110" spans="1:4" ht="15" customHeight="1">
      <c r="A110" t="s">
        <v>3119</v>
      </c>
      <c r="B110" t="s">
        <v>164</v>
      </c>
      <c r="C110" t="s">
        <v>164</v>
      </c>
      <c r="D110" t="s">
        <v>3120</v>
      </c>
    </row>
    <row r="111" spans="1:4" ht="15" customHeight="1">
      <c r="A111" t="s">
        <v>3121</v>
      </c>
      <c r="B111" t="s">
        <v>164</v>
      </c>
      <c r="C111" t="s">
        <v>164</v>
      </c>
      <c r="D111" t="s">
        <v>3122</v>
      </c>
    </row>
    <row r="113" spans="1:6">
      <c r="A113" s="79" t="s">
        <v>428</v>
      </c>
      <c r="B113" s="79" t="s">
        <v>147</v>
      </c>
      <c r="C113" s="79" t="s">
        <v>148</v>
      </c>
      <c r="D113" s="79" t="s">
        <v>182</v>
      </c>
    </row>
    <row r="114" spans="1:6">
      <c r="A114" s="74" t="s">
        <v>3123</v>
      </c>
      <c r="B114" s="67"/>
      <c r="C114" s="67"/>
      <c r="D114" s="67" t="s">
        <v>3124</v>
      </c>
    </row>
    <row r="115" spans="1:6">
      <c r="A115" s="74" t="s">
        <v>3125</v>
      </c>
      <c r="B115" s="67"/>
      <c r="C115" s="67"/>
      <c r="D115" s="67" t="s">
        <v>3126</v>
      </c>
    </row>
    <row r="116" spans="1:6">
      <c r="A116" s="74" t="s">
        <v>3127</v>
      </c>
      <c r="B116" s="67"/>
      <c r="C116" s="67"/>
      <c r="D116" s="67" t="s">
        <v>3128</v>
      </c>
    </row>
    <row r="117" spans="1:6">
      <c r="A117" s="97" t="s">
        <v>3129</v>
      </c>
      <c r="B117" s="97" t="s">
        <v>3130</v>
      </c>
      <c r="C117" s="97" t="s">
        <v>3131</v>
      </c>
      <c r="D117" s="97" t="s">
        <v>3132</v>
      </c>
    </row>
    <row r="118" spans="1:6">
      <c r="A118" s="97" t="s">
        <v>3133</v>
      </c>
      <c r="B118" s="97" t="s">
        <v>3134</v>
      </c>
      <c r="C118" s="97" t="s">
        <v>3135</v>
      </c>
      <c r="D118" s="97" t="s">
        <v>3136</v>
      </c>
    </row>
    <row r="119" spans="1:6">
      <c r="A119" s="97" t="s">
        <v>3137</v>
      </c>
      <c r="B119" s="97" t="s">
        <v>3138</v>
      </c>
      <c r="C119" s="97" t="s">
        <v>3139</v>
      </c>
      <c r="D119" s="97" t="s">
        <v>3140</v>
      </c>
    </row>
    <row r="120" spans="1:6">
      <c r="A120" s="97" t="s">
        <v>3141</v>
      </c>
      <c r="B120" s="97" t="s">
        <v>3142</v>
      </c>
      <c r="C120" s="97" t="s">
        <v>3143</v>
      </c>
      <c r="D120" s="97" t="s">
        <v>3144</v>
      </c>
    </row>
    <row r="121" spans="1:6">
      <c r="A121" s="97" t="s">
        <v>3145</v>
      </c>
      <c r="B121" s="97" t="s">
        <v>3146</v>
      </c>
      <c r="C121" s="97" t="s">
        <v>3147</v>
      </c>
      <c r="D121" s="97" t="s">
        <v>3148</v>
      </c>
    </row>
    <row r="122" spans="1:6">
      <c r="A122" s="97" t="s">
        <v>3149</v>
      </c>
      <c r="B122" s="97" t="s">
        <v>3150</v>
      </c>
      <c r="C122" s="97" t="s">
        <v>3151</v>
      </c>
      <c r="D122" s="97" t="s">
        <v>3152</v>
      </c>
    </row>
    <row r="123" spans="1:6">
      <c r="A123" s="97" t="s">
        <v>3153</v>
      </c>
      <c r="B123" s="97" t="s">
        <v>3154</v>
      </c>
      <c r="C123" s="97" t="s">
        <v>3155</v>
      </c>
      <c r="D123" s="97" t="s">
        <v>3156</v>
      </c>
    </row>
    <row r="124" spans="1:6">
      <c r="A124" s="97"/>
      <c r="B124" s="97"/>
      <c r="C124" s="97"/>
      <c r="D124" s="97"/>
    </row>
    <row r="125" spans="1:6">
      <c r="A125" s="60" t="s">
        <v>3157</v>
      </c>
      <c r="B125" s="79" t="s">
        <v>147</v>
      </c>
      <c r="C125" s="79" t="s">
        <v>148</v>
      </c>
      <c r="D125" s="79" t="s">
        <v>182</v>
      </c>
      <c r="E125" s="41" t="s">
        <v>490</v>
      </c>
      <c r="F125" s="41" t="s">
        <v>3158</v>
      </c>
    </row>
    <row r="126" spans="1:6">
      <c r="A126" s="31" t="s">
        <v>3159</v>
      </c>
      <c r="B126" s="97"/>
      <c r="C126" s="97"/>
      <c r="D126" s="97" t="s">
        <v>3160</v>
      </c>
      <c r="E126" t="s">
        <v>3161</v>
      </c>
    </row>
    <row r="127" spans="1:6" ht="15" customHeight="1">
      <c r="A127" t="s">
        <v>2908</v>
      </c>
      <c r="D127" t="s">
        <v>2909</v>
      </c>
    </row>
    <row r="128" spans="1:6">
      <c r="A128" s="97" t="s">
        <v>3162</v>
      </c>
      <c r="B128" t="s">
        <v>3163</v>
      </c>
      <c r="C128" s="97" t="s">
        <v>3164</v>
      </c>
      <c r="D128" s="97" t="s">
        <v>3165</v>
      </c>
      <c r="E128" s="97" t="s">
        <v>3166</v>
      </c>
      <c r="F128" t="s">
        <v>3167</v>
      </c>
    </row>
    <row r="129" spans="1:6">
      <c r="A129" s="97" t="s">
        <v>3168</v>
      </c>
      <c r="B129" t="s">
        <v>3169</v>
      </c>
      <c r="C129" s="97" t="s">
        <v>3170</v>
      </c>
      <c r="D129" s="97" t="s">
        <v>3171</v>
      </c>
      <c r="E129" s="97" t="s">
        <v>3172</v>
      </c>
      <c r="F129" t="s">
        <v>3173</v>
      </c>
    </row>
    <row r="130" spans="1:6">
      <c r="A130" s="97" t="s">
        <v>3174</v>
      </c>
      <c r="B130" t="s">
        <v>3175</v>
      </c>
      <c r="C130" s="97" t="s">
        <v>3176</v>
      </c>
      <c r="D130" s="97" t="s">
        <v>3177</v>
      </c>
      <c r="E130" s="97" t="s">
        <v>3178</v>
      </c>
    </row>
    <row r="131" spans="1:6">
      <c r="A131" s="97" t="s">
        <v>3179</v>
      </c>
      <c r="B131" t="s">
        <v>3180</v>
      </c>
      <c r="C131" s="97" t="s">
        <v>3181</v>
      </c>
      <c r="D131" s="97" t="s">
        <v>3182</v>
      </c>
      <c r="E131" s="97" t="s">
        <v>3183</v>
      </c>
    </row>
    <row r="132" spans="1:6">
      <c r="A132" s="97" t="s">
        <v>3184</v>
      </c>
      <c r="B132" t="s">
        <v>3185</v>
      </c>
      <c r="C132" s="97" t="s">
        <v>3186</v>
      </c>
      <c r="D132" s="97" t="s">
        <v>3187</v>
      </c>
      <c r="E132" s="97" t="s">
        <v>3188</v>
      </c>
    </row>
    <row r="133" spans="1:6">
      <c r="A133" s="97" t="s">
        <v>3189</v>
      </c>
      <c r="B133" t="s">
        <v>3190</v>
      </c>
      <c r="C133" s="97" t="s">
        <v>3191</v>
      </c>
      <c r="D133" s="97" t="s">
        <v>3192</v>
      </c>
      <c r="E133" s="97" t="s">
        <v>3193</v>
      </c>
      <c r="F133" t="s">
        <v>3194</v>
      </c>
    </row>
    <row r="134" spans="1:6">
      <c r="A134" s="97" t="s">
        <v>3195</v>
      </c>
      <c r="B134" t="s">
        <v>3196</v>
      </c>
      <c r="C134" s="97" t="s">
        <v>3197</v>
      </c>
      <c r="D134" s="97" t="s">
        <v>3198</v>
      </c>
      <c r="E134" s="97" t="s">
        <v>3199</v>
      </c>
      <c r="F134" t="s">
        <v>3200</v>
      </c>
    </row>
    <row r="135" spans="1:6">
      <c r="A135" s="97" t="s">
        <v>3201</v>
      </c>
      <c r="B135" t="s">
        <v>3202</v>
      </c>
      <c r="C135" s="97" t="s">
        <v>3203</v>
      </c>
      <c r="D135" s="97" t="s">
        <v>3204</v>
      </c>
      <c r="E135" s="97" t="s">
        <v>3205</v>
      </c>
      <c r="F135" t="s">
        <v>3206</v>
      </c>
    </row>
    <row r="136" spans="1:6">
      <c r="A136" s="97" t="s">
        <v>3207</v>
      </c>
      <c r="B136" t="s">
        <v>3208</v>
      </c>
      <c r="C136" s="97" t="s">
        <v>3209</v>
      </c>
      <c r="D136" s="97" t="s">
        <v>3210</v>
      </c>
      <c r="E136" s="97" t="s">
        <v>3211</v>
      </c>
      <c r="F136" t="s">
        <v>3212</v>
      </c>
    </row>
    <row r="137" spans="1:6">
      <c r="A137" s="97" t="s">
        <v>3213</v>
      </c>
      <c r="B137" t="s">
        <v>3214</v>
      </c>
      <c r="C137" t="s">
        <v>3215</v>
      </c>
      <c r="D137" s="97" t="s">
        <v>3216</v>
      </c>
      <c r="E137" s="97" t="s">
        <v>3217</v>
      </c>
    </row>
    <row r="138" spans="1:6">
      <c r="A138" s="97" t="s">
        <v>3218</v>
      </c>
      <c r="B138" t="s">
        <v>3219</v>
      </c>
      <c r="C138" s="97" t="s">
        <v>3220</v>
      </c>
      <c r="D138" s="97" t="s">
        <v>3221</v>
      </c>
      <c r="E138" s="97" t="s">
        <v>3222</v>
      </c>
      <c r="F138" t="s">
        <v>3223</v>
      </c>
    </row>
    <row r="139" spans="1:6">
      <c r="A139" s="97" t="s">
        <v>3224</v>
      </c>
      <c r="B139" t="s">
        <v>3225</v>
      </c>
      <c r="C139" s="97" t="s">
        <v>3226</v>
      </c>
      <c r="D139" s="97" t="s">
        <v>3227</v>
      </c>
      <c r="E139" s="97" t="s">
        <v>3228</v>
      </c>
      <c r="F139" s="34" t="s">
        <v>3229</v>
      </c>
    </row>
    <row r="140" spans="1:6">
      <c r="A140" s="97" t="s">
        <v>3230</v>
      </c>
      <c r="B140" t="s">
        <v>3231</v>
      </c>
      <c r="C140" s="97" t="s">
        <v>3232</v>
      </c>
      <c r="D140" s="97" t="s">
        <v>3233</v>
      </c>
      <c r="E140" s="97" t="s">
        <v>3234</v>
      </c>
      <c r="F140" t="s">
        <v>3235</v>
      </c>
    </row>
    <row r="141" spans="1:6">
      <c r="A141" s="97" t="s">
        <v>3236</v>
      </c>
      <c r="B141" t="s">
        <v>787</v>
      </c>
      <c r="C141" s="97" t="s">
        <v>3237</v>
      </c>
      <c r="D141" s="97" t="s">
        <v>3238</v>
      </c>
      <c r="E141" s="97" t="s">
        <v>3239</v>
      </c>
    </row>
    <row r="142" spans="1:6">
      <c r="A142" s="97" t="s">
        <v>3240</v>
      </c>
      <c r="B142" t="s">
        <v>787</v>
      </c>
      <c r="C142" t="s">
        <v>787</v>
      </c>
      <c r="D142" s="97" t="s">
        <v>3241</v>
      </c>
      <c r="E142" s="97" t="s">
        <v>3242</v>
      </c>
    </row>
    <row r="143" spans="1:6">
      <c r="A143" s="97" t="s">
        <v>3243</v>
      </c>
      <c r="B143" t="s">
        <v>787</v>
      </c>
      <c r="C143" s="97" t="s">
        <v>3244</v>
      </c>
      <c r="D143" s="97" t="s">
        <v>3245</v>
      </c>
      <c r="E143" s="97" t="s">
        <v>3246</v>
      </c>
    </row>
    <row r="144" spans="1:6">
      <c r="A144" s="97" t="s">
        <v>3247</v>
      </c>
      <c r="B144" t="s">
        <v>3248</v>
      </c>
      <c r="C144" s="97" t="s">
        <v>3249</v>
      </c>
      <c r="D144" s="97" t="s">
        <v>3250</v>
      </c>
      <c r="E144" s="97" t="s">
        <v>3251</v>
      </c>
    </row>
    <row r="145" spans="1:6">
      <c r="A145" s="97" t="s">
        <v>3252</v>
      </c>
      <c r="B145" t="s">
        <v>787</v>
      </c>
      <c r="C145" t="s">
        <v>787</v>
      </c>
      <c r="D145" s="97" t="s">
        <v>3253</v>
      </c>
      <c r="E145" s="97" t="s">
        <v>278</v>
      </c>
      <c r="F145" t="s">
        <v>3254</v>
      </c>
    </row>
    <row r="146" spans="1:6">
      <c r="A146" s="97" t="s">
        <v>3255</v>
      </c>
      <c r="B146" t="s">
        <v>3256</v>
      </c>
      <c r="C146" s="97" t="s">
        <v>3257</v>
      </c>
      <c r="D146" s="97" t="s">
        <v>3258</v>
      </c>
      <c r="E146" s="97" t="s">
        <v>3259</v>
      </c>
    </row>
    <row r="147" spans="1:6">
      <c r="A147" s="97" t="s">
        <v>3260</v>
      </c>
      <c r="B147" t="s">
        <v>787</v>
      </c>
      <c r="C147" s="97" t="s">
        <v>3261</v>
      </c>
      <c r="D147" s="97" t="s">
        <v>3262</v>
      </c>
      <c r="E147" s="97" t="s">
        <v>3263</v>
      </c>
      <c r="F147" s="34" t="s">
        <v>3264</v>
      </c>
    </row>
    <row r="148" spans="1:6">
      <c r="A148" s="97" t="s">
        <v>3265</v>
      </c>
      <c r="B148" t="s">
        <v>3266</v>
      </c>
      <c r="C148" s="97" t="s">
        <v>3267</v>
      </c>
      <c r="D148" s="97" t="s">
        <v>3268</v>
      </c>
      <c r="E148" s="97" t="s">
        <v>3269</v>
      </c>
    </row>
    <row r="149" spans="1:6">
      <c r="A149" s="97" t="s">
        <v>3270</v>
      </c>
      <c r="B149" t="s">
        <v>787</v>
      </c>
      <c r="C149" t="s">
        <v>787</v>
      </c>
      <c r="D149" s="97" t="s">
        <v>3271</v>
      </c>
      <c r="E149" s="97" t="s">
        <v>3172</v>
      </c>
    </row>
    <row r="150" spans="1:6">
      <c r="A150" s="97" t="s">
        <v>3272</v>
      </c>
      <c r="B150" t="s">
        <v>3273</v>
      </c>
      <c r="C150" s="97" t="s">
        <v>3274</v>
      </c>
      <c r="D150" s="97" t="s">
        <v>3275</v>
      </c>
      <c r="E150" s="97" t="s">
        <v>3276</v>
      </c>
    </row>
    <row r="151" spans="1:6">
      <c r="A151" s="97" t="s">
        <v>3277</v>
      </c>
      <c r="B151" t="s">
        <v>787</v>
      </c>
      <c r="C151" t="s">
        <v>787</v>
      </c>
      <c r="D151" s="97" t="s">
        <v>3278</v>
      </c>
      <c r="E151" s="97" t="s">
        <v>3279</v>
      </c>
    </row>
    <row r="152" spans="1:6">
      <c r="A152" s="97" t="s">
        <v>3280</v>
      </c>
      <c r="B152" t="s">
        <v>3281</v>
      </c>
      <c r="C152" s="97" t="s">
        <v>3282</v>
      </c>
      <c r="D152" s="97" t="s">
        <v>3283</v>
      </c>
      <c r="E152" s="97" t="s">
        <v>3199</v>
      </c>
    </row>
    <row r="153" spans="1:6">
      <c r="A153" s="97" t="s">
        <v>3284</v>
      </c>
      <c r="B153" t="s">
        <v>3285</v>
      </c>
      <c r="C153" s="97" t="s">
        <v>3286</v>
      </c>
      <c r="D153" s="97" t="s">
        <v>3287</v>
      </c>
      <c r="E153" s="97" t="s">
        <v>3288</v>
      </c>
    </row>
    <row r="154" spans="1:6">
      <c r="A154" s="97" t="s">
        <v>3289</v>
      </c>
      <c r="B154" t="s">
        <v>3290</v>
      </c>
      <c r="C154" s="97" t="s">
        <v>3291</v>
      </c>
      <c r="D154" s="97" t="s">
        <v>3292</v>
      </c>
      <c r="E154" s="97" t="s">
        <v>3293</v>
      </c>
    </row>
    <row r="155" spans="1:6">
      <c r="A155" s="97" t="s">
        <v>3294</v>
      </c>
      <c r="B155" t="s">
        <v>3295</v>
      </c>
      <c r="C155" s="97" t="s">
        <v>3296</v>
      </c>
      <c r="D155" s="97" t="s">
        <v>3297</v>
      </c>
      <c r="E155" s="97" t="s">
        <v>3199</v>
      </c>
    </row>
    <row r="156" spans="1:6">
      <c r="A156" s="97" t="s">
        <v>3298</v>
      </c>
      <c r="B156" t="s">
        <v>3299</v>
      </c>
      <c r="C156" s="97" t="s">
        <v>3300</v>
      </c>
      <c r="D156" s="97" t="s">
        <v>3301</v>
      </c>
      <c r="E156" s="97" t="s">
        <v>3199</v>
      </c>
      <c r="F156" t="s">
        <v>3302</v>
      </c>
    </row>
    <row r="157" spans="1:6">
      <c r="A157" s="97" t="s">
        <v>3303</v>
      </c>
      <c r="B157" t="s">
        <v>3304</v>
      </c>
      <c r="C157" s="97" t="s">
        <v>3305</v>
      </c>
      <c r="D157" s="97" t="s">
        <v>3306</v>
      </c>
      <c r="E157" s="97" t="s">
        <v>3307</v>
      </c>
    </row>
    <row r="158" spans="1:6">
      <c r="A158" s="97" t="s">
        <v>1322</v>
      </c>
      <c r="B158" t="s">
        <v>1323</v>
      </c>
      <c r="C158" s="97" t="s">
        <v>1324</v>
      </c>
      <c r="D158" s="97" t="s">
        <v>1325</v>
      </c>
      <c r="E158" s="97" t="s">
        <v>3308</v>
      </c>
    </row>
    <row r="159" spans="1:6">
      <c r="A159" s="97" t="s">
        <v>3309</v>
      </c>
      <c r="B159" t="s">
        <v>3310</v>
      </c>
      <c r="C159" s="97" t="s">
        <v>3311</v>
      </c>
      <c r="D159" s="97" t="s">
        <v>3312</v>
      </c>
      <c r="E159" s="97" t="s">
        <v>3313</v>
      </c>
    </row>
    <row r="160" spans="1:6">
      <c r="A160" s="97" t="s">
        <v>3314</v>
      </c>
      <c r="B160" t="s">
        <v>3315</v>
      </c>
      <c r="C160" s="97" t="s">
        <v>3316</v>
      </c>
      <c r="D160" s="97" t="s">
        <v>3317</v>
      </c>
      <c r="E160" s="97" t="s">
        <v>3199</v>
      </c>
    </row>
    <row r="161" spans="1:5">
      <c r="A161" s="97"/>
      <c r="C161" s="97"/>
      <c r="D161" s="97"/>
      <c r="E161" s="97"/>
    </row>
    <row r="162" spans="1:5">
      <c r="A162" s="97"/>
      <c r="C162" s="97"/>
      <c r="D162" s="97"/>
      <c r="E162" s="97"/>
    </row>
    <row r="163" spans="1:5">
      <c r="A163" s="97"/>
      <c r="C163" s="97"/>
      <c r="D163" s="97"/>
      <c r="E163" s="97"/>
    </row>
    <row r="164" spans="1:5">
      <c r="A164" s="97"/>
      <c r="C164" s="97"/>
      <c r="D164" s="97"/>
      <c r="E164" s="97"/>
    </row>
    <row r="165" spans="1:5">
      <c r="A165" s="97"/>
      <c r="C165" s="97"/>
      <c r="D165" s="97"/>
      <c r="E165" s="97"/>
    </row>
    <row r="166" spans="1:5">
      <c r="A166" s="97"/>
      <c r="C166" s="97"/>
      <c r="D166" s="97"/>
      <c r="E166" s="97"/>
    </row>
    <row r="167" spans="1:5">
      <c r="A167" s="97"/>
      <c r="C167" s="97"/>
      <c r="D167" s="97"/>
      <c r="E167" s="97"/>
    </row>
    <row r="168" spans="1:5">
      <c r="A168" s="97"/>
      <c r="C168" s="97"/>
      <c r="D168" s="97"/>
      <c r="E168" s="97"/>
    </row>
    <row r="169" spans="1:5">
      <c r="A169" s="97"/>
      <c r="C169" s="97"/>
      <c r="D169" s="97"/>
      <c r="E169" s="97"/>
    </row>
    <row r="170" spans="1:5">
      <c r="A170" s="97"/>
      <c r="C170" s="97"/>
      <c r="D170" s="97"/>
      <c r="E170" s="97"/>
    </row>
    <row r="171" spans="1:5">
      <c r="A171" s="97"/>
      <c r="C171" s="97"/>
      <c r="D171" s="97"/>
      <c r="E171" s="97"/>
    </row>
    <row r="172" spans="1:5">
      <c r="A172" s="97"/>
      <c r="C172" s="97"/>
      <c r="D172" s="97"/>
      <c r="E172" s="97"/>
    </row>
    <row r="173" spans="1:5">
      <c r="A173" s="97"/>
      <c r="C173" s="97"/>
      <c r="D173" s="97"/>
      <c r="E173" s="97"/>
    </row>
    <row r="174" spans="1:5">
      <c r="A174" s="97"/>
      <c r="C174" s="97"/>
      <c r="D174" s="97"/>
      <c r="E174" s="97"/>
    </row>
    <row r="175" spans="1:5">
      <c r="A175" s="97"/>
      <c r="C175" s="97"/>
      <c r="D175" s="97"/>
      <c r="E175" s="97"/>
    </row>
    <row r="176" spans="1:5">
      <c r="A176" s="97"/>
      <c r="C176" s="97"/>
      <c r="D176" s="97"/>
      <c r="E176" s="97"/>
    </row>
    <row r="177" spans="1:5">
      <c r="A177" s="97"/>
      <c r="C177" s="97"/>
      <c r="D177" s="97"/>
      <c r="E177" s="97"/>
    </row>
    <row r="178" spans="1:5">
      <c r="A178" s="97"/>
      <c r="C178" s="97"/>
      <c r="D178" s="97"/>
      <c r="E178" s="97"/>
    </row>
    <row r="179" spans="1:5">
      <c r="A179" s="97"/>
      <c r="C179" s="97"/>
      <c r="D179" s="97"/>
      <c r="E179" s="97"/>
    </row>
    <row r="180" spans="1:5">
      <c r="A180" s="97"/>
      <c r="C180" s="97"/>
      <c r="D180" s="97"/>
      <c r="E180" s="97"/>
    </row>
    <row r="181" spans="1:5">
      <c r="A181" s="97"/>
      <c r="C181" s="97"/>
      <c r="D181" s="97"/>
      <c r="E181" s="97"/>
    </row>
    <row r="182" spans="1:5">
      <c r="A182" s="97"/>
      <c r="C182" s="97"/>
      <c r="D182" s="97"/>
      <c r="E182" s="97"/>
    </row>
    <row r="183" spans="1:5">
      <c r="A183" s="97"/>
      <c r="C183" s="97"/>
      <c r="D183" s="97"/>
      <c r="E183" s="97"/>
    </row>
    <row r="184" spans="1:5">
      <c r="A184" s="97"/>
      <c r="C184" s="97"/>
      <c r="D184" s="97"/>
      <c r="E184" s="97"/>
    </row>
    <row r="185" spans="1:5">
      <c r="A185" s="97"/>
      <c r="C185" s="97"/>
      <c r="D185" s="97"/>
      <c r="E185" s="97"/>
    </row>
    <row r="186" spans="1:5">
      <c r="A186" s="97"/>
      <c r="C186" s="97"/>
      <c r="D186" s="97"/>
      <c r="E186" s="97"/>
    </row>
    <row r="187" spans="1:5">
      <c r="A187" s="97"/>
      <c r="C187" s="97"/>
      <c r="D187" s="97"/>
      <c r="E187" s="97"/>
    </row>
    <row r="188" spans="1:5">
      <c r="A188" s="97"/>
      <c r="C188" s="97"/>
      <c r="D188" s="97"/>
      <c r="E188" s="97"/>
    </row>
    <row r="189" spans="1:5">
      <c r="A189" s="97"/>
      <c r="C189" s="97"/>
      <c r="D189" s="97"/>
      <c r="E189" s="97"/>
    </row>
    <row r="190" spans="1:5">
      <c r="A190" s="97"/>
      <c r="C190" s="97"/>
      <c r="D190" s="97"/>
      <c r="E190" s="97"/>
    </row>
    <row r="191" spans="1:5">
      <c r="A191" s="97"/>
      <c r="C191" s="97"/>
      <c r="D191" s="97"/>
      <c r="E191" s="97"/>
    </row>
    <row r="192" spans="1:5">
      <c r="A192" s="97"/>
      <c r="C192" s="97"/>
      <c r="D192" s="97"/>
      <c r="E192" s="9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144"/>
  <sheetViews>
    <sheetView topLeftCell="A118" workbookViewId="0">
      <selection activeCell="E140" sqref="E140"/>
    </sheetView>
  </sheetViews>
  <sheetFormatPr defaultColWidth="9.140625" defaultRowHeight="15" customHeight="1"/>
  <cols>
    <col min="1" max="1" width="29.42578125" customWidth="1"/>
    <col min="2" max="2" width="17.85546875" customWidth="1"/>
    <col min="3" max="3" width="14" customWidth="1"/>
    <col min="4" max="4" width="21.28515625" customWidth="1"/>
    <col min="5" max="5" width="18.7109375" customWidth="1"/>
    <col min="6" max="6" width="30.5703125" customWidth="1"/>
  </cols>
  <sheetData>
    <row r="1" spans="1:7">
      <c r="A1" s="79" t="s">
        <v>146</v>
      </c>
      <c r="B1" s="79" t="s">
        <v>147</v>
      </c>
      <c r="C1" s="79" t="s">
        <v>148</v>
      </c>
      <c r="D1" s="79" t="s">
        <v>182</v>
      </c>
      <c r="E1" s="46"/>
    </row>
    <row r="2" spans="1:7" ht="15.75" customHeight="1">
      <c r="A2" s="67" t="s">
        <v>3318</v>
      </c>
      <c r="B2" s="20" t="s">
        <v>3319</v>
      </c>
      <c r="C2" s="67" t="s">
        <v>3320</v>
      </c>
      <c r="D2" s="67" t="s">
        <v>3321</v>
      </c>
    </row>
    <row r="3" spans="1:7">
      <c r="A3" s="67" t="s">
        <v>3322</v>
      </c>
      <c r="D3" s="67" t="s">
        <v>3323</v>
      </c>
    </row>
    <row r="4" spans="1:7">
      <c r="A4" s="67" t="s">
        <v>3324</v>
      </c>
      <c r="D4" s="67" t="s">
        <v>3325</v>
      </c>
    </row>
    <row r="5" spans="1:7" ht="12.75">
      <c r="A5" t="s">
        <v>3326</v>
      </c>
      <c r="D5" s="34" t="s">
        <v>3327</v>
      </c>
    </row>
    <row r="6" spans="1:7" ht="12.75">
      <c r="A6" t="s">
        <v>3328</v>
      </c>
      <c r="D6" s="34" t="s">
        <v>3329</v>
      </c>
      <c r="F6" s="34" t="s">
        <v>3330</v>
      </c>
    </row>
    <row r="7" spans="1:7" ht="12.75">
      <c r="D7" s="34"/>
    </row>
    <row r="8" spans="1:7">
      <c r="A8" s="74" t="s">
        <v>3331</v>
      </c>
      <c r="B8" s="28" t="s">
        <v>3332</v>
      </c>
      <c r="C8" s="74" t="s">
        <v>3333</v>
      </c>
      <c r="D8" s="74" t="s">
        <v>3334</v>
      </c>
      <c r="E8" s="33"/>
      <c r="F8" s="33"/>
      <c r="G8" s="33"/>
    </row>
    <row r="9" spans="1:7" ht="13.5">
      <c r="A9" s="108" t="s">
        <v>3335</v>
      </c>
      <c r="B9" s="109"/>
      <c r="C9" s="109"/>
      <c r="D9" s="109"/>
      <c r="E9" s="109"/>
      <c r="F9" s="109"/>
      <c r="G9" s="109"/>
    </row>
    <row r="10" spans="1:7" ht="15.75" customHeight="1">
      <c r="A10" t="s">
        <v>3336</v>
      </c>
      <c r="D10" s="34" t="s">
        <v>3337</v>
      </c>
    </row>
    <row r="11" spans="1:7" ht="15.75" customHeight="1">
      <c r="A11" t="s">
        <v>3338</v>
      </c>
      <c r="D11" s="34" t="s">
        <v>3339</v>
      </c>
    </row>
    <row r="12" spans="1:7" ht="15.75" customHeight="1">
      <c r="A12" t="s">
        <v>3340</v>
      </c>
      <c r="D12" s="34" t="s">
        <v>3341</v>
      </c>
    </row>
    <row r="13" spans="1:7" ht="15.75" customHeight="1">
      <c r="A13" t="s">
        <v>3342</v>
      </c>
      <c r="D13" s="34" t="s">
        <v>3343</v>
      </c>
    </row>
    <row r="14" spans="1:7" ht="15.75" customHeight="1">
      <c r="A14" t="s">
        <v>3344</v>
      </c>
      <c r="D14" s="34" t="s">
        <v>3345</v>
      </c>
    </row>
    <row r="15" spans="1:7" ht="15.75" customHeight="1">
      <c r="A15" s="13" t="s">
        <v>1403</v>
      </c>
    </row>
    <row r="16" spans="1:7">
      <c r="A16" s="3" t="s">
        <v>181</v>
      </c>
      <c r="B16" s="3" t="s">
        <v>147</v>
      </c>
      <c r="C16" s="77" t="s">
        <v>148</v>
      </c>
      <c r="D16" s="77" t="s">
        <v>182</v>
      </c>
      <c r="E16" s="14" t="s">
        <v>183</v>
      </c>
      <c r="F16" s="79" t="s">
        <v>211</v>
      </c>
    </row>
    <row r="17" spans="1:7">
      <c r="A17" s="67" t="s">
        <v>3346</v>
      </c>
      <c r="B17" s="34"/>
      <c r="C17" s="34"/>
      <c r="D17" s="34" t="s">
        <v>3347</v>
      </c>
      <c r="E17" s="34"/>
      <c r="F17" s="34"/>
      <c r="G17" s="34"/>
    </row>
    <row r="18" spans="1:7">
      <c r="A18" s="67" t="str">
        <f>HYPERLINK("http://en.wikipedia.org/wiki/Bridgeport,_Connecticut","Bridgeport")</f>
        <v>Bridgeport</v>
      </c>
      <c r="B18" s="34" t="s">
        <v>3348</v>
      </c>
      <c r="C18" s="34" t="s">
        <v>3349</v>
      </c>
      <c r="D18" s="34" t="s">
        <v>3350</v>
      </c>
      <c r="E18" s="34" t="str">
        <f>HYPERLINK("http://www.bridgeportct.gov/content/89019/89755/90710/default.aspx","Bridgeport OESHS")</f>
        <v>Bridgeport OESHS</v>
      </c>
      <c r="F18" s="34"/>
      <c r="G18" s="34"/>
    </row>
    <row r="19" spans="1:7" ht="15.75">
      <c r="A19" s="53" t="str">
        <f>HYPERLINK("http://en.wikipedia.org/wiki/New_Haven,_Connecticut","New Haven")</f>
        <v>New Haven</v>
      </c>
      <c r="B19" s="20" t="s">
        <v>3351</v>
      </c>
      <c r="C19" s="67" t="s">
        <v>3352</v>
      </c>
      <c r="D19" s="67" t="s">
        <v>3353</v>
      </c>
      <c r="E19" t="str">
        <f>HYPERLINK("http://www.cityofnewhaven.com/EmergencyInfo/index.asp","New Haven EmerInfo")</f>
        <v>New Haven EmerInfo</v>
      </c>
    </row>
    <row r="20" spans="1:7" ht="15.75">
      <c r="A20" s="27" t="str">
        <f>HYPERLINK("http://en.wikipedia.org/wiki/Hartford,_Connecticut","Hartford")</f>
        <v>Hartford</v>
      </c>
      <c r="B20" s="84" t="s">
        <v>3354</v>
      </c>
      <c r="C20" s="53" t="s">
        <v>164</v>
      </c>
      <c r="D20" s="53" t="s">
        <v>3355</v>
      </c>
      <c r="E20" s="27" t="str">
        <f>HYPERLINK("http://www.hartford.gov/emergency-services","City of Hartford EMS")</f>
        <v>City of Hartford EMS</v>
      </c>
      <c r="F20" s="27"/>
      <c r="G20" s="27"/>
    </row>
    <row r="21" spans="1:7">
      <c r="A21" s="67" t="str">
        <f>HYPERLINK("http://en.wikipedia.org/wiki/Stamford,_Connecticut","Stamford")</f>
        <v>Stamford</v>
      </c>
      <c r="B21" s="34" t="s">
        <v>3356</v>
      </c>
      <c r="C21" s="34" t="s">
        <v>164</v>
      </c>
      <c r="D21" s="34" t="s">
        <v>3357</v>
      </c>
      <c r="E21" s="34" t="str">
        <f>HYPERLINK("http://www.stamfordct.gov/public-safety-health-welfare","Stamford PSHW")</f>
        <v>Stamford PSHW</v>
      </c>
      <c r="F21" s="34"/>
      <c r="G21" s="34"/>
    </row>
    <row r="22" spans="1:7">
      <c r="A22" s="67" t="str">
        <f>HYPERLINK("http://en.wikipedia.org/wiki/Waterbury,_Connecticut","Waterbury")</f>
        <v>Waterbury</v>
      </c>
      <c r="B22" s="34" t="s">
        <v>3358</v>
      </c>
      <c r="C22" s="34" t="s">
        <v>3359</v>
      </c>
      <c r="D22" s="34" t="s">
        <v>3360</v>
      </c>
      <c r="E22" s="34" t="str">
        <f>HYPERLINK("http://www.waterburyct.org/content/9573/default.aspx","Waterbury Public Safety")</f>
        <v>Waterbury Public Safety</v>
      </c>
      <c r="F22" s="34"/>
      <c r="G22" s="34"/>
    </row>
    <row r="23" spans="1:7">
      <c r="A23" s="79" t="s">
        <v>184</v>
      </c>
      <c r="B23" s="79" t="s">
        <v>147</v>
      </c>
      <c r="C23" s="79" t="s">
        <v>148</v>
      </c>
      <c r="D23" s="79" t="s">
        <v>182</v>
      </c>
      <c r="E23" s="79" t="s">
        <v>183</v>
      </c>
      <c r="F23" s="79" t="s">
        <v>211</v>
      </c>
      <c r="G23" s="79"/>
    </row>
    <row r="24" spans="1:7" ht="15" hidden="1" customHeight="1">
      <c r="A24" s="67" t="s">
        <v>640</v>
      </c>
    </row>
    <row r="25" spans="1:7" ht="15.75" customHeight="1">
      <c r="A25" t="s">
        <v>3361</v>
      </c>
      <c r="D25" s="34" t="s">
        <v>3362</v>
      </c>
      <c r="F25" s="13" t="s">
        <v>3363</v>
      </c>
    </row>
    <row r="26" spans="1:7" ht="15.75" customHeight="1">
      <c r="A26" t="str">
        <f>HYPERLINK("http://en.wikipedia.org/wiki/Fairfield_County,_Connecticut","Fairfield County")</f>
        <v>Fairfield County</v>
      </c>
      <c r="D26" t="s">
        <v>3364</v>
      </c>
    </row>
    <row r="27" spans="1:7" ht="15.75" customHeight="1">
      <c r="A27" s="67" t="str">
        <f>HYPERLINK("http://en.wikipedia.org/wiki/Hartford_County,_Connecticut","Hartford County")</f>
        <v>Hartford County</v>
      </c>
    </row>
    <row r="28" spans="1:7">
      <c r="A28" s="67" t="str">
        <f>HYPERLINK("http://en.wikipedia.org/wiki/Litchfield_County,_Connecticut","Litchfield County")</f>
        <v>Litchfield County</v>
      </c>
      <c r="D28" s="67"/>
    </row>
    <row r="29" spans="1:7">
      <c r="A29" s="67" t="str">
        <f>HYPERLINK("http://en.wikipedia.org/wiki/Middlesex_County,_Connecticut","Middlesex County")</f>
        <v>Middlesex County</v>
      </c>
      <c r="B29" s="70"/>
      <c r="C29" s="67"/>
      <c r="D29" s="67"/>
    </row>
    <row r="30" spans="1:7" ht="15.75" customHeight="1">
      <c r="A30" s="67" t="str">
        <f>HYPERLINK("http://en.wikipedia.org/wiki/New_Haven_County,_Connecticut","New Haven County")</f>
        <v>New Haven County</v>
      </c>
      <c r="B30" s="2"/>
      <c r="C30" s="67"/>
    </row>
    <row r="31" spans="1:7" ht="15" hidden="1" customHeight="1">
      <c r="A31" s="67" t="s">
        <v>3365</v>
      </c>
    </row>
    <row r="32" spans="1:7">
      <c r="A32" s="67" t="str">
        <f>HYPERLINK("http://en.wikipedia.org/wiki/New_London_County,_Connecticut","New London County")</f>
        <v>New London County</v>
      </c>
    </row>
    <row r="33" spans="1:6">
      <c r="A33" s="67" t="str">
        <f>HYPERLINK("http://en.wikipedia.org/wiki/Tolland_County,_Connecticut","Tolland Coulty")</f>
        <v>Tolland Coulty</v>
      </c>
      <c r="D33" s="67" t="s">
        <v>3366</v>
      </c>
      <c r="E33" t="str">
        <f>HYPERLINK("http://www.tollandcounty911.org/","Tolland 911")</f>
        <v>Tolland 911</v>
      </c>
    </row>
    <row r="34" spans="1:6">
      <c r="A34" s="67" t="str">
        <f>HYPERLINK("http://en.wikipedia.org/wiki/Windham_County,_Connecticut","Windham County")</f>
        <v>Windham County</v>
      </c>
      <c r="D34" s="67"/>
    </row>
    <row r="35" spans="1:6" ht="12.75">
      <c r="F35" s="6"/>
    </row>
    <row r="36" spans="1:6">
      <c r="A36" s="79" t="s">
        <v>333</v>
      </c>
      <c r="B36" s="79" t="s">
        <v>147</v>
      </c>
      <c r="C36" s="79" t="s">
        <v>148</v>
      </c>
      <c r="D36" s="79" t="s">
        <v>182</v>
      </c>
    </row>
    <row r="37" spans="1:6">
      <c r="A37" s="93" t="s">
        <v>1047</v>
      </c>
      <c r="B37" s="67"/>
      <c r="C37" s="67"/>
      <c r="D37" s="67"/>
    </row>
    <row r="38" spans="1:6" ht="30">
      <c r="A38" s="78" t="s">
        <v>3367</v>
      </c>
      <c r="B38" s="67"/>
      <c r="C38" s="67"/>
      <c r="D38" s="67" t="s">
        <v>3368</v>
      </c>
      <c r="F38" s="33" t="s">
        <v>3369</v>
      </c>
    </row>
    <row r="39" spans="1:6">
      <c r="A39" s="12" t="s">
        <v>3370</v>
      </c>
      <c r="B39" s="67" t="s">
        <v>3371</v>
      </c>
      <c r="C39" s="67" t="s">
        <v>3372</v>
      </c>
      <c r="D39" s="67" t="s">
        <v>3373</v>
      </c>
    </row>
    <row r="40" spans="1:6" ht="51">
      <c r="A40" t="s">
        <v>3374</v>
      </c>
      <c r="B40" t="s">
        <v>3375</v>
      </c>
      <c r="C40" t="s">
        <v>3376</v>
      </c>
      <c r="D40" t="s">
        <v>3377</v>
      </c>
    </row>
    <row r="41" spans="1:6" ht="38.25">
      <c r="A41" t="s">
        <v>3378</v>
      </c>
      <c r="B41" t="s">
        <v>3379</v>
      </c>
      <c r="C41" t="s">
        <v>3380</v>
      </c>
      <c r="D41" t="s">
        <v>3381</v>
      </c>
    </row>
    <row r="42" spans="1:6">
      <c r="A42" s="67" t="s">
        <v>3382</v>
      </c>
      <c r="B42" s="70" t="s">
        <v>3383</v>
      </c>
      <c r="C42" s="67" t="s">
        <v>3384</v>
      </c>
      <c r="D42" s="67" t="s">
        <v>3385</v>
      </c>
    </row>
    <row r="43" spans="1:6" ht="38.25">
      <c r="A43" t="s">
        <v>3386</v>
      </c>
      <c r="B43" t="s">
        <v>3387</v>
      </c>
      <c r="C43" t="s">
        <v>3388</v>
      </c>
      <c r="D43" t="s">
        <v>3389</v>
      </c>
    </row>
    <row r="44" spans="1:6" ht="15.75" customHeight="1">
      <c r="A44" t="s">
        <v>3390</v>
      </c>
      <c r="B44" t="s">
        <v>164</v>
      </c>
      <c r="C44" t="s">
        <v>164</v>
      </c>
      <c r="D44" t="s">
        <v>3391</v>
      </c>
    </row>
    <row r="45" spans="1:6" ht="15.75" customHeight="1">
      <c r="A45" s="67" t="s">
        <v>3392</v>
      </c>
      <c r="B45" s="20" t="s">
        <v>3393</v>
      </c>
      <c r="C45" s="67" t="s">
        <v>3394</v>
      </c>
      <c r="D45" s="67" t="s">
        <v>3395</v>
      </c>
    </row>
    <row r="46" spans="1:6">
      <c r="A46" s="67" t="s">
        <v>3396</v>
      </c>
      <c r="B46" t="s">
        <v>164</v>
      </c>
      <c r="C46" t="s">
        <v>164</v>
      </c>
      <c r="D46" s="67" t="s">
        <v>3397</v>
      </c>
    </row>
    <row r="47" spans="1:6" ht="25.5">
      <c r="A47" t="s">
        <v>3398</v>
      </c>
      <c r="B47" t="s">
        <v>3399</v>
      </c>
      <c r="C47" t="s">
        <v>164</v>
      </c>
      <c r="D47" t="s">
        <v>3400</v>
      </c>
    </row>
    <row r="48" spans="1:6" ht="25.5">
      <c r="A48" t="s">
        <v>3401</v>
      </c>
      <c r="B48" t="s">
        <v>164</v>
      </c>
      <c r="C48" t="s">
        <v>164</v>
      </c>
      <c r="D48" t="s">
        <v>3402</v>
      </c>
    </row>
    <row r="49" spans="1:4" ht="25.5">
      <c r="A49" t="s">
        <v>3403</v>
      </c>
      <c r="B49" t="s">
        <v>3404</v>
      </c>
      <c r="C49" s="34" t="s">
        <v>3405</v>
      </c>
      <c r="D49" t="s">
        <v>3406</v>
      </c>
    </row>
    <row r="50" spans="1:4" ht="25.5">
      <c r="A50" t="s">
        <v>3407</v>
      </c>
      <c r="B50" t="s">
        <v>164</v>
      </c>
      <c r="C50" s="34" t="s">
        <v>3408</v>
      </c>
      <c r="D50" t="s">
        <v>3409</v>
      </c>
    </row>
    <row r="51" spans="1:4" ht="38.25">
      <c r="A51" t="s">
        <v>3410</v>
      </c>
      <c r="B51" t="s">
        <v>3411</v>
      </c>
      <c r="C51" s="34" t="s">
        <v>3412</v>
      </c>
      <c r="D51" t="s">
        <v>3413</v>
      </c>
    </row>
    <row r="52" spans="1:4" ht="51">
      <c r="A52" t="s">
        <v>3414</v>
      </c>
      <c r="B52" t="s">
        <v>3415</v>
      </c>
      <c r="C52" t="s">
        <v>3416</v>
      </c>
      <c r="D52" t="s">
        <v>3417</v>
      </c>
    </row>
    <row r="53" spans="1:4" ht="25.5">
      <c r="A53" t="s">
        <v>3418</v>
      </c>
      <c r="B53" t="s">
        <v>3419</v>
      </c>
      <c r="C53" s="34" t="s">
        <v>3420</v>
      </c>
      <c r="D53" t="s">
        <v>3421</v>
      </c>
    </row>
    <row r="54" spans="1:4" ht="38.25">
      <c r="A54" t="s">
        <v>3422</v>
      </c>
      <c r="B54" t="s">
        <v>3423</v>
      </c>
      <c r="C54" t="s">
        <v>3424</v>
      </c>
      <c r="D54" s="34" t="s">
        <v>3425</v>
      </c>
    </row>
    <row r="55" spans="1:4" ht="12.75">
      <c r="A55" t="s">
        <v>3426</v>
      </c>
      <c r="B55" t="s">
        <v>164</v>
      </c>
      <c r="C55" t="s">
        <v>164</v>
      </c>
      <c r="D55" s="34" t="s">
        <v>3427</v>
      </c>
    </row>
    <row r="56" spans="1:4" ht="25.5">
      <c r="A56" t="s">
        <v>3428</v>
      </c>
      <c r="B56" t="s">
        <v>3429</v>
      </c>
      <c r="C56" t="s">
        <v>164</v>
      </c>
      <c r="D56" t="s">
        <v>3430</v>
      </c>
    </row>
    <row r="57" spans="1:4" ht="25.5">
      <c r="A57" t="s">
        <v>3431</v>
      </c>
      <c r="B57" t="s">
        <v>3432</v>
      </c>
      <c r="C57" s="34" t="s">
        <v>3433</v>
      </c>
      <c r="D57" t="s">
        <v>3434</v>
      </c>
    </row>
    <row r="58" spans="1:4" ht="38.25">
      <c r="A58" t="s">
        <v>3435</v>
      </c>
      <c r="B58" t="s">
        <v>3436</v>
      </c>
      <c r="C58" t="s">
        <v>3437</v>
      </c>
      <c r="D58" t="s">
        <v>3438</v>
      </c>
    </row>
    <row r="59" spans="1:4" ht="38.25">
      <c r="A59" t="s">
        <v>3439</v>
      </c>
      <c r="B59" t="s">
        <v>3440</v>
      </c>
      <c r="C59" t="s">
        <v>3441</v>
      </c>
      <c r="D59" s="34" t="s">
        <v>3442</v>
      </c>
    </row>
    <row r="60" spans="1:4" ht="25.5">
      <c r="A60" t="s">
        <v>3443</v>
      </c>
      <c r="B60" t="s">
        <v>164</v>
      </c>
      <c r="C60" t="s">
        <v>164</v>
      </c>
      <c r="D60" t="s">
        <v>3444</v>
      </c>
    </row>
    <row r="62" spans="1:4" ht="25.5">
      <c r="A62" s="41" t="s">
        <v>3445</v>
      </c>
      <c r="B62" s="72"/>
      <c r="C62" s="72"/>
      <c r="D62" s="72"/>
    </row>
    <row r="63" spans="1:4" ht="51">
      <c r="A63" t="s">
        <v>3446</v>
      </c>
      <c r="D63" t="s">
        <v>3447</v>
      </c>
    </row>
    <row r="64" spans="1:4">
      <c r="A64" s="67" t="s">
        <v>3448</v>
      </c>
      <c r="D64" s="67" t="s">
        <v>3449</v>
      </c>
    </row>
    <row r="65" spans="1:5">
      <c r="A65" s="67" t="s">
        <v>3450</v>
      </c>
      <c r="D65" s="67" t="s">
        <v>3451</v>
      </c>
    </row>
    <row r="67" spans="1:5" ht="12.75">
      <c r="A67" s="41" t="s">
        <v>3452</v>
      </c>
      <c r="B67" s="72"/>
      <c r="C67" s="72"/>
      <c r="D67" s="72"/>
    </row>
    <row r="68" spans="1:5">
      <c r="A68" s="67" t="s">
        <v>3453</v>
      </c>
      <c r="B68" s="70" t="s">
        <v>3454</v>
      </c>
      <c r="C68" s="67" t="s">
        <v>3455</v>
      </c>
      <c r="D68" s="67" t="s">
        <v>3456</v>
      </c>
    </row>
    <row r="69" spans="1:5" ht="15.75">
      <c r="A69" s="67" t="s">
        <v>3457</v>
      </c>
      <c r="B69" s="20" t="s">
        <v>3458</v>
      </c>
      <c r="C69" s="67" t="s">
        <v>3394</v>
      </c>
      <c r="D69" s="67" t="s">
        <v>3459</v>
      </c>
    </row>
    <row r="70" spans="1:5">
      <c r="A70" s="67" t="s">
        <v>3460</v>
      </c>
      <c r="B70" s="70" t="s">
        <v>3458</v>
      </c>
      <c r="C70" s="67" t="s">
        <v>3394</v>
      </c>
      <c r="D70" s="67" t="s">
        <v>3461</v>
      </c>
    </row>
    <row r="72" spans="1:5">
      <c r="A72" s="79" t="s">
        <v>878</v>
      </c>
      <c r="B72" s="79" t="s">
        <v>147</v>
      </c>
      <c r="C72" s="79" t="s">
        <v>148</v>
      </c>
      <c r="D72" s="79" t="s">
        <v>182</v>
      </c>
    </row>
    <row r="73" spans="1:5" ht="26.25">
      <c r="A73" s="74" t="s">
        <v>3462</v>
      </c>
      <c r="B73" s="67"/>
      <c r="C73" s="67"/>
      <c r="D73" s="67" t="s">
        <v>3463</v>
      </c>
      <c r="E73" s="33" t="s">
        <v>3464</v>
      </c>
    </row>
    <row r="74" spans="1:5">
      <c r="A74" s="33" t="s">
        <v>3465</v>
      </c>
      <c r="B74" s="67"/>
      <c r="C74" s="67"/>
      <c r="D74" s="96" t="s">
        <v>3466</v>
      </c>
    </row>
    <row r="75" spans="1:5">
      <c r="A75" s="67" t="s">
        <v>3467</v>
      </c>
      <c r="B75" s="70" t="s">
        <v>3468</v>
      </c>
      <c r="C75" t="s">
        <v>164</v>
      </c>
      <c r="D75" s="67" t="s">
        <v>3469</v>
      </c>
    </row>
    <row r="76" spans="1:5">
      <c r="A76" s="67" t="s">
        <v>3470</v>
      </c>
      <c r="B76" s="70" t="s">
        <v>3471</v>
      </c>
      <c r="C76" s="67" t="s">
        <v>3472</v>
      </c>
      <c r="D76" s="67" t="s">
        <v>3473</v>
      </c>
    </row>
    <row r="78" spans="1:5" ht="12.75">
      <c r="A78" s="41" t="s">
        <v>3474</v>
      </c>
      <c r="B78" s="72"/>
      <c r="C78" s="72"/>
      <c r="D78" s="72"/>
    </row>
    <row r="79" spans="1:5" ht="12.75">
      <c r="A79" t="s">
        <v>3475</v>
      </c>
      <c r="D79" s="34" t="s">
        <v>3476</v>
      </c>
    </row>
    <row r="80" spans="1:5" ht="12.75">
      <c r="A80" t="s">
        <v>3477</v>
      </c>
      <c r="D80" s="34" t="s">
        <v>3478</v>
      </c>
    </row>
    <row r="81" spans="1:5" ht="12.75">
      <c r="D81" s="34"/>
    </row>
    <row r="82" spans="1:5">
      <c r="A82" s="79" t="s">
        <v>428</v>
      </c>
      <c r="B82" s="46"/>
      <c r="C82" s="46"/>
      <c r="D82" s="46"/>
      <c r="E82" s="46"/>
    </row>
    <row r="83" spans="1:5">
      <c r="A83" s="74" t="s">
        <v>3479</v>
      </c>
      <c r="B83" s="67"/>
      <c r="C83" s="67"/>
      <c r="D83" s="67" t="s">
        <v>3480</v>
      </c>
    </row>
    <row r="84" spans="1:5">
      <c r="A84" s="74" t="s">
        <v>3481</v>
      </c>
      <c r="B84" s="67"/>
      <c r="C84" s="67"/>
      <c r="D84" s="67" t="s">
        <v>3126</v>
      </c>
    </row>
    <row r="85" spans="1:5">
      <c r="A85" s="74" t="s">
        <v>3482</v>
      </c>
      <c r="B85" s="67"/>
      <c r="C85" s="67"/>
      <c r="D85" s="67" t="s">
        <v>3483</v>
      </c>
    </row>
    <row r="86" spans="1:5">
      <c r="A86" s="67" t="s">
        <v>3484</v>
      </c>
      <c r="B86" s="70" t="s">
        <v>3485</v>
      </c>
      <c r="C86" s="67" t="s">
        <v>3486</v>
      </c>
      <c r="D86" s="67" t="s">
        <v>3487</v>
      </c>
    </row>
    <row r="87" spans="1:5">
      <c r="A87" s="67" t="s">
        <v>3488</v>
      </c>
      <c r="B87" s="67" t="s">
        <v>3489</v>
      </c>
      <c r="C87" s="67" t="s">
        <v>3490</v>
      </c>
      <c r="D87" s="67" t="s">
        <v>3491</v>
      </c>
    </row>
    <row r="88" spans="1:5">
      <c r="A88" s="67" t="s">
        <v>3492</v>
      </c>
      <c r="B88" s="70" t="s">
        <v>3493</v>
      </c>
      <c r="C88" s="67" t="s">
        <v>3494</v>
      </c>
      <c r="D88" s="67" t="s">
        <v>3495</v>
      </c>
    </row>
    <row r="89" spans="1:5">
      <c r="A89" s="67" t="s">
        <v>3496</v>
      </c>
      <c r="B89" s="70" t="s">
        <v>3497</v>
      </c>
      <c r="C89" s="67" t="s">
        <v>3498</v>
      </c>
      <c r="D89" s="67" t="s">
        <v>3499</v>
      </c>
    </row>
    <row r="90" spans="1:5">
      <c r="A90" s="67" t="s">
        <v>3500</v>
      </c>
      <c r="B90" s="70" t="s">
        <v>3501</v>
      </c>
      <c r="C90" s="67" t="s">
        <v>3502</v>
      </c>
      <c r="D90" s="67" t="s">
        <v>3503</v>
      </c>
    </row>
    <row r="91" spans="1:5">
      <c r="A91" s="67" t="s">
        <v>3504</v>
      </c>
      <c r="B91" s="70" t="s">
        <v>3505</v>
      </c>
      <c r="C91" s="67" t="s">
        <v>3506</v>
      </c>
      <c r="D91" s="67" t="s">
        <v>3507</v>
      </c>
    </row>
    <row r="92" spans="1:5">
      <c r="A92" s="67" t="s">
        <v>3508</v>
      </c>
      <c r="B92" s="70" t="s">
        <v>3509</v>
      </c>
      <c r="C92" s="67" t="s">
        <v>3510</v>
      </c>
      <c r="D92" s="67" t="s">
        <v>3511</v>
      </c>
    </row>
    <row r="93" spans="1:5">
      <c r="A93" s="67" t="s">
        <v>3512</v>
      </c>
      <c r="B93" s="70" t="s">
        <v>3513</v>
      </c>
      <c r="C93" s="67" t="s">
        <v>3514</v>
      </c>
      <c r="D93" s="67" t="s">
        <v>3515</v>
      </c>
    </row>
    <row r="94" spans="1:5">
      <c r="A94" s="67" t="s">
        <v>3516</v>
      </c>
      <c r="B94" t="s">
        <v>164</v>
      </c>
      <c r="C94" s="67" t="s">
        <v>3517</v>
      </c>
      <c r="D94" s="67" t="s">
        <v>3518</v>
      </c>
    </row>
    <row r="95" spans="1:5">
      <c r="A95" s="67" t="s">
        <v>3519</v>
      </c>
      <c r="B95" s="70" t="s">
        <v>3520</v>
      </c>
      <c r="C95" s="67" t="s">
        <v>3521</v>
      </c>
      <c r="D95" s="67" t="s">
        <v>3522</v>
      </c>
    </row>
    <row r="96" spans="1:5">
      <c r="A96" s="67"/>
      <c r="B96" s="70"/>
      <c r="C96" s="67"/>
      <c r="D96" s="67"/>
    </row>
    <row r="97" spans="1:6">
      <c r="A97" s="79" t="s">
        <v>428</v>
      </c>
      <c r="B97" s="79" t="s">
        <v>147</v>
      </c>
      <c r="C97" s="79" t="s">
        <v>148</v>
      </c>
      <c r="D97" s="79" t="s">
        <v>182</v>
      </c>
      <c r="E97" s="79" t="s">
        <v>490</v>
      </c>
    </row>
    <row r="98" spans="1:6" ht="51">
      <c r="A98" s="33" t="s">
        <v>1594</v>
      </c>
      <c r="B98" t="s">
        <v>3523</v>
      </c>
    </row>
    <row r="99" spans="1:6">
      <c r="A99" s="67" t="s">
        <v>3524</v>
      </c>
      <c r="B99" s="70" t="s">
        <v>3525</v>
      </c>
      <c r="C99" s="67" t="s">
        <v>3526</v>
      </c>
      <c r="D99" s="67" t="s">
        <v>3527</v>
      </c>
      <c r="E99" t="s">
        <v>3528</v>
      </c>
    </row>
    <row r="100" spans="1:6">
      <c r="A100" s="67" t="s">
        <v>3529</v>
      </c>
      <c r="B100" s="70" t="s">
        <v>3530</v>
      </c>
      <c r="C100" s="67" t="s">
        <v>3531</v>
      </c>
      <c r="D100" s="67" t="s">
        <v>3532</v>
      </c>
      <c r="E100" t="s">
        <v>3365</v>
      </c>
    </row>
    <row r="101" spans="1:6" ht="26.25">
      <c r="A101" s="67" t="s">
        <v>3533</v>
      </c>
      <c r="B101" s="70" t="s">
        <v>3534</v>
      </c>
      <c r="C101" s="67" t="s">
        <v>3535</v>
      </c>
      <c r="D101" s="67" t="s">
        <v>3536</v>
      </c>
      <c r="E101" t="s">
        <v>3537</v>
      </c>
      <c r="F101" t="s">
        <v>3538</v>
      </c>
    </row>
    <row r="102" spans="1:6">
      <c r="A102" s="67" t="s">
        <v>3539</v>
      </c>
      <c r="B102" s="70" t="s">
        <v>3540</v>
      </c>
      <c r="C102" s="67" t="s">
        <v>3541</v>
      </c>
      <c r="D102" s="67" t="s">
        <v>3542</v>
      </c>
      <c r="E102" t="s">
        <v>3543</v>
      </c>
    </row>
    <row r="103" spans="1:6">
      <c r="A103" s="67" t="s">
        <v>3544</v>
      </c>
      <c r="B103" s="70" t="s">
        <v>787</v>
      </c>
      <c r="C103" s="67" t="s">
        <v>3545</v>
      </c>
      <c r="D103" s="67" t="s">
        <v>3546</v>
      </c>
      <c r="E103" t="s">
        <v>3543</v>
      </c>
    </row>
    <row r="104" spans="1:6">
      <c r="A104" s="67" t="s">
        <v>3547</v>
      </c>
      <c r="B104" s="70" t="s">
        <v>3548</v>
      </c>
      <c r="C104" s="67" t="s">
        <v>3549</v>
      </c>
      <c r="D104" s="67" t="s">
        <v>3550</v>
      </c>
      <c r="E104" t="s">
        <v>3551</v>
      </c>
    </row>
    <row r="105" spans="1:6">
      <c r="A105" s="67" t="s">
        <v>3552</v>
      </c>
      <c r="B105" s="70" t="s">
        <v>3553</v>
      </c>
      <c r="C105" s="67" t="s">
        <v>3554</v>
      </c>
      <c r="D105" s="67" t="s">
        <v>3555</v>
      </c>
      <c r="E105" t="s">
        <v>3528</v>
      </c>
    </row>
    <row r="106" spans="1:6">
      <c r="A106" s="67" t="s">
        <v>3556</v>
      </c>
      <c r="B106" s="70" t="s">
        <v>3557</v>
      </c>
      <c r="C106" s="67" t="s">
        <v>3558</v>
      </c>
      <c r="D106" s="67" t="s">
        <v>3559</v>
      </c>
      <c r="E106" t="s">
        <v>3560</v>
      </c>
    </row>
    <row r="107" spans="1:6">
      <c r="A107" s="67" t="s">
        <v>3561</v>
      </c>
      <c r="B107" s="70" t="s">
        <v>3562</v>
      </c>
      <c r="C107" s="67" t="s">
        <v>3563</v>
      </c>
      <c r="D107" s="67" t="s">
        <v>3564</v>
      </c>
      <c r="E107" t="s">
        <v>3565</v>
      </c>
    </row>
    <row r="108" spans="1:6">
      <c r="A108" s="67" t="s">
        <v>3566</v>
      </c>
      <c r="B108" s="70" t="s">
        <v>3567</v>
      </c>
      <c r="C108" s="67" t="s">
        <v>3568</v>
      </c>
      <c r="D108" s="67" t="s">
        <v>3569</v>
      </c>
      <c r="E108" t="s">
        <v>3570</v>
      </c>
      <c r="F108" t="s">
        <v>3571</v>
      </c>
    </row>
    <row r="109" spans="1:6">
      <c r="A109" s="67" t="s">
        <v>3572</v>
      </c>
      <c r="B109" s="70" t="s">
        <v>787</v>
      </c>
      <c r="C109" s="67" t="s">
        <v>3573</v>
      </c>
      <c r="D109" s="67" t="s">
        <v>3574</v>
      </c>
      <c r="E109" t="s">
        <v>3528</v>
      </c>
    </row>
    <row r="110" spans="1:6">
      <c r="A110" s="67" t="s">
        <v>3575</v>
      </c>
      <c r="B110" s="70" t="s">
        <v>787</v>
      </c>
      <c r="C110" s="67" t="s">
        <v>3576</v>
      </c>
      <c r="D110" s="67" t="s">
        <v>3577</v>
      </c>
      <c r="E110" t="s">
        <v>3578</v>
      </c>
    </row>
    <row r="111" spans="1:6">
      <c r="A111" s="67" t="s">
        <v>3579</v>
      </c>
      <c r="B111" s="70" t="s">
        <v>3580</v>
      </c>
      <c r="C111" s="67" t="s">
        <v>3581</v>
      </c>
      <c r="D111" s="67" t="s">
        <v>3582</v>
      </c>
      <c r="E111" t="s">
        <v>3583</v>
      </c>
    </row>
    <row r="112" spans="1:6">
      <c r="A112" s="67" t="s">
        <v>3584</v>
      </c>
      <c r="B112" s="70" t="s">
        <v>3585</v>
      </c>
      <c r="C112" s="67" t="s">
        <v>3586</v>
      </c>
      <c r="D112" s="67" t="s">
        <v>3587</v>
      </c>
      <c r="E112" t="s">
        <v>640</v>
      </c>
    </row>
    <row r="113" spans="1:6">
      <c r="A113" s="67" t="s">
        <v>3588</v>
      </c>
      <c r="B113" s="70" t="s">
        <v>3589</v>
      </c>
      <c r="C113" s="67" t="s">
        <v>3590</v>
      </c>
      <c r="D113" s="67" t="s">
        <v>3591</v>
      </c>
      <c r="E113" t="s">
        <v>3592</v>
      </c>
    </row>
    <row r="114" spans="1:6">
      <c r="A114" s="67" t="s">
        <v>3593</v>
      </c>
      <c r="B114" s="70" t="s">
        <v>3594</v>
      </c>
      <c r="C114" s="67" t="s">
        <v>3595</v>
      </c>
      <c r="D114" s="67" t="s">
        <v>3596</v>
      </c>
      <c r="E114" t="s">
        <v>3560</v>
      </c>
    </row>
    <row r="115" spans="1:6">
      <c r="A115" s="67" t="s">
        <v>3597</v>
      </c>
      <c r="B115" s="70" t="s">
        <v>787</v>
      </c>
      <c r="C115" s="67" t="s">
        <v>787</v>
      </c>
      <c r="D115" s="67" t="s">
        <v>3598</v>
      </c>
      <c r="E115" t="s">
        <v>3551</v>
      </c>
    </row>
    <row r="116" spans="1:6">
      <c r="A116" s="67" t="s">
        <v>3599</v>
      </c>
      <c r="B116" s="70" t="s">
        <v>787</v>
      </c>
      <c r="C116" s="67" t="s">
        <v>787</v>
      </c>
      <c r="D116" s="67" t="s">
        <v>3600</v>
      </c>
      <c r="E116" t="s">
        <v>3601</v>
      </c>
    </row>
    <row r="117" spans="1:6">
      <c r="A117" s="67" t="s">
        <v>3602</v>
      </c>
      <c r="B117" s="70" t="s">
        <v>3603</v>
      </c>
      <c r="C117" s="67" t="s">
        <v>3604</v>
      </c>
      <c r="D117" s="67" t="s">
        <v>3605</v>
      </c>
      <c r="E117" t="s">
        <v>3606</v>
      </c>
    </row>
    <row r="118" spans="1:6">
      <c r="A118" s="67" t="s">
        <v>3607</v>
      </c>
      <c r="B118" s="70" t="s">
        <v>3608</v>
      </c>
      <c r="C118" s="67" t="s">
        <v>3609</v>
      </c>
      <c r="D118" s="67" t="s">
        <v>3610</v>
      </c>
      <c r="E118" t="s">
        <v>3365</v>
      </c>
    </row>
    <row r="119" spans="1:6">
      <c r="A119" s="67" t="s">
        <v>3611</v>
      </c>
      <c r="B119" s="70" t="s">
        <v>3612</v>
      </c>
      <c r="C119" s="67" t="s">
        <v>3613</v>
      </c>
      <c r="D119" s="67" t="s">
        <v>3614</v>
      </c>
      <c r="E119" t="s">
        <v>3615</v>
      </c>
      <c r="F119" s="34" t="s">
        <v>3616</v>
      </c>
    </row>
    <row r="120" spans="1:6">
      <c r="A120" s="67" t="s">
        <v>3617</v>
      </c>
      <c r="B120" s="70" t="s">
        <v>787</v>
      </c>
      <c r="C120" s="67" t="s">
        <v>3618</v>
      </c>
      <c r="D120" s="67" t="s">
        <v>3619</v>
      </c>
      <c r="E120" t="s">
        <v>3620</v>
      </c>
    </row>
    <row r="121" spans="1:6">
      <c r="A121" s="67" t="s">
        <v>3621</v>
      </c>
      <c r="B121" s="70" t="s">
        <v>3622</v>
      </c>
      <c r="C121" s="67" t="s">
        <v>3623</v>
      </c>
      <c r="D121" s="67" t="s">
        <v>3624</v>
      </c>
      <c r="E121" t="s">
        <v>3625</v>
      </c>
    </row>
    <row r="122" spans="1:6">
      <c r="A122" s="67" t="s">
        <v>3626</v>
      </c>
      <c r="B122" s="70" t="s">
        <v>3627</v>
      </c>
      <c r="C122" s="67" t="s">
        <v>3628</v>
      </c>
      <c r="D122" s="67" t="s">
        <v>3629</v>
      </c>
      <c r="E122" t="s">
        <v>3620</v>
      </c>
    </row>
    <row r="123" spans="1:6">
      <c r="A123" s="67" t="s">
        <v>3630</v>
      </c>
      <c r="B123" s="70" t="s">
        <v>3631</v>
      </c>
      <c r="C123" s="67" t="s">
        <v>3632</v>
      </c>
      <c r="D123" s="67" t="s">
        <v>3633</v>
      </c>
      <c r="E123" t="s">
        <v>3560</v>
      </c>
    </row>
    <row r="124" spans="1:6">
      <c r="A124" s="67" t="s">
        <v>3634</v>
      </c>
      <c r="B124" s="70" t="s">
        <v>3635</v>
      </c>
      <c r="C124" s="67" t="s">
        <v>3636</v>
      </c>
      <c r="D124" s="67" t="s">
        <v>3637</v>
      </c>
      <c r="E124" t="s">
        <v>640</v>
      </c>
    </row>
    <row r="125" spans="1:6">
      <c r="A125" s="67" t="s">
        <v>3638</v>
      </c>
      <c r="B125" s="70" t="s">
        <v>3639</v>
      </c>
      <c r="C125" s="67" t="s">
        <v>3640</v>
      </c>
      <c r="D125" s="67" t="s">
        <v>3641</v>
      </c>
      <c r="E125" t="s">
        <v>3528</v>
      </c>
    </row>
    <row r="126" spans="1:6" ht="26.25">
      <c r="A126" s="67" t="s">
        <v>3642</v>
      </c>
      <c r="B126" s="70" t="s">
        <v>3643</v>
      </c>
      <c r="C126" s="67" t="s">
        <v>3644</v>
      </c>
      <c r="D126" s="67" t="s">
        <v>3645</v>
      </c>
      <c r="E126" t="s">
        <v>3365</v>
      </c>
      <c r="F126" t="s">
        <v>3646</v>
      </c>
    </row>
    <row r="127" spans="1:6">
      <c r="A127" s="67" t="s">
        <v>3647</v>
      </c>
      <c r="B127" s="70" t="s">
        <v>3648</v>
      </c>
      <c r="C127" s="67" t="s">
        <v>3649</v>
      </c>
      <c r="D127" s="67" t="s">
        <v>3650</v>
      </c>
      <c r="E127" t="s">
        <v>3651</v>
      </c>
    </row>
    <row r="128" spans="1:6">
      <c r="A128" s="67" t="s">
        <v>3652</v>
      </c>
      <c r="B128" s="70" t="s">
        <v>787</v>
      </c>
      <c r="C128" s="67" t="s">
        <v>3653</v>
      </c>
      <c r="D128" s="67" t="s">
        <v>3654</v>
      </c>
      <c r="E128" t="s">
        <v>3655</v>
      </c>
    </row>
    <row r="129" spans="1:5">
      <c r="A129" s="67" t="s">
        <v>3656</v>
      </c>
      <c r="B129" s="70" t="s">
        <v>787</v>
      </c>
      <c r="C129" s="67" t="s">
        <v>3657</v>
      </c>
      <c r="D129" s="67" t="s">
        <v>3658</v>
      </c>
      <c r="E129" t="s">
        <v>3560</v>
      </c>
    </row>
    <row r="130" spans="1:5">
      <c r="A130" s="67" t="s">
        <v>3659</v>
      </c>
      <c r="B130" s="70" t="s">
        <v>3660</v>
      </c>
      <c r="C130" s="67" t="s">
        <v>3661</v>
      </c>
      <c r="D130" s="67" t="s">
        <v>3662</v>
      </c>
      <c r="E130" t="s">
        <v>3528</v>
      </c>
    </row>
    <row r="131" spans="1:5">
      <c r="A131" s="67" t="s">
        <v>3663</v>
      </c>
      <c r="B131" s="70" t="s">
        <v>3664</v>
      </c>
      <c r="C131" s="67" t="s">
        <v>3665</v>
      </c>
      <c r="D131" s="67" t="s">
        <v>3666</v>
      </c>
      <c r="E131" t="s">
        <v>3583</v>
      </c>
    </row>
    <row r="132" spans="1:5">
      <c r="A132" s="67" t="s">
        <v>3667</v>
      </c>
      <c r="B132" s="70" t="s">
        <v>3668</v>
      </c>
      <c r="C132" s="67" t="s">
        <v>3669</v>
      </c>
      <c r="D132" s="67" t="s">
        <v>3670</v>
      </c>
      <c r="E132" t="s">
        <v>3671</v>
      </c>
    </row>
    <row r="133" spans="1:5">
      <c r="A133" s="67" t="s">
        <v>3672</v>
      </c>
      <c r="B133" s="70" t="s">
        <v>3673</v>
      </c>
      <c r="C133" s="67" t="s">
        <v>787</v>
      </c>
      <c r="D133" s="67" t="s">
        <v>3674</v>
      </c>
      <c r="E133" t="s">
        <v>3675</v>
      </c>
    </row>
    <row r="134" spans="1:5">
      <c r="A134" s="67" t="s">
        <v>3676</v>
      </c>
      <c r="B134" s="70" t="s">
        <v>3677</v>
      </c>
      <c r="C134" s="67" t="s">
        <v>3678</v>
      </c>
      <c r="D134" s="67" t="s">
        <v>3679</v>
      </c>
      <c r="E134" t="s">
        <v>3680</v>
      </c>
    </row>
    <row r="135" spans="1:5">
      <c r="A135" s="67" t="s">
        <v>3681</v>
      </c>
      <c r="B135" s="70" t="s">
        <v>787</v>
      </c>
      <c r="C135" s="70" t="s">
        <v>787</v>
      </c>
      <c r="D135" s="67" t="s">
        <v>3682</v>
      </c>
      <c r="E135" t="s">
        <v>3683</v>
      </c>
    </row>
    <row r="136" spans="1:5">
      <c r="A136" s="67" t="s">
        <v>3684</v>
      </c>
      <c r="B136" s="70" t="s">
        <v>787</v>
      </c>
      <c r="C136" s="67" t="s">
        <v>3685</v>
      </c>
      <c r="D136" s="67" t="s">
        <v>3686</v>
      </c>
      <c r="E136" t="s">
        <v>3687</v>
      </c>
    </row>
    <row r="137" spans="1:5">
      <c r="A137" s="67" t="s">
        <v>3688</v>
      </c>
      <c r="B137" s="70" t="s">
        <v>3689</v>
      </c>
      <c r="C137" s="67" t="s">
        <v>3690</v>
      </c>
      <c r="D137" s="67" t="s">
        <v>3691</v>
      </c>
      <c r="E137" t="s">
        <v>3692</v>
      </c>
    </row>
    <row r="138" spans="1:5">
      <c r="A138" s="67" t="s">
        <v>3693</v>
      </c>
      <c r="B138" s="70" t="s">
        <v>3694</v>
      </c>
      <c r="C138" s="67" t="s">
        <v>3695</v>
      </c>
      <c r="D138" s="67" t="s">
        <v>3696</v>
      </c>
      <c r="E138" t="s">
        <v>3697</v>
      </c>
    </row>
    <row r="139" spans="1:5">
      <c r="A139" s="67" t="s">
        <v>3698</v>
      </c>
      <c r="B139" s="70" t="s">
        <v>3699</v>
      </c>
      <c r="C139" s="67" t="s">
        <v>3700</v>
      </c>
      <c r="D139" s="67" t="s">
        <v>3701</v>
      </c>
      <c r="E139" t="s">
        <v>3702</v>
      </c>
    </row>
    <row r="140" spans="1:5">
      <c r="A140" s="67"/>
      <c r="B140" s="70"/>
      <c r="C140" s="67"/>
      <c r="D140" s="67"/>
    </row>
    <row r="141" spans="1:5">
      <c r="A141" s="67"/>
      <c r="B141" s="70"/>
      <c r="C141" s="67"/>
      <c r="D141" s="67"/>
    </row>
    <row r="142" spans="1:5">
      <c r="A142" s="67"/>
      <c r="B142" s="70"/>
      <c r="C142" s="67"/>
      <c r="D142" s="67"/>
    </row>
    <row r="143" spans="1:5">
      <c r="A143" s="67"/>
      <c r="B143" s="70"/>
      <c r="C143" s="67"/>
      <c r="D143" s="67"/>
    </row>
    <row r="144" spans="1:5">
      <c r="A144" s="67"/>
      <c r="B144" s="70"/>
      <c r="C144" s="67"/>
      <c r="D144" s="67"/>
    </row>
  </sheetData>
  <customSheetViews>
    <customSheetView guid="{617856E6-44D1-4ADD-8CA5-796514BA6839}" hiddenRows="1">
      <pageMargins left="0.7" right="0.7" top="0.75" bottom="0.75" header="0.3" footer="0.3"/>
    </customSheetView>
  </customSheetViews>
  <mergeCells count="1">
    <mergeCell ref="A9:G9"/>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G84"/>
  <sheetViews>
    <sheetView tabSelected="1"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23.7109375" customWidth="1"/>
    <col min="6" max="6" width="14" customWidth="1"/>
    <col min="7" max="7" width="20" customWidth="1"/>
  </cols>
  <sheetData>
    <row r="1" spans="1:7">
      <c r="A1" s="79" t="s">
        <v>146</v>
      </c>
      <c r="B1" s="79" t="s">
        <v>147</v>
      </c>
      <c r="C1" s="79" t="s">
        <v>148</v>
      </c>
      <c r="D1" s="79" t="s">
        <v>182</v>
      </c>
      <c r="E1" s="79" t="s">
        <v>3703</v>
      </c>
    </row>
    <row r="2" spans="1:7">
      <c r="A2" s="67" t="str">
        <f>HYPERLINK("http://en.wikipedia.org/wiki/Delaware","Delaware")</f>
        <v>Delaware</v>
      </c>
      <c r="B2" t="s">
        <v>3704</v>
      </c>
      <c r="C2" s="67" t="s">
        <v>3705</v>
      </c>
      <c r="D2" s="67" t="s">
        <v>3706</v>
      </c>
    </row>
    <row r="3" spans="1:7">
      <c r="A3" s="67" t="s">
        <v>3707</v>
      </c>
      <c r="C3" s="67"/>
      <c r="D3" s="67" t="s">
        <v>3708</v>
      </c>
    </row>
    <row r="4" spans="1:7">
      <c r="A4" s="67" t="s">
        <v>3709</v>
      </c>
      <c r="B4" s="70" t="s">
        <v>3710</v>
      </c>
      <c r="C4" s="67" t="s">
        <v>3711</v>
      </c>
      <c r="D4" s="67" t="s">
        <v>3712</v>
      </c>
    </row>
    <row r="5" spans="1:7">
      <c r="A5" s="67" t="s">
        <v>3713</v>
      </c>
      <c r="B5" t="s">
        <v>164</v>
      </c>
      <c r="C5" t="s">
        <v>164</v>
      </c>
      <c r="D5" s="67" t="s">
        <v>3714</v>
      </c>
    </row>
    <row r="6" spans="1:7">
      <c r="A6" s="67" t="s">
        <v>3715</v>
      </c>
      <c r="D6" s="67" t="s">
        <v>3716</v>
      </c>
    </row>
    <row r="7" spans="1:7" ht="15.75" customHeight="1">
      <c r="A7" s="67" t="s">
        <v>3717</v>
      </c>
      <c r="B7" s="20" t="s">
        <v>3718</v>
      </c>
      <c r="C7" s="67" t="s">
        <v>3719</v>
      </c>
      <c r="D7" s="67" t="s">
        <v>3720</v>
      </c>
    </row>
    <row r="8" spans="1:7" ht="15.75" customHeight="1">
      <c r="A8" s="67" t="s">
        <v>3721</v>
      </c>
      <c r="B8" s="20" t="s">
        <v>3722</v>
      </c>
      <c r="C8" s="67" t="s">
        <v>3723</v>
      </c>
      <c r="D8" s="67" t="s">
        <v>3724</v>
      </c>
      <c r="E8" s="12" t="s">
        <v>3725</v>
      </c>
    </row>
    <row r="9" spans="1:7" ht="38.25">
      <c r="A9" t="s">
        <v>3726</v>
      </c>
      <c r="B9" t="s">
        <v>3727</v>
      </c>
      <c r="C9" t="s">
        <v>3728</v>
      </c>
      <c r="D9" t="s">
        <v>3729</v>
      </c>
    </row>
    <row r="10" spans="1:7" ht="25.5">
      <c r="A10" t="s">
        <v>3730</v>
      </c>
      <c r="D10" t="s">
        <v>3731</v>
      </c>
      <c r="E10" t="s">
        <v>3732</v>
      </c>
    </row>
    <row r="11" spans="1:7" ht="25.5">
      <c r="A11" t="s">
        <v>3733</v>
      </c>
      <c r="B11" t="s">
        <v>3734</v>
      </c>
      <c r="C11" t="s">
        <v>164</v>
      </c>
      <c r="D11" t="s">
        <v>3735</v>
      </c>
    </row>
    <row r="12" spans="1:7" ht="51">
      <c r="A12" s="13" t="s">
        <v>1403</v>
      </c>
    </row>
    <row r="13" spans="1:7">
      <c r="A13" s="79" t="s">
        <v>990</v>
      </c>
      <c r="B13" s="46"/>
      <c r="C13" s="46"/>
      <c r="D13" s="46"/>
      <c r="E13" s="46"/>
      <c r="F13" s="72" t="s">
        <v>184</v>
      </c>
    </row>
    <row r="14" spans="1:7" ht="38.25">
      <c r="A14" t="str">
        <f>HYPERLINK("http://en.wikipedia.org/wiki/Wilmington,_Delaware","Wilmington")</f>
        <v>Wilmington</v>
      </c>
      <c r="B14" t="s">
        <v>3736</v>
      </c>
      <c r="C14" t="s">
        <v>3737</v>
      </c>
      <c r="D14" t="s">
        <v>3738</v>
      </c>
      <c r="E14" t="str">
        <f>HYPERLINK("http://www.ci.wilmington.de.us/government/readywilmington","Wilmington OEM")</f>
        <v>Wilmington OEM</v>
      </c>
      <c r="F14" t="s">
        <v>3739</v>
      </c>
    </row>
    <row r="15" spans="1:7" ht="25.5">
      <c r="A15" t="str">
        <f>HYPERLINK("http://en.wikipedia.org/wiki/Dover,_Delaware","Dover")</f>
        <v>Dover</v>
      </c>
      <c r="B15" t="s">
        <v>3740</v>
      </c>
      <c r="C15" s="34" t="s">
        <v>3741</v>
      </c>
      <c r="D15" t="s">
        <v>3742</v>
      </c>
      <c r="E15" s="34" t="str">
        <f>HYPERLINK("http://www.cityofdover.com/Public-Affairs/","Dover Public Affairs &amp; OEM")</f>
        <v>Dover Public Affairs &amp; OEM</v>
      </c>
      <c r="F15" t="s">
        <v>3743</v>
      </c>
    </row>
    <row r="16" spans="1:7" ht="51">
      <c r="A16" t="str">
        <f>HYPERLINK("http://en.wikipedia.org/wiki/Newark,_Delaware","Newark")</f>
        <v>Newark</v>
      </c>
      <c r="B16" t="s">
        <v>3744</v>
      </c>
      <c r="C16" t="s">
        <v>3745</v>
      </c>
      <c r="D16" t="s">
        <v>3746</v>
      </c>
      <c r="E16" t="str">
        <f>HYPERLINK("http://cityofnewarkde.us/index.aspx?NID=101","Newark OEM")</f>
        <v>Newark OEM</v>
      </c>
      <c r="F16" t="s">
        <v>3739</v>
      </c>
      <c r="G16" t="s">
        <v>3747</v>
      </c>
    </row>
    <row r="17" spans="1:6" ht="25.5">
      <c r="A17" t="str">
        <f>HYPERLINK("http://en.wikipedia.org/wiki/Middletown,_Delaware","Middleton")</f>
        <v>Middleton</v>
      </c>
      <c r="D17" t="s">
        <v>3748</v>
      </c>
      <c r="E17" t="str">
        <f>HYPERLINK("http://www.middletownde.org/Middletown-Police-/","Middleton Police Dept")</f>
        <v>Middleton Police Dept</v>
      </c>
    </row>
    <row r="18" spans="1:6" ht="38.25">
      <c r="A18" t="str">
        <f>HYPERLINK("http://en.wikipedia.org/wiki/Smyrna,_Delaware","Smyrna")</f>
        <v>Smyrna</v>
      </c>
      <c r="B18" t="s">
        <v>3749</v>
      </c>
      <c r="C18" t="s">
        <v>3750</v>
      </c>
      <c r="D18" t="s">
        <v>3751</v>
      </c>
      <c r="F18" s="34" t="s">
        <v>3752</v>
      </c>
    </row>
    <row r="20" spans="1:6">
      <c r="A20" s="79" t="s">
        <v>209</v>
      </c>
      <c r="B20" s="46"/>
      <c r="C20" s="46"/>
      <c r="D20" s="46"/>
      <c r="E20" s="46"/>
    </row>
    <row r="21" spans="1:6">
      <c r="A21" s="67" t="str">
        <f>HYPERLINK("http://en.wikipedia.org/wiki/Kent_County,_Delaware","Kent")</f>
        <v>Kent</v>
      </c>
      <c r="B21" t="s">
        <v>164</v>
      </c>
      <c r="C21" t="s">
        <v>164</v>
      </c>
      <c r="D21" s="67" t="s">
        <v>3753</v>
      </c>
      <c r="E21" t="str">
        <f>HYPERLINK("http://www.co.kent.de.us/Departments/PublicSafety/index.htm","Kent Public Safety")</f>
        <v>Kent Public Safety</v>
      </c>
    </row>
    <row r="22" spans="1:6" ht="15.75" customHeight="1">
      <c r="A22" s="67" t="str">
        <f>HYPERLINK("http://en.wikipedia.org/wiki/New_Castle_County,_Delaware","New Castle")</f>
        <v>New Castle</v>
      </c>
      <c r="B22" s="20" t="s">
        <v>3754</v>
      </c>
      <c r="C22" s="67" t="s">
        <v>3755</v>
      </c>
      <c r="D22" s="67" t="s">
        <v>3756</v>
      </c>
      <c r="E22" t="str">
        <f>HYPERLINK("http://www2.nccde.org/EmergencyManagement/default.aspx","New  Castle OEM")</f>
        <v>New  Castle OEM</v>
      </c>
    </row>
    <row r="23" spans="1:6" ht="15.75" customHeight="1">
      <c r="A23" s="67" t="str">
        <f>HYPERLINK("http://en.wikipedia.org/wiki/Sussex_County,_Delaware","Sussex")</f>
        <v>Sussex</v>
      </c>
      <c r="B23" s="20" t="s">
        <v>3757</v>
      </c>
      <c r="C23" t="s">
        <v>3758</v>
      </c>
      <c r="D23" s="67" t="s">
        <v>3759</v>
      </c>
      <c r="E23" t="str">
        <f>HYPERLINK("http://www.sussexcountyde.gov/dept/eoc/","Sussex EOC")</f>
        <v>Sussex EOC</v>
      </c>
    </row>
    <row r="24" spans="1:6" ht="25.5">
      <c r="A24" t="s">
        <v>3760</v>
      </c>
      <c r="D24" t="s">
        <v>3761</v>
      </c>
    </row>
    <row r="25" spans="1:6">
      <c r="A25" s="79" t="s">
        <v>333</v>
      </c>
      <c r="B25" s="46"/>
      <c r="C25" s="46"/>
      <c r="D25" s="46"/>
      <c r="E25" s="46"/>
      <c r="F25" s="29"/>
    </row>
    <row r="26" spans="1:6" ht="15.75" customHeight="1">
      <c r="A26" s="67" t="s">
        <v>3762</v>
      </c>
      <c r="B26" s="20" t="s">
        <v>3763</v>
      </c>
      <c r="C26" s="67" t="s">
        <v>3764</v>
      </c>
      <c r="D26" s="67" t="s">
        <v>3765</v>
      </c>
    </row>
    <row r="27" spans="1:6" ht="15.75" customHeight="1">
      <c r="A27" s="60" t="s">
        <v>1047</v>
      </c>
      <c r="B27" s="20"/>
      <c r="C27" s="67"/>
      <c r="D27" s="67"/>
    </row>
    <row r="28" spans="1:6" ht="15.75" customHeight="1">
      <c r="A28" s="67" t="s">
        <v>3766</v>
      </c>
      <c r="B28" s="20"/>
      <c r="C28" s="67"/>
      <c r="D28" s="67" t="s">
        <v>3767</v>
      </c>
    </row>
    <row r="29" spans="1:6" ht="15.75" customHeight="1">
      <c r="A29" s="67" t="s">
        <v>3768</v>
      </c>
      <c r="B29" s="20" t="s">
        <v>3769</v>
      </c>
      <c r="C29" s="67" t="s">
        <v>3770</v>
      </c>
      <c r="D29" s="67" t="s">
        <v>3771</v>
      </c>
    </row>
    <row r="30" spans="1:6" ht="15.75" customHeight="1">
      <c r="A30" s="67" t="s">
        <v>3772</v>
      </c>
      <c r="B30" s="20" t="s">
        <v>3773</v>
      </c>
      <c r="C30" s="67" t="s">
        <v>3774</v>
      </c>
      <c r="D30" s="67" t="s">
        <v>3775</v>
      </c>
    </row>
    <row r="31" spans="1:6">
      <c r="A31" s="67" t="s">
        <v>3776</v>
      </c>
      <c r="D31" s="67"/>
    </row>
    <row r="32" spans="1:6" ht="39">
      <c r="A32" s="67" t="s">
        <v>3777</v>
      </c>
      <c r="B32" t="s">
        <v>3778</v>
      </c>
      <c r="C32" t="s">
        <v>3779</v>
      </c>
      <c r="D32" s="67" t="s">
        <v>3780</v>
      </c>
    </row>
    <row r="33" spans="1:5">
      <c r="A33" s="67" t="s">
        <v>3781</v>
      </c>
      <c r="D33" s="67" t="s">
        <v>3782</v>
      </c>
    </row>
    <row r="34" spans="1:5">
      <c r="A34" s="67" t="s">
        <v>3783</v>
      </c>
      <c r="D34" s="67" t="s">
        <v>3784</v>
      </c>
    </row>
    <row r="35" spans="1:5">
      <c r="A35" s="67" t="s">
        <v>3785</v>
      </c>
      <c r="D35" s="67" t="s">
        <v>3786</v>
      </c>
    </row>
    <row r="36" spans="1:5">
      <c r="A36" s="67" t="s">
        <v>3787</v>
      </c>
      <c r="D36" s="67" t="s">
        <v>3788</v>
      </c>
    </row>
    <row r="37" spans="1:5">
      <c r="A37" s="67" t="s">
        <v>3789</v>
      </c>
      <c r="D37" s="67" t="s">
        <v>3790</v>
      </c>
    </row>
    <row r="38" spans="1:5">
      <c r="A38" s="67" t="s">
        <v>3791</v>
      </c>
      <c r="D38" s="67" t="s">
        <v>3792</v>
      </c>
    </row>
    <row r="39" spans="1:5">
      <c r="A39" s="60" t="s">
        <v>3793</v>
      </c>
      <c r="D39" s="67"/>
    </row>
    <row r="40" spans="1:5">
      <c r="A40" s="67" t="s">
        <v>3794</v>
      </c>
      <c r="D40" s="67" t="s">
        <v>3795</v>
      </c>
    </row>
    <row r="41" spans="1:5">
      <c r="A41" s="67" t="s">
        <v>3796</v>
      </c>
      <c r="D41" s="67" t="s">
        <v>3797</v>
      </c>
    </row>
    <row r="42" spans="1:5">
      <c r="A42" s="60" t="s">
        <v>3798</v>
      </c>
      <c r="D42" s="67"/>
    </row>
    <row r="43" spans="1:5">
      <c r="A43" s="67" t="s">
        <v>3799</v>
      </c>
      <c r="D43" s="67" t="s">
        <v>3800</v>
      </c>
    </row>
    <row r="44" spans="1:5">
      <c r="A44" s="67" t="s">
        <v>3801</v>
      </c>
      <c r="D44" s="67" t="s">
        <v>3802</v>
      </c>
    </row>
    <row r="45" spans="1:5">
      <c r="A45" s="67" t="s">
        <v>3803</v>
      </c>
      <c r="D45" s="67" t="s">
        <v>3804</v>
      </c>
    </row>
    <row r="46" spans="1:5">
      <c r="A46" s="67" t="s">
        <v>3805</v>
      </c>
      <c r="D46" s="67" t="s">
        <v>3806</v>
      </c>
    </row>
    <row r="48" spans="1:5">
      <c r="A48" s="79" t="s">
        <v>878</v>
      </c>
      <c r="B48" s="46"/>
      <c r="C48" s="46"/>
      <c r="D48" s="46"/>
      <c r="E48" s="46"/>
    </row>
    <row r="49" spans="1:5" ht="30">
      <c r="A49" s="12" t="s">
        <v>3807</v>
      </c>
      <c r="D49" t="s">
        <v>3808</v>
      </c>
    </row>
    <row r="50" spans="1:5" ht="26.25">
      <c r="A50" s="67" t="s">
        <v>3809</v>
      </c>
      <c r="D50" t="s">
        <v>3810</v>
      </c>
    </row>
    <row r="52" spans="1:5" ht="12.75">
      <c r="A52" s="41" t="s">
        <v>388</v>
      </c>
    </row>
    <row r="53" spans="1:5" ht="12.75">
      <c r="A53" t="s">
        <v>3811</v>
      </c>
      <c r="B53" t="s">
        <v>3812</v>
      </c>
      <c r="D53" t="s">
        <v>3813</v>
      </c>
    </row>
    <row r="54" spans="1:5" ht="25.5">
      <c r="A54" t="s">
        <v>3814</v>
      </c>
      <c r="D54" t="s">
        <v>3815</v>
      </c>
    </row>
    <row r="55" spans="1:5">
      <c r="A55" s="79" t="s">
        <v>428</v>
      </c>
      <c r="B55" s="46"/>
      <c r="C55" s="46"/>
      <c r="D55" s="46"/>
      <c r="E55" s="46"/>
    </row>
    <row r="56" spans="1:5" ht="15.75" customHeight="1">
      <c r="A56" s="74" t="s">
        <v>3816</v>
      </c>
      <c r="B56" s="67"/>
      <c r="C56" s="67"/>
      <c r="D56" s="67" t="s">
        <v>3817</v>
      </c>
    </row>
    <row r="57" spans="1:5" ht="15.75" customHeight="1">
      <c r="A57" s="74" t="s">
        <v>3818</v>
      </c>
      <c r="B57" s="67"/>
      <c r="C57" s="67"/>
      <c r="D57" s="67" t="s">
        <v>3819</v>
      </c>
    </row>
    <row r="58" spans="1:5" ht="15.75" customHeight="1">
      <c r="A58" s="74" t="s">
        <v>3820</v>
      </c>
      <c r="B58" s="67"/>
      <c r="C58" s="67"/>
      <c r="D58" s="67" t="s">
        <v>3821</v>
      </c>
    </row>
    <row r="59" spans="1:5" ht="15.75" customHeight="1">
      <c r="A59" s="67" t="s">
        <v>3822</v>
      </c>
      <c r="B59" s="20" t="s">
        <v>3823</v>
      </c>
      <c r="C59" s="67" t="s">
        <v>3824</v>
      </c>
      <c r="D59" s="67" t="s">
        <v>3825</v>
      </c>
    </row>
    <row r="60" spans="1:5" ht="15.75" customHeight="1">
      <c r="A60" s="67" t="s">
        <v>3826</v>
      </c>
      <c r="B60" s="20" t="s">
        <v>3827</v>
      </c>
      <c r="C60" s="67" t="s">
        <v>3828</v>
      </c>
      <c r="D60" s="67" t="s">
        <v>3829</v>
      </c>
    </row>
    <row r="61" spans="1:5" ht="15.75" customHeight="1">
      <c r="A61" s="67" t="s">
        <v>3830</v>
      </c>
      <c r="B61" s="20" t="s">
        <v>3831</v>
      </c>
      <c r="C61" s="67" t="s">
        <v>3832</v>
      </c>
      <c r="D61" s="67" t="s">
        <v>3833</v>
      </c>
    </row>
    <row r="62" spans="1:5">
      <c r="A62" s="67" t="s">
        <v>3834</v>
      </c>
      <c r="C62" s="67" t="s">
        <v>3835</v>
      </c>
      <c r="D62" s="67" t="s">
        <v>3836</v>
      </c>
    </row>
    <row r="63" spans="1:5" ht="15.75" customHeight="1">
      <c r="A63" s="67" t="s">
        <v>3837</v>
      </c>
      <c r="B63" s="20" t="s">
        <v>3838</v>
      </c>
      <c r="D63" s="67" t="s">
        <v>3839</v>
      </c>
    </row>
    <row r="64" spans="1:5" ht="15.75" customHeight="1">
      <c r="A64" s="67" t="s">
        <v>3840</v>
      </c>
      <c r="B64" s="20" t="s">
        <v>3841</v>
      </c>
      <c r="C64" s="67" t="s">
        <v>3842</v>
      </c>
      <c r="D64" s="67" t="s">
        <v>3843</v>
      </c>
    </row>
    <row r="65" spans="1:5" ht="15.75" customHeight="1">
      <c r="A65" s="67"/>
      <c r="B65" s="20"/>
      <c r="C65" s="67"/>
      <c r="D65" s="67"/>
    </row>
    <row r="66" spans="1:5" ht="15.75" customHeight="1">
      <c r="A66" s="74" t="s">
        <v>3844</v>
      </c>
      <c r="B66" s="20"/>
      <c r="C66" s="67"/>
      <c r="D66" s="67"/>
    </row>
    <row r="67" spans="1:5" ht="15.75" customHeight="1">
      <c r="A67" s="67" t="s">
        <v>3845</v>
      </c>
      <c r="B67" s="20"/>
      <c r="C67" s="67"/>
      <c r="D67" s="67" t="s">
        <v>3846</v>
      </c>
      <c r="E67" t="s">
        <v>3847</v>
      </c>
    </row>
    <row r="68" spans="1:5" ht="15.75" customHeight="1">
      <c r="A68" s="67"/>
      <c r="B68" s="20"/>
      <c r="C68" s="67"/>
      <c r="D68" s="67"/>
    </row>
    <row r="69" spans="1:5" ht="15.75" customHeight="1">
      <c r="A69" s="67"/>
      <c r="B69" s="20"/>
      <c r="C69" s="67"/>
      <c r="D69" s="67"/>
    </row>
    <row r="70" spans="1:5" ht="15.75" customHeight="1">
      <c r="A70" s="67"/>
      <c r="B70" s="20"/>
      <c r="C70" s="67"/>
      <c r="D70" s="67"/>
    </row>
    <row r="71" spans="1:5" ht="15.75" customHeight="1">
      <c r="A71" s="67"/>
      <c r="B71" s="20"/>
      <c r="C71" s="67"/>
      <c r="D71" s="67"/>
    </row>
    <row r="72" spans="1:5" ht="15.75" customHeight="1">
      <c r="A72" s="67"/>
      <c r="B72" s="20"/>
      <c r="C72" s="67"/>
      <c r="D72" s="67"/>
    </row>
    <row r="73" spans="1:5" ht="15.75" customHeight="1">
      <c r="A73" s="67"/>
      <c r="B73" s="20"/>
      <c r="C73" s="67"/>
      <c r="D73" s="67"/>
    </row>
    <row r="74" spans="1:5" ht="15.75" customHeight="1">
      <c r="A74" s="67"/>
      <c r="B74" s="20"/>
      <c r="C74" s="67"/>
      <c r="D74" s="67"/>
    </row>
    <row r="75" spans="1:5" ht="15.75" customHeight="1">
      <c r="A75" s="67"/>
      <c r="B75" s="20"/>
      <c r="C75" s="67"/>
      <c r="D75" s="67"/>
    </row>
    <row r="76" spans="1:5" ht="15.75" customHeight="1">
      <c r="A76" s="67"/>
      <c r="B76" s="20"/>
      <c r="C76" s="67"/>
      <c r="D76" s="67"/>
    </row>
    <row r="77" spans="1:5" ht="15.75" customHeight="1">
      <c r="A77" s="67"/>
      <c r="B77" s="20"/>
      <c r="C77" s="67"/>
      <c r="D77" s="67"/>
    </row>
    <row r="78" spans="1:5" ht="15.75" customHeight="1">
      <c r="A78" s="67"/>
      <c r="B78" s="20"/>
      <c r="C78" s="67"/>
      <c r="D78" s="67"/>
    </row>
    <row r="79" spans="1:5" ht="15.75" customHeight="1">
      <c r="A79" s="67"/>
      <c r="B79" s="20"/>
      <c r="C79" s="67"/>
      <c r="D79" s="67"/>
    </row>
    <row r="80" spans="1:5" ht="15.75" customHeight="1">
      <c r="A80" s="67"/>
      <c r="B80" s="20"/>
      <c r="C80" s="67"/>
      <c r="D80" s="67"/>
    </row>
    <row r="81" spans="1:4" ht="15.75" customHeight="1">
      <c r="A81" s="67"/>
      <c r="B81" s="20"/>
      <c r="C81" s="67"/>
      <c r="D81" s="67"/>
    </row>
    <row r="82" spans="1:4" ht="15.75" customHeight="1">
      <c r="A82" s="67"/>
      <c r="B82" s="20"/>
      <c r="C82" s="67"/>
      <c r="D82" s="67"/>
    </row>
    <row r="83" spans="1:4" ht="15.75" customHeight="1">
      <c r="A83" s="67"/>
      <c r="B83" s="20"/>
      <c r="C83" s="67"/>
      <c r="D83" s="67"/>
    </row>
    <row r="84" spans="1:4" ht="15.75" customHeight="1">
      <c r="A84" s="67"/>
      <c r="B84" s="20"/>
      <c r="C84" s="67"/>
      <c r="D84" s="6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E62"/>
  <sheetViews>
    <sheetView workbookViewId="0"/>
  </sheetViews>
  <sheetFormatPr defaultColWidth="9.140625" defaultRowHeight="15" customHeight="1"/>
  <cols>
    <col min="1" max="1" width="30.85546875" customWidth="1"/>
    <col min="2" max="2" width="17.85546875" customWidth="1"/>
    <col min="3" max="3" width="14" customWidth="1"/>
    <col min="4" max="4" width="21.28515625" customWidth="1"/>
    <col min="5" max="5" width="29.42578125" customWidth="1"/>
  </cols>
  <sheetData>
    <row r="1" spans="1:5" ht="15" customHeight="1">
      <c r="A1" s="7" t="s">
        <v>1403</v>
      </c>
    </row>
    <row r="2" spans="1:5">
      <c r="A2" s="79" t="s">
        <v>146</v>
      </c>
      <c r="B2" s="79" t="s">
        <v>147</v>
      </c>
      <c r="C2" s="79" t="s">
        <v>148</v>
      </c>
      <c r="D2" s="79" t="s">
        <v>182</v>
      </c>
      <c r="E2" s="41" t="s">
        <v>3703</v>
      </c>
    </row>
    <row r="3" spans="1:5">
      <c r="A3" s="67" t="str">
        <f>HYPERLINK("http://en.wikipedia.org/wiki/District_of_Columbia","Washington, DC")</f>
        <v>Washington, DC</v>
      </c>
      <c r="B3" s="67"/>
      <c r="C3" s="67"/>
      <c r="D3" s="67"/>
    </row>
    <row r="4" spans="1:5">
      <c r="A4" s="67" t="s">
        <v>3848</v>
      </c>
      <c r="B4" s="70" t="s">
        <v>3849</v>
      </c>
      <c r="C4" s="67" t="s">
        <v>3850</v>
      </c>
      <c r="D4" s="67" t="s">
        <v>3851</v>
      </c>
    </row>
    <row r="5" spans="1:5">
      <c r="A5" s="67" t="s">
        <v>3852</v>
      </c>
      <c r="B5" t="s">
        <v>3853</v>
      </c>
      <c r="C5" t="s">
        <v>3854</v>
      </c>
      <c r="D5" t="s">
        <v>3855</v>
      </c>
    </row>
    <row r="6" spans="1:5">
      <c r="A6" s="67" t="s">
        <v>3856</v>
      </c>
      <c r="D6" s="67" t="s">
        <v>3857</v>
      </c>
    </row>
    <row r="7" spans="1:5">
      <c r="A7" s="67" t="s">
        <v>3858</v>
      </c>
      <c r="B7" s="70" t="s">
        <v>3859</v>
      </c>
      <c r="C7" s="67" t="s">
        <v>3860</v>
      </c>
      <c r="D7" s="11" t="s">
        <v>3861</v>
      </c>
    </row>
    <row r="8" spans="1:5">
      <c r="A8" s="67" t="s">
        <v>3862</v>
      </c>
      <c r="D8" s="67" t="s">
        <v>3863</v>
      </c>
    </row>
    <row r="9" spans="1:5" ht="15" customHeight="1">
      <c r="A9" t="s">
        <v>3864</v>
      </c>
      <c r="D9" t="s">
        <v>3865</v>
      </c>
      <c r="E9" t="s">
        <v>3866</v>
      </c>
    </row>
    <row r="10" spans="1:5" ht="15" customHeight="1">
      <c r="A10" t="s">
        <v>3867</v>
      </c>
      <c r="D10" t="s">
        <v>3868</v>
      </c>
      <c r="E10" t="s">
        <v>3869</v>
      </c>
    </row>
    <row r="11" spans="1:5" ht="15" customHeight="1">
      <c r="A11" t="s">
        <v>3870</v>
      </c>
      <c r="B11" t="s">
        <v>3871</v>
      </c>
      <c r="C11" t="s">
        <v>3872</v>
      </c>
      <c r="D11" t="s">
        <v>3873</v>
      </c>
    </row>
    <row r="12" spans="1:5" ht="15" customHeight="1">
      <c r="A12" t="s">
        <v>3874</v>
      </c>
      <c r="D12" t="s">
        <v>3875</v>
      </c>
    </row>
    <row r="13" spans="1:5" ht="15" customHeight="1">
      <c r="A13" t="s">
        <v>3876</v>
      </c>
      <c r="B13" t="s">
        <v>3877</v>
      </c>
      <c r="C13" t="s">
        <v>3878</v>
      </c>
      <c r="D13" t="s">
        <v>3879</v>
      </c>
    </row>
    <row r="14" spans="1:5" ht="15" customHeight="1">
      <c r="A14" t="s">
        <v>3880</v>
      </c>
      <c r="B14" t="s">
        <v>3881</v>
      </c>
      <c r="C14" t="s">
        <v>3882</v>
      </c>
      <c r="D14" t="s">
        <v>3883</v>
      </c>
    </row>
    <row r="15" spans="1:5" ht="15" customHeight="1">
      <c r="A15" t="s">
        <v>3884</v>
      </c>
      <c r="B15" t="s">
        <v>3885</v>
      </c>
      <c r="C15" t="s">
        <v>3886</v>
      </c>
      <c r="D15" t="s">
        <v>3887</v>
      </c>
    </row>
    <row r="17" spans="1:5">
      <c r="A17" s="79" t="s">
        <v>333</v>
      </c>
      <c r="B17" s="79" t="s">
        <v>147</v>
      </c>
      <c r="C17" s="79" t="s">
        <v>148</v>
      </c>
      <c r="D17" s="79" t="s">
        <v>182</v>
      </c>
      <c r="E17" s="72"/>
    </row>
    <row r="18" spans="1:5">
      <c r="A18" s="67" t="s">
        <v>3888</v>
      </c>
      <c r="B18" s="70" t="s">
        <v>3889</v>
      </c>
      <c r="C18" s="67" t="s">
        <v>3890</v>
      </c>
      <c r="D18" s="67" t="s">
        <v>3891</v>
      </c>
    </row>
    <row r="19" spans="1:5">
      <c r="A19" s="67" t="s">
        <v>3892</v>
      </c>
      <c r="B19" t="s">
        <v>164</v>
      </c>
      <c r="C19" t="s">
        <v>164</v>
      </c>
      <c r="D19" s="67" t="s">
        <v>3893</v>
      </c>
    </row>
    <row r="20" spans="1:5">
      <c r="A20" s="67" t="s">
        <v>3894</v>
      </c>
      <c r="B20" s="70" t="s">
        <v>3895</v>
      </c>
      <c r="C20" s="67" t="s">
        <v>3896</v>
      </c>
      <c r="D20" s="67" t="s">
        <v>3897</v>
      </c>
    </row>
    <row r="21" spans="1:5">
      <c r="A21" s="67" t="s">
        <v>3374</v>
      </c>
      <c r="B21" s="70" t="s">
        <v>3375</v>
      </c>
      <c r="C21" s="67" t="s">
        <v>3898</v>
      </c>
      <c r="D21" s="67" t="s">
        <v>3377</v>
      </c>
    </row>
    <row r="23" spans="1:5">
      <c r="A23" s="79" t="s">
        <v>3899</v>
      </c>
      <c r="B23" s="79" t="s">
        <v>147</v>
      </c>
      <c r="C23" s="79" t="s">
        <v>148</v>
      </c>
      <c r="D23" s="79" t="s">
        <v>182</v>
      </c>
      <c r="E23" s="72"/>
    </row>
    <row r="24" spans="1:5">
      <c r="A24" s="67" t="s">
        <v>3900</v>
      </c>
      <c r="B24" s="70" t="s">
        <v>3901</v>
      </c>
      <c r="C24" s="67" t="s">
        <v>3902</v>
      </c>
      <c r="D24" s="67" t="s">
        <v>3903</v>
      </c>
    </row>
    <row r="25" spans="1:5">
      <c r="A25" s="67" t="s">
        <v>3904</v>
      </c>
      <c r="B25" s="70" t="s">
        <v>3905</v>
      </c>
      <c r="C25" s="67" t="s">
        <v>3906</v>
      </c>
      <c r="D25" s="67" t="s">
        <v>3907</v>
      </c>
    </row>
    <row r="26" spans="1:5">
      <c r="A26" s="67" t="s">
        <v>3908</v>
      </c>
      <c r="B26" s="70" t="s">
        <v>3909</v>
      </c>
      <c r="C26" s="67" t="s">
        <v>3910</v>
      </c>
      <c r="D26" s="67" t="s">
        <v>3911</v>
      </c>
    </row>
    <row r="27" spans="1:5">
      <c r="A27" s="67" t="s">
        <v>3912</v>
      </c>
      <c r="B27" s="70" t="s">
        <v>3913</v>
      </c>
      <c r="C27" s="67" t="s">
        <v>3914</v>
      </c>
      <c r="D27" s="67" t="s">
        <v>3915</v>
      </c>
    </row>
    <row r="28" spans="1:5" ht="15" customHeight="1">
      <c r="A28" t="s">
        <v>3916</v>
      </c>
      <c r="B28" t="s">
        <v>3917</v>
      </c>
      <c r="D28" t="s">
        <v>3918</v>
      </c>
    </row>
    <row r="29" spans="1:5">
      <c r="A29" s="67" t="s">
        <v>3919</v>
      </c>
      <c r="B29" s="70" t="s">
        <v>3917</v>
      </c>
      <c r="D29" s="67" t="s">
        <v>3920</v>
      </c>
    </row>
    <row r="30" spans="1:5">
      <c r="A30" s="67" t="s">
        <v>3921</v>
      </c>
      <c r="B30" s="67" t="s">
        <v>3922</v>
      </c>
      <c r="C30" s="34" t="s">
        <v>3923</v>
      </c>
      <c r="D30" s="67" t="s">
        <v>3924</v>
      </c>
    </row>
    <row r="31" spans="1:5">
      <c r="A31" s="67"/>
      <c r="B31" s="67"/>
      <c r="C31" s="34"/>
      <c r="D31" s="67"/>
    </row>
    <row r="32" spans="1:5">
      <c r="A32" s="79" t="s">
        <v>428</v>
      </c>
      <c r="B32" s="79" t="s">
        <v>147</v>
      </c>
      <c r="C32" s="79" t="s">
        <v>148</v>
      </c>
      <c r="D32" s="79" t="s">
        <v>182</v>
      </c>
      <c r="E32" s="72"/>
    </row>
    <row r="33" spans="1:5">
      <c r="A33" s="74" t="s">
        <v>3925</v>
      </c>
      <c r="B33" s="67"/>
      <c r="C33" s="67"/>
      <c r="D33" s="67" t="s">
        <v>3926</v>
      </c>
    </row>
    <row r="34" spans="1:5">
      <c r="A34" s="74" t="s">
        <v>3927</v>
      </c>
      <c r="B34" s="67"/>
      <c r="C34" s="67"/>
      <c r="D34" s="67" t="s">
        <v>3928</v>
      </c>
    </row>
    <row r="35" spans="1:5">
      <c r="A35" s="74" t="s">
        <v>3929</v>
      </c>
      <c r="B35" s="67"/>
      <c r="C35" s="67"/>
      <c r="D35" s="67" t="s">
        <v>3930</v>
      </c>
    </row>
    <row r="36" spans="1:5">
      <c r="A36" s="67" t="s">
        <v>3931</v>
      </c>
      <c r="B36" s="67" t="s">
        <v>3932</v>
      </c>
      <c r="C36" s="67" t="s">
        <v>3933</v>
      </c>
      <c r="D36" s="67" t="s">
        <v>3934</v>
      </c>
    </row>
    <row r="37" spans="1:5">
      <c r="A37" s="67" t="s">
        <v>3935</v>
      </c>
      <c r="B37" s="70" t="s">
        <v>3936</v>
      </c>
      <c r="C37" s="67" t="s">
        <v>3937</v>
      </c>
      <c r="D37" s="67" t="s">
        <v>3938</v>
      </c>
    </row>
    <row r="38" spans="1:5">
      <c r="A38" s="67" t="s">
        <v>3939</v>
      </c>
      <c r="B38" s="70" t="s">
        <v>3940</v>
      </c>
      <c r="C38" s="67" t="s">
        <v>3941</v>
      </c>
      <c r="D38" s="67" t="s">
        <v>3942</v>
      </c>
    </row>
    <row r="39" spans="1:5">
      <c r="A39" s="67" t="s">
        <v>3943</v>
      </c>
      <c r="B39" s="70" t="s">
        <v>3944</v>
      </c>
      <c r="C39" s="67" t="s">
        <v>3945</v>
      </c>
      <c r="D39" s="67" t="s">
        <v>3946</v>
      </c>
    </row>
    <row r="40" spans="1:5">
      <c r="A40" s="67" t="s">
        <v>3947</v>
      </c>
      <c r="B40" s="70" t="s">
        <v>3948</v>
      </c>
      <c r="C40" s="67" t="s">
        <v>3949</v>
      </c>
      <c r="D40" s="67" t="s">
        <v>3950</v>
      </c>
    </row>
    <row r="41" spans="1:5">
      <c r="A41" s="67" t="s">
        <v>3951</v>
      </c>
      <c r="B41" s="70" t="s">
        <v>3952</v>
      </c>
      <c r="C41" s="67" t="s">
        <v>3953</v>
      </c>
      <c r="D41" s="67" t="s">
        <v>3954</v>
      </c>
    </row>
    <row r="42" spans="1:5">
      <c r="B42" s="67"/>
    </row>
    <row r="43" spans="1:5">
      <c r="A43" s="60" t="s">
        <v>3844</v>
      </c>
      <c r="B43" s="43"/>
      <c r="C43" s="72"/>
      <c r="D43" s="72"/>
      <c r="E43" s="72"/>
    </row>
    <row r="44" spans="1:5">
      <c r="A44" t="s">
        <v>3955</v>
      </c>
      <c r="B44" s="67" t="s">
        <v>3956</v>
      </c>
      <c r="C44" t="s">
        <v>3957</v>
      </c>
      <c r="D44" t="s">
        <v>3958</v>
      </c>
    </row>
    <row r="45" spans="1:5">
      <c r="A45" t="s">
        <v>3959</v>
      </c>
      <c r="B45" s="67" t="s">
        <v>3960</v>
      </c>
      <c r="C45" t="s">
        <v>3961</v>
      </c>
      <c r="D45" t="s">
        <v>3962</v>
      </c>
    </row>
    <row r="46" spans="1:5">
      <c r="A46" t="s">
        <v>3963</v>
      </c>
      <c r="B46" s="67" t="s">
        <v>3964</v>
      </c>
      <c r="C46" t="s">
        <v>3965</v>
      </c>
      <c r="D46" t="s">
        <v>3966</v>
      </c>
    </row>
    <row r="47" spans="1:5">
      <c r="A47" t="s">
        <v>3967</v>
      </c>
      <c r="B47" s="67" t="s">
        <v>3968</v>
      </c>
      <c r="C47" t="s">
        <v>3969</v>
      </c>
      <c r="D47" t="s">
        <v>3970</v>
      </c>
    </row>
    <row r="48" spans="1:5">
      <c r="A48" t="s">
        <v>3971</v>
      </c>
      <c r="B48" s="67" t="s">
        <v>3972</v>
      </c>
      <c r="C48" t="s">
        <v>3973</v>
      </c>
      <c r="D48" t="s">
        <v>3974</v>
      </c>
    </row>
    <row r="49" spans="1:4">
      <c r="A49" t="s">
        <v>3975</v>
      </c>
      <c r="B49" s="67" t="s">
        <v>3976</v>
      </c>
      <c r="C49" t="s">
        <v>3977</v>
      </c>
      <c r="D49" t="s">
        <v>3978</v>
      </c>
    </row>
    <row r="50" spans="1:4">
      <c r="A50" t="s">
        <v>3979</v>
      </c>
      <c r="B50" s="67" t="s">
        <v>3980</v>
      </c>
      <c r="C50" t="s">
        <v>3981</v>
      </c>
      <c r="D50" t="s">
        <v>3982</v>
      </c>
    </row>
    <row r="51" spans="1:4">
      <c r="A51" t="s">
        <v>3556</v>
      </c>
      <c r="B51" s="67" t="s">
        <v>3983</v>
      </c>
      <c r="C51" t="s">
        <v>3984</v>
      </c>
      <c r="D51" t="s">
        <v>3985</v>
      </c>
    </row>
    <row r="52" spans="1:4">
      <c r="A52" t="s">
        <v>3986</v>
      </c>
      <c r="B52" s="67" t="s">
        <v>3987</v>
      </c>
      <c r="C52" t="s">
        <v>3988</v>
      </c>
      <c r="D52" t="s">
        <v>3989</v>
      </c>
    </row>
    <row r="53" spans="1:4">
      <c r="B53" s="67"/>
    </row>
    <row r="54" spans="1:4">
      <c r="B54" s="67"/>
    </row>
    <row r="55" spans="1:4">
      <c r="B55" s="67"/>
    </row>
    <row r="56" spans="1:4">
      <c r="B56" s="67"/>
    </row>
    <row r="57" spans="1:4">
      <c r="B57" s="67"/>
    </row>
    <row r="58" spans="1:4">
      <c r="B58" s="67"/>
    </row>
    <row r="59" spans="1:4">
      <c r="B59" s="67"/>
    </row>
    <row r="60" spans="1:4">
      <c r="B60" s="67"/>
    </row>
    <row r="61" spans="1:4">
      <c r="B61" s="67"/>
    </row>
    <row r="62" spans="1:4">
      <c r="B62" s="6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203"/>
  <sheetViews>
    <sheetView workbookViewId="0">
      <pane ySplit="1" topLeftCell="A2" activePane="bottomLeft" state="frozen"/>
      <selection pane="bottomLeft" activeCell="A2" sqref="A2"/>
    </sheetView>
  </sheetViews>
  <sheetFormatPr defaultColWidth="9.140625" defaultRowHeight="15" customHeight="1"/>
  <cols>
    <col min="1" max="1" width="24.85546875" customWidth="1"/>
    <col min="2" max="2" width="21.42578125" customWidth="1"/>
    <col min="3" max="3" width="21.5703125" customWidth="1"/>
    <col min="4" max="4" width="20" customWidth="1"/>
    <col min="5" max="5" width="17.140625" customWidth="1"/>
    <col min="6" max="6" width="14.140625" customWidth="1"/>
  </cols>
  <sheetData>
    <row r="1" spans="1:6">
      <c r="A1" s="79" t="s">
        <v>146</v>
      </c>
      <c r="B1" s="79" t="s">
        <v>147</v>
      </c>
      <c r="C1" s="79" t="s">
        <v>148</v>
      </c>
      <c r="D1" s="79" t="s">
        <v>182</v>
      </c>
      <c r="E1" s="41" t="s">
        <v>3990</v>
      </c>
    </row>
    <row r="2" spans="1:6">
      <c r="A2" s="7" t="s">
        <v>1403</v>
      </c>
      <c r="C2" s="34"/>
      <c r="D2" s="67"/>
    </row>
    <row r="3" spans="1:6">
      <c r="A3" s="67" t="str">
        <f>HYPERLINK("http://en.wikipedia.org/wiki/Florida","Florida")</f>
        <v>Florida</v>
      </c>
      <c r="B3" t="s">
        <v>787</v>
      </c>
      <c r="C3" s="34" t="s">
        <v>787</v>
      </c>
      <c r="D3" s="67" t="s">
        <v>3991</v>
      </c>
    </row>
    <row r="4" spans="1:6">
      <c r="A4" s="67" t="s">
        <v>3992</v>
      </c>
      <c r="B4" s="70" t="s">
        <v>3993</v>
      </c>
      <c r="C4" s="67" t="s">
        <v>3994</v>
      </c>
      <c r="D4" s="67" t="s">
        <v>3995</v>
      </c>
    </row>
    <row r="5" spans="1:6">
      <c r="A5" s="67" t="s">
        <v>3996</v>
      </c>
      <c r="B5" t="s">
        <v>787</v>
      </c>
      <c r="C5" s="67" t="s">
        <v>3997</v>
      </c>
      <c r="D5" s="67" t="s">
        <v>3998</v>
      </c>
    </row>
    <row r="6" spans="1:6">
      <c r="A6" s="67" t="s">
        <v>3999</v>
      </c>
      <c r="B6" t="s">
        <v>4000</v>
      </c>
      <c r="C6" s="34" t="s">
        <v>4001</v>
      </c>
      <c r="D6" s="67" t="s">
        <v>4002</v>
      </c>
    </row>
    <row r="7" spans="1:6" ht="15" customHeight="1">
      <c r="A7" t="s">
        <v>4003</v>
      </c>
      <c r="B7" t="s">
        <v>4004</v>
      </c>
      <c r="C7" s="34" t="s">
        <v>4005</v>
      </c>
      <c r="D7" s="34" t="s">
        <v>4006</v>
      </c>
    </row>
    <row r="8" spans="1:6" ht="15" customHeight="1">
      <c r="A8" s="34" t="s">
        <v>4007</v>
      </c>
      <c r="C8" s="34"/>
      <c r="D8" s="34" t="s">
        <v>4008</v>
      </c>
      <c r="E8" s="34" t="s">
        <v>4009</v>
      </c>
    </row>
    <row r="9" spans="1:6" ht="15" customHeight="1">
      <c r="A9" s="34" t="s">
        <v>4010</v>
      </c>
      <c r="B9" s="34" t="s">
        <v>4011</v>
      </c>
      <c r="C9" s="34" t="s">
        <v>4012</v>
      </c>
      <c r="D9" s="34" t="s">
        <v>4013</v>
      </c>
    </row>
    <row r="10" spans="1:6" ht="15" customHeight="1">
      <c r="C10" s="34"/>
      <c r="D10" s="34"/>
    </row>
    <row r="11" spans="1:6" ht="15" customHeight="1">
      <c r="A11" s="3" t="str">
        <f>HYPERLINK("http://en.wikipedia.org/wiki/List_of_largest_California_cities_by_population","Largest Cities")</f>
        <v>Largest Cities</v>
      </c>
      <c r="B11" s="3" t="s">
        <v>147</v>
      </c>
      <c r="C11" s="77" t="s">
        <v>148</v>
      </c>
      <c r="D11" s="77" t="s">
        <v>182</v>
      </c>
      <c r="E11" s="14" t="s">
        <v>183</v>
      </c>
      <c r="F11" s="61" t="s">
        <v>184</v>
      </c>
    </row>
    <row r="12" spans="1:6" ht="15" customHeight="1">
      <c r="A12" t="str">
        <f>HYPERLINK("http://en.wikipedia.org/wiki/Jacksonville,_Florida","Jacksonville")</f>
        <v>Jacksonville</v>
      </c>
      <c r="B12" t="s">
        <v>4014</v>
      </c>
      <c r="C12" s="34" t="s">
        <v>4015</v>
      </c>
      <c r="D12" s="34" t="s">
        <v>4016</v>
      </c>
      <c r="E12" t="str">
        <f>HYPERLINK("http://www.coj.net/departments/fire-and-rescue/emergency-preparedness.aspx","Duval OEM")</f>
        <v>Duval OEM</v>
      </c>
      <c r="F12" t="s">
        <v>4017</v>
      </c>
    </row>
    <row r="13" spans="1:6" ht="15" customHeight="1">
      <c r="A13" t="str">
        <f>HYPERLINK("http://en.wikipedia.org/wiki/Miami","Miami")</f>
        <v>Miami</v>
      </c>
      <c r="B13" t="s">
        <v>4018</v>
      </c>
      <c r="C13" s="34" t="s">
        <v>4019</v>
      </c>
      <c r="D13" s="34" t="s">
        <v>4020</v>
      </c>
      <c r="E13" t="str">
        <f>HYPERLINK("http://www.miamigov.com/emergencymanagement/","City of Miami OEM")</f>
        <v>City of Miami OEM</v>
      </c>
      <c r="F13" t="s">
        <v>4021</v>
      </c>
    </row>
    <row r="14" spans="1:6" ht="15" customHeight="1">
      <c r="A14" t="str">
        <f>HYPERLINK("http://en.wikipedia.org/wiki/Tampa,_Florida","Tampa")</f>
        <v>Tampa</v>
      </c>
      <c r="B14" t="s">
        <v>4022</v>
      </c>
      <c r="C14" s="34" t="s">
        <v>4023</v>
      </c>
      <c r="D14" s="34" t="s">
        <v>4024</v>
      </c>
      <c r="E14" t="str">
        <f>HYPERLINK("http://www.tampagov.net/dept_Emergency_Management/","City of Tampa OEM")</f>
        <v>City of Tampa OEM</v>
      </c>
      <c r="F14" t="s">
        <v>4025</v>
      </c>
    </row>
    <row r="15" spans="1:6" ht="15" customHeight="1">
      <c r="A15" t="str">
        <f>HYPERLINK("http://en.wikipedia.org/wiki/St._Petersburg,_Florida","St Petersburg")</f>
        <v>St Petersburg</v>
      </c>
      <c r="B15" t="s">
        <v>4026</v>
      </c>
      <c r="C15" s="34" t="s">
        <v>4027</v>
      </c>
      <c r="D15" s="34" t="s">
        <v>4028</v>
      </c>
      <c r="E15" s="34" t="s">
        <v>4029</v>
      </c>
      <c r="F15" t="s">
        <v>4030</v>
      </c>
    </row>
    <row r="16" spans="1:6" ht="15" customHeight="1">
      <c r="A16" t="str">
        <f>HYPERLINK("http://en.wikipedia.org/wiki/Orlando,_Florida","Orlando")</f>
        <v>Orlando</v>
      </c>
      <c r="B16" t="s">
        <v>4031</v>
      </c>
      <c r="C16" s="34" t="s">
        <v>4032</v>
      </c>
      <c r="D16" s="34" t="s">
        <v>4033</v>
      </c>
      <c r="E16" t="str">
        <f>HYPERLINK("http://www.cityoforlando.net/emergency/","Orlando OEM")</f>
        <v>Orlando OEM</v>
      </c>
      <c r="F16" t="s">
        <v>2520</v>
      </c>
    </row>
    <row r="17" spans="1:6" ht="15" customHeight="1">
      <c r="A17" t="str">
        <f>HYPERLINK("http://en.wikipedia.org/wiki/Hialeah,_Florida","Hialeah")</f>
        <v>Hialeah</v>
      </c>
      <c r="B17" t="s">
        <v>4034</v>
      </c>
      <c r="C17" s="34" t="s">
        <v>4035</v>
      </c>
      <c r="D17" s="34" t="s">
        <v>4036</v>
      </c>
      <c r="E17" t="str">
        <f>HYPERLINK("http://www.hialeahfl.gov/index.php?option=com_content&amp;view=article&amp;id=224&amp;Itemid=522&amp;lang=en","Hialeah OEM")</f>
        <v>Hialeah OEM</v>
      </c>
      <c r="F17" t="s">
        <v>4021</v>
      </c>
    </row>
    <row r="18" spans="1:6" ht="15" customHeight="1">
      <c r="A18" t="str">
        <f>HYPERLINK("https://en.wikipedia.org/wiki/Tallahassee,_Florida","Tallahassee")</f>
        <v>Tallahassee</v>
      </c>
      <c r="B18" t="s">
        <v>4037</v>
      </c>
      <c r="C18" s="34" t="s">
        <v>4038</v>
      </c>
      <c r="D18" s="34" t="s">
        <v>4039</v>
      </c>
      <c r="E18" t="str">
        <f>HYPERLINK("http://www.talgov.com/emergency/emergencyhome.aspx","Tallahassee OEM")</f>
        <v>Tallahassee OEM</v>
      </c>
      <c r="F18" t="s">
        <v>4040</v>
      </c>
    </row>
    <row r="19" spans="1:6" ht="15" customHeight="1">
      <c r="A19" t="str">
        <f>HYPERLINK("http://en.wikipedia.org/wiki/Fort_Lauderdale,_Florida","Ft Lauderdale")</f>
        <v>Ft Lauderdale</v>
      </c>
      <c r="B19" t="s">
        <v>4041</v>
      </c>
      <c r="C19" s="34" t="s">
        <v>164</v>
      </c>
      <c r="D19" s="34" t="s">
        <v>4042</v>
      </c>
      <c r="E19" t="str">
        <f>HYPERLINK("http://www.fortlauderdale.gov/hurricane/index.htm","Hurricane Prep")</f>
        <v>Hurricane Prep</v>
      </c>
      <c r="F19" t="s">
        <v>4043</v>
      </c>
    </row>
    <row r="20" spans="1:6" ht="15" customHeight="1">
      <c r="A20" s="34"/>
      <c r="B20" s="34"/>
      <c r="C20" s="34"/>
      <c r="D20" s="34"/>
    </row>
    <row r="21" spans="1:6">
      <c r="A21" s="79" t="s">
        <v>209</v>
      </c>
      <c r="B21" s="79" t="s">
        <v>147</v>
      </c>
      <c r="C21" s="79" t="s">
        <v>148</v>
      </c>
      <c r="D21" s="79" t="s">
        <v>182</v>
      </c>
    </row>
    <row r="22" spans="1:6">
      <c r="A22" s="67" t="s">
        <v>4044</v>
      </c>
      <c r="C22" s="34"/>
      <c r="D22" s="34" t="s">
        <v>4045</v>
      </c>
      <c r="E22" t="s">
        <v>4046</v>
      </c>
    </row>
    <row r="23" spans="1:6">
      <c r="A23" s="67" t="s">
        <v>4047</v>
      </c>
      <c r="C23" s="34"/>
      <c r="D23" s="34" t="s">
        <v>4048</v>
      </c>
      <c r="E23" t="s">
        <v>4046</v>
      </c>
    </row>
    <row r="24" spans="1:6">
      <c r="A24" s="67" t="str">
        <f>HYPERLINK("http://en.wikipedia.org/wiki/Alachua_County,_Florida","Alachua")</f>
        <v>Alachua</v>
      </c>
      <c r="B24" t="s">
        <v>4049</v>
      </c>
      <c r="C24" s="34" t="s">
        <v>4050</v>
      </c>
      <c r="D24" s="34" t="s">
        <v>4051</v>
      </c>
    </row>
    <row r="25" spans="1:6">
      <c r="A25" s="67" t="str">
        <f>HYPERLINK("http://en.wikipedia.org/wiki/Baker_County,_Florida","Baker")</f>
        <v>Baker</v>
      </c>
      <c r="B25" t="s">
        <v>787</v>
      </c>
      <c r="C25" s="34" t="s">
        <v>787</v>
      </c>
      <c r="D25" s="34" t="s">
        <v>4052</v>
      </c>
    </row>
    <row r="26" spans="1:6">
      <c r="A26" s="67" t="str">
        <f>HYPERLINK("http://en.wikipedia.org/wiki/Bay_County,_Florida","Bay")</f>
        <v>Bay</v>
      </c>
      <c r="B26" t="s">
        <v>787</v>
      </c>
      <c r="C26" s="34" t="s">
        <v>787</v>
      </c>
      <c r="D26" s="34" t="s">
        <v>4053</v>
      </c>
    </row>
    <row r="27" spans="1:6">
      <c r="A27" s="12" t="str">
        <f>HYPERLINK("http://en.wikipedia.org/wiki/Bradford_County,_Florida","Bradford")</f>
        <v>Bradford</v>
      </c>
      <c r="B27" t="s">
        <v>787</v>
      </c>
      <c r="C27" s="34" t="s">
        <v>787</v>
      </c>
      <c r="D27" s="34" t="s">
        <v>4054</v>
      </c>
    </row>
    <row r="28" spans="1:6">
      <c r="A28" s="67" t="str">
        <f>HYPERLINK("http://en.wikipedia.org/wiki/Brevard_County,_Florida","Brevard")</f>
        <v>Brevard</v>
      </c>
      <c r="B28" t="s">
        <v>4055</v>
      </c>
      <c r="C28" s="34" t="s">
        <v>4056</v>
      </c>
      <c r="D28" s="34" t="s">
        <v>4057</v>
      </c>
    </row>
    <row r="29" spans="1:6">
      <c r="A29" s="67" t="str">
        <f>HYPERLINK("http://en.wikipedia.org/wiki/Broward_County,_Florida","Broward")</f>
        <v>Broward</v>
      </c>
      <c r="B29" t="s">
        <v>4058</v>
      </c>
      <c r="C29" s="34" t="s">
        <v>787</v>
      </c>
      <c r="D29" s="34" t="s">
        <v>4059</v>
      </c>
    </row>
    <row r="30" spans="1:6">
      <c r="A30" s="67" t="str">
        <f>HYPERLINK("http://en.wikipedia.org/wiki/Calhoun_County,_Florida#External_links","Calhoun")</f>
        <v>Calhoun</v>
      </c>
      <c r="B30" t="s">
        <v>787</v>
      </c>
      <c r="C30" s="34" t="s">
        <v>787</v>
      </c>
      <c r="D30" s="34" t="s">
        <v>787</v>
      </c>
    </row>
    <row r="31" spans="1:6">
      <c r="A31" s="67" t="str">
        <f>HYPERLINK("http://en.wikipedia.org/wiki/Charlotte_County,_Florida","Charlotte")</f>
        <v>Charlotte</v>
      </c>
      <c r="B31" t="s">
        <v>4060</v>
      </c>
      <c r="C31" s="34" t="s">
        <v>787</v>
      </c>
      <c r="D31" s="34" t="s">
        <v>4061</v>
      </c>
    </row>
    <row r="32" spans="1:6">
      <c r="A32" s="67" t="str">
        <f>HYPERLINK("http://en.wikipedia.org/wiki/Citrus_County,_Florida","Citrus")</f>
        <v>Citrus</v>
      </c>
      <c r="B32" t="s">
        <v>4062</v>
      </c>
      <c r="C32" s="34" t="s">
        <v>4063</v>
      </c>
      <c r="D32" s="34" t="s">
        <v>4064</v>
      </c>
    </row>
    <row r="33" spans="1:5">
      <c r="A33" s="67" t="str">
        <f>HYPERLINK("http://en.wikipedia.org/wiki/Clay_County,_Florida","Clay")</f>
        <v>Clay</v>
      </c>
      <c r="B33" t="s">
        <v>4065</v>
      </c>
      <c r="C33" s="34" t="s">
        <v>4066</v>
      </c>
      <c r="D33" s="34" t="s">
        <v>4067</v>
      </c>
    </row>
    <row r="34" spans="1:5">
      <c r="A34" s="67" t="str">
        <f>HYPERLINK("http://en.wikipedia.org/wiki/Collier_County,_Florida","Collier")</f>
        <v>Collier</v>
      </c>
      <c r="B34" t="s">
        <v>4068</v>
      </c>
      <c r="C34" s="34" t="s">
        <v>4069</v>
      </c>
      <c r="D34" s="34" t="s">
        <v>4070</v>
      </c>
    </row>
    <row r="35" spans="1:5">
      <c r="A35" s="67" t="str">
        <f>HYPERLINK("http://en.wikipedia.org/wiki/Columbia_County,_Florida","Columbia")</f>
        <v>Columbia</v>
      </c>
      <c r="B35" t="s">
        <v>4071</v>
      </c>
      <c r="C35" s="34" t="s">
        <v>4072</v>
      </c>
      <c r="D35" s="34" t="s">
        <v>4073</v>
      </c>
    </row>
    <row r="36" spans="1:5">
      <c r="A36" s="67" t="str">
        <f>HYPERLINK("http://en.wikipedia.org/wiki/DeSoto_County,_Florida","DeSoto")</f>
        <v>DeSoto</v>
      </c>
      <c r="B36" t="s">
        <v>4074</v>
      </c>
      <c r="C36" s="34" t="s">
        <v>4075</v>
      </c>
      <c r="D36" s="34" t="s">
        <v>4076</v>
      </c>
    </row>
    <row r="37" spans="1:5">
      <c r="A37" s="67" t="str">
        <f>HYPERLINK("http://en.wikipedia.org/wiki/Dixie_County,_Florida","Dixie")</f>
        <v>Dixie</v>
      </c>
      <c r="B37" t="s">
        <v>787</v>
      </c>
      <c r="C37" s="34" t="s">
        <v>787</v>
      </c>
      <c r="D37" s="34" t="s">
        <v>4077</v>
      </c>
    </row>
    <row r="38" spans="1:5">
      <c r="A38" s="67" t="str">
        <f>HYPERLINK("http://en.wikipedia.org/wiki/Duval_County,_Florida","Duval")</f>
        <v>Duval</v>
      </c>
      <c r="B38" t="s">
        <v>4014</v>
      </c>
      <c r="C38" s="34" t="s">
        <v>4015</v>
      </c>
      <c r="D38" s="34" t="s">
        <v>4078</v>
      </c>
    </row>
    <row r="39" spans="1:5">
      <c r="A39" s="67" t="str">
        <f>HYPERLINK("http://en.wikipedia.org/wiki/Escambia_County,_Florida","Escambia")</f>
        <v>Escambia</v>
      </c>
      <c r="B39" t="s">
        <v>4079</v>
      </c>
      <c r="C39" s="34" t="s">
        <v>787</v>
      </c>
      <c r="D39" s="34" t="s">
        <v>4080</v>
      </c>
      <c r="E39" s="34" t="str">
        <f>HYPERLINK("http://www.co.escambia.fl.us/contact/social","Escambia Social Media")</f>
        <v>Escambia Social Media</v>
      </c>
    </row>
    <row r="40" spans="1:5">
      <c r="A40" s="67" t="str">
        <f>HYPERLINK("http://en.wikipedia.org/wiki/Flagler_County,_Florida","Flagler")</f>
        <v>Flagler</v>
      </c>
      <c r="B40" t="s">
        <v>4081</v>
      </c>
      <c r="C40" s="34" t="s">
        <v>787</v>
      </c>
      <c r="D40" s="34" t="s">
        <v>4082</v>
      </c>
    </row>
    <row r="41" spans="1:5">
      <c r="A41" s="67" t="str">
        <f>HYPERLINK("http://en.wikipedia.org/wiki/Franklin_County,_Florida","Franklin")</f>
        <v>Franklin</v>
      </c>
      <c r="B41" t="s">
        <v>787</v>
      </c>
      <c r="C41" s="34" t="s">
        <v>787</v>
      </c>
      <c r="D41" s="34" t="s">
        <v>4083</v>
      </c>
    </row>
    <row r="42" spans="1:5">
      <c r="A42" s="67" t="str">
        <f>HYPERLINK("http://en.wikipedia.org/wiki/Gadsden_County,_Florida","Gadsden")</f>
        <v>Gadsden</v>
      </c>
      <c r="B42" t="s">
        <v>787</v>
      </c>
      <c r="C42" s="34" t="s">
        <v>787</v>
      </c>
      <c r="D42" s="34" t="s">
        <v>4084</v>
      </c>
    </row>
    <row r="43" spans="1:5">
      <c r="A43" s="67" t="str">
        <f>HYPERLINK("http://en.wikipedia.org/wiki/Gilchrist_County,_Florida","Gilchrist")</f>
        <v>Gilchrist</v>
      </c>
      <c r="B43" t="s">
        <v>787</v>
      </c>
      <c r="C43" s="34" t="s">
        <v>787</v>
      </c>
      <c r="D43" s="34" t="s">
        <v>4085</v>
      </c>
    </row>
    <row r="44" spans="1:5">
      <c r="A44" s="67" t="str">
        <f>HYPERLINK("http://en.wikipedia.org/wiki/Glades_County,_Florida","Glades")</f>
        <v>Glades</v>
      </c>
      <c r="B44" t="s">
        <v>4086</v>
      </c>
      <c r="C44" s="34" t="s">
        <v>787</v>
      </c>
      <c r="D44" s="34" t="s">
        <v>4087</v>
      </c>
    </row>
    <row r="45" spans="1:5">
      <c r="A45" s="67" t="str">
        <f>HYPERLINK("http://en.wikipedia.org/wiki/Gulf_County,_Florida","Gulf")</f>
        <v>Gulf</v>
      </c>
      <c r="B45" t="s">
        <v>4088</v>
      </c>
      <c r="C45" s="34" t="s">
        <v>4089</v>
      </c>
      <c r="D45" s="34" t="s">
        <v>4090</v>
      </c>
    </row>
    <row r="46" spans="1:5">
      <c r="A46" s="67" t="str">
        <f>HYPERLINK("http://en.wikipedia.org/wiki/Hamilton_County,_Florida","Hamilton")</f>
        <v>Hamilton</v>
      </c>
      <c r="B46" t="s">
        <v>787</v>
      </c>
      <c r="C46" s="34" t="s">
        <v>787</v>
      </c>
      <c r="D46" s="34" t="s">
        <v>4091</v>
      </c>
    </row>
    <row r="47" spans="1:5">
      <c r="A47" s="67" t="str">
        <f>HYPERLINK("http://en.wikipedia.org/wiki/Hardee_County,_Florida","Hardee")</f>
        <v>Hardee</v>
      </c>
      <c r="B47" t="s">
        <v>4092</v>
      </c>
      <c r="C47" s="34" t="s">
        <v>787</v>
      </c>
      <c r="D47" s="34" t="s">
        <v>4093</v>
      </c>
    </row>
    <row r="48" spans="1:5">
      <c r="A48" s="67" t="str">
        <f>HYPERLINK("http://en.wikipedia.org/wiki/Hendry_County,_Florida","Hendry")</f>
        <v>Hendry</v>
      </c>
      <c r="B48" t="s">
        <v>787</v>
      </c>
      <c r="C48" s="34" t="s">
        <v>787</v>
      </c>
      <c r="D48" s="34" t="s">
        <v>4094</v>
      </c>
    </row>
    <row r="49" spans="1:5">
      <c r="A49" s="67" t="str">
        <f>HYPERLINK("http://en.wikipedia.org/wiki/Hernando_County,_Florida","Hernando")</f>
        <v>Hernando</v>
      </c>
      <c r="B49" t="s">
        <v>4095</v>
      </c>
      <c r="C49" s="34" t="s">
        <v>4096</v>
      </c>
      <c r="D49" s="34" t="s">
        <v>4097</v>
      </c>
    </row>
    <row r="50" spans="1:5">
      <c r="A50" s="67" t="str">
        <f>HYPERLINK("http://en.wikipedia.org/wiki/Highlands_County,_Florida","Highlands")</f>
        <v>Highlands</v>
      </c>
      <c r="B50" t="s">
        <v>787</v>
      </c>
      <c r="C50" s="34" t="s">
        <v>787</v>
      </c>
      <c r="D50" s="34" t="s">
        <v>4098</v>
      </c>
    </row>
    <row r="51" spans="1:5">
      <c r="A51" s="67" t="str">
        <f>HYPERLINK("http://en.wikipedia.org/wiki/Hillsborough_County,_Florida","Hillsborough")</f>
        <v>Hillsborough</v>
      </c>
      <c r="B51" t="s">
        <v>4099</v>
      </c>
      <c r="C51" s="34" t="s">
        <v>4100</v>
      </c>
      <c r="D51" s="34" t="s">
        <v>4101</v>
      </c>
    </row>
    <row r="52" spans="1:5">
      <c r="A52" s="67" t="str">
        <f>HYPERLINK("http://en.wikipedia.org/wiki/Holmes_County,_Florida","Holmes")</f>
        <v>Holmes</v>
      </c>
      <c r="B52" t="s">
        <v>787</v>
      </c>
      <c r="C52" s="34" t="s">
        <v>787</v>
      </c>
      <c r="D52" s="34" t="s">
        <v>4102</v>
      </c>
    </row>
    <row r="53" spans="1:5">
      <c r="A53" s="67" t="str">
        <f>HYPERLINK("http://en.wikipedia.org/wiki/Indian_River_County,_Florida","Indian River")</f>
        <v>Indian River</v>
      </c>
      <c r="B53" t="s">
        <v>4103</v>
      </c>
      <c r="C53" s="34" t="s">
        <v>4104</v>
      </c>
      <c r="D53" s="34" t="s">
        <v>4105</v>
      </c>
    </row>
    <row r="54" spans="1:5">
      <c r="A54" s="67" t="str">
        <f>HYPERLINK("http://en.wikipedia.org/wiki/Jackson_County,_Florida","Jackson ")</f>
        <v xml:space="preserve">Jackson </v>
      </c>
      <c r="B54" t="s">
        <v>787</v>
      </c>
      <c r="C54" s="34" t="s">
        <v>4106</v>
      </c>
      <c r="D54" s="34" t="s">
        <v>4107</v>
      </c>
    </row>
    <row r="55" spans="1:5">
      <c r="A55" s="67" t="str">
        <f>HYPERLINK("http://en.wikipedia.org/wiki/Jefferson_County,_Florida","Jefferson")</f>
        <v>Jefferson</v>
      </c>
      <c r="B55" t="s">
        <v>787</v>
      </c>
      <c r="C55" s="34" t="s">
        <v>787</v>
      </c>
      <c r="D55" s="34" t="s">
        <v>4108</v>
      </c>
    </row>
    <row r="56" spans="1:5">
      <c r="A56" s="67" t="str">
        <f>HYPERLINK("http://en.wikipedia.org/wiki/Lafayette_County,_Florida","Lafayette")</f>
        <v>Lafayette</v>
      </c>
      <c r="B56" t="s">
        <v>787</v>
      </c>
      <c r="C56" s="34" t="s">
        <v>787</v>
      </c>
      <c r="D56" s="34" t="s">
        <v>4109</v>
      </c>
    </row>
    <row r="57" spans="1:5">
      <c r="A57" s="67" t="str">
        <f>HYPERLINK("http://en.wikipedia.org/wiki/Lake_County,_Florida","Lake")</f>
        <v>Lake</v>
      </c>
      <c r="B57" t="s">
        <v>4110</v>
      </c>
      <c r="C57" s="34" t="s">
        <v>4111</v>
      </c>
      <c r="D57" s="34" t="s">
        <v>4112</v>
      </c>
    </row>
    <row r="58" spans="1:5">
      <c r="A58" s="67" t="str">
        <f>HYPERLINK("http://en.wikipedia.org/wiki/Lee_County,_Florida","Lee")</f>
        <v>Lee</v>
      </c>
      <c r="B58" t="s">
        <v>4113</v>
      </c>
      <c r="C58" s="34" t="s">
        <v>4114</v>
      </c>
      <c r="D58" s="34" t="s">
        <v>4115</v>
      </c>
    </row>
    <row r="59" spans="1:5">
      <c r="A59" s="67" t="str">
        <f>HYPERLINK("http://en.wikipedia.org/wiki/Leon_County,_Florida","Leon")</f>
        <v>Leon</v>
      </c>
      <c r="B59" t="s">
        <v>4116</v>
      </c>
      <c r="C59" s="34" t="s">
        <v>4117</v>
      </c>
      <c r="D59" s="34" t="s">
        <v>4118</v>
      </c>
    </row>
    <row r="60" spans="1:5">
      <c r="A60" s="67" t="str">
        <f>HYPERLINK("http://en.wikipedia.org/wiki/Levy_County,_Florida","Levy")</f>
        <v>Levy</v>
      </c>
      <c r="B60" t="s">
        <v>4119</v>
      </c>
      <c r="C60" s="34" t="s">
        <v>787</v>
      </c>
      <c r="D60" s="34" t="s">
        <v>4120</v>
      </c>
    </row>
    <row r="61" spans="1:5">
      <c r="A61" s="67" t="str">
        <f>HYPERLINK("http://en.wikipedia.org/wiki/Liberty_County,_Florida","Liberty")</f>
        <v>Liberty</v>
      </c>
      <c r="B61" t="s">
        <v>787</v>
      </c>
      <c r="C61" s="34" t="s">
        <v>787</v>
      </c>
      <c r="D61" s="34" t="s">
        <v>4121</v>
      </c>
    </row>
    <row r="62" spans="1:5">
      <c r="A62" s="67" t="str">
        <f>HYPERLINK("http://en.wikipedia.org/wiki/Madison_County,_Florida","Madison")</f>
        <v>Madison</v>
      </c>
      <c r="B62" t="s">
        <v>787</v>
      </c>
      <c r="C62" s="34" t="s">
        <v>787</v>
      </c>
      <c r="D62" s="34" t="s">
        <v>4122</v>
      </c>
    </row>
    <row r="63" spans="1:5">
      <c r="A63" s="67" t="str">
        <f>HYPERLINK("http://en.wikipedia.org/wiki/Manatee_County,_Florida","Manatee")</f>
        <v>Manatee</v>
      </c>
      <c r="B63" t="s">
        <v>4123</v>
      </c>
      <c r="C63" s="34" t="s">
        <v>4124</v>
      </c>
      <c r="D63" s="34" t="s">
        <v>4125</v>
      </c>
      <c r="E63" t="str">
        <f>HYPERLINK("http://www.mymanatee.org/home/government/county-administration/social-media.html","Social Media Family")</f>
        <v>Social Media Family</v>
      </c>
    </row>
    <row r="64" spans="1:5">
      <c r="A64" s="67" t="str">
        <f>HYPERLINK("http://en.wikipedia.org/wiki/Marion_County,_Florida","Marion")</f>
        <v>Marion</v>
      </c>
      <c r="B64" t="s">
        <v>4126</v>
      </c>
      <c r="C64" s="34" t="s">
        <v>4127</v>
      </c>
      <c r="D64" s="34" t="s">
        <v>4128</v>
      </c>
    </row>
    <row r="65" spans="1:4">
      <c r="A65" s="67" t="str">
        <f>HYPERLINK("http://en.wikipedia.org/wiki/Martin_County,_Florida","Martin")</f>
        <v>Martin</v>
      </c>
      <c r="B65" t="s">
        <v>4129</v>
      </c>
      <c r="C65" s="34" t="s">
        <v>4130</v>
      </c>
      <c r="D65" s="34" t="s">
        <v>4131</v>
      </c>
    </row>
    <row r="66" spans="1:4">
      <c r="A66" s="67" t="str">
        <f>HYPERLINK("http://en.wikipedia.org/wiki/Miami-Dade_County,_Florida","Miami-Dade")</f>
        <v>Miami-Dade</v>
      </c>
      <c r="B66" t="s">
        <v>4132</v>
      </c>
      <c r="C66" s="34" t="s">
        <v>4133</v>
      </c>
      <c r="D66" s="34" t="s">
        <v>4134</v>
      </c>
    </row>
    <row r="67" spans="1:4">
      <c r="A67" s="67" t="str">
        <f>HYPERLINK("http://en.wikipedia.org/wiki/Monroe_County,_Florida","Monroe")</f>
        <v>Monroe</v>
      </c>
      <c r="B67" t="s">
        <v>4135</v>
      </c>
      <c r="C67" s="34" t="s">
        <v>4136</v>
      </c>
      <c r="D67" s="34" t="s">
        <v>4137</v>
      </c>
    </row>
    <row r="68" spans="1:4">
      <c r="A68" s="67" t="str">
        <f>HYPERLINK("http://en.wikipedia.org/wiki/Nassau_County,_Florida","Nassau")</f>
        <v>Nassau</v>
      </c>
      <c r="B68" t="s">
        <v>4138</v>
      </c>
      <c r="C68" s="34" t="s">
        <v>4139</v>
      </c>
      <c r="D68" s="34" t="s">
        <v>4140</v>
      </c>
    </row>
    <row r="69" spans="1:4">
      <c r="A69" s="67" t="str">
        <f>HYPERLINK("http://en.wikipedia.org/wiki/Okaloosa_County,_Florida","Okaloosa")</f>
        <v>Okaloosa</v>
      </c>
      <c r="B69" t="s">
        <v>4141</v>
      </c>
      <c r="C69" s="34" t="s">
        <v>4142</v>
      </c>
      <c r="D69" s="34" t="s">
        <v>4143</v>
      </c>
    </row>
    <row r="70" spans="1:4">
      <c r="A70" s="67" t="str">
        <f>HYPERLINK("http://en.wikipedia.org/wiki/Okeechobee_County,_Florida","Okeechobee")</f>
        <v>Okeechobee</v>
      </c>
      <c r="B70" t="s">
        <v>4144</v>
      </c>
      <c r="C70" s="34" t="s">
        <v>4145</v>
      </c>
      <c r="D70" s="34" t="s">
        <v>4146</v>
      </c>
    </row>
    <row r="71" spans="1:4">
      <c r="A71" s="67" t="str">
        <f>HYPERLINK("http://en.wikipedia.org/wiki/Orange_County,_Florida","Orange")</f>
        <v>Orange</v>
      </c>
      <c r="B71" t="s">
        <v>4147</v>
      </c>
      <c r="C71" s="34" t="s">
        <v>4148</v>
      </c>
      <c r="D71" s="34" t="s">
        <v>4149</v>
      </c>
    </row>
    <row r="72" spans="1:4">
      <c r="A72" s="67" t="str">
        <f>HYPERLINK("http://en.wikipedia.org/wiki/Osceola_County,_Florida","Osceola")</f>
        <v>Osceola</v>
      </c>
      <c r="B72" t="s">
        <v>4150</v>
      </c>
      <c r="C72" s="34" t="s">
        <v>4151</v>
      </c>
      <c r="D72" s="34" t="s">
        <v>4152</v>
      </c>
    </row>
    <row r="73" spans="1:4">
      <c r="A73" s="67" t="str">
        <f>HYPERLINK("http://en.wikipedia.org/wiki/Palm_Beach_County,_Florida","Palm Beach")</f>
        <v>Palm Beach</v>
      </c>
      <c r="B73" t="s">
        <v>4153</v>
      </c>
      <c r="C73" s="34" t="s">
        <v>4154</v>
      </c>
      <c r="D73" s="34" t="s">
        <v>4155</v>
      </c>
    </row>
    <row r="74" spans="1:4">
      <c r="A74" s="67" t="str">
        <f>HYPERLINK("http://en.wikipedia.org/wiki/Pasco_County,_Florida","Pasco")</f>
        <v>Pasco</v>
      </c>
      <c r="B74" t="s">
        <v>4156</v>
      </c>
      <c r="C74" s="34" t="s">
        <v>4157</v>
      </c>
      <c r="D74" s="34" t="s">
        <v>4158</v>
      </c>
    </row>
    <row r="75" spans="1:4">
      <c r="A75" s="67" t="str">
        <f>HYPERLINK("http://en.wikipedia.org/wiki/Pinellas_County,_Florida","Pinellas")</f>
        <v>Pinellas</v>
      </c>
      <c r="B75" t="s">
        <v>4159</v>
      </c>
      <c r="C75" s="34" t="s">
        <v>4160</v>
      </c>
      <c r="D75" s="34" t="s">
        <v>4161</v>
      </c>
    </row>
    <row r="76" spans="1:4">
      <c r="A76" s="67" t="str">
        <f>HYPERLINK("http://en.wikipedia.org/wiki/Polk_County,_Florida","Polk")</f>
        <v>Polk</v>
      </c>
      <c r="B76" t="s">
        <v>4162</v>
      </c>
      <c r="C76" s="34" t="s">
        <v>4163</v>
      </c>
      <c r="D76" s="34" t="s">
        <v>4164</v>
      </c>
    </row>
    <row r="77" spans="1:4">
      <c r="A77" s="67" t="str">
        <f>HYPERLINK("http://en.wikipedia.org/wiki/Putnam_County,_Florida","Putnam")</f>
        <v>Putnam</v>
      </c>
      <c r="B77" t="s">
        <v>4165</v>
      </c>
      <c r="C77" s="34" t="s">
        <v>4166</v>
      </c>
      <c r="D77" s="34" t="s">
        <v>4167</v>
      </c>
    </row>
    <row r="78" spans="1:4">
      <c r="A78" s="67" t="str">
        <f>HYPERLINK("http://en.wikipedia.org/wiki/Santa_Rosa_County,_Florida","Santa Rosa")</f>
        <v>Santa Rosa</v>
      </c>
      <c r="B78" t="s">
        <v>4168</v>
      </c>
      <c r="C78" s="34" t="s">
        <v>4169</v>
      </c>
      <c r="D78" s="34" t="s">
        <v>4170</v>
      </c>
    </row>
    <row r="79" spans="1:4">
      <c r="A79" s="67" t="str">
        <f>HYPERLINK("http://en.wikipedia.org/wiki/Sarasota_County,_Florida","Sarasota")</f>
        <v>Sarasota</v>
      </c>
      <c r="B79" t="s">
        <v>4171</v>
      </c>
      <c r="C79" s="34" t="s">
        <v>4172</v>
      </c>
      <c r="D79" s="34" t="s">
        <v>4173</v>
      </c>
    </row>
    <row r="80" spans="1:4">
      <c r="A80" s="67" t="str">
        <f>HYPERLINK("http://en.wikipedia.org/wiki/Seminole_County,_Florida","Seminole")</f>
        <v>Seminole</v>
      </c>
      <c r="B80" t="s">
        <v>4174</v>
      </c>
      <c r="C80" s="34" t="s">
        <v>4175</v>
      </c>
      <c r="D80" s="34" t="s">
        <v>4176</v>
      </c>
    </row>
    <row r="81" spans="1:5">
      <c r="A81" s="67" t="str">
        <f>HYPERLINK("http://en.wikipedia.org/wiki/St._Johns_County,_Florida","St. Johns")</f>
        <v>St. Johns</v>
      </c>
      <c r="B81" t="s">
        <v>4177</v>
      </c>
      <c r="C81" s="34" t="s">
        <v>4178</v>
      </c>
      <c r="D81" s="34" t="s">
        <v>4179</v>
      </c>
    </row>
    <row r="82" spans="1:5">
      <c r="A82" s="67" t="str">
        <f>HYPERLINK("http://en.wikipedia.org/wiki/St._Lucie_County,_Florida","St. Lucie")</f>
        <v>St. Lucie</v>
      </c>
      <c r="B82" t="s">
        <v>787</v>
      </c>
      <c r="C82" s="34" t="s">
        <v>4180</v>
      </c>
      <c r="D82" s="34" t="s">
        <v>4181</v>
      </c>
    </row>
    <row r="83" spans="1:5">
      <c r="A83" s="67" t="str">
        <f>HYPERLINK("http://en.wikipedia.org/wiki/Sumter_County,_Florida","Sumter")</f>
        <v>Sumter</v>
      </c>
      <c r="B83" t="s">
        <v>4182</v>
      </c>
      <c r="C83" s="34" t="s">
        <v>787</v>
      </c>
      <c r="D83" s="34" t="s">
        <v>4183</v>
      </c>
    </row>
    <row r="84" spans="1:5">
      <c r="A84" s="67" t="str">
        <f>HYPERLINK("http://en.wikipedia.org/wiki/Suwannee_County,_Florida","Suwannee")</f>
        <v>Suwannee</v>
      </c>
      <c r="B84" t="s">
        <v>787</v>
      </c>
      <c r="C84" s="34" t="s">
        <v>787</v>
      </c>
      <c r="D84" s="34" t="s">
        <v>4184</v>
      </c>
    </row>
    <row r="85" spans="1:5">
      <c r="A85" s="67" t="str">
        <f>HYPERLINK("http://en.wikipedia.org/wiki/Taylor_County,_Florida","Taylor")</f>
        <v>Taylor</v>
      </c>
      <c r="B85" t="s">
        <v>787</v>
      </c>
      <c r="C85" s="34" t="s">
        <v>787</v>
      </c>
      <c r="D85" s="34" t="s">
        <v>4185</v>
      </c>
    </row>
    <row r="86" spans="1:5">
      <c r="A86" s="67" t="str">
        <f>HYPERLINK("http://en.wikipedia.org/wiki/Union_County,_Florida#External_links","Union")</f>
        <v>Union</v>
      </c>
      <c r="B86" t="s">
        <v>787</v>
      </c>
      <c r="C86" s="34" t="s">
        <v>787</v>
      </c>
      <c r="D86" s="34" t="s">
        <v>4186</v>
      </c>
    </row>
    <row r="87" spans="1:5">
      <c r="A87" s="67" t="str">
        <f>HYPERLINK("http://en.wikipedia.org/wiki/Volusia_County,_Florida","Volusia")</f>
        <v>Volusia</v>
      </c>
      <c r="B87" t="s">
        <v>4187</v>
      </c>
      <c r="C87" s="34" t="s">
        <v>4188</v>
      </c>
      <c r="D87" s="34" t="s">
        <v>4189</v>
      </c>
    </row>
    <row r="88" spans="1:5">
      <c r="A88" s="67" t="str">
        <f>HYPERLINK("http://en.wikipedia.org/wiki/Wakulla_County,_Florida","Wakulla")</f>
        <v>Wakulla</v>
      </c>
      <c r="B88" t="s">
        <v>787</v>
      </c>
      <c r="C88" s="34" t="s">
        <v>4190</v>
      </c>
      <c r="D88" s="34" t="s">
        <v>4191</v>
      </c>
    </row>
    <row r="89" spans="1:5">
      <c r="A89" s="67" t="str">
        <f>HYPERLINK("http://en.wikipedia.org/wiki/Walton_County,_Florida","Walton")</f>
        <v>Walton</v>
      </c>
      <c r="B89" t="s">
        <v>787</v>
      </c>
      <c r="C89" s="34" t="s">
        <v>4192</v>
      </c>
      <c r="D89" s="34" t="s">
        <v>4193</v>
      </c>
    </row>
    <row r="90" spans="1:5">
      <c r="A90" s="67" t="str">
        <f>HYPERLINK("http://en.wikipedia.org/wiki/Washington_County,_Florida","Washington")</f>
        <v>Washington</v>
      </c>
      <c r="B90" t="s">
        <v>787</v>
      </c>
      <c r="C90" s="34" t="s">
        <v>164</v>
      </c>
      <c r="D90" s="34" t="s">
        <v>4194</v>
      </c>
    </row>
    <row r="91" spans="1:5" ht="15" customHeight="1">
      <c r="C91" s="34"/>
      <c r="D91" s="34"/>
    </row>
    <row r="92" spans="1:5">
      <c r="A92" s="79" t="s">
        <v>333</v>
      </c>
      <c r="B92" s="79" t="s">
        <v>147</v>
      </c>
      <c r="C92" s="79" t="s">
        <v>148</v>
      </c>
      <c r="D92" s="79" t="s">
        <v>182</v>
      </c>
      <c r="E92" s="29"/>
    </row>
    <row r="93" spans="1:5">
      <c r="A93" s="67" t="s">
        <v>4195</v>
      </c>
      <c r="C93" s="34"/>
      <c r="D93" s="34" t="s">
        <v>4196</v>
      </c>
      <c r="E93" s="34"/>
    </row>
    <row r="94" spans="1:5">
      <c r="A94" s="67" t="s">
        <v>4197</v>
      </c>
      <c r="C94" s="34"/>
      <c r="D94" s="34" t="s">
        <v>4196</v>
      </c>
    </row>
    <row r="95" spans="1:5">
      <c r="A95" s="67" t="s">
        <v>4198</v>
      </c>
      <c r="C95" s="34"/>
      <c r="D95" s="34" t="s">
        <v>4196</v>
      </c>
    </row>
    <row r="96" spans="1:5">
      <c r="A96" s="67" t="s">
        <v>4199</v>
      </c>
      <c r="B96" t="s">
        <v>4200</v>
      </c>
      <c r="C96" s="34" t="s">
        <v>4201</v>
      </c>
      <c r="D96" s="34" t="s">
        <v>4202</v>
      </c>
    </row>
    <row r="97" spans="1:4">
      <c r="A97" s="67" t="s">
        <v>4203</v>
      </c>
      <c r="B97" t="s">
        <v>4204</v>
      </c>
      <c r="C97" s="34" t="s">
        <v>4205</v>
      </c>
      <c r="D97" s="34" t="s">
        <v>4206</v>
      </c>
    </row>
    <row r="98" spans="1:4">
      <c r="A98" s="67" t="s">
        <v>4207</v>
      </c>
      <c r="B98" t="s">
        <v>4208</v>
      </c>
      <c r="C98" s="34" t="s">
        <v>4209</v>
      </c>
      <c r="D98" s="34" t="s">
        <v>4210</v>
      </c>
    </row>
    <row r="99" spans="1:4">
      <c r="A99" s="67" t="s">
        <v>4211</v>
      </c>
      <c r="B99" t="s">
        <v>4212</v>
      </c>
      <c r="C99" s="34" t="s">
        <v>4213</v>
      </c>
      <c r="D99" s="34" t="s">
        <v>4214</v>
      </c>
    </row>
    <row r="100" spans="1:4">
      <c r="A100" s="67" t="s">
        <v>4215</v>
      </c>
      <c r="B100" t="s">
        <v>4110</v>
      </c>
      <c r="C100" s="34" t="s">
        <v>4111</v>
      </c>
      <c r="D100" s="34" t="s">
        <v>4216</v>
      </c>
    </row>
    <row r="101" spans="1:4">
      <c r="A101" s="67" t="s">
        <v>4217</v>
      </c>
      <c r="B101" t="s">
        <v>4218</v>
      </c>
      <c r="C101" s="34" t="s">
        <v>787</v>
      </c>
      <c r="D101" s="34" t="s">
        <v>4219</v>
      </c>
    </row>
    <row r="102" spans="1:4">
      <c r="A102" s="67" t="s">
        <v>4220</v>
      </c>
      <c r="B102" t="s">
        <v>787</v>
      </c>
      <c r="C102" s="34" t="s">
        <v>787</v>
      </c>
      <c r="D102" s="34" t="s">
        <v>4221</v>
      </c>
    </row>
    <row r="103" spans="1:4">
      <c r="A103" s="67" t="s">
        <v>4222</v>
      </c>
      <c r="B103" t="s">
        <v>4223</v>
      </c>
      <c r="C103" s="34" t="s">
        <v>4224</v>
      </c>
      <c r="D103" s="34" t="s">
        <v>4225</v>
      </c>
    </row>
    <row r="104" spans="1:4">
      <c r="A104" s="67" t="s">
        <v>4226</v>
      </c>
      <c r="B104" t="s">
        <v>787</v>
      </c>
      <c r="C104" s="34" t="s">
        <v>787</v>
      </c>
      <c r="D104" s="34" t="s">
        <v>4227</v>
      </c>
    </row>
    <row r="105" spans="1:4">
      <c r="A105" s="67" t="s">
        <v>4228</v>
      </c>
      <c r="B105" t="s">
        <v>4229</v>
      </c>
      <c r="C105" s="34" t="s">
        <v>4230</v>
      </c>
      <c r="D105" s="34" t="s">
        <v>4231</v>
      </c>
    </row>
    <row r="106" spans="1:4">
      <c r="A106" s="67" t="s">
        <v>4232</v>
      </c>
      <c r="B106" t="s">
        <v>787</v>
      </c>
      <c r="C106" s="34" t="s">
        <v>787</v>
      </c>
      <c r="D106" s="34" t="s">
        <v>4233</v>
      </c>
    </row>
    <row r="107" spans="1:4">
      <c r="A107" s="67" t="s">
        <v>4234</v>
      </c>
      <c r="B107" t="s">
        <v>787</v>
      </c>
      <c r="C107" s="34" t="s">
        <v>787</v>
      </c>
      <c r="D107" s="34" t="s">
        <v>4235</v>
      </c>
    </row>
    <row r="108" spans="1:4">
      <c r="A108" s="67" t="s">
        <v>4236</v>
      </c>
      <c r="B108" t="s">
        <v>4237</v>
      </c>
      <c r="C108" s="34" t="s">
        <v>4238</v>
      </c>
      <c r="D108" s="34" t="s">
        <v>4239</v>
      </c>
    </row>
    <row r="109" spans="1:4">
      <c r="A109" s="67" t="s">
        <v>4240</v>
      </c>
      <c r="B109" t="s">
        <v>4241</v>
      </c>
      <c r="C109" s="34" t="s">
        <v>4242</v>
      </c>
      <c r="D109" s="34" t="s">
        <v>4243</v>
      </c>
    </row>
    <row r="110" spans="1:4">
      <c r="A110" s="67" t="s">
        <v>4244</v>
      </c>
      <c r="B110" t="s">
        <v>4037</v>
      </c>
      <c r="C110" s="34" t="s">
        <v>787</v>
      </c>
      <c r="D110" s="34" t="s">
        <v>4245</v>
      </c>
    </row>
    <row r="111" spans="1:4">
      <c r="A111" s="67" t="s">
        <v>4246</v>
      </c>
      <c r="B111" t="s">
        <v>4247</v>
      </c>
      <c r="C111" s="34" t="s">
        <v>787</v>
      </c>
      <c r="D111" s="34" t="s">
        <v>4248</v>
      </c>
    </row>
    <row r="112" spans="1:4">
      <c r="A112" s="67" t="s">
        <v>4249</v>
      </c>
      <c r="B112" t="s">
        <v>4034</v>
      </c>
      <c r="C112" s="34" t="s">
        <v>787</v>
      </c>
      <c r="D112" s="34" t="s">
        <v>4036</v>
      </c>
    </row>
    <row r="113" spans="1:5">
      <c r="A113" s="67" t="s">
        <v>4250</v>
      </c>
      <c r="B113" t="s">
        <v>4132</v>
      </c>
      <c r="C113" s="34" t="s">
        <v>4251</v>
      </c>
      <c r="D113" s="34" t="s">
        <v>4252</v>
      </c>
    </row>
    <row r="114" spans="1:5">
      <c r="A114" s="67" t="s">
        <v>4253</v>
      </c>
      <c r="B114" t="s">
        <v>4254</v>
      </c>
      <c r="C114" s="34" t="s">
        <v>4255</v>
      </c>
      <c r="D114" s="34" t="s">
        <v>4256</v>
      </c>
    </row>
    <row r="115" spans="1:5">
      <c r="A115" s="67" t="s">
        <v>4257</v>
      </c>
      <c r="B115" t="s">
        <v>4258</v>
      </c>
      <c r="C115" s="34" t="s">
        <v>4259</v>
      </c>
      <c r="D115" s="34" t="s">
        <v>4260</v>
      </c>
    </row>
    <row r="116" spans="1:5" ht="15" customHeight="1">
      <c r="C116" s="34"/>
      <c r="D116" s="34"/>
    </row>
    <row r="117" spans="1:5" ht="15" customHeight="1">
      <c r="C117" s="34"/>
      <c r="D117" s="34"/>
    </row>
    <row r="118" spans="1:5">
      <c r="A118" s="79" t="s">
        <v>878</v>
      </c>
      <c r="B118" s="79" t="s">
        <v>147</v>
      </c>
      <c r="C118" s="79" t="s">
        <v>148</v>
      </c>
      <c r="D118" s="79" t="s">
        <v>182</v>
      </c>
    </row>
    <row r="119" spans="1:5">
      <c r="A119" s="74" t="s">
        <v>4261</v>
      </c>
      <c r="C119" s="34"/>
      <c r="D119" s="34" t="s">
        <v>4262</v>
      </c>
    </row>
    <row r="120" spans="1:5">
      <c r="A120" s="74" t="s">
        <v>4263</v>
      </c>
      <c r="C120" s="34"/>
      <c r="D120" s="34" t="s">
        <v>4264</v>
      </c>
    </row>
    <row r="121" spans="1:5">
      <c r="A121" s="74" t="s">
        <v>4265</v>
      </c>
      <c r="C121" s="34"/>
      <c r="D121" s="34" t="s">
        <v>4266</v>
      </c>
      <c r="E121" s="33" t="s">
        <v>397</v>
      </c>
    </row>
    <row r="122" spans="1:5">
      <c r="A122" s="67" t="s">
        <v>4267</v>
      </c>
      <c r="B122" t="s">
        <v>787</v>
      </c>
      <c r="C122" s="34" t="s">
        <v>4268</v>
      </c>
      <c r="D122" s="34" t="s">
        <v>4269</v>
      </c>
    </row>
    <row r="123" spans="1:5">
      <c r="A123" s="67" t="s">
        <v>4270</v>
      </c>
      <c r="B123" t="s">
        <v>787</v>
      </c>
      <c r="C123" s="34" t="s">
        <v>4271</v>
      </c>
      <c r="D123" s="34" t="s">
        <v>4272</v>
      </c>
    </row>
    <row r="124" spans="1:5">
      <c r="A124" s="67" t="s">
        <v>4273</v>
      </c>
      <c r="B124" t="s">
        <v>787</v>
      </c>
      <c r="C124" s="34" t="s">
        <v>4274</v>
      </c>
      <c r="D124" s="34" t="s">
        <v>4275</v>
      </c>
    </row>
    <row r="125" spans="1:5">
      <c r="A125" s="67" t="s">
        <v>4276</v>
      </c>
      <c r="B125" t="s">
        <v>4277</v>
      </c>
      <c r="C125" s="34" t="s">
        <v>4278</v>
      </c>
      <c r="D125" s="34" t="s">
        <v>4279</v>
      </c>
    </row>
    <row r="126" spans="1:5">
      <c r="A126" s="67" t="s">
        <v>4280</v>
      </c>
      <c r="B126" t="s">
        <v>4281</v>
      </c>
      <c r="C126" s="34" t="s">
        <v>4282</v>
      </c>
      <c r="D126" s="34" t="s">
        <v>4283</v>
      </c>
    </row>
    <row r="127" spans="1:5">
      <c r="A127" s="67" t="s">
        <v>4284</v>
      </c>
      <c r="B127" t="s">
        <v>787</v>
      </c>
      <c r="C127" s="34" t="s">
        <v>787</v>
      </c>
      <c r="D127" s="34" t="s">
        <v>4285</v>
      </c>
    </row>
    <row r="128" spans="1:5">
      <c r="A128" s="67" t="s">
        <v>4286</v>
      </c>
      <c r="B128" t="s">
        <v>4287</v>
      </c>
      <c r="C128" s="34" t="s">
        <v>4288</v>
      </c>
      <c r="D128" s="34" t="s">
        <v>4289</v>
      </c>
    </row>
    <row r="129" spans="1:7">
      <c r="A129" s="67" t="s">
        <v>4290</v>
      </c>
      <c r="B129" t="s">
        <v>4291</v>
      </c>
      <c r="C129" s="34" t="s">
        <v>787</v>
      </c>
      <c r="D129" s="34" t="s">
        <v>4292</v>
      </c>
    </row>
    <row r="130" spans="1:7">
      <c r="A130" s="67" t="s">
        <v>4293</v>
      </c>
      <c r="B130" t="s">
        <v>4294</v>
      </c>
      <c r="C130" s="34" t="s">
        <v>4295</v>
      </c>
      <c r="D130" s="34" t="s">
        <v>4296</v>
      </c>
    </row>
    <row r="131" spans="1:7">
      <c r="A131" s="67" t="s">
        <v>4297</v>
      </c>
      <c r="B131" t="s">
        <v>4298</v>
      </c>
      <c r="C131" s="34" t="s">
        <v>4299</v>
      </c>
      <c r="D131" s="34" t="s">
        <v>4300</v>
      </c>
    </row>
    <row r="132" spans="1:7">
      <c r="A132" s="67" t="s">
        <v>4301</v>
      </c>
      <c r="B132" t="s">
        <v>4302</v>
      </c>
      <c r="C132" s="34" t="s">
        <v>4303</v>
      </c>
      <c r="D132" s="34" t="s">
        <v>4304</v>
      </c>
    </row>
    <row r="133" spans="1:7">
      <c r="A133" s="67" t="s">
        <v>4305</v>
      </c>
      <c r="B133" t="s">
        <v>4306</v>
      </c>
      <c r="C133" s="34" t="s">
        <v>4307</v>
      </c>
      <c r="D133" s="34" t="s">
        <v>4308</v>
      </c>
    </row>
    <row r="134" spans="1:7">
      <c r="A134" s="67" t="s">
        <v>4309</v>
      </c>
      <c r="B134" t="s">
        <v>787</v>
      </c>
      <c r="C134" s="34" t="s">
        <v>787</v>
      </c>
      <c r="D134" s="34" t="s">
        <v>4310</v>
      </c>
    </row>
    <row r="135" spans="1:7">
      <c r="A135" s="67" t="s">
        <v>4311</v>
      </c>
      <c r="B135" t="s">
        <v>787</v>
      </c>
      <c r="C135" s="34" t="s">
        <v>4312</v>
      </c>
      <c r="D135" s="34" t="s">
        <v>4313</v>
      </c>
    </row>
    <row r="136" spans="1:7">
      <c r="A136" s="67" t="s">
        <v>4314</v>
      </c>
      <c r="B136" t="s">
        <v>4315</v>
      </c>
      <c r="C136" s="34" t="s">
        <v>4316</v>
      </c>
      <c r="D136" s="34" t="s">
        <v>4317</v>
      </c>
    </row>
    <row r="137" spans="1:7">
      <c r="A137" s="67" t="s">
        <v>4318</v>
      </c>
      <c r="B137" t="s">
        <v>787</v>
      </c>
      <c r="C137" s="34" t="s">
        <v>4319</v>
      </c>
      <c r="D137" s="34" t="s">
        <v>4320</v>
      </c>
    </row>
    <row r="138" spans="1:7">
      <c r="A138" s="67" t="s">
        <v>4321</v>
      </c>
      <c r="B138" s="8" t="s">
        <v>4322</v>
      </c>
      <c r="C138" s="34" t="s">
        <v>4323</v>
      </c>
      <c r="D138" s="34" t="s">
        <v>4324</v>
      </c>
    </row>
    <row r="139" spans="1:7">
      <c r="A139" s="67" t="s">
        <v>4325</v>
      </c>
      <c r="B139" t="s">
        <v>4326</v>
      </c>
      <c r="C139" s="34" t="s">
        <v>4327</v>
      </c>
      <c r="D139" s="34" t="s">
        <v>4328</v>
      </c>
    </row>
    <row r="140" spans="1:7">
      <c r="A140" s="67" t="s">
        <v>4329</v>
      </c>
      <c r="B140" t="s">
        <v>4330</v>
      </c>
      <c r="C140" s="34" t="s">
        <v>4331</v>
      </c>
      <c r="D140" s="34" t="s">
        <v>4332</v>
      </c>
    </row>
    <row r="141" spans="1:7">
      <c r="A141" s="67" t="s">
        <v>4333</v>
      </c>
      <c r="B141" t="s">
        <v>787</v>
      </c>
      <c r="C141" s="34" t="s">
        <v>4334</v>
      </c>
      <c r="D141" s="34" t="s">
        <v>4335</v>
      </c>
    </row>
    <row r="142" spans="1:7">
      <c r="A142" s="67"/>
      <c r="C142" s="34"/>
      <c r="D142" s="34"/>
    </row>
    <row r="143" spans="1:7">
      <c r="A143" s="79" t="s">
        <v>388</v>
      </c>
      <c r="B143" s="79" t="s">
        <v>147</v>
      </c>
      <c r="C143" s="79" t="s">
        <v>148</v>
      </c>
      <c r="D143" s="79" t="s">
        <v>182</v>
      </c>
    </row>
    <row r="144" spans="1:7">
      <c r="A144" s="31" t="s">
        <v>4336</v>
      </c>
      <c r="B144" s="97"/>
      <c r="C144" s="97"/>
      <c r="D144" s="97" t="s">
        <v>4337</v>
      </c>
      <c r="E144" s="29"/>
      <c r="F144" s="29"/>
      <c r="G144" s="29"/>
    </row>
    <row r="145" spans="1:7">
      <c r="A145" s="67" t="s">
        <v>4338</v>
      </c>
      <c r="B145" s="67" t="s">
        <v>164</v>
      </c>
      <c r="C145" s="67" t="s">
        <v>164</v>
      </c>
      <c r="D145" s="67" t="s">
        <v>4339</v>
      </c>
    </row>
    <row r="146" spans="1:7">
      <c r="A146" s="67" t="s">
        <v>4340</v>
      </c>
      <c r="B146" s="67" t="s">
        <v>164</v>
      </c>
      <c r="C146" s="67" t="s">
        <v>164</v>
      </c>
      <c r="D146" s="67" t="s">
        <v>4341</v>
      </c>
    </row>
    <row r="147" spans="1:7">
      <c r="A147" s="67" t="s">
        <v>4342</v>
      </c>
      <c r="B147" s="67" t="s">
        <v>4343</v>
      </c>
      <c r="C147" s="67" t="s">
        <v>4344</v>
      </c>
      <c r="D147" s="67" t="s">
        <v>4345</v>
      </c>
    </row>
    <row r="148" spans="1:7">
      <c r="A148" s="67" t="s">
        <v>4346</v>
      </c>
      <c r="B148" s="67" t="s">
        <v>164</v>
      </c>
      <c r="C148" s="67" t="s">
        <v>164</v>
      </c>
      <c r="D148" s="67" t="s">
        <v>4347</v>
      </c>
    </row>
    <row r="149" spans="1:7">
      <c r="A149" s="67" t="s">
        <v>4348</v>
      </c>
      <c r="B149" s="67" t="s">
        <v>164</v>
      </c>
      <c r="C149" s="67" t="s">
        <v>164</v>
      </c>
      <c r="D149" s="67" t="s">
        <v>4349</v>
      </c>
    </row>
    <row r="150" spans="1:7">
      <c r="A150" s="67" t="s">
        <v>4350</v>
      </c>
      <c r="B150" s="67" t="s">
        <v>164</v>
      </c>
      <c r="C150" s="67" t="s">
        <v>164</v>
      </c>
      <c r="D150" s="67" t="s">
        <v>4351</v>
      </c>
    </row>
    <row r="151" spans="1:7">
      <c r="A151" s="67" t="s">
        <v>4352</v>
      </c>
      <c r="B151" s="67" t="s">
        <v>164</v>
      </c>
      <c r="C151" s="67" t="s">
        <v>164</v>
      </c>
      <c r="D151" s="67" t="s">
        <v>4353</v>
      </c>
    </row>
    <row r="152" spans="1:7">
      <c r="A152" s="67" t="s">
        <v>4354</v>
      </c>
      <c r="B152" s="67" t="s">
        <v>164</v>
      </c>
      <c r="C152" s="67" t="s">
        <v>164</v>
      </c>
      <c r="D152" s="67" t="s">
        <v>4355</v>
      </c>
    </row>
    <row r="153" spans="1:7">
      <c r="A153" s="67" t="s">
        <v>4356</v>
      </c>
      <c r="B153" s="67" t="s">
        <v>4357</v>
      </c>
      <c r="C153" s="67" t="s">
        <v>4358</v>
      </c>
      <c r="D153" s="67" t="s">
        <v>4359</v>
      </c>
    </row>
    <row r="154" spans="1:7">
      <c r="A154" s="67" t="s">
        <v>4360</v>
      </c>
      <c r="B154" s="67" t="s">
        <v>164</v>
      </c>
      <c r="C154" s="67" t="s">
        <v>4361</v>
      </c>
      <c r="D154" s="67" t="s">
        <v>4362</v>
      </c>
    </row>
    <row r="155" spans="1:7">
      <c r="A155" s="67" t="s">
        <v>4363</v>
      </c>
      <c r="B155" s="67" t="s">
        <v>164</v>
      </c>
      <c r="C155" s="67" t="s">
        <v>164</v>
      </c>
      <c r="D155" s="67" t="s">
        <v>4364</v>
      </c>
    </row>
    <row r="156" spans="1:7">
      <c r="A156" s="67" t="s">
        <v>4365</v>
      </c>
      <c r="B156" s="67" t="s">
        <v>164</v>
      </c>
      <c r="C156" s="67" t="s">
        <v>164</v>
      </c>
      <c r="D156" s="67" t="s">
        <v>4366</v>
      </c>
    </row>
    <row r="157" spans="1:7" ht="15" customHeight="1">
      <c r="A157" t="s">
        <v>4367</v>
      </c>
      <c r="B157" t="s">
        <v>4368</v>
      </c>
      <c r="C157" t="s">
        <v>4369</v>
      </c>
      <c r="D157" s="34" t="s">
        <v>4370</v>
      </c>
    </row>
    <row r="158" spans="1:7">
      <c r="A158" s="97" t="s">
        <v>4371</v>
      </c>
      <c r="B158" s="97" t="s">
        <v>4372</v>
      </c>
      <c r="C158" s="97" t="s">
        <v>4373</v>
      </c>
      <c r="D158" s="97" t="s">
        <v>4374</v>
      </c>
      <c r="E158" s="29"/>
      <c r="F158" s="29"/>
      <c r="G158" s="29"/>
    </row>
    <row r="159" spans="1:7">
      <c r="A159" s="67"/>
      <c r="B159" s="67"/>
      <c r="C159" s="67"/>
      <c r="D159" s="67"/>
    </row>
    <row r="160" spans="1:7">
      <c r="A160" s="79" t="s">
        <v>428</v>
      </c>
      <c r="B160" s="79" t="s">
        <v>147</v>
      </c>
      <c r="C160" s="79" t="s">
        <v>148</v>
      </c>
      <c r="D160" s="79" t="s">
        <v>182</v>
      </c>
    </row>
    <row r="161" spans="1:6">
      <c r="A161" s="83" t="s">
        <v>4375</v>
      </c>
      <c r="B161" s="69"/>
      <c r="C161" s="67"/>
      <c r="D161" s="67" t="s">
        <v>4376</v>
      </c>
      <c r="F161" s="65"/>
    </row>
    <row r="162" spans="1:6">
      <c r="A162" s="83" t="s">
        <v>4377</v>
      </c>
      <c r="B162" s="12"/>
      <c r="C162" s="67"/>
      <c r="D162" s="67" t="s">
        <v>4378</v>
      </c>
    </row>
    <row r="163" spans="1:6">
      <c r="A163" s="83" t="s">
        <v>4379</v>
      </c>
      <c r="B163" s="12"/>
      <c r="C163" s="67"/>
      <c r="D163" s="67" t="s">
        <v>4380</v>
      </c>
    </row>
    <row r="164" spans="1:6">
      <c r="A164" s="97" t="s">
        <v>4381</v>
      </c>
      <c r="B164" s="97" t="s">
        <v>4382</v>
      </c>
      <c r="C164" s="97" t="s">
        <v>4383</v>
      </c>
      <c r="D164" s="97" t="s">
        <v>4384</v>
      </c>
    </row>
    <row r="165" spans="1:6">
      <c r="A165" s="97" t="s">
        <v>4385</v>
      </c>
      <c r="B165" t="s">
        <v>4386</v>
      </c>
      <c r="C165" s="97" t="s">
        <v>4387</v>
      </c>
      <c r="D165" s="97" t="s">
        <v>4388</v>
      </c>
    </row>
    <row r="166" spans="1:6">
      <c r="A166" s="97" t="s">
        <v>4389</v>
      </c>
      <c r="B166" s="97" t="s">
        <v>4390</v>
      </c>
      <c r="C166" s="97" t="s">
        <v>4391</v>
      </c>
      <c r="D166" s="97" t="s">
        <v>4392</v>
      </c>
    </row>
    <row r="167" spans="1:6">
      <c r="A167" s="97" t="s">
        <v>4393</v>
      </c>
      <c r="B167" s="97" t="s">
        <v>4394</v>
      </c>
      <c r="C167" s="97" t="s">
        <v>4395</v>
      </c>
      <c r="D167" s="97" t="s">
        <v>4396</v>
      </c>
    </row>
    <row r="168" spans="1:6">
      <c r="A168" s="97" t="s">
        <v>4397</v>
      </c>
      <c r="B168" s="97" t="s">
        <v>4398</v>
      </c>
      <c r="C168" s="97" t="s">
        <v>4399</v>
      </c>
      <c r="D168" s="97" t="s">
        <v>4400</v>
      </c>
    </row>
    <row r="169" spans="1:6">
      <c r="A169" s="97" t="s">
        <v>4401</v>
      </c>
      <c r="B169" s="97" t="s">
        <v>4402</v>
      </c>
      <c r="C169" s="97" t="s">
        <v>787</v>
      </c>
      <c r="D169" s="97" t="s">
        <v>4403</v>
      </c>
    </row>
    <row r="170" spans="1:6">
      <c r="A170" s="97" t="s">
        <v>4404</v>
      </c>
      <c r="B170" s="97" t="s">
        <v>4405</v>
      </c>
      <c r="C170" s="97" t="s">
        <v>4406</v>
      </c>
      <c r="D170" s="97" t="s">
        <v>4407</v>
      </c>
    </row>
    <row r="171" spans="1:6">
      <c r="A171" s="97" t="s">
        <v>4408</v>
      </c>
      <c r="B171" s="97" t="s">
        <v>4409</v>
      </c>
      <c r="C171" s="97" t="s">
        <v>4410</v>
      </c>
      <c r="D171" s="97" t="s">
        <v>4411</v>
      </c>
    </row>
    <row r="172" spans="1:6">
      <c r="A172" s="97" t="s">
        <v>4412</v>
      </c>
      <c r="B172" s="97" t="s">
        <v>4413</v>
      </c>
      <c r="C172" s="97" t="s">
        <v>4414</v>
      </c>
      <c r="D172" s="97" t="s">
        <v>4415</v>
      </c>
    </row>
    <row r="173" spans="1:6">
      <c r="A173" s="97" t="s">
        <v>4416</v>
      </c>
      <c r="B173" s="97" t="s">
        <v>4417</v>
      </c>
      <c r="C173" s="97" t="s">
        <v>4418</v>
      </c>
      <c r="D173" s="97" t="s">
        <v>4419</v>
      </c>
    </row>
    <row r="174" spans="1:6">
      <c r="A174" s="97" t="s">
        <v>4420</v>
      </c>
      <c r="B174" s="97" t="s">
        <v>4421</v>
      </c>
      <c r="C174" s="97" t="s">
        <v>4422</v>
      </c>
      <c r="D174" s="97" t="s">
        <v>4423</v>
      </c>
    </row>
    <row r="175" spans="1:6">
      <c r="A175" s="97" t="s">
        <v>4424</v>
      </c>
      <c r="B175" s="97" t="s">
        <v>4425</v>
      </c>
      <c r="C175" s="97" t="s">
        <v>4426</v>
      </c>
      <c r="D175" s="97" t="s">
        <v>4427</v>
      </c>
    </row>
    <row r="176" spans="1:6">
      <c r="A176" s="97" t="s">
        <v>4428</v>
      </c>
      <c r="B176" s="97" t="s">
        <v>4429</v>
      </c>
      <c r="C176" s="97" t="s">
        <v>4430</v>
      </c>
      <c r="D176" s="97" t="s">
        <v>4431</v>
      </c>
    </row>
    <row r="177" spans="1:6">
      <c r="A177" s="97" t="s">
        <v>4432</v>
      </c>
      <c r="B177" s="97" t="s">
        <v>4433</v>
      </c>
      <c r="C177" s="97" t="s">
        <v>4434</v>
      </c>
      <c r="D177" s="97" t="s">
        <v>4435</v>
      </c>
    </row>
    <row r="178" spans="1:6">
      <c r="A178" s="97" t="s">
        <v>4436</v>
      </c>
      <c r="B178" s="97" t="s">
        <v>4437</v>
      </c>
      <c r="C178" s="97" t="s">
        <v>4438</v>
      </c>
      <c r="D178" s="97" t="s">
        <v>4439</v>
      </c>
    </row>
    <row r="179" spans="1:6">
      <c r="A179" s="97" t="s">
        <v>4440</v>
      </c>
      <c r="B179" s="97" t="s">
        <v>4441</v>
      </c>
      <c r="C179" s="97" t="s">
        <v>4442</v>
      </c>
      <c r="D179" s="97" t="s">
        <v>4443</v>
      </c>
    </row>
    <row r="180" spans="1:6">
      <c r="A180" s="97" t="s">
        <v>4444</v>
      </c>
      <c r="B180" s="97" t="s">
        <v>4445</v>
      </c>
      <c r="C180" s="97" t="s">
        <v>4446</v>
      </c>
      <c r="D180" s="97" t="s">
        <v>4447</v>
      </c>
    </row>
    <row r="181" spans="1:6">
      <c r="A181" s="97" t="s">
        <v>4448</v>
      </c>
      <c r="B181" s="97" t="s">
        <v>4449</v>
      </c>
      <c r="C181" s="97" t="s">
        <v>4450</v>
      </c>
      <c r="D181" s="97" t="s">
        <v>4451</v>
      </c>
    </row>
    <row r="182" spans="1:6">
      <c r="A182" s="97" t="s">
        <v>4452</v>
      </c>
      <c r="B182" s="97" t="s">
        <v>4453</v>
      </c>
      <c r="C182" s="97" t="s">
        <v>4454</v>
      </c>
      <c r="D182" s="97" t="s">
        <v>4455</v>
      </c>
    </row>
    <row r="183" spans="1:6">
      <c r="A183" s="97" t="s">
        <v>4456</v>
      </c>
      <c r="B183" s="97" t="s">
        <v>4457</v>
      </c>
      <c r="C183" s="97" t="s">
        <v>4458</v>
      </c>
      <c r="D183" s="97" t="s">
        <v>4459</v>
      </c>
    </row>
    <row r="184" spans="1:6">
      <c r="A184" s="97"/>
      <c r="B184" s="97"/>
      <c r="C184" s="97"/>
      <c r="D184" s="97"/>
    </row>
    <row r="185" spans="1:6">
      <c r="A185" s="60" t="s">
        <v>3157</v>
      </c>
      <c r="B185" s="79" t="s">
        <v>147</v>
      </c>
      <c r="C185" s="79" t="s">
        <v>148</v>
      </c>
      <c r="D185" s="79" t="s">
        <v>182</v>
      </c>
      <c r="F185" s="29"/>
    </row>
    <row r="186" spans="1:6" ht="15" customHeight="1">
      <c r="A186" s="34" t="s">
        <v>4460</v>
      </c>
      <c r="C186" s="34"/>
      <c r="D186" s="34" t="s">
        <v>4461</v>
      </c>
      <c r="E186" t="s">
        <v>4462</v>
      </c>
    </row>
    <row r="187" spans="1:6" ht="15" customHeight="1">
      <c r="A187" s="34" t="s">
        <v>4463</v>
      </c>
      <c r="B187" t="s">
        <v>4464</v>
      </c>
      <c r="C187" s="34" t="s">
        <v>4465</v>
      </c>
      <c r="D187" s="34" t="s">
        <v>4466</v>
      </c>
      <c r="E187" t="s">
        <v>4467</v>
      </c>
    </row>
    <row r="188" spans="1:6" ht="15" customHeight="1">
      <c r="A188" s="34" t="str">
        <f>HYPERLINK("List of colleges and universities in Florida","List of Colleges &amp; Univ. in FL")</f>
        <v>List of Colleges &amp; Univ. in FL</v>
      </c>
      <c r="C188" s="34"/>
      <c r="D188" s="34"/>
      <c r="E188" s="33" t="s">
        <v>4468</v>
      </c>
    </row>
    <row r="189" spans="1:6">
      <c r="A189" s="97"/>
      <c r="B189" s="97"/>
      <c r="C189" s="97"/>
      <c r="D189" s="97"/>
    </row>
    <row r="190" spans="1:6">
      <c r="A190" s="97"/>
      <c r="B190" s="97"/>
      <c r="C190" s="97"/>
      <c r="D190" s="97"/>
    </row>
    <row r="191" spans="1:6">
      <c r="A191" s="97"/>
      <c r="B191" s="97"/>
      <c r="C191" s="97"/>
      <c r="D191" s="97"/>
    </row>
    <row r="192" spans="1:6">
      <c r="A192" s="97"/>
      <c r="B192" s="97"/>
      <c r="C192" s="97"/>
      <c r="D192" s="97"/>
    </row>
    <row r="193" spans="1:4">
      <c r="A193" s="97"/>
      <c r="B193" s="97"/>
      <c r="C193" s="97"/>
      <c r="D193" s="97"/>
    </row>
    <row r="194" spans="1:4">
      <c r="A194" s="97"/>
      <c r="B194" s="97"/>
      <c r="C194" s="97"/>
      <c r="D194" s="97"/>
    </row>
    <row r="195" spans="1:4">
      <c r="A195" s="97"/>
      <c r="B195" s="97"/>
      <c r="C195" s="97"/>
      <c r="D195" s="97"/>
    </row>
    <row r="196" spans="1:4">
      <c r="A196" s="97"/>
      <c r="B196" s="97"/>
      <c r="C196" s="97"/>
      <c r="D196" s="97"/>
    </row>
    <row r="197" spans="1:4">
      <c r="A197" s="97"/>
      <c r="B197" s="97"/>
      <c r="C197" s="97"/>
      <c r="D197" s="97"/>
    </row>
    <row r="198" spans="1:4">
      <c r="A198" s="97"/>
      <c r="B198" s="97"/>
      <c r="C198" s="97"/>
      <c r="D198" s="97"/>
    </row>
    <row r="199" spans="1:4">
      <c r="A199" s="97"/>
      <c r="B199" s="97"/>
      <c r="C199" s="97"/>
      <c r="D199" s="97"/>
    </row>
    <row r="200" spans="1:4">
      <c r="A200" s="97"/>
      <c r="B200" s="97"/>
      <c r="C200" s="97"/>
      <c r="D200" s="97"/>
    </row>
    <row r="201" spans="1:4">
      <c r="A201" s="97"/>
      <c r="B201" s="97"/>
      <c r="C201" s="97"/>
      <c r="D201" s="97"/>
    </row>
    <row r="202" spans="1:4">
      <c r="A202" s="97"/>
      <c r="B202" s="97"/>
      <c r="C202" s="97"/>
      <c r="D202" s="97"/>
    </row>
    <row r="203" spans="1:4">
      <c r="A203" s="97"/>
      <c r="B203" s="97"/>
      <c r="C203" s="97"/>
      <c r="D203" s="97"/>
    </row>
  </sheetData>
  <customSheetViews>
    <customSheetView guid="{617856E6-44D1-4ADD-8CA5-796514BA6839}">
      <pane ySplit="1" topLeftCell="A2" activePane="bottomLeft" state="frozen"/>
      <selection pane="bottomLeft" activeCell="A2" sqref="A2"/>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258"/>
  <sheetViews>
    <sheetView workbookViewId="0"/>
  </sheetViews>
  <sheetFormatPr defaultColWidth="9.140625" defaultRowHeight="15" customHeight="1"/>
  <cols>
    <col min="1" max="1" width="26.7109375" customWidth="1"/>
    <col min="2" max="2" width="17.85546875" customWidth="1"/>
    <col min="3" max="3" width="21.140625" customWidth="1"/>
    <col min="4" max="4" width="21.28515625" customWidth="1"/>
    <col min="5" max="5" width="20.85546875" customWidth="1"/>
    <col min="6" max="6" width="30.85546875" customWidth="1"/>
  </cols>
  <sheetData>
    <row r="1" spans="1:6" ht="15" customHeight="1">
      <c r="A1" s="7" t="s">
        <v>1403</v>
      </c>
      <c r="C1" s="34"/>
      <c r="D1" s="34"/>
    </row>
    <row r="2" spans="1:6">
      <c r="A2" s="79" t="s">
        <v>146</v>
      </c>
      <c r="B2" s="79" t="s">
        <v>147</v>
      </c>
      <c r="C2" s="79" t="s">
        <v>148</v>
      </c>
      <c r="D2" s="79" t="s">
        <v>182</v>
      </c>
      <c r="E2" s="41" t="s">
        <v>4469</v>
      </c>
    </row>
    <row r="3" spans="1:6">
      <c r="A3" s="67" t="str">
        <f>HYPERLINK("http://en.wikipedia.org/wiki/Georgia_(U.S._state)","Georgia")</f>
        <v>Georgia</v>
      </c>
      <c r="B3" s="67" t="s">
        <v>4470</v>
      </c>
      <c r="C3" s="67" t="s">
        <v>4471</v>
      </c>
      <c r="D3" s="67" t="s">
        <v>4472</v>
      </c>
    </row>
    <row r="4" spans="1:6">
      <c r="A4" s="67" t="s">
        <v>4473</v>
      </c>
      <c r="B4" s="67" t="s">
        <v>4474</v>
      </c>
      <c r="C4" s="67" t="s">
        <v>4475</v>
      </c>
      <c r="D4" s="11" t="s">
        <v>4476</v>
      </c>
    </row>
    <row r="5" spans="1:6">
      <c r="A5" s="67" t="s">
        <v>4477</v>
      </c>
      <c r="C5" s="34"/>
      <c r="D5" s="11" t="str">
        <f>HYPERLINK("http://wildlife.rescueshelter.com/Georgia","http://wildlife.rescueshelter.com/Georgia")</f>
        <v>http://wildlife.rescueshelter.com/Georgia</v>
      </c>
      <c r="E5" s="29"/>
    </row>
    <row r="6" spans="1:6" ht="15" customHeight="1">
      <c r="A6" t="s">
        <v>4478</v>
      </c>
      <c r="B6" t="s">
        <v>4479</v>
      </c>
      <c r="C6" s="34" t="s">
        <v>4480</v>
      </c>
      <c r="D6" s="34" t="s">
        <v>4481</v>
      </c>
    </row>
    <row r="7" spans="1:6" ht="15" customHeight="1">
      <c r="A7" t="s">
        <v>4482</v>
      </c>
      <c r="C7" s="34"/>
      <c r="D7" s="34" t="s">
        <v>4483</v>
      </c>
    </row>
    <row r="8" spans="1:6" ht="15" customHeight="1">
      <c r="A8" t="s">
        <v>4484</v>
      </c>
      <c r="C8" s="34"/>
      <c r="D8" s="34" t="s">
        <v>4485</v>
      </c>
    </row>
    <row r="9" spans="1:6" ht="15" customHeight="1">
      <c r="A9" t="s">
        <v>4486</v>
      </c>
      <c r="B9" t="s">
        <v>4487</v>
      </c>
      <c r="C9" s="34" t="s">
        <v>4488</v>
      </c>
      <c r="D9" s="34" t="s">
        <v>4489</v>
      </c>
    </row>
    <row r="10" spans="1:6" ht="15" customHeight="1">
      <c r="A10" s="3" t="s">
        <v>181</v>
      </c>
      <c r="B10" s="3" t="s">
        <v>147</v>
      </c>
      <c r="C10" s="77" t="s">
        <v>148</v>
      </c>
      <c r="D10" s="77" t="s">
        <v>182</v>
      </c>
      <c r="E10" s="14" t="s">
        <v>183</v>
      </c>
      <c r="F10" s="61" t="s">
        <v>184</v>
      </c>
    </row>
    <row r="11" spans="1:6" ht="15" customHeight="1">
      <c r="A11" t="str">
        <f>HYPERLINK("http://en.wikipedia.org/wiki/Atlanta","Atlanta")</f>
        <v>Atlanta</v>
      </c>
      <c r="B11" t="s">
        <v>4490</v>
      </c>
      <c r="C11" s="34" t="s">
        <v>4491</v>
      </c>
      <c r="D11" s="34" t="s">
        <v>4492</v>
      </c>
      <c r="E11" t="str">
        <f>HYPERLINK("http://www.atlantaga.gov/index.aspx?page=735","City of Atlanta via Social Media ")</f>
        <v xml:space="preserve">City of Atlanta via Social Media </v>
      </c>
      <c r="F11" t="s">
        <v>4493</v>
      </c>
    </row>
    <row r="12" spans="1:6" ht="15" customHeight="1">
      <c r="A12" t="str">
        <f>HYPERLINK("http://en.wikipedia.org/wiki/Athens,_Georgia","Athens")</f>
        <v>Athens</v>
      </c>
      <c r="B12" t="s">
        <v>4494</v>
      </c>
      <c r="C12" s="34" t="s">
        <v>4495</v>
      </c>
      <c r="D12" s="34" t="s">
        <v>4496</v>
      </c>
      <c r="E12" t="str">
        <f>HYPERLINK("http://www.athensclarkecounty.com/index.aspx?NID=143","Athens OEM")</f>
        <v>Athens OEM</v>
      </c>
      <c r="F12" t="s">
        <v>4497</v>
      </c>
    </row>
    <row r="13" spans="1:6" ht="15" customHeight="1">
      <c r="A13" t="str">
        <f>HYPERLINK("http://en.wikipedia.org/wiki/Columbus,_Georgia","Columbus")</f>
        <v>Columbus</v>
      </c>
      <c r="B13" t="s">
        <v>4498</v>
      </c>
      <c r="C13" s="34" t="s">
        <v>164</v>
      </c>
      <c r="D13" s="34" t="s">
        <v>4499</v>
      </c>
      <c r="E13" t="str">
        <f>HYPERLINK("http://www.columbusga.org/homeland/","Columbus Homeland")</f>
        <v>Columbus Homeland</v>
      </c>
      <c r="F13" t="s">
        <v>4500</v>
      </c>
    </row>
    <row r="14" spans="1:6" ht="15" customHeight="1">
      <c r="A14" t="str">
        <f>HYPERLINK("http://en.wikipedia.org/wiki/Macon,_Georgia","Macon")</f>
        <v>Macon</v>
      </c>
      <c r="B14" t="s">
        <v>4501</v>
      </c>
      <c r="C14" s="34" t="s">
        <v>4502</v>
      </c>
      <c r="D14" s="34" t="s">
        <v>4503</v>
      </c>
      <c r="E14" t="str">
        <f>HYPERLINK("http://www.cityofmacon.net/citydept-ema","Macon OEM")</f>
        <v>Macon OEM</v>
      </c>
      <c r="F14" t="s">
        <v>4504</v>
      </c>
    </row>
    <row r="15" spans="1:6" ht="15" customHeight="1">
      <c r="A15" t="str">
        <f>HYPERLINK("http://en.wikipedia.org/wiki/Savannah,_Georgia","Savannah")</f>
        <v>Savannah</v>
      </c>
      <c r="B15" t="s">
        <v>4505</v>
      </c>
      <c r="C15" s="34" t="s">
        <v>4506</v>
      </c>
      <c r="D15" s="34" t="s">
        <v>4507</v>
      </c>
      <c r="E15" t="str">
        <f>HYPERLINK("http://www.savannahga.gov/?nid=523","Savannah Fire &amp; OEM")</f>
        <v>Savannah Fire &amp; OEM</v>
      </c>
      <c r="F15" t="s">
        <v>4508</v>
      </c>
    </row>
    <row r="16" spans="1:6" ht="15" customHeight="1">
      <c r="A16" s="33"/>
      <c r="B16" s="33"/>
      <c r="C16" s="96"/>
      <c r="D16" s="96"/>
    </row>
    <row r="17" spans="1:6">
      <c r="A17" s="79" t="s">
        <v>209</v>
      </c>
      <c r="B17" s="79" t="s">
        <v>147</v>
      </c>
      <c r="C17" s="79" t="s">
        <v>148</v>
      </c>
      <c r="D17" s="79" t="s">
        <v>182</v>
      </c>
    </row>
    <row r="18" spans="1:6">
      <c r="A18" s="67" t="s">
        <v>4509</v>
      </c>
      <c r="C18" s="34"/>
      <c r="D18" s="34" t="s">
        <v>4510</v>
      </c>
      <c r="E18" t="s">
        <v>4511</v>
      </c>
      <c r="F18" s="110" t="s">
        <v>4512</v>
      </c>
    </row>
    <row r="19" spans="1:6">
      <c r="A19" s="67" t="str">
        <f>HYPERLINK("http://en.wikipedia.org/wiki/Appling_County,_Georgia","Appling ")</f>
        <v xml:space="preserve">Appling </v>
      </c>
      <c r="B19" t="s">
        <v>164</v>
      </c>
      <c r="C19" s="34" t="s">
        <v>164</v>
      </c>
      <c r="D19" s="34" t="s">
        <v>4513</v>
      </c>
      <c r="F19" s="100"/>
    </row>
    <row r="20" spans="1:6">
      <c r="A20" s="67" t="str">
        <f>HYPERLINK("http://en.wikipedia.org/wiki/Atkinson_County,_Georgia","Atkinson")</f>
        <v>Atkinson</v>
      </c>
      <c r="B20" t="s">
        <v>164</v>
      </c>
      <c r="C20" s="34" t="s">
        <v>164</v>
      </c>
      <c r="D20" s="34" t="s">
        <v>4514</v>
      </c>
      <c r="F20" s="100"/>
    </row>
    <row r="21" spans="1:6">
      <c r="A21" s="67" t="str">
        <f>HYPERLINK("http://en.wikipedia.org/wiki/Bacon_County,_Georgia","Bacon")</f>
        <v>Bacon</v>
      </c>
      <c r="B21" t="s">
        <v>164</v>
      </c>
      <c r="C21" s="34" t="s">
        <v>164</v>
      </c>
      <c r="D21" s="34" t="s">
        <v>4515</v>
      </c>
    </row>
    <row r="22" spans="1:6">
      <c r="A22" s="67" t="str">
        <f>HYPERLINK("http://en.wikipedia.org/wiki/Baker_County,_Georgia","Baker")</f>
        <v>Baker</v>
      </c>
      <c r="B22" t="s">
        <v>164</v>
      </c>
      <c r="C22" s="34" t="s">
        <v>164</v>
      </c>
      <c r="D22" s="34" t="s">
        <v>4516</v>
      </c>
    </row>
    <row r="23" spans="1:6">
      <c r="A23" s="67" t="str">
        <f>HYPERLINK("http://en.wikipedia.org/wiki/Baldwin_County,_Georgia","Baldwin")</f>
        <v>Baldwin</v>
      </c>
      <c r="B23" t="s">
        <v>164</v>
      </c>
      <c r="C23" s="34" t="s">
        <v>164</v>
      </c>
      <c r="D23" s="34" t="s">
        <v>4517</v>
      </c>
      <c r="E23" s="29" t="str">
        <f>HYPERLINK("http://www.baldwincountyga.com/emergency.htm","Baldwin OEM")</f>
        <v>Baldwin OEM</v>
      </c>
    </row>
    <row r="24" spans="1:6">
      <c r="A24" s="67" t="str">
        <f>HYPERLINK("http://en.wikipedia.org/wiki/Banks_County,_Georgia","Banks")</f>
        <v>Banks</v>
      </c>
      <c r="B24" t="s">
        <v>164</v>
      </c>
      <c r="C24" s="34" t="s">
        <v>4518</v>
      </c>
      <c r="D24" s="34" t="s">
        <v>4519</v>
      </c>
    </row>
    <row r="25" spans="1:6">
      <c r="A25" s="67" t="str">
        <f>HYPERLINK("http://en.wikipedia.org/wiki/Barrow_County,_Georgia","Barrow")</f>
        <v>Barrow</v>
      </c>
      <c r="B25" t="s">
        <v>164</v>
      </c>
      <c r="C25" s="34" t="s">
        <v>4520</v>
      </c>
      <c r="D25" s="34" t="s">
        <v>4521</v>
      </c>
      <c r="E25" t="str">
        <f>HYPERLINK("http://www.barrowga.org/emergency/?id=31","Barrow OEM")</f>
        <v>Barrow OEM</v>
      </c>
    </row>
    <row r="26" spans="1:6">
      <c r="A26" s="67" t="str">
        <f>HYPERLINK("http://en.wikipedia.org/wiki/Bartow_County,_Georgia","Bartow")</f>
        <v>Bartow</v>
      </c>
      <c r="B26" t="s">
        <v>164</v>
      </c>
      <c r="C26" s="34" t="s">
        <v>4522</v>
      </c>
      <c r="D26" s="34" t="s">
        <v>4523</v>
      </c>
    </row>
    <row r="27" spans="1:6">
      <c r="A27" s="67" t="str">
        <f>HYPERLINK("http://en.wikipedia.org/wiki/Ben_Hill_County,_Georgia","Ben Hill")</f>
        <v>Ben Hill</v>
      </c>
      <c r="B27" t="s">
        <v>164</v>
      </c>
      <c r="C27" s="34" t="s">
        <v>164</v>
      </c>
      <c r="D27" s="34" t="s">
        <v>4524</v>
      </c>
      <c r="E27" t="str">
        <f>HYPERLINK("http://www.benhillcounty.com/ema.htm","Ben Hill EMA")</f>
        <v>Ben Hill EMA</v>
      </c>
    </row>
    <row r="28" spans="1:6">
      <c r="A28" s="67" t="str">
        <f>HYPERLINK("http://en.wikipedia.org/wiki/Berrien_County,_Georgia#Education","Berrien")</f>
        <v>Berrien</v>
      </c>
      <c r="B28" t="s">
        <v>164</v>
      </c>
      <c r="C28" s="34" t="s">
        <v>164</v>
      </c>
      <c r="D28" s="34" t="s">
        <v>4525</v>
      </c>
      <c r="E28" t="str">
        <f>HYPERLINK("http://www.berriencountygeorgia.com/index.php?option=com_content&amp;task=view&amp;id=24&amp;Itemid=47","Berrier EMA")</f>
        <v>Berrier EMA</v>
      </c>
    </row>
    <row r="29" spans="1:6">
      <c r="A29" s="67" t="str">
        <f>HYPERLINK("http://en.wikipedia.org/wiki/Bibb_County,_Georgia","Bibb")</f>
        <v>Bibb</v>
      </c>
      <c r="B29" t="s">
        <v>4526</v>
      </c>
      <c r="C29" s="34" t="s">
        <v>4527</v>
      </c>
      <c r="D29" s="34" t="s">
        <v>4528</v>
      </c>
    </row>
    <row r="30" spans="1:6">
      <c r="A30" s="67" t="str">
        <f>HYPERLINK("http://en.wikipedia.org/wiki/Bleckley_County,_Georgia","Bleckley")</f>
        <v>Bleckley</v>
      </c>
      <c r="B30" t="s">
        <v>164</v>
      </c>
      <c r="C30" s="34" t="s">
        <v>164</v>
      </c>
      <c r="D30" s="34" t="s">
        <v>4529</v>
      </c>
    </row>
    <row r="31" spans="1:6">
      <c r="A31" s="67" t="str">
        <f>HYPERLINK("http://en.wikipedia.org/wiki/Brantley_County,_Georgia","Brantley")</f>
        <v>Brantley</v>
      </c>
      <c r="B31" t="s">
        <v>164</v>
      </c>
      <c r="C31" s="34" t="s">
        <v>164</v>
      </c>
      <c r="D31" s="34" t="s">
        <v>4530</v>
      </c>
    </row>
    <row r="32" spans="1:6">
      <c r="A32" s="67" t="str">
        <f>HYPERLINK("http://en.wikipedia.org/wiki/Brooks_County,_Georgia","Brooks")</f>
        <v>Brooks</v>
      </c>
      <c r="B32" t="s">
        <v>164</v>
      </c>
      <c r="C32" s="34" t="s">
        <v>164</v>
      </c>
      <c r="D32" s="34" t="s">
        <v>4531</v>
      </c>
    </row>
    <row r="33" spans="1:6">
      <c r="A33" s="67" t="str">
        <f>HYPERLINK("http://en.wikipedia.org/wiki/Bryan_County,_Georgia","Bryan")</f>
        <v>Bryan</v>
      </c>
      <c r="B33" t="s">
        <v>4532</v>
      </c>
      <c r="C33" s="34" t="s">
        <v>4533</v>
      </c>
      <c r="D33" s="34" t="s">
        <v>4534</v>
      </c>
      <c r="E33" t="str">
        <f>HYPERLINK("http://www.bryancountyga.org/departments/emergency_services/emergency_management.php","Bryan OEM")</f>
        <v>Bryan OEM</v>
      </c>
    </row>
    <row r="34" spans="1:6">
      <c r="A34" s="67" t="str">
        <f>HYPERLINK("http://en.wikipedia.org/wiki/Bulloch_County,_Georgia","Bulloch")</f>
        <v>Bulloch</v>
      </c>
      <c r="B34" t="s">
        <v>4535</v>
      </c>
      <c r="C34" s="34" t="s">
        <v>4536</v>
      </c>
      <c r="D34" s="34" t="s">
        <v>4537</v>
      </c>
      <c r="E34" t="str">
        <f>HYPERLINK("http://bullochcounty.net/government/departments-f-to-p/public-safety/emergency-management-agency-ema/","Bulloch EMA")</f>
        <v>Bulloch EMA</v>
      </c>
    </row>
    <row r="35" spans="1:6">
      <c r="A35" s="67" t="str">
        <f>HYPERLINK("http://en.wikipedia.org/wiki/Burke_County,_Georgia","Burke")</f>
        <v>Burke</v>
      </c>
      <c r="B35" t="s">
        <v>164</v>
      </c>
      <c r="C35" s="34" t="s">
        <v>4538</v>
      </c>
      <c r="D35" s="34" t="s">
        <v>4539</v>
      </c>
    </row>
    <row r="36" spans="1:6">
      <c r="A36" s="67" t="str">
        <f>HYPERLINK("http://en.wikipedia.org/wiki/Butts_County,_Georgia","Butts")</f>
        <v>Butts</v>
      </c>
      <c r="B36" t="s">
        <v>4540</v>
      </c>
      <c r="C36" s="34" t="s">
        <v>4541</v>
      </c>
      <c r="D36" s="34" t="s">
        <v>4542</v>
      </c>
    </row>
    <row r="37" spans="1:6">
      <c r="A37" s="67" t="str">
        <f>HYPERLINK("http://en.wikipedia.org/wiki/Calhoun_County,_Georgia","Calhoun")</f>
        <v>Calhoun</v>
      </c>
      <c r="B37" t="s">
        <v>164</v>
      </c>
      <c r="C37" s="34" t="s">
        <v>164</v>
      </c>
      <c r="D37" s="34" t="s">
        <v>4543</v>
      </c>
    </row>
    <row r="38" spans="1:6">
      <c r="A38" s="67" t="str">
        <f>HYPERLINK("http://en.wikipedia.org/wiki/Camden_County,_Georgia","Camden")</f>
        <v>Camden</v>
      </c>
      <c r="B38" t="s">
        <v>4544</v>
      </c>
      <c r="C38" s="34" t="s">
        <v>4545</v>
      </c>
      <c r="D38" s="34" t="s">
        <v>4546</v>
      </c>
      <c r="E38" t="str">
        <f>HYPERLINK("http://www.co.camden.ga.us/index.aspx?nid=81","Camden EMA")</f>
        <v>Camden EMA</v>
      </c>
      <c r="F38" s="29"/>
    </row>
    <row r="39" spans="1:6">
      <c r="A39" s="67" t="str">
        <f>HYPERLINK("http://en.wikipedia.org/wiki/Candler_County,_Georgia","Candler - Metter")</f>
        <v>Candler - Metter</v>
      </c>
      <c r="B39" t="s">
        <v>164</v>
      </c>
      <c r="C39" s="34" t="s">
        <v>164</v>
      </c>
      <c r="D39" s="34" t="s">
        <v>4547</v>
      </c>
    </row>
    <row r="40" spans="1:6">
      <c r="A40" s="67" t="str">
        <f>HYPERLINK("http://en.wikipedia.org/wiki/Carroll_County,_Georgia","Carroll")</f>
        <v>Carroll</v>
      </c>
      <c r="B40" t="s">
        <v>4548</v>
      </c>
      <c r="C40" s="34" t="s">
        <v>4549</v>
      </c>
      <c r="D40" s="34" t="s">
        <v>4550</v>
      </c>
      <c r="E40" t="str">
        <f>HYPERLINK("http://www.carrollcountyga.com/pages/ema/","Carroll EMA")</f>
        <v>Carroll EMA</v>
      </c>
    </row>
    <row r="41" spans="1:6">
      <c r="A41" s="67" t="str">
        <f>HYPERLINK("http://en.wikipedia.org/wiki/Catoosa_County,_Georgia","Catoosa")</f>
        <v>Catoosa</v>
      </c>
      <c r="B41" t="s">
        <v>4551</v>
      </c>
      <c r="C41" s="34" t="s">
        <v>4552</v>
      </c>
      <c r="D41" s="34" t="s">
        <v>4553</v>
      </c>
    </row>
    <row r="42" spans="1:6">
      <c r="A42" s="67" t="str">
        <f>HYPERLINK("http://en.wikipedia.org/wiki/Charlton_County,_Georgia","Charlton")</f>
        <v>Charlton</v>
      </c>
      <c r="B42" t="s">
        <v>4554</v>
      </c>
      <c r="C42" s="34"/>
      <c r="D42" s="34" t="s">
        <v>4555</v>
      </c>
      <c r="E42" t="str">
        <f>HYPERLINK("http://www.charltoncountyga.us/index.aspx?nid=200","Charlton EMA")</f>
        <v>Charlton EMA</v>
      </c>
    </row>
    <row r="43" spans="1:6">
      <c r="A43" s="67" t="s">
        <v>4556</v>
      </c>
      <c r="B43" t="s">
        <v>4557</v>
      </c>
      <c r="C43" s="34" t="s">
        <v>4558</v>
      </c>
      <c r="D43" s="34" t="s">
        <v>4559</v>
      </c>
      <c r="E43" t="str">
        <f>HYPERLINK("http://www.chathamemergency.org/","Chatham EMA")</f>
        <v>Chatham EMA</v>
      </c>
      <c r="F43" t="str">
        <f>HYPERLINK("https://www.facebook.com/ChathamEMA","Chatham EMA FB")</f>
        <v>Chatham EMA FB</v>
      </c>
    </row>
    <row r="44" spans="1:6">
      <c r="A44" s="67" t="str">
        <f>HYPERLINK("http://en.wikipedia.org/wiki/Chattahoochee_County,_Georgia","Chattahoochee")</f>
        <v>Chattahoochee</v>
      </c>
      <c r="B44" t="s">
        <v>4560</v>
      </c>
      <c r="C44" s="34"/>
      <c r="D44" s="34" t="s">
        <v>4561</v>
      </c>
      <c r="E44" t="str">
        <f>HYPERLINK("http://www.ugoccc.us/public_safety/index.asp","UGOCC Public Safety")</f>
        <v>UGOCC Public Safety</v>
      </c>
      <c r="F44" t="s">
        <v>4562</v>
      </c>
    </row>
    <row r="45" spans="1:6">
      <c r="A45" s="67" t="str">
        <f>HYPERLINK("http://en.wikipedia.org/wiki/Chattooga_County,_Georgia","Chattooga")</f>
        <v>Chattooga</v>
      </c>
      <c r="B45" t="s">
        <v>4563</v>
      </c>
      <c r="C45" s="34" t="s">
        <v>4564</v>
      </c>
      <c r="D45" s="34" t="s">
        <v>4565</v>
      </c>
    </row>
    <row r="46" spans="1:6">
      <c r="A46" s="67" t="str">
        <f>HYPERLINK("http://en.wikipedia.org/wiki/Cherokee_County,_Georgia","Cherokee")</f>
        <v>Cherokee</v>
      </c>
      <c r="B46" t="s">
        <v>4566</v>
      </c>
      <c r="C46" s="34" t="s">
        <v>4567</v>
      </c>
      <c r="D46" s="34" t="s">
        <v>4568</v>
      </c>
      <c r="E46" t="str">
        <f>HYPERLINK("http://www.cherokeega-ema.org/","Cherokee EMA")</f>
        <v>Cherokee EMA</v>
      </c>
    </row>
    <row r="47" spans="1:6">
      <c r="A47" s="67" t="str">
        <f>HYPERLINK("http://en.wikipedia.org/wiki/Clarke_County,_Georgia","Clarke - Athens")</f>
        <v>Clarke - Athens</v>
      </c>
      <c r="B47" t="s">
        <v>4494</v>
      </c>
      <c r="C47" s="34" t="s">
        <v>4495</v>
      </c>
      <c r="D47" s="34" t="s">
        <v>4496</v>
      </c>
      <c r="E47" t="str">
        <f>HYPERLINK("http://www.athensclarkecounty.com/index.aspx?nid=143","Athens-Clarke EMA")</f>
        <v>Athens-Clarke EMA</v>
      </c>
      <c r="F47" t="s">
        <v>4569</v>
      </c>
    </row>
    <row r="48" spans="1:6">
      <c r="A48" s="67" t="str">
        <f>HYPERLINK("http://en.wikipedia.org/wiki/Clay_County,_GA","Clay")</f>
        <v>Clay</v>
      </c>
      <c r="B48" t="s">
        <v>164</v>
      </c>
      <c r="C48" s="34" t="s">
        <v>164</v>
      </c>
      <c r="D48" s="34" t="s">
        <v>4570</v>
      </c>
      <c r="E48" s="34" t="str">
        <f>HYPERLINK("http://www.claycountyga.org/sheriff.php","Clay County Sheriff and EMA")</f>
        <v>Clay County Sheriff and EMA</v>
      </c>
    </row>
    <row r="49" spans="1:5">
      <c r="A49" s="67" t="str">
        <f>HYPERLINK("http://en.wikipedia.org/wiki/Clayton_County,_Georgia","Clayton")</f>
        <v>Clayton</v>
      </c>
      <c r="B49" t="s">
        <v>4571</v>
      </c>
      <c r="C49" s="34" t="s">
        <v>4572</v>
      </c>
      <c r="D49" s="34" t="s">
        <v>4573</v>
      </c>
      <c r="E49" s="34" t="str">
        <f>HYPERLINK("http://www.claytoncountyga.gov/departments/public-safety.aspx","Clayton Public Safety")</f>
        <v>Clayton Public Safety</v>
      </c>
    </row>
    <row r="50" spans="1:5">
      <c r="A50" s="67" t="str">
        <f>HYPERLINK("http://en.wikipedia.org/wiki/Clinch_County,_Georgia","Clinch")</f>
        <v>Clinch</v>
      </c>
      <c r="B50" t="s">
        <v>164</v>
      </c>
      <c r="C50" s="34" t="s">
        <v>164</v>
      </c>
      <c r="D50" s="34" t="s">
        <v>4574</v>
      </c>
    </row>
    <row r="51" spans="1:5">
      <c r="A51" s="67" t="str">
        <f>HYPERLINK("http://en.wikipedia.org/wiki/Cobb_County,_Georgia","Cobb")</f>
        <v>Cobb</v>
      </c>
      <c r="B51" t="s">
        <v>4575</v>
      </c>
      <c r="C51" s="34" t="s">
        <v>4576</v>
      </c>
      <c r="D51" s="34" t="s">
        <v>4577</v>
      </c>
      <c r="E51" t="str">
        <f>HYPERLINK("http://portal.cobbcountyga.gov/index.php?option=com_content&amp;view=article&amp;id=388&amp;Itemid=258","Cobb EMA")</f>
        <v>Cobb EMA</v>
      </c>
    </row>
    <row r="52" spans="1:5">
      <c r="A52" s="67" t="str">
        <f>HYPERLINK("http://en.wikipedia.org/wiki/Coffee_County,_Georgia","Coffee")</f>
        <v>Coffee</v>
      </c>
      <c r="B52" t="s">
        <v>164</v>
      </c>
      <c r="C52" s="34" t="s">
        <v>164</v>
      </c>
      <c r="D52" s="34" t="str">
        <f>HYPERLINK("http://www.cityofdouglas.com/","City of Douglas")</f>
        <v>City of Douglas</v>
      </c>
    </row>
    <row r="53" spans="1:5">
      <c r="A53" s="67" t="str">
        <f>HYPERLINK("http://en.wikipedia.org/wiki/Colquitt_County,_Georgia","Colquitt")</f>
        <v>Colquitt</v>
      </c>
      <c r="B53" t="s">
        <v>164</v>
      </c>
      <c r="C53" s="34" t="s">
        <v>164</v>
      </c>
      <c r="D53" s="34" t="s">
        <v>4578</v>
      </c>
      <c r="E53" t="str">
        <f>HYPERLINK("http://ccboc.com/Dept/EMA.htm","Colquitt EMA")</f>
        <v>Colquitt EMA</v>
      </c>
    </row>
    <row r="54" spans="1:5">
      <c r="A54" s="67" t="str">
        <f>HYPERLINK("http://en.wikipedia.org/wiki/Columbia_County,_Georgia","Columbia")</f>
        <v>Columbia</v>
      </c>
      <c r="B54" t="s">
        <v>4579</v>
      </c>
      <c r="C54" s="34" t="s">
        <v>4580</v>
      </c>
      <c r="D54" s="34" t="s">
        <v>4581</v>
      </c>
      <c r="E54" t="str">
        <f>HYPERLINK("http://www.columbiacountyga.gov/Index.aspx?page=2428","Columbia EMA")</f>
        <v>Columbia EMA</v>
      </c>
    </row>
    <row r="55" spans="1:5">
      <c r="A55" s="67" t="str">
        <f>HYPERLINK("http://en.wikipedia.org/wiki/Cook_County,_Georgia","Cook")</f>
        <v>Cook</v>
      </c>
      <c r="B55" t="s">
        <v>164</v>
      </c>
      <c r="C55" s="34" t="s">
        <v>164</v>
      </c>
      <c r="D55" s="34" t="str">
        <f>HYPERLINK("http://www.cityofadel.us/index2.html","City of Adel")</f>
        <v>City of Adel</v>
      </c>
    </row>
    <row r="56" spans="1:5">
      <c r="A56" s="67" t="str">
        <f>HYPERLINK("http://en.wikipedia.org/wiki/Coweta_County,_Georgia","Coweta")</f>
        <v>Coweta</v>
      </c>
      <c r="B56" t="s">
        <v>4582</v>
      </c>
      <c r="C56" s="34" t="s">
        <v>4583</v>
      </c>
      <c r="D56" s="34" t="s">
        <v>4584</v>
      </c>
      <c r="E56" t="str">
        <f>HYPERLINK("http://www.coweta.ga.us/Index.aspx?page=150","Coweta EMA")</f>
        <v>Coweta EMA</v>
      </c>
    </row>
    <row r="57" spans="1:5">
      <c r="A57" s="67" t="str">
        <f>HYPERLINK("http://en.wikipedia.org/wiki/Crawford_County,_Georgia","Crawford")</f>
        <v>Crawford</v>
      </c>
      <c r="B57" t="s">
        <v>164</v>
      </c>
      <c r="C57" s="34" t="s">
        <v>164</v>
      </c>
      <c r="D57" s="34" t="s">
        <v>4585</v>
      </c>
      <c r="E57" t="str">
        <f>HYPERLINK("http://www.crawfordcountyga.org/site/index.php?cID=78","Crawford EMA")</f>
        <v>Crawford EMA</v>
      </c>
    </row>
    <row r="58" spans="1:5">
      <c r="A58" s="67" t="str">
        <f>HYPERLINK("http://en.wikipedia.org/wiki/Crisp_County,_Georgia","Crisp")</f>
        <v>Crisp</v>
      </c>
      <c r="B58" t="s">
        <v>164</v>
      </c>
      <c r="C58" s="34" t="s">
        <v>164</v>
      </c>
      <c r="D58" s="34" t="s">
        <v>4586</v>
      </c>
    </row>
    <row r="59" spans="1:5">
      <c r="A59" s="67" t="str">
        <f>HYPERLINK("http://en.wikipedia.org/wiki/Dade_County,_Georgia","Dade")</f>
        <v>Dade</v>
      </c>
      <c r="B59" t="s">
        <v>164</v>
      </c>
      <c r="C59" s="34" t="s">
        <v>4587</v>
      </c>
      <c r="D59" s="34" t="s">
        <v>4588</v>
      </c>
    </row>
    <row r="60" spans="1:5">
      <c r="A60" s="67" t="str">
        <f>HYPERLINK("http://en.wikipedia.org/wiki/Dawson_County,_Georgia","Dawson")</f>
        <v>Dawson</v>
      </c>
      <c r="B60" t="s">
        <v>164</v>
      </c>
      <c r="C60" s="34" t="s">
        <v>4589</v>
      </c>
      <c r="D60" s="34" t="s">
        <v>4590</v>
      </c>
      <c r="E60" t="str">
        <f>HYPERLINK("http://dawsoncounty.org/departments/dawson-county-emergency-services/","Dawson EMA")</f>
        <v>Dawson EMA</v>
      </c>
    </row>
    <row r="61" spans="1:5">
      <c r="A61" s="67" t="str">
        <f>HYPERLINK("http://en.wikipedia.org/wiki/Decatur_County,_Georgia","Decatur")</f>
        <v>Decatur</v>
      </c>
      <c r="B61" t="s">
        <v>164</v>
      </c>
      <c r="C61" s="34" t="s">
        <v>4591</v>
      </c>
      <c r="D61" s="34" t="s">
        <v>4592</v>
      </c>
      <c r="E61" t="str">
        <f>HYPERLINK("http://www.decaturcountyga.org/ema.php","Decatur EMA")</f>
        <v>Decatur EMA</v>
      </c>
    </row>
    <row r="62" spans="1:5">
      <c r="A62" s="67" t="str">
        <f>HYPERLINK("http://en.wikipedia.org/wiki/DeKalb_County,_Georgia","DeKalb")</f>
        <v>DeKalb</v>
      </c>
      <c r="B62" t="s">
        <v>4593</v>
      </c>
      <c r="C62" s="34" t="s">
        <v>164</v>
      </c>
      <c r="D62" s="34" t="s">
        <v>4594</v>
      </c>
      <c r="E62" t="str">
        <f>HYPERLINK("http://web.co.dekalb.ga.us/DK_Police/pol-dema.html","DeKalb EMA")</f>
        <v>DeKalb EMA</v>
      </c>
    </row>
    <row r="63" spans="1:5">
      <c r="A63" s="67" t="str">
        <f>HYPERLINK("http://en.wikipedia.org/wiki/Dodge_County,_Georgia","Dodge")</f>
        <v>Dodge</v>
      </c>
      <c r="B63" t="s">
        <v>164</v>
      </c>
      <c r="C63" s="34" t="s">
        <v>164</v>
      </c>
      <c r="D63" s="34" t="s">
        <v>4595</v>
      </c>
    </row>
    <row r="64" spans="1:5">
      <c r="A64" s="67" t="str">
        <f>HYPERLINK("http://en.wikipedia.org/wiki/Dooly_County,_Georgia","Dooly" )</f>
        <v>Dooly</v>
      </c>
      <c r="B64" t="s">
        <v>164</v>
      </c>
      <c r="C64" s="34" t="s">
        <v>164</v>
      </c>
      <c r="D64" s="34" t="s">
        <v>4596</v>
      </c>
      <c r="E64" t="str">
        <f>HYPERLINK("http://doolycountyga.com/?page_id=66","Dooly EMA")</f>
        <v>Dooly EMA</v>
      </c>
    </row>
    <row r="65" spans="1:6">
      <c r="A65" s="67" t="str">
        <f>HYPERLINK("http://en.wikipedia.org/wiki/Dougherty_County,_Georgia","Dougherty")</f>
        <v>Dougherty</v>
      </c>
      <c r="B65" t="s">
        <v>4597</v>
      </c>
      <c r="C65" s="34" t="s">
        <v>164</v>
      </c>
      <c r="D65" s="34" t="s">
        <v>4598</v>
      </c>
      <c r="F65" t="s">
        <v>4599</v>
      </c>
    </row>
    <row r="66" spans="1:6">
      <c r="A66" s="67" t="str">
        <f>HYPERLINK("http://en.wikipedia.org/wiki/Douglas_County,_Georgia","Douglas")</f>
        <v>Douglas</v>
      </c>
      <c r="B66" t="s">
        <v>164</v>
      </c>
      <c r="C66" s="34" t="s">
        <v>4600</v>
      </c>
      <c r="D66" s="34" t="s">
        <v>4601</v>
      </c>
      <c r="E66" t="str">
        <f>HYPERLINK("http://www.celebratedouglascounty.com/view/departments/view_dept/&amp;cdept=306&amp;department=Emergency%20Management","Douglas EMA")</f>
        <v>Douglas EMA</v>
      </c>
      <c r="F66" s="29"/>
    </row>
    <row r="67" spans="1:6">
      <c r="A67" s="67" t="str">
        <f>HYPERLINK("http://en.wikipedia.org/wiki/Echols_County,_Georgia","Echols")</f>
        <v>Echols</v>
      </c>
      <c r="B67" t="s">
        <v>164</v>
      </c>
      <c r="C67" s="34" t="s">
        <v>4602</v>
      </c>
      <c r="D67" s="34" t="s">
        <v>4603</v>
      </c>
    </row>
    <row r="68" spans="1:6">
      <c r="A68" s="67" t="str">
        <f>HYPERLINK("http://en.wikipedia.org/wiki/Effingham_County,_Georgia","Effingham")</f>
        <v>Effingham</v>
      </c>
      <c r="B68" t="s">
        <v>164</v>
      </c>
      <c r="C68" s="34" t="s">
        <v>4604</v>
      </c>
      <c r="D68" s="34" t="s">
        <v>4605</v>
      </c>
      <c r="E68" t="str">
        <f>HYPERLINK("http://www.effinghamcounty.org/DepartmentsAF/EmergencyManagement.aspx","Effingham EMA")</f>
        <v>Effingham EMA</v>
      </c>
    </row>
    <row r="69" spans="1:6">
      <c r="A69" s="67" t="str">
        <f>HYPERLINK("http://en.wikipedia.org/wiki/Elbert_County,_Georgia","Elbert")</f>
        <v>Elbert</v>
      </c>
      <c r="B69" t="s">
        <v>2976</v>
      </c>
      <c r="C69" s="34" t="s">
        <v>4606</v>
      </c>
      <c r="D69" s="34" t="s">
        <v>4607</v>
      </c>
      <c r="E69" t="str">
        <f>HYPERLINK("http://elbertcoes.org/wordpress/","Elbert EMS")</f>
        <v>Elbert EMS</v>
      </c>
    </row>
    <row r="70" spans="1:6">
      <c r="A70" s="67" t="str">
        <f>HYPERLINK("http://en.wikipedia.org/wiki/Emanuel_County,_Georgia","Emanuel")</f>
        <v>Emanuel</v>
      </c>
      <c r="B70" t="s">
        <v>164</v>
      </c>
      <c r="C70" s="34" t="s">
        <v>164</v>
      </c>
      <c r="D70" s="34" t="s">
        <v>4608</v>
      </c>
    </row>
    <row r="71" spans="1:6">
      <c r="A71" s="67" t="str">
        <f>HYPERLINK("http://en.wikipedia.org/wiki/Evans_County,_Georgia","Evans")</f>
        <v>Evans</v>
      </c>
      <c r="B71" t="s">
        <v>164</v>
      </c>
      <c r="C71" s="34" t="s">
        <v>164</v>
      </c>
      <c r="D71" s="34" t="s">
        <v>4609</v>
      </c>
    </row>
    <row r="72" spans="1:6">
      <c r="A72" s="67" t="str">
        <f>HYPERLINK("http://en.wikipedia.org/wiki/Fannin_County,_Georgia","Fannin")</f>
        <v>Fannin</v>
      </c>
      <c r="B72" t="s">
        <v>164</v>
      </c>
      <c r="C72" s="34" t="s">
        <v>4610</v>
      </c>
      <c r="D72" s="34" t="s">
        <v>4611</v>
      </c>
      <c r="E72" t="str">
        <f>HYPERLINK("http://fannincountyga.org/ema/","Fannin EMA")</f>
        <v>Fannin EMA</v>
      </c>
    </row>
    <row r="73" spans="1:6">
      <c r="A73" s="67" t="str">
        <f>HYPERLINK("http://en.wikipedia.org/wiki/Fayette_County,_Georgia","Fayette")</f>
        <v>Fayette</v>
      </c>
      <c r="B73" t="s">
        <v>164</v>
      </c>
      <c r="C73" s="34" t="s">
        <v>4612</v>
      </c>
      <c r="D73" s="34" t="s">
        <v>4613</v>
      </c>
      <c r="E73" t="str">
        <f>HYPERLINK("http://www.fayettecountyga.gov/fire_ems/services.htm"," Fayette EMA")</f>
        <v xml:space="preserve"> Fayette EMA</v>
      </c>
    </row>
    <row r="74" spans="1:6">
      <c r="A74" s="67" t="str">
        <f>HYPERLINK("http://en.wikipedia.org/wiki/Floyd_County,_Georgia","Floyd")</f>
        <v>Floyd</v>
      </c>
      <c r="B74" t="s">
        <v>4614</v>
      </c>
      <c r="C74" s="34" t="s">
        <v>4615</v>
      </c>
      <c r="D74" s="34" t="s">
        <v>4616</v>
      </c>
      <c r="E74" t="str">
        <f>HYPERLINK("http://www.romefloyd.com/CitizenSafety/EmergencyManagement/tabid/179/Default.aspx","Floyd-Rome EMA")</f>
        <v>Floyd-Rome EMA</v>
      </c>
      <c r="F74" t="s">
        <v>4617</v>
      </c>
    </row>
    <row r="75" spans="1:6">
      <c r="A75" s="67" t="str">
        <f>HYPERLINK("http://en.wikipedia.org/wiki/Forsyth_County,_Georgia","Forsyth")</f>
        <v>Forsyth</v>
      </c>
      <c r="B75" t="s">
        <v>4618</v>
      </c>
      <c r="C75" s="34" t="s">
        <v>4619</v>
      </c>
      <c r="D75" s="34" t="s">
        <v>4620</v>
      </c>
      <c r="E75" t="str">
        <f>HYPERLINK("http://www.forsythco.com/department.asp?DeptID=51","Forsyth EMA")</f>
        <v>Forsyth EMA</v>
      </c>
    </row>
    <row r="76" spans="1:6">
      <c r="A76" s="67" t="str">
        <f>HYPERLINK("http://en.wikipedia.org/wiki/Franklin_County,_Georgia","Franklin")</f>
        <v>Franklin</v>
      </c>
      <c r="B76" t="s">
        <v>164</v>
      </c>
      <c r="C76" s="34" t="s">
        <v>164</v>
      </c>
      <c r="D76" s="34" t="s">
        <v>4621</v>
      </c>
    </row>
    <row r="77" spans="1:6">
      <c r="A77" s="67" t="str">
        <f>HYPERLINK("http://en.wikipedia.org/wiki/Fulton_County,_Georgia","Fulton")</f>
        <v>Fulton</v>
      </c>
      <c r="B77" t="s">
        <v>4622</v>
      </c>
      <c r="C77" s="34" t="s">
        <v>4623</v>
      </c>
      <c r="D77" s="34" t="s">
        <v>4624</v>
      </c>
    </row>
    <row r="78" spans="1:6">
      <c r="A78" s="67" t="str">
        <f>HYPERLINK("http://en.wikipedia.org/wiki/Gilmer_County,_Georgia","Gilmer")</f>
        <v>Gilmer</v>
      </c>
      <c r="B78" t="s">
        <v>164</v>
      </c>
      <c r="C78" s="34" t="s">
        <v>164</v>
      </c>
      <c r="D78" s="34" t="s">
        <v>4625</v>
      </c>
      <c r="F78" s="29"/>
    </row>
    <row r="79" spans="1:6">
      <c r="A79" s="67" t="str">
        <f>HYPERLINK("http://en.wikipedia.org/wiki/Glascock_County,_Georgia","Glascock")</f>
        <v>Glascock</v>
      </c>
      <c r="B79" t="s">
        <v>164</v>
      </c>
      <c r="C79" s="34" t="s">
        <v>164</v>
      </c>
      <c r="D79" s="34" t="s">
        <v>4626</v>
      </c>
    </row>
    <row r="80" spans="1:6">
      <c r="A80" s="67" t="str">
        <f>HYPERLINK("http://en.wikipedia.org/wiki/Glynn_County,_Georgia ","Glynn ")</f>
        <v xml:space="preserve">Glynn </v>
      </c>
      <c r="B80" t="s">
        <v>4627</v>
      </c>
      <c r="C80" s="34" t="s">
        <v>4628</v>
      </c>
      <c r="D80" s="34" t="s">
        <v>4629</v>
      </c>
      <c r="E80" s="29" t="str">
        <f>HYPERLINK("https://glynncounty.org/index.aspx?nid=557 ","Glynn EMA ")</f>
        <v xml:space="preserve">Glynn EMA </v>
      </c>
    </row>
    <row r="81" spans="1:5">
      <c r="A81" s="67" t="str">
        <f>HYPERLINK("http://en.wikipedia.org/wiki/Gordon_County,_Georgia ","Gordon ")</f>
        <v xml:space="preserve">Gordon </v>
      </c>
      <c r="B81" t="s">
        <v>4630</v>
      </c>
      <c r="C81" s="34" t="s">
        <v>4631</v>
      </c>
      <c r="D81" s="34" t="s">
        <v>4632</v>
      </c>
      <c r="E81" t="str">
        <f>HYPERLINK("http://www.gordoncounty.org/departments/emergency-management/", "Gordon EMA")</f>
        <v>Gordon EMA</v>
      </c>
    </row>
    <row r="82" spans="1:5">
      <c r="A82" s="67" t="str">
        <f>HYPERLINK("http://en.wikipedia.org/wiki/Grady_County,_Georgia ","Grady ")</f>
        <v xml:space="preserve">Grady </v>
      </c>
      <c r="C82" s="34"/>
      <c r="D82" s="34" t="s">
        <v>4633</v>
      </c>
      <c r="E82" t="str">
        <f>HYPERLINK("http://www.gradycountyga.gov/departments/ema.htm ","Grady EMA ")</f>
        <v xml:space="preserve">Grady EMA </v>
      </c>
    </row>
    <row r="83" spans="1:5">
      <c r="A83" s="67" t="str">
        <f>HYPERLINK("http://en.wikipedia.org/wiki/Greene_County,_Georgia ","Greene ")</f>
        <v xml:space="preserve">Greene </v>
      </c>
      <c r="B83" t="s">
        <v>4634</v>
      </c>
      <c r="C83" s="34" t="s">
        <v>4635</v>
      </c>
      <c r="D83" s="34" t="s">
        <v>4636</v>
      </c>
      <c r="E83" t="str">
        <f>HYPERLINK("http://www.greenecountyga.gov/CommissionOffices/EmergencyManagementAgency/tabid/281/Default.aspx ","Greene EMA ")</f>
        <v xml:space="preserve">Greene EMA </v>
      </c>
    </row>
    <row r="84" spans="1:5">
      <c r="A84" s="67" t="str">
        <f>HYPERLINK("http://en.wikipedia.org/wiki/Gwinnett_County,_Georgia ","Gwinnett  ")</f>
        <v xml:space="preserve">Gwinnett  </v>
      </c>
      <c r="B84" t="s">
        <v>4637</v>
      </c>
      <c r="C84" s="34" t="s">
        <v>4638</v>
      </c>
      <c r="D84" s="34" t="s">
        <v>4639</v>
      </c>
      <c r="E84" t="str">
        <f>HYPERLINK("http://www.gwinnettcounty.com/portal/gwinnett/Departments/Police ","Gwinnett Police / EMA ")</f>
        <v xml:space="preserve">Gwinnett Police / EMA </v>
      </c>
    </row>
    <row r="85" spans="1:5">
      <c r="A85" s="67" t="str">
        <f>HYPERLINK("http://en.wikipedia.org/wiki/Habersham_County,_Georgia ","Habersham  ")</f>
        <v xml:space="preserve">Habersham  </v>
      </c>
      <c r="B85" t="s">
        <v>4640</v>
      </c>
      <c r="C85" s="34" t="s">
        <v>4641</v>
      </c>
      <c r="D85" s="34" t="s">
        <v>4642</v>
      </c>
      <c r="E85" t="str">
        <f>HYPERLINK(" "," ")</f>
        <v xml:space="preserve"> </v>
      </c>
    </row>
    <row r="86" spans="1:5">
      <c r="A86" s="67" t="str">
        <f>HYPERLINK("http://en.wikipedia.org/wiki/Hall_County,_Georgia ","Hall ")</f>
        <v xml:space="preserve">Hall </v>
      </c>
      <c r="B86" t="s">
        <v>4643</v>
      </c>
      <c r="C86" s="34" t="s">
        <v>4644</v>
      </c>
      <c r="D86" s="34" t="s">
        <v>4645</v>
      </c>
      <c r="E86" t="str">
        <f>HYPERLINK("http://www.hallcounty.org/fireservices/fire_EMA.asp ","Hall EMA ")</f>
        <v xml:space="preserve">Hall EMA </v>
      </c>
    </row>
    <row r="87" spans="1:5">
      <c r="A87" s="67" t="str">
        <f>HYPERLINK("http://en.wikipedia.org/wiki/Hancock_County,_Georgia ","Hancock ")</f>
        <v xml:space="preserve">Hancock </v>
      </c>
      <c r="B87" t="s">
        <v>164</v>
      </c>
      <c r="C87" s="34" t="s">
        <v>164</v>
      </c>
      <c r="D87" s="34" t="s">
        <v>4646</v>
      </c>
      <c r="E87" t="str">
        <f>HYPERLINK("http://www.hancockcountyga.gov/Departments/EmergencyManagementAgency.aspx ","Hancock EMA\ ")</f>
        <v xml:space="preserve">Hancock EMA\ </v>
      </c>
    </row>
    <row r="88" spans="1:5">
      <c r="A88" s="67" t="str">
        <f>HYPERLINK("http://en.wikipedia.org/wiki/Haralson_County,_Georgia","Haralson ")</f>
        <v xml:space="preserve">Haralson </v>
      </c>
      <c r="B88" t="s">
        <v>164</v>
      </c>
      <c r="C88" s="34" t="s">
        <v>4647</v>
      </c>
      <c r="D88" s="34" t="s">
        <v>4648</v>
      </c>
      <c r="E88" t="str">
        <f>HYPERLINK("http://www.gema.ga.gov/gemaohsv10.nsf/9dc05a090bd6bb2885257727003d6c7e/41aa193fdf9440d48525772700447bd3?OpenDocument","Harelson County EMA")</f>
        <v>Harelson County EMA</v>
      </c>
    </row>
    <row r="89" spans="1:5">
      <c r="A89" s="67" t="str">
        <f>HYPERLINK("http://en.wikipedia.org/wiki/Harris_County,_Georgia ","Harris  ")</f>
        <v xml:space="preserve">Harris  </v>
      </c>
      <c r="B89" t="s">
        <v>164</v>
      </c>
      <c r="C89" s="34" t="s">
        <v>164</v>
      </c>
      <c r="D89" s="34" t="s">
        <v>4649</v>
      </c>
      <c r="E89" t="str">
        <f>HYPERLINK("http://harriscountyga.gov/departments/911-ema/","Harris EMA / 911 ")</f>
        <v xml:space="preserve">Harris EMA / 911 </v>
      </c>
    </row>
    <row r="90" spans="1:5">
      <c r="A90" s="67" t="str">
        <f>HYPERLINK("http://en.wikipedia.org/wiki/Hart_County,_Georgia ","Hart ")</f>
        <v xml:space="preserve">Hart </v>
      </c>
      <c r="B90" t="s">
        <v>164</v>
      </c>
      <c r="C90" s="34" t="s">
        <v>164</v>
      </c>
      <c r="D90" s="34" t="s">
        <v>4650</v>
      </c>
      <c r="E90" t="str">
        <f>HYPERLINK("http://www.hartcountyga.org/ ","Hart EMA ")</f>
        <v xml:space="preserve">Hart EMA </v>
      </c>
    </row>
    <row r="91" spans="1:5">
      <c r="A91" s="67" t="str">
        <f>HYPERLINK("http://en.wikipedia.org/wiki/Heard_County,_Georgia"," Heard ")</f>
        <v xml:space="preserve"> Heard </v>
      </c>
      <c r="B91" t="s">
        <v>164</v>
      </c>
      <c r="C91" s="34" t="s">
        <v>4651</v>
      </c>
      <c r="D91" s="34" t="s">
        <v>4652</v>
      </c>
      <c r="E91" t="str">
        <f>HYPERLINK("http://www.heardfire.com/ ","Heard Fire / EMA ")</f>
        <v xml:space="preserve">Heard Fire / EMA </v>
      </c>
    </row>
    <row r="92" spans="1:5">
      <c r="A92" s="67" t="str">
        <f>HYPERLINK("http://en.wikipedia.org/wiki/Henry_County,_Georgia ","Henry  ")</f>
        <v xml:space="preserve">Henry  </v>
      </c>
      <c r="B92" t="s">
        <v>4653</v>
      </c>
      <c r="C92" s="34" t="s">
        <v>164</v>
      </c>
      <c r="D92" s="34" t="s">
        <v>4654</v>
      </c>
      <c r="E92" t="str">
        <f>HYPERLINK("http://www.co.henry.ga.us/911/EMA.shtml ","Henry EMA ")</f>
        <v xml:space="preserve">Henry EMA </v>
      </c>
    </row>
    <row r="93" spans="1:5">
      <c r="A93" s="67" t="str">
        <f>HYPERLINK("http://en.wikipedia.org/wiki/Houston_County,_Georgia ","Houston  ")</f>
        <v xml:space="preserve">Houston  </v>
      </c>
      <c r="B93" t="s">
        <v>4655</v>
      </c>
      <c r="C93" s="34" t="s">
        <v>164</v>
      </c>
      <c r="D93" s="34" t="s">
        <v>4656</v>
      </c>
      <c r="E93" t="str">
        <f>HYPERLINK("http://www.houstoncountyga.com/government/HEMA/ ","Houston EMA ")</f>
        <v xml:space="preserve">Houston EMA </v>
      </c>
    </row>
    <row r="94" spans="1:5">
      <c r="A94" s="67" t="str">
        <f>HYPERLINK("http://en.wikipedia.org/wiki/Irwin_County,_Georgia","Irwin")</f>
        <v>Irwin</v>
      </c>
      <c r="B94" t="s">
        <v>164</v>
      </c>
      <c r="C94" s="34" t="s">
        <v>164</v>
      </c>
      <c r="D94" s="34" t="s">
        <v>4657</v>
      </c>
      <c r="E94" t="s">
        <v>164</v>
      </c>
    </row>
    <row r="95" spans="1:5">
      <c r="A95" s="67" t="str">
        <f>HYPERLINK("http://en.wikipedia.org/wiki/Jackson_County,_Georgia ","Jackson ")</f>
        <v xml:space="preserve">Jackson </v>
      </c>
      <c r="B95" t="s">
        <v>164</v>
      </c>
      <c r="C95" s="34" t="s">
        <v>4658</v>
      </c>
      <c r="D95" s="34" t="s">
        <v>4659</v>
      </c>
      <c r="E95" t="str">
        <f>HYPERLINK("http://www.jacksonemergency.com/ ","Jackson EMA ")</f>
        <v xml:space="preserve">Jackson EMA </v>
      </c>
    </row>
    <row r="96" spans="1:5">
      <c r="A96" s="67" t="str">
        <f>HYPERLINK("http://en.wikipedia.org/wiki/Jasper_County,_Georgia ","Jasper  ")</f>
        <v xml:space="preserve">Jasper  </v>
      </c>
      <c r="B96" t="s">
        <v>4660</v>
      </c>
      <c r="C96" s="34" t="s">
        <v>164</v>
      </c>
      <c r="D96" s="34" t="s">
        <v>4661</v>
      </c>
    </row>
    <row r="97" spans="1:6">
      <c r="A97" s="67" t="str">
        <f>HYPERLINK("http://en.wikipedia.org/wiki/Jeff_Davis_County,_Georgia ","Jeff Davis ")</f>
        <v xml:space="preserve">Jeff Davis </v>
      </c>
      <c r="B97" t="s">
        <v>164</v>
      </c>
      <c r="C97" s="34" t="s">
        <v>164</v>
      </c>
      <c r="D97" s="34" t="s">
        <v>4662</v>
      </c>
    </row>
    <row r="98" spans="1:6">
      <c r="A98" s="67" t="str">
        <f>HYPERLINK("http://en.wikipedia.org/wiki/Jefferson_County,_Georgia "," Jefferson")</f>
        <v xml:space="preserve"> Jefferson</v>
      </c>
      <c r="B98" t="s">
        <v>164</v>
      </c>
      <c r="C98" s="34" t="s">
        <v>164</v>
      </c>
      <c r="D98" s="34" t="s">
        <v>4663</v>
      </c>
    </row>
    <row r="99" spans="1:6">
      <c r="A99" s="67" t="str">
        <f>HYPERLINK("http://en.wikipedia.org/wiki/Jenkins_County,_Georgia ","Jenkins  ")</f>
        <v xml:space="preserve">Jenkins  </v>
      </c>
      <c r="B99" t="s">
        <v>164</v>
      </c>
      <c r="C99" s="34" t="s">
        <v>164</v>
      </c>
      <c r="D99" s="34" t="s">
        <v>4664</v>
      </c>
    </row>
    <row r="100" spans="1:6">
      <c r="A100" s="67" t="str">
        <f>HYPERLINK("http://en.wikipedia.org/wiki/Johnson_County,_Georgia ","Johnson  ")</f>
        <v xml:space="preserve">Johnson  </v>
      </c>
      <c r="B100" t="s">
        <v>164</v>
      </c>
      <c r="C100" s="34" t="s">
        <v>4665</v>
      </c>
      <c r="D100" s="34" t="s">
        <v>4666</v>
      </c>
      <c r="E100" t="str">
        <f>HYPERLINK("http://johnsonco.org/ems/","Johnson EMS")</f>
        <v>Johnson EMS</v>
      </c>
    </row>
    <row r="101" spans="1:6">
      <c r="A101" s="67" t="str">
        <f>HYPERLINK("http://en.wikipedia.org/wiki/Jones_County,_Georgia ","Jones")</f>
        <v>Jones</v>
      </c>
      <c r="B101" t="s">
        <v>164</v>
      </c>
      <c r="C101" s="34" t="s">
        <v>164</v>
      </c>
      <c r="D101" s="34" t="s">
        <v>4667</v>
      </c>
      <c r="E101" t="str">
        <f>HYPERLINK("http://www.jonescountyga.org/depts_emergency_services.php","Jones EMS")</f>
        <v>Jones EMS</v>
      </c>
    </row>
    <row r="102" spans="1:6">
      <c r="A102" s="67" t="str">
        <f>HYPERLINK("http://en.wikipedia.org/wiki/Lamar_County,_Georgia ","Lamar ")</f>
        <v xml:space="preserve">Lamar </v>
      </c>
      <c r="B102" t="s">
        <v>164</v>
      </c>
      <c r="C102" s="34" t="s">
        <v>164</v>
      </c>
      <c r="D102" s="34" t="s">
        <v>4668</v>
      </c>
      <c r="E102" t="str">
        <f>HYPERLINK("http://lamarcountyga.com/ema.html","Lamar EMA")</f>
        <v>Lamar EMA</v>
      </c>
    </row>
    <row r="103" spans="1:6">
      <c r="A103" s="67" t="str">
        <f>HYPERLINK("http://en.wikipedia.org/wiki/Lanier_County,_Georgia ","Lanier ")</f>
        <v xml:space="preserve">Lanier </v>
      </c>
      <c r="B103" t="s">
        <v>164</v>
      </c>
      <c r="C103" s="34" t="s">
        <v>164</v>
      </c>
      <c r="D103" s="34" t="s">
        <v>4669</v>
      </c>
    </row>
    <row r="104" spans="1:6">
      <c r="A104" s="67" t="str">
        <f>HYPERLINK("http://en.wikipedia.org/wiki/Laurens_County,_Georgia ","Laurens ")</f>
        <v xml:space="preserve">Laurens </v>
      </c>
      <c r="B104" t="s">
        <v>164</v>
      </c>
      <c r="C104" s="34" t="s">
        <v>164</v>
      </c>
      <c r="D104" s="34" t="s">
        <v>4670</v>
      </c>
      <c r="E104" t="str">
        <f>HYPERLINK("http://www.laurenscountyems.com/","Laurens EMS")</f>
        <v>Laurens EMS</v>
      </c>
    </row>
    <row r="105" spans="1:6">
      <c r="A105" s="67" t="str">
        <f>HYPERLINK("http://en.wikipedia.org/wiki/Lee_County,_Georgia ","Lee ")</f>
        <v xml:space="preserve">Lee </v>
      </c>
      <c r="B105" t="s">
        <v>4671</v>
      </c>
      <c r="C105" s="34" t="s">
        <v>4672</v>
      </c>
      <c r="D105" s="34" t="s">
        <v>4673</v>
      </c>
      <c r="E105" t="str">
        <f>HYPERLINK("http://www.lee.ga.us/government/departments/ems.html","Lee EMS")</f>
        <v>Lee EMS</v>
      </c>
    </row>
    <row r="106" spans="1:6">
      <c r="A106" s="67" t="str">
        <f>HYPERLINK("http://en.wikipedia.org/wiki/Liberty_County,_Georgia","Liberty")</f>
        <v>Liberty</v>
      </c>
      <c r="B106" t="s">
        <v>4674</v>
      </c>
      <c r="C106" s="34" t="s">
        <v>4675</v>
      </c>
      <c r="D106" s="34" t="s">
        <v>4676</v>
      </c>
      <c r="E106" t="str">
        <f>HYPERLINK("http://www.libertycountyga.com/index.php?option=com_content&amp;task=view&amp;id=43&amp;Itemid=117","Liberty County EMA")</f>
        <v>Liberty County EMA</v>
      </c>
    </row>
    <row r="107" spans="1:6">
      <c r="A107" s="67" t="str">
        <f>HYPERLINK("http://en.wikipedia.org/wiki/Lincoln_County,_Georgia","Lincoln")</f>
        <v>Lincoln</v>
      </c>
      <c r="B107" t="s">
        <v>4677</v>
      </c>
      <c r="C107" s="34" t="s">
        <v>164</v>
      </c>
      <c r="D107" s="34" t="s">
        <v>4678</v>
      </c>
      <c r="E107" t="str">
        <f>HYPERLINK("http://www.lcgagov.org/emergency-services---fire---rescue.html","Lincoln EMS")</f>
        <v>Lincoln EMS</v>
      </c>
    </row>
    <row r="108" spans="1:6">
      <c r="A108" s="67" t="str">
        <f>HYPERLINK("http://en.wikipedia.org/wiki/Long_County,_Georgia","Long")</f>
        <v>Long</v>
      </c>
      <c r="B108" t="s">
        <v>164</v>
      </c>
      <c r="C108" s="34" t="s">
        <v>164</v>
      </c>
      <c r="D108" s="34" t="s">
        <v>4679</v>
      </c>
    </row>
    <row r="109" spans="1:6">
      <c r="A109" s="67" t="str">
        <f>HYPERLINK("http://en.wikipedia.org/wiki/Lowndes_County,_Georgia ", "Lowndes")</f>
        <v>Lowndes</v>
      </c>
      <c r="B109" t="s">
        <v>4680</v>
      </c>
      <c r="C109" s="34" t="s">
        <v>164</v>
      </c>
      <c r="D109" s="34" t="s">
        <v>4681</v>
      </c>
      <c r="E109" t="str">
        <f>HYPERLINK("http://www.lowndescounty.com/content.asp?pid=23&amp;id=149","Lowndes EMA")</f>
        <v>Lowndes EMA</v>
      </c>
      <c r="F109" t="s">
        <v>4682</v>
      </c>
    </row>
    <row r="110" spans="1:6">
      <c r="A110" s="67" t="str">
        <f>HYPERLINK("http://en.wikipedia.org/wiki/Lumpkin_County,_Georgia","Lumpkin")</f>
        <v>Lumpkin</v>
      </c>
      <c r="B110" t="s">
        <v>4683</v>
      </c>
      <c r="C110" s="34"/>
      <c r="D110" s="34" t="s">
        <v>4684</v>
      </c>
      <c r="E110" t="str">
        <f>HYPERLINK("http://www.lumpkincounty.gov/dept/FireEMS","Lumpkin EMA")</f>
        <v>Lumpkin EMA</v>
      </c>
      <c r="F110" t="s">
        <v>4685</v>
      </c>
    </row>
    <row r="111" spans="1:6">
      <c r="A111" s="67" t="str">
        <f>HYPERLINK("http://en.wikipedia.org/wiki/Macon_County,_Georgia","Macon")</f>
        <v>Macon</v>
      </c>
      <c r="B111" t="s">
        <v>164</v>
      </c>
      <c r="C111" s="34" t="str">
        <f>HYPERLINK("https://www.facebook.com/MaconCountygaEms","Macon EMS - Facebook")</f>
        <v>Macon EMS - Facebook</v>
      </c>
      <c r="D111" s="34" t="s">
        <v>4686</v>
      </c>
      <c r="E111" t="str">
        <f>HYPERLINK("http://www.maconcountyga.gov/county-departments/departments-a-to-m/ema-director","Macon EMA")</f>
        <v>Macon EMA</v>
      </c>
    </row>
    <row r="112" spans="1:6">
      <c r="A112" s="67" t="str">
        <f>HYPERLINK("http://en.wikipedia.org/wiki/Madison_County,_Georgia","Madison")</f>
        <v>Madison</v>
      </c>
      <c r="B112" t="s">
        <v>164</v>
      </c>
      <c r="C112" s="34" t="s">
        <v>164</v>
      </c>
      <c r="D112" s="34" t="s">
        <v>4687</v>
      </c>
      <c r="E112" t="str">
        <f>HYPERLINK("http://www.madisoncountyga.us/Dir/Departments/Emergency-Medical-Services/11/","Madison EMS")</f>
        <v>Madison EMS</v>
      </c>
    </row>
    <row r="113" spans="1:6">
      <c r="A113" s="67" t="str">
        <f>HYPERLINK("http://en.wikipedia.org/wiki/Marion_County,_Georgia","Marion")</f>
        <v>Marion</v>
      </c>
      <c r="B113" t="s">
        <v>164</v>
      </c>
      <c r="C113" s="34" t="s">
        <v>164</v>
      </c>
      <c r="D113" s="34" t="s">
        <v>4688</v>
      </c>
    </row>
    <row r="114" spans="1:6">
      <c r="A114" t="str">
        <f>HYPERLINK("http://en.wikipedia.org/wiki/McDuffie_County,_Georgia","McDuffe")</f>
        <v>McDuffe</v>
      </c>
      <c r="B114" t="s">
        <v>164</v>
      </c>
      <c r="C114" s="34" t="s">
        <v>4689</v>
      </c>
      <c r="D114" s="34" t="s">
        <v>4690</v>
      </c>
      <c r="F114" s="67" t="s">
        <v>4691</v>
      </c>
    </row>
    <row r="115" spans="1:6">
      <c r="A115" s="67" t="str">
        <f>HYPERLINK("http://en.wikipedia.org/wiki/McIntosh_County,_Georgia","McIntosh")</f>
        <v>McIntosh</v>
      </c>
      <c r="B115" t="s">
        <v>164</v>
      </c>
      <c r="C115" s="34" t="s">
        <v>164</v>
      </c>
      <c r="D115" s="34" t="s">
        <v>4692</v>
      </c>
    </row>
    <row r="116" spans="1:6">
      <c r="A116" s="67" t="str">
        <f>HYPERLINK("http://en.wikipedia.org/wiki/Meriwether_County,_Georgia","Meriwether")</f>
        <v>Meriwether</v>
      </c>
      <c r="B116" t="s">
        <v>164</v>
      </c>
      <c r="C116" s="34" t="s">
        <v>164</v>
      </c>
      <c r="D116" s="34" t="s">
        <v>4693</v>
      </c>
      <c r="E116" t="str">
        <f>HYPERLINK("http://meriwethercountyga.us/public-safety/911-2/","Meriwether E-911")</f>
        <v>Meriwether E-911</v>
      </c>
    </row>
    <row r="117" spans="1:6">
      <c r="A117" s="67" t="str">
        <f>HYPERLINK("http://en.wikipedia.org/wiki/Miller_County,_Georgia","Miller")</f>
        <v>Miller</v>
      </c>
      <c r="B117" t="s">
        <v>164</v>
      </c>
      <c r="C117" s="34" t="s">
        <v>164</v>
      </c>
      <c r="D117" s="34" t="s">
        <v>4694</v>
      </c>
      <c r="E117" t="str">
        <f>HYPERLINK("http://www.millercountyga.org/ema.htm","Miller EMA")</f>
        <v>Miller EMA</v>
      </c>
      <c r="F117" s="29"/>
    </row>
    <row r="118" spans="1:6">
      <c r="A118" s="67" t="str">
        <f>HYPERLINK("http://en.wikipedia.org/wiki/Mitchell_County,_Georgia","Mitchell")</f>
        <v>Mitchell</v>
      </c>
      <c r="B118" t="s">
        <v>164</v>
      </c>
      <c r="C118" s="34" t="s">
        <v>164</v>
      </c>
      <c r="D118" s="34" t="s">
        <v>4695</v>
      </c>
      <c r="E118" t="str">
        <f>HYPERLINK("http://mitchellcountyga.net/emergencymanagementagency.html","Mitchell EMA")</f>
        <v>Mitchell EMA</v>
      </c>
      <c r="F118" s="29"/>
    </row>
    <row r="119" spans="1:6">
      <c r="A119" s="67" t="str">
        <f>HYPERLINK("http://en.wikipedia.org/wiki/Monroe_County,_Georgia","Monroe")</f>
        <v>Monroe</v>
      </c>
      <c r="B119" t="s">
        <v>4696</v>
      </c>
      <c r="C119" s="34" t="s">
        <v>164</v>
      </c>
      <c r="D119" s="34" t="s">
        <v>4697</v>
      </c>
      <c r="E119" t="str">
        <f>HYPERLINK("http://monroecountygeorgia.com/pages.php?s=96&amp;p=25","Monroe EMA")</f>
        <v>Monroe EMA</v>
      </c>
    </row>
    <row r="120" spans="1:6">
      <c r="A120" s="67" t="str">
        <f>HYPERLINK("http://en.wikipedia.org/wiki/Montgomery_County,_Georgia","Montgomery")</f>
        <v>Montgomery</v>
      </c>
      <c r="B120" t="s">
        <v>164</v>
      </c>
      <c r="C120" s="34" t="s">
        <v>164</v>
      </c>
      <c r="D120" s="34" t="s">
        <v>4698</v>
      </c>
      <c r="E120" t="str">
        <f>HYPERLINK("http://www.montgomerycountyga.gov/index.php?option=com_content&amp;task=view&amp;id=307&amp;Itemid=338","Montgomery EMA")</f>
        <v>Montgomery EMA</v>
      </c>
    </row>
    <row r="121" spans="1:6">
      <c r="A121" s="67" t="str">
        <f>HYPERLINK("http://en.wikipedia.org/wiki/Morgan_County,_Georgia","Morgan")</f>
        <v>Morgan</v>
      </c>
      <c r="B121" t="s">
        <v>4699</v>
      </c>
      <c r="C121" s="34" t="s">
        <v>4700</v>
      </c>
      <c r="D121" s="34" t="s">
        <v>4701</v>
      </c>
      <c r="E121" t="str">
        <f>HYPERLINK("http://www.morganga.org/index.aspx?nid=115","Morgan EMA")</f>
        <v>Morgan EMA</v>
      </c>
    </row>
    <row r="122" spans="1:6">
      <c r="A122" s="67" t="str">
        <f>HYPERLINK("http://en.wikipedia.org/wiki/Murray_County,_Georgia","Murray")</f>
        <v>Murray</v>
      </c>
      <c r="B122" t="s">
        <v>4702</v>
      </c>
      <c r="C122" s="34" t="s">
        <v>4703</v>
      </c>
      <c r="D122" s="34" t="s">
        <v>4704</v>
      </c>
      <c r="E122" t="str">
        <f>HYPERLINK("http://www.murraycountyga.org/index.aspx?nid=282","Murray EMA")</f>
        <v>Murray EMA</v>
      </c>
    </row>
    <row r="123" spans="1:6">
      <c r="A123" s="67" t="str">
        <f>HYPERLINK("http://en.wikipedia.org/wiki/Muscogee_County,_Georgia","Muscogee")</f>
        <v>Muscogee</v>
      </c>
      <c r="B123" t="s">
        <v>4498</v>
      </c>
      <c r="C123" s="34" t="s">
        <v>164</v>
      </c>
      <c r="D123" s="34" t="s">
        <v>4705</v>
      </c>
      <c r="E123" t="str">
        <f>HYPERLINK("http://www.columbusga.org/homeland/","Columbus Homeland Security")</f>
        <v>Columbus Homeland Security</v>
      </c>
      <c r="F123" t="s">
        <v>4706</v>
      </c>
    </row>
    <row r="124" spans="1:6">
      <c r="A124" s="67" t="str">
        <f>HYPERLINK("http://en.wikipedia.org/wiki/Newton_County,_Georgia","Newton")</f>
        <v>Newton</v>
      </c>
      <c r="B124" t="s">
        <v>4707</v>
      </c>
      <c r="C124" s="34" t="s">
        <v>164</v>
      </c>
      <c r="D124" s="34" t="s">
        <v>4708</v>
      </c>
    </row>
    <row r="125" spans="1:6">
      <c r="A125" s="67" t="str">
        <f>HYPERLINK("http://en.wikipedia.org/wiki/Oconee_County,_Georgia","Oconee")</f>
        <v>Oconee</v>
      </c>
      <c r="B125" t="s">
        <v>4709</v>
      </c>
      <c r="C125" s="34" t="s">
        <v>4710</v>
      </c>
      <c r="D125" s="34" t="s">
        <v>4711</v>
      </c>
      <c r="E125" t="str">
        <f>HYPERLINK("http://www.oconeecounty.com/index.php/departments/emergency-management","Oconee EMA")</f>
        <v>Oconee EMA</v>
      </c>
    </row>
    <row r="126" spans="1:6">
      <c r="A126" s="67" t="str">
        <f>HYPERLINK("http://en.wikipedia.org/wiki/Oglethorpe_County,_Georgia","Oglethorpe")</f>
        <v>Oglethorpe</v>
      </c>
      <c r="B126" t="s">
        <v>164</v>
      </c>
      <c r="C126" s="34" t="s">
        <v>4712</v>
      </c>
      <c r="D126" s="34" t="s">
        <v>4713</v>
      </c>
      <c r="E126" t="str">
        <f>HYPERLINK("http://www.onlineoglethorpe.com/EMS-911-v-26.html","Oglethorpe EMA")</f>
        <v>Oglethorpe EMA</v>
      </c>
    </row>
    <row r="127" spans="1:6">
      <c r="A127" s="67" t="str">
        <f>HYPERLINK("http://en.wikipedia.org/wiki/Paulding_County,_Georgia","Paulding")</f>
        <v>Paulding</v>
      </c>
      <c r="B127" t="s">
        <v>4714</v>
      </c>
      <c r="C127" s="34" t="s">
        <v>4715</v>
      </c>
      <c r="D127" s="34" t="s">
        <v>4716</v>
      </c>
      <c r="E127" t="str">
        <f>HYPERLINK("http://www.paulding.gov/index.aspx?nid=65","Paulding EMA")</f>
        <v>Paulding EMA</v>
      </c>
    </row>
    <row r="128" spans="1:6">
      <c r="A128" s="67" t="str">
        <f>HYPERLINK("http://en.wikipedia.org/wiki/Peach_County,_Georgia","Peach")</f>
        <v>Peach</v>
      </c>
      <c r="B128" t="s">
        <v>164</v>
      </c>
      <c r="C128" s="34" t="s">
        <v>4717</v>
      </c>
      <c r="D128" s="34" t="s">
        <v>4718</v>
      </c>
      <c r="E128" t="str">
        <f>HYPERLINK("http://www.peachcounty.net/homeland.cfm","Peach Homeland")</f>
        <v>Peach Homeland</v>
      </c>
    </row>
    <row r="129" spans="1:6">
      <c r="A129" s="67" t="str">
        <f>HYPERLINK("http://en.wikipedia.org/wiki/Pickens_County,_Georgia","Pickens")</f>
        <v>Pickens</v>
      </c>
      <c r="B129" t="s">
        <v>4719</v>
      </c>
      <c r="C129" s="34" t="s">
        <v>164</v>
      </c>
      <c r="D129" s="34" t="s">
        <v>4720</v>
      </c>
      <c r="E129" t="str">
        <f>HYPERLINK("http://pickenscountyga.gov/government/?page_id=252","Pickens EMS")</f>
        <v>Pickens EMS</v>
      </c>
    </row>
    <row r="130" spans="1:6">
      <c r="A130" s="67" t="str">
        <f>HYPERLINK("http://en.wikipedia.org/wiki/Pierce_County,_Georgia","Pierce")</f>
        <v>Pierce</v>
      </c>
      <c r="B130" t="s">
        <v>4721</v>
      </c>
      <c r="C130" s="34" t="s">
        <v>4722</v>
      </c>
      <c r="D130" s="34" t="s">
        <v>4723</v>
      </c>
      <c r="E130" t="str">
        <f>HYPERLINK("http://www.piercecountyga.org/publicsafety/emergencymanagement.html","Pierce EMA")</f>
        <v>Pierce EMA</v>
      </c>
    </row>
    <row r="131" spans="1:6">
      <c r="A131" s="67" t="str">
        <f>HYPERLINK("http://en.wikipedia.org/wiki/Pike_County,_Georgia","Pike")</f>
        <v>Pike</v>
      </c>
      <c r="B131" t="s">
        <v>164</v>
      </c>
      <c r="C131" s="34" t="s">
        <v>164</v>
      </c>
      <c r="D131" s="34" t="s">
        <v>4724</v>
      </c>
      <c r="E131" t="str">
        <f>HYPERLINK("http://pikecounty.ga.gov/ema/","Pike EMA")</f>
        <v>Pike EMA</v>
      </c>
    </row>
    <row r="132" spans="1:6">
      <c r="A132" s="67" t="str">
        <f>HYPERLINK("http://en.wikipedia.org/wiki/Polk_County,_Georgia","Polk")</f>
        <v>Polk</v>
      </c>
      <c r="B132" t="s">
        <v>164</v>
      </c>
      <c r="C132" s="34" t="s">
        <v>164</v>
      </c>
      <c r="D132" s="34" t="s">
        <v>4725</v>
      </c>
      <c r="E132" t="str">
        <f>HYPERLINK("http://www.polkgeorgia.org/public-safety/emergency-management.aspx","Polk EMA")</f>
        <v>Polk EMA</v>
      </c>
    </row>
    <row r="133" spans="1:6">
      <c r="A133" s="67" t="str">
        <f>HYPERLINK("http://en.wikipedia.org/wiki/Pulaski_County,_Georgia","Pulaski")</f>
        <v>Pulaski</v>
      </c>
      <c r="B133" t="s">
        <v>164</v>
      </c>
      <c r="C133" s="34" t="s">
        <v>164</v>
      </c>
      <c r="D133" s="34" t="s">
        <v>4726</v>
      </c>
    </row>
    <row r="134" spans="1:6">
      <c r="A134" s="67" t="str">
        <f>HYPERLINK("http://en.wikipedia.org/wiki/Putnam_County,_Georgia","Putnam")</f>
        <v>Putnam</v>
      </c>
      <c r="B134" t="s">
        <v>164</v>
      </c>
      <c r="C134" s="34" t="s">
        <v>164</v>
      </c>
      <c r="D134" s="34" t="s">
        <v>4727</v>
      </c>
      <c r="E134" t="str">
        <f>HYPERLINK("http://www.putnamcountyga.us/govtDetail.php?Public-Safety-G.-Emergency-Management-57","Putnam EMA")</f>
        <v>Putnam EMA</v>
      </c>
    </row>
    <row r="135" spans="1:6">
      <c r="A135" s="67" t="str">
        <f>HYPERLINK("http://en.wikipedia.org/wiki/Quitman_County,_Georgia","Quitman")</f>
        <v>Quitman</v>
      </c>
      <c r="B135" t="s">
        <v>164</v>
      </c>
      <c r="C135" s="34" t="s">
        <v>164</v>
      </c>
      <c r="D135" s="34" t="s">
        <v>4728</v>
      </c>
      <c r="F135" t="s">
        <v>4729</v>
      </c>
    </row>
    <row r="136" spans="1:6">
      <c r="A136" s="67" t="str">
        <f>HYPERLINK("http://en.wikipedia.org/wiki/Rabun_County,_Georgia","Rabun")</f>
        <v>Rabun</v>
      </c>
      <c r="B136" t="s">
        <v>164</v>
      </c>
      <c r="C136" s="34" t="s">
        <v>4730</v>
      </c>
      <c r="D136" s="34" t="s">
        <v>4731</v>
      </c>
      <c r="E136" t="str">
        <f>HYPERLINK("http://rabuncounty.ga.gov/ema/index.php","Rabun EMA")</f>
        <v>Rabun EMA</v>
      </c>
      <c r="F136" s="6"/>
    </row>
    <row r="137" spans="1:6">
      <c r="A137" s="67" t="str">
        <f>HYPERLINK("http://en.wikipedia.org/wiki/Randolph_County,_Georgia","Randolph")</f>
        <v>Randolph</v>
      </c>
      <c r="B137" t="s">
        <v>164</v>
      </c>
      <c r="C137" s="34" t="s">
        <v>164</v>
      </c>
      <c r="D137" s="34" t="s">
        <v>4732</v>
      </c>
    </row>
    <row r="138" spans="1:6">
      <c r="A138" s="67" t="str">
        <f>HYPERLINK("http://en.wikipedia.org/wiki/Richmond_County,_Georgia","Richmond")</f>
        <v>Richmond</v>
      </c>
      <c r="B138" t="s">
        <v>4733</v>
      </c>
      <c r="C138" s="34" t="s">
        <v>4734</v>
      </c>
      <c r="D138" s="34" t="s">
        <v>4735</v>
      </c>
      <c r="E138" t="str">
        <f>HYPERLINK("http://www.augustaga.gov/index.aspx?nid=462","Augusta EMA")</f>
        <v>Augusta EMA</v>
      </c>
      <c r="F138" t="s">
        <v>4736</v>
      </c>
    </row>
    <row r="139" spans="1:6">
      <c r="A139" s="67" t="str">
        <f>HYPERLINK("http://en.wikipedia.org/wiki/Rockdale_County,_Georgia","Rockdale")</f>
        <v>Rockdale</v>
      </c>
      <c r="B139" t="s">
        <v>164</v>
      </c>
      <c r="C139" s="34" t="s">
        <v>164</v>
      </c>
      <c r="D139" s="34" t="s">
        <v>4737</v>
      </c>
      <c r="E139" t="str">
        <f>HYPERLINK("http://www.rockdalecounty.org/main.cfm?id=3824","Rockdale EMS")</f>
        <v>Rockdale EMS</v>
      </c>
    </row>
    <row r="140" spans="1:6">
      <c r="A140" s="67" t="str">
        <f>HYPERLINK("V","Schley")</f>
        <v>Schley</v>
      </c>
      <c r="B140" t="s">
        <v>164</v>
      </c>
      <c r="C140" s="34" t="s">
        <v>4738</v>
      </c>
      <c r="D140" s="34" t="s">
        <v>4739</v>
      </c>
      <c r="F140" s="67" t="s">
        <v>4740</v>
      </c>
    </row>
    <row r="141" spans="1:6">
      <c r="A141" t="str">
        <f>HYPERLINK("http://en.wikipedia.org/wiki/Screven_County,_Georgia","Screven")</f>
        <v>Screven</v>
      </c>
      <c r="B141" t="s">
        <v>164</v>
      </c>
      <c r="C141" s="34" t="s">
        <v>4741</v>
      </c>
      <c r="D141" s="34" t="s">
        <v>4742</v>
      </c>
      <c r="F141" s="67"/>
    </row>
    <row r="142" spans="1:6">
      <c r="A142" s="67" t="str">
        <f>HYPERLINK("http://en.wikipedia.org/wiki/Seminole_County,_Georgia","Seminole")</f>
        <v>Seminole</v>
      </c>
      <c r="B142" t="s">
        <v>164</v>
      </c>
      <c r="C142" s="34" t="s">
        <v>4743</v>
      </c>
      <c r="D142" s="34" t="s">
        <v>4744</v>
      </c>
      <c r="E142" t="str">
        <f>HYPERLINK("http://www.seminoleso.com/index.php?pr=911","Seminole 911")</f>
        <v>Seminole 911</v>
      </c>
    </row>
    <row r="143" spans="1:6">
      <c r="A143" s="67" t="str">
        <f>HYPERLINK("http://en.wikipedia.org/wiki/Spalding_County,_Georgia","Spalding")</f>
        <v>Spalding</v>
      </c>
      <c r="B143" t="s">
        <v>4745</v>
      </c>
      <c r="C143" s="34" t="s">
        <v>4746</v>
      </c>
      <c r="D143" s="34" t="s">
        <v>4747</v>
      </c>
      <c r="E143" t="str">
        <f>HYPERLINK("http://www.spaldingcounty.com/ema/default.htm","Spalding EMA")</f>
        <v>Spalding EMA</v>
      </c>
    </row>
    <row r="144" spans="1:6">
      <c r="A144" s="67" t="str">
        <f>HYPERLINK("http://en.wikipedia.org/wiki/Stephens_County,_Georgia","Stephens")</f>
        <v>Stephens</v>
      </c>
      <c r="B144" t="s">
        <v>164</v>
      </c>
      <c r="C144" s="34" t="s">
        <v>164</v>
      </c>
      <c r="D144" s="34" t="s">
        <v>4748</v>
      </c>
      <c r="E144" t="str">
        <f>HYPERLINK("http://www.stephenscountyga.com/EMA.cfm?lid=675","Stephens EMA")</f>
        <v>Stephens EMA</v>
      </c>
    </row>
    <row r="145" spans="1:6">
      <c r="A145" s="67" t="str">
        <f>HYPERLINK("http://en.wikipedia.org/wiki/Stewart_County,_Georgia","Stewart")</f>
        <v>Stewart</v>
      </c>
      <c r="B145" t="s">
        <v>164</v>
      </c>
      <c r="C145" s="34" t="s">
        <v>164</v>
      </c>
      <c r="D145" s="34" t="s">
        <v>4749</v>
      </c>
    </row>
    <row r="146" spans="1:6">
      <c r="A146" s="67" t="str">
        <f>HYPERLINK("http://en.wikipedia.org/wiki/Sumter_County,_Georgia","Sumter")</f>
        <v>Sumter</v>
      </c>
      <c r="B146" t="s">
        <v>164</v>
      </c>
      <c r="C146" s="34" t="s">
        <v>164</v>
      </c>
      <c r="D146" s="34" t="s">
        <v>4750</v>
      </c>
      <c r="E146" t="str">
        <f>HYPERLINK("http://www.sumtercountyga.us/index.aspx?nid=166","Sumter EMA")</f>
        <v>Sumter EMA</v>
      </c>
    </row>
    <row r="147" spans="1:6">
      <c r="A147" s="67" t="str">
        <f>HYPERLINK("http://en.wikipedia.org/wiki/Talbot_County,_Georgia","Talbot")</f>
        <v>Talbot</v>
      </c>
      <c r="B147" t="s">
        <v>164</v>
      </c>
      <c r="C147" s="34" t="s">
        <v>164</v>
      </c>
      <c r="D147" s="34" t="s">
        <v>4751</v>
      </c>
      <c r="E147" t="str">
        <f>HYPERLINK("http://talbotcountyga.org/ema.php","Talbot EMA")</f>
        <v>Talbot EMA</v>
      </c>
    </row>
    <row r="148" spans="1:6">
      <c r="A148" s="67" t="str">
        <f>HYPERLINK("http://en.wikipedia.org/wiki/Taliaferro_County,_Georgia","Taliaferro")</f>
        <v>Taliaferro</v>
      </c>
      <c r="B148" t="s">
        <v>164</v>
      </c>
      <c r="C148" s="34" t="s">
        <v>4752</v>
      </c>
      <c r="D148" s="34" t="s">
        <v>4753</v>
      </c>
      <c r="E148" t="str">
        <f>HYPERLINK("http://taliaferrocountyga.org/index.php?page=government","Taliaferro EMS")</f>
        <v>Taliaferro EMS</v>
      </c>
    </row>
    <row r="149" spans="1:6">
      <c r="A149" s="67" t="str">
        <f>HYPERLINK("http://en.wikipedia.org/wiki/Tattnall_County,_Georgia","Tattnall")</f>
        <v>Tattnall</v>
      </c>
      <c r="B149" t="s">
        <v>164</v>
      </c>
      <c r="C149" s="34" t="s">
        <v>164</v>
      </c>
      <c r="D149" s="34" t="s">
        <v>4754</v>
      </c>
      <c r="E149" t="str">
        <f>HYPERLINK("http://www.tattnall.com/Sheriffs.html","Tattnall Sherriff")</f>
        <v>Tattnall Sherriff</v>
      </c>
    </row>
    <row r="150" spans="1:6">
      <c r="A150" s="67" t="str">
        <f>HYPERLINK("http://en.wikipedia.org/wiki/Taylor_County,_Georgia","Taylor")</f>
        <v>Taylor</v>
      </c>
      <c r="B150" t="s">
        <v>164</v>
      </c>
      <c r="C150" s="34" t="s">
        <v>164</v>
      </c>
      <c r="D150" s="34" t="s">
        <v>4755</v>
      </c>
    </row>
    <row r="151" spans="1:6">
      <c r="A151" s="67" t="str">
        <f>HYPERLINK("http://en.wikipedia.org/wiki/Telfair_County,_Georgia","Telfair")</f>
        <v>Telfair</v>
      </c>
      <c r="B151" t="s">
        <v>164</v>
      </c>
      <c r="C151" s="34" t="s">
        <v>164</v>
      </c>
      <c r="D151" s="34" t="s">
        <v>4756</v>
      </c>
    </row>
    <row r="152" spans="1:6">
      <c r="A152" s="67" t="str">
        <f>HYPERLINK("http://en.wikipedia.org/wiki/Terrell_County,_Georgia","Terrell")</f>
        <v>Terrell</v>
      </c>
      <c r="B152" t="s">
        <v>164</v>
      </c>
      <c r="C152" s="34" t="s">
        <v>4757</v>
      </c>
      <c r="D152" s="34" t="s">
        <v>4758</v>
      </c>
    </row>
    <row r="153" spans="1:6">
      <c r="A153" s="67" t="str">
        <f>HYPERLINK("http://en.wikipedia.org/wiki/Thomas_County,_Georgia","Thomas")</f>
        <v>Thomas</v>
      </c>
      <c r="B153" t="s">
        <v>164</v>
      </c>
      <c r="C153" s="34" t="s">
        <v>4759</v>
      </c>
      <c r="D153" s="34" t="s">
        <v>4760</v>
      </c>
      <c r="E153" t="str">
        <f>HYPERLINK("http://www.thomascountyboc.org/DeptIndex/EMAgency.html","Thomas EMA")</f>
        <v>Thomas EMA</v>
      </c>
    </row>
    <row r="154" spans="1:6">
      <c r="A154" s="67" t="str">
        <f>HYPERLINK("http://en.wikipedia.org/wiki/Tift_County,_Georgia","Tift")</f>
        <v>Tift</v>
      </c>
      <c r="B154" t="s">
        <v>164</v>
      </c>
      <c r="C154" s="34" t="s">
        <v>4761</v>
      </c>
      <c r="D154" s="34" t="s">
        <v>4762</v>
      </c>
      <c r="E154" t="str">
        <f>HYPERLINK("http://www.tiftcounty.org/departmentHome.php?dp=19","Tift EMA")</f>
        <v>Tift EMA</v>
      </c>
    </row>
    <row r="155" spans="1:6">
      <c r="A155" s="67" t="str">
        <f>HYPERLINK("http://en.wikipedia.org/wiki/Toombs_County,_Georgia","Toombs")</f>
        <v>Toombs</v>
      </c>
      <c r="B155" t="s">
        <v>164</v>
      </c>
      <c r="C155" s="34" t="s">
        <v>164</v>
      </c>
      <c r="D155" s="34" t="s">
        <v>4763</v>
      </c>
    </row>
    <row r="156" spans="1:6">
      <c r="A156" s="67" t="str">
        <f>HYPERLINK("http://en.wikipedia.org/wiki/Towns_County,_Georgia","Towns")</f>
        <v>Towns</v>
      </c>
      <c r="B156" t="s">
        <v>4764</v>
      </c>
      <c r="C156" s="34" t="s">
        <v>4765</v>
      </c>
      <c r="D156" s="34" t="s">
        <v>4766</v>
      </c>
      <c r="E156" t="str">
        <f>HYPERLINK("http://www.townscountyga.com/Towns_County_911_Communicat.php","Towns EMS")</f>
        <v>Towns EMS</v>
      </c>
    </row>
    <row r="157" spans="1:6">
      <c r="A157" s="67" t="str">
        <f>HYPERLINK("http://en.wikipedia.org/wiki/Treutlen_County,_Georgia","Treutlen")</f>
        <v>Treutlen</v>
      </c>
      <c r="B157" t="s">
        <v>164</v>
      </c>
      <c r="C157" s="34" t="s">
        <v>164</v>
      </c>
      <c r="D157" s="34" t="s">
        <v>4767</v>
      </c>
      <c r="E157" t="str">
        <f>HYPERLINK("http://www.soperton-treutlen.org/county.html","Treutlen EMS")</f>
        <v>Treutlen EMS</v>
      </c>
      <c r="F157" s="67" t="s">
        <v>4768</v>
      </c>
    </row>
    <row r="158" spans="1:6">
      <c r="A158" s="67" t="str">
        <f>HYPERLINK("http://en.wikipedia.org/wiki/Troup_County,_Georgia","Troup")</f>
        <v>Troup</v>
      </c>
      <c r="B158" t="s">
        <v>4769</v>
      </c>
      <c r="C158" s="34" t="s">
        <v>4770</v>
      </c>
      <c r="D158" s="34" t="s">
        <v>4771</v>
      </c>
      <c r="E158" t="str">
        <f>HYPERLINK("http://www.troupcountyga.org/fire_emergency.html","Troup EMA")</f>
        <v>Troup EMA</v>
      </c>
    </row>
    <row r="159" spans="1:6">
      <c r="A159" s="67" t="str">
        <f>HYPERLINK("http://en.wikipedia.org/wiki/Turner_County,_Georgia","Turner")</f>
        <v>Turner</v>
      </c>
      <c r="B159" t="s">
        <v>164</v>
      </c>
      <c r="C159" s="34" t="s">
        <v>164</v>
      </c>
      <c r="D159" s="34" t="s">
        <v>4772</v>
      </c>
    </row>
    <row r="160" spans="1:6">
      <c r="A160" s="67" t="str">
        <f>HYPERLINK("http://en.wikipedia.org/wiki/Twiggs_County,_Georgia","Twiggs")</f>
        <v>Twiggs</v>
      </c>
      <c r="B160" t="s">
        <v>164</v>
      </c>
      <c r="C160" s="34" t="s">
        <v>164</v>
      </c>
      <c r="D160" s="34" t="s">
        <v>4773</v>
      </c>
      <c r="E160" t="str">
        <f>HYPERLINK("http://www.twiggscounty.us/govtDetail.php?EMA-911-and-Water-10","Twiggs EMA")</f>
        <v>Twiggs EMA</v>
      </c>
    </row>
    <row r="161" spans="1:6">
      <c r="A161" s="67" t="str">
        <f>HYPERLINK("http://en.wikipedia.org/wiki/Union_County,_Georgia","Union")</f>
        <v>Union</v>
      </c>
      <c r="B161" t="s">
        <v>4774</v>
      </c>
      <c r="C161" s="34" t="s">
        <v>164</v>
      </c>
      <c r="D161" s="34" t="s">
        <v>4775</v>
      </c>
      <c r="E161" t="str">
        <f>HYPERLINK("http://www.unioncountyga.gov/e-911dispatchcenter.htm","Union 911")</f>
        <v>Union 911</v>
      </c>
    </row>
    <row r="162" spans="1:6">
      <c r="A162" s="67" t="str">
        <f>HYPERLINK("http://en.wikipedia.org/wiki/Upson_County,_Georgia","Upson")</f>
        <v>Upson</v>
      </c>
      <c r="B162" t="s">
        <v>164</v>
      </c>
      <c r="C162" s="34" t="s">
        <v>164</v>
      </c>
      <c r="D162" s="34" t="s">
        <v>4776</v>
      </c>
      <c r="E162" t="str">
        <f>HYPERLINK("http://www.upsoncountyga.org/departments/ema.htm","Upson EMA")</f>
        <v>Upson EMA</v>
      </c>
    </row>
    <row r="163" spans="1:6">
      <c r="A163" s="67" t="str">
        <f>HYPERLINK("http://en.wikipedia.org/wiki/Walker_County,_Georgia","Walker")</f>
        <v>Walker</v>
      </c>
      <c r="B163" t="s">
        <v>4777</v>
      </c>
      <c r="C163" s="34" t="s">
        <v>4778</v>
      </c>
      <c r="D163" s="34" t="s">
        <v>4779</v>
      </c>
      <c r="E163" t="str">
        <f>HYPERLINK("http://www.walkerfireonline.org/","Walker EMA")</f>
        <v>Walker EMA</v>
      </c>
    </row>
    <row r="164" spans="1:6">
      <c r="A164" s="67" t="str">
        <f>HYPERLINK("http://en.wikipedia.org/wiki/Walton_County,_Georgia","Walton")</f>
        <v>Walton</v>
      </c>
      <c r="B164" t="s">
        <v>4780</v>
      </c>
      <c r="C164" s="34" t="s">
        <v>164</v>
      </c>
      <c r="D164" s="34" t="s">
        <v>4781</v>
      </c>
    </row>
    <row r="165" spans="1:6">
      <c r="A165" s="67" t="str">
        <f>HYPERLINK("http://en.wikipedia.org/wiki/Ware_County,_Georgia","Ware")</f>
        <v>Ware</v>
      </c>
      <c r="B165" t="s">
        <v>164</v>
      </c>
      <c r="C165" s="34" t="s">
        <v>164</v>
      </c>
      <c r="D165" s="34" t="s">
        <v>4782</v>
      </c>
      <c r="E165" t="str">
        <f>HYPERLINK("http://www.warecounty.com/EmergencyManagementAgency.aspx","Ware EMA")</f>
        <v>Ware EMA</v>
      </c>
    </row>
    <row r="166" spans="1:6">
      <c r="A166" s="67" t="str">
        <f>HYPERLINK("http://en.wikipedia.org/wiki/Warren_County,_Georgia","Warren")</f>
        <v>Warren</v>
      </c>
      <c r="B166" t="s">
        <v>164</v>
      </c>
      <c r="C166" s="34" t="s">
        <v>164</v>
      </c>
      <c r="D166" s="34" t="s">
        <v>4783</v>
      </c>
    </row>
    <row r="167" spans="1:6">
      <c r="A167" s="67" t="str">
        <f>HYPERLINK("http://en.wikipedia.org/wiki/Washington_County,_Georgia","Washington")</f>
        <v>Washington</v>
      </c>
      <c r="B167" t="s">
        <v>164</v>
      </c>
      <c r="C167" s="34" t="s">
        <v>164</v>
      </c>
      <c r="D167" s="34" t="s">
        <v>4784</v>
      </c>
      <c r="E167" t="str">
        <f>HYPERLINK("http://www.washingtoncountyga.gov/articles/emergency.aspx","Washington EMA")</f>
        <v>Washington EMA</v>
      </c>
    </row>
    <row r="168" spans="1:6">
      <c r="A168" s="67" t="str">
        <f>HYPERLINK("http://en.wikipedia.org/wiki/Wayne_County,_Georgia","Wayne")</f>
        <v>Wayne</v>
      </c>
      <c r="B168" t="s">
        <v>4785</v>
      </c>
      <c r="C168" s="34" t="s">
        <v>164</v>
      </c>
      <c r="D168" s="34" t="s">
        <v>4786</v>
      </c>
      <c r="E168" t="str">
        <f>HYPERLINK("http://www.co.wayne.ga.us/index.cfm/departments/public-safety/emergencymanagement/","WayneEMA")</f>
        <v>WayneEMA</v>
      </c>
    </row>
    <row r="169" spans="1:6">
      <c r="A169" s="67" t="str">
        <f>HYPERLINK("http://en.wikipedia.org/wiki/Webster_County,_Georgia","Webster")</f>
        <v>Webster</v>
      </c>
      <c r="B169" t="s">
        <v>164</v>
      </c>
      <c r="C169" s="34" t="s">
        <v>164</v>
      </c>
      <c r="D169" s="34" t="s">
        <v>4787</v>
      </c>
      <c r="E169" t="str">
        <f>HYPERLINK("http://www.webstercountyga.org/emergency/ems.htm","Webster EMS")</f>
        <v>Webster EMS</v>
      </c>
    </row>
    <row r="170" spans="1:6">
      <c r="A170" s="67" t="str">
        <f>HYPERLINK("http://en.wikipedia.org/wiki/Wheeler_County,_Georgia","Wheeler")</f>
        <v>Wheeler</v>
      </c>
      <c r="B170" t="s">
        <v>164</v>
      </c>
      <c r="C170" s="34" t="s">
        <v>164</v>
      </c>
      <c r="D170" s="34" t="s">
        <v>4788</v>
      </c>
    </row>
    <row r="171" spans="1:6">
      <c r="A171" s="67" t="str">
        <f>HYPERLINK("http://en.wikipedia.org/wiki/White_County,_Georgia","White")</f>
        <v>White</v>
      </c>
      <c r="B171" t="s">
        <v>164</v>
      </c>
      <c r="C171" s="34" t="s">
        <v>164</v>
      </c>
      <c r="D171" s="34" t="s">
        <v>4789</v>
      </c>
      <c r="E171" t="str">
        <f>HYPERLINK("http://www.whitecounty.net/emergency_managment/ema.htm","White EMA")</f>
        <v>White EMA</v>
      </c>
    </row>
    <row r="172" spans="1:6">
      <c r="A172" s="67" t="str">
        <f>HYPERLINK("http://en.wikipedia.org/wiki/Whitfield_County,_Georgia","Whitfield")</f>
        <v>Whitfield</v>
      </c>
      <c r="B172" t="s">
        <v>4790</v>
      </c>
      <c r="C172" s="34" t="s">
        <v>4791</v>
      </c>
      <c r="D172" s="34" t="s">
        <v>4792</v>
      </c>
      <c r="E172" t="str">
        <f>HYPERLINK("http://www.whitfieldcountyga.com/ema/ema.htm","Whitfield EMA")</f>
        <v>Whitfield EMA</v>
      </c>
    </row>
    <row r="173" spans="1:6">
      <c r="A173" s="67" t="str">
        <f>HYPERLINK("http://en.wikipedia.org/wiki/Wilcox_County,_Georgia","Wilcox")</f>
        <v>Wilcox</v>
      </c>
      <c r="B173" t="s">
        <v>164</v>
      </c>
      <c r="C173" s="34" t="s">
        <v>164</v>
      </c>
      <c r="D173" s="34" t="s">
        <v>4793</v>
      </c>
      <c r="E173" t="str">
        <f>HYPERLINK("http://www.wilcoxcountygeorgia.com/ema.htm","Wilcox EMA")</f>
        <v>Wilcox EMA</v>
      </c>
    </row>
    <row r="174" spans="1:6">
      <c r="A174" s="67" t="str">
        <f>HYPERLINK("http://en.wikipedia.org/wiki/Wilkes_County,_Georgia","Wilkes")</f>
        <v>Wilkes</v>
      </c>
      <c r="B174" t="s">
        <v>164</v>
      </c>
      <c r="C174" s="34" t="s">
        <v>164</v>
      </c>
      <c r="D174" s="34" t="s">
        <v>4794</v>
      </c>
      <c r="F174" s="67" t="s">
        <v>4795</v>
      </c>
    </row>
    <row r="175" spans="1:6">
      <c r="A175" s="67" t="str">
        <f>HYPERLINK("http://en.wikipedia.org/wiki/Wilkinson_County,_Georgia","Wilkinson")</f>
        <v>Wilkinson</v>
      </c>
      <c r="B175" t="s">
        <v>164</v>
      </c>
      <c r="C175" s="34" t="s">
        <v>164</v>
      </c>
      <c r="D175" s="34" t="s">
        <v>4796</v>
      </c>
      <c r="E175" t="str">
        <f>HYPERLINK("http://www.wilkinsoncounty.net/departments.php?Services-Emergency-64","Wilkinson EMA")</f>
        <v>Wilkinson EMA</v>
      </c>
    </row>
    <row r="176" spans="1:6">
      <c r="A176" s="67" t="str">
        <f>HYPERLINK("http://en.wikipedia.org/wiki/Worth_County,_Georgia","Worth")</f>
        <v>Worth</v>
      </c>
      <c r="B176" t="s">
        <v>164</v>
      </c>
      <c r="C176" s="34" t="s">
        <v>164</v>
      </c>
      <c r="D176" s="34" t="s">
        <v>4797</v>
      </c>
      <c r="E176" t="str">
        <f>HYPERLINK("http://worthcountyboc.com/index.php?id=55","Worth EMA")</f>
        <v>Worth EMA</v>
      </c>
    </row>
    <row r="177" spans="1:8" ht="15" customHeight="1">
      <c r="C177" s="34"/>
      <c r="D177" s="34"/>
    </row>
    <row r="178" spans="1:8">
      <c r="A178" s="14" t="s">
        <v>388</v>
      </c>
      <c r="B178" s="5" t="s">
        <v>147</v>
      </c>
      <c r="C178" s="79" t="s">
        <v>210</v>
      </c>
      <c r="D178" s="79" t="s">
        <v>182</v>
      </c>
      <c r="E178" s="79" t="s">
        <v>490</v>
      </c>
    </row>
    <row r="179" spans="1:8" ht="15" customHeight="1">
      <c r="A179" t="s">
        <v>4798</v>
      </c>
      <c r="B179" t="s">
        <v>164</v>
      </c>
      <c r="C179" t="s">
        <v>164</v>
      </c>
      <c r="D179" s="34" t="s">
        <v>4799</v>
      </c>
      <c r="E179" t="s">
        <v>4800</v>
      </c>
    </row>
    <row r="180" spans="1:8" ht="15" customHeight="1">
      <c r="A180" t="s">
        <v>4801</v>
      </c>
      <c r="B180" t="s">
        <v>164</v>
      </c>
      <c r="C180" t="s">
        <v>164</v>
      </c>
      <c r="D180" s="34" t="s">
        <v>4802</v>
      </c>
      <c r="E180" t="s">
        <v>4803</v>
      </c>
    </row>
    <row r="181" spans="1:8" ht="15" customHeight="1">
      <c r="A181" t="s">
        <v>4804</v>
      </c>
      <c r="B181" t="s">
        <v>164</v>
      </c>
      <c r="C181" t="s">
        <v>164</v>
      </c>
      <c r="D181" s="34" t="s">
        <v>4805</v>
      </c>
      <c r="E181" t="s">
        <v>4806</v>
      </c>
    </row>
    <row r="182" spans="1:8" ht="15" customHeight="1">
      <c r="A182" t="s">
        <v>4807</v>
      </c>
      <c r="B182" t="s">
        <v>164</v>
      </c>
      <c r="C182" t="s">
        <v>164</v>
      </c>
      <c r="D182" s="34" t="s">
        <v>4802</v>
      </c>
      <c r="E182" t="s">
        <v>4808</v>
      </c>
    </row>
    <row r="183" spans="1:8" ht="15" customHeight="1">
      <c r="A183" t="s">
        <v>4809</v>
      </c>
      <c r="B183" t="s">
        <v>164</v>
      </c>
      <c r="C183" t="s">
        <v>164</v>
      </c>
      <c r="D183" s="34" t="s">
        <v>4802</v>
      </c>
      <c r="E183" t="s">
        <v>4808</v>
      </c>
    </row>
    <row r="184" spans="1:8" ht="15" customHeight="1">
      <c r="C184" s="34"/>
      <c r="D184" s="34"/>
    </row>
    <row r="185" spans="1:8">
      <c r="A185" s="14" t="s">
        <v>394</v>
      </c>
      <c r="B185" s="5" t="s">
        <v>147</v>
      </c>
      <c r="C185" s="79" t="s">
        <v>210</v>
      </c>
      <c r="D185" s="79" t="s">
        <v>182</v>
      </c>
      <c r="E185" s="79" t="s">
        <v>211</v>
      </c>
      <c r="F185" s="65"/>
      <c r="G185" s="34"/>
    </row>
    <row r="186" spans="1:8">
      <c r="A186" s="83" t="s">
        <v>4810</v>
      </c>
      <c r="B186" s="69"/>
      <c r="C186" s="67"/>
      <c r="D186" s="67" t="s">
        <v>4811</v>
      </c>
      <c r="E186" s="34" t="s">
        <v>397</v>
      </c>
      <c r="F186" s="65"/>
      <c r="G186" s="34"/>
    </row>
    <row r="187" spans="1:8">
      <c r="A187" s="83" t="s">
        <v>4812</v>
      </c>
      <c r="B187" s="69"/>
      <c r="C187" s="67"/>
      <c r="D187" s="67" t="s">
        <v>4813</v>
      </c>
      <c r="E187" s="34"/>
      <c r="F187" s="65"/>
      <c r="G187" s="34"/>
    </row>
    <row r="188" spans="1:8" ht="15" customHeight="1">
      <c r="A188" t="s">
        <v>4814</v>
      </c>
      <c r="C188" s="34"/>
      <c r="D188" s="34" t="s">
        <v>4815</v>
      </c>
    </row>
    <row r="189" spans="1:8" ht="15" customHeight="1">
      <c r="A189" t="s">
        <v>4816</v>
      </c>
      <c r="C189" s="34"/>
      <c r="D189" s="34" t="s">
        <v>4817</v>
      </c>
    </row>
    <row r="190" spans="1:8" ht="15" customHeight="1">
      <c r="A190" t="s">
        <v>4818</v>
      </c>
      <c r="B190" t="s">
        <v>4819</v>
      </c>
      <c r="C190" s="34" t="s">
        <v>4820</v>
      </c>
      <c r="D190" s="34" t="s">
        <v>4821</v>
      </c>
    </row>
    <row r="191" spans="1:8" ht="15" customHeight="1">
      <c r="C191" s="34"/>
      <c r="D191" s="34"/>
    </row>
    <row r="192" spans="1:8">
      <c r="A192" s="79" t="s">
        <v>333</v>
      </c>
      <c r="C192" s="34"/>
      <c r="D192" s="34"/>
      <c r="E192" s="33"/>
      <c r="F192" s="33"/>
      <c r="G192" s="33"/>
      <c r="H192" s="33"/>
    </row>
    <row r="193" spans="1:6">
      <c r="A193" s="93" t="s">
        <v>1047</v>
      </c>
      <c r="B193" s="79" t="s">
        <v>147</v>
      </c>
      <c r="C193" s="79" t="s">
        <v>148</v>
      </c>
      <c r="D193" s="79" t="s">
        <v>182</v>
      </c>
    </row>
    <row r="194" spans="1:6">
      <c r="A194" s="67" t="s">
        <v>4822</v>
      </c>
      <c r="C194" s="34"/>
      <c r="D194" s="34" t="s">
        <v>4823</v>
      </c>
    </row>
    <row r="195" spans="1:6">
      <c r="A195" s="12" t="s">
        <v>4824</v>
      </c>
      <c r="C195" s="34"/>
      <c r="D195" s="34" t="s">
        <v>4825</v>
      </c>
    </row>
    <row r="196" spans="1:6">
      <c r="A196" s="67" t="s">
        <v>4826</v>
      </c>
      <c r="B196" t="s">
        <v>4827</v>
      </c>
      <c r="C196" s="34" t="s">
        <v>4828</v>
      </c>
      <c r="D196" s="63" t="s">
        <v>4829</v>
      </c>
    </row>
    <row r="197" spans="1:6">
      <c r="A197" s="67" t="s">
        <v>4830</v>
      </c>
      <c r="B197" t="s">
        <v>4831</v>
      </c>
      <c r="C197" s="34" t="s">
        <v>4832</v>
      </c>
      <c r="D197" s="34" t="s">
        <v>4833</v>
      </c>
    </row>
    <row r="198" spans="1:6">
      <c r="A198" s="67" t="s">
        <v>4834</v>
      </c>
      <c r="B198" t="s">
        <v>4835</v>
      </c>
      <c r="C198" s="34" t="s">
        <v>4836</v>
      </c>
      <c r="D198" s="34" t="s">
        <v>4837</v>
      </c>
    </row>
    <row r="199" spans="1:6">
      <c r="A199" s="67" t="s">
        <v>4838</v>
      </c>
      <c r="B199" t="s">
        <v>4839</v>
      </c>
      <c r="C199" s="34" t="s">
        <v>4840</v>
      </c>
      <c r="D199" s="34" t="s">
        <v>4841</v>
      </c>
    </row>
    <row r="200" spans="1:6">
      <c r="A200" s="67" t="s">
        <v>4842</v>
      </c>
      <c r="B200" t="s">
        <v>4843</v>
      </c>
      <c r="C200" s="34" t="s">
        <v>4844</v>
      </c>
      <c r="D200" s="67" t="s">
        <v>4845</v>
      </c>
    </row>
    <row r="201" spans="1:6">
      <c r="A201" s="12" t="s">
        <v>4846</v>
      </c>
      <c r="C201" s="34"/>
      <c r="D201" s="34" t="s">
        <v>4847</v>
      </c>
      <c r="E201" t="s">
        <v>4848</v>
      </c>
    </row>
    <row r="202" spans="1:6" ht="15" customHeight="1">
      <c r="A202" t="s">
        <v>4849</v>
      </c>
      <c r="C202" s="34"/>
      <c r="D202" s="34" t="s">
        <v>4850</v>
      </c>
    </row>
    <row r="203" spans="1:6" ht="15" customHeight="1">
      <c r="A203" t="s">
        <v>4851</v>
      </c>
      <c r="C203" s="34"/>
      <c r="D203" s="34" t="s">
        <v>4852</v>
      </c>
    </row>
    <row r="204" spans="1:6" ht="15" customHeight="1">
      <c r="C204" s="34"/>
      <c r="D204" s="34"/>
    </row>
    <row r="205" spans="1:6">
      <c r="A205" s="79" t="s">
        <v>4853</v>
      </c>
      <c r="B205" s="79" t="s">
        <v>147</v>
      </c>
      <c r="C205" s="79" t="s">
        <v>148</v>
      </c>
      <c r="D205" s="79" t="s">
        <v>182</v>
      </c>
      <c r="E205" s="33"/>
      <c r="F205" s="33"/>
    </row>
    <row r="206" spans="1:6">
      <c r="A206" s="12" t="s">
        <v>4854</v>
      </c>
      <c r="B206" t="s">
        <v>4855</v>
      </c>
      <c r="C206" s="34" t="s">
        <v>4856</v>
      </c>
      <c r="D206" s="34" t="s">
        <v>4857</v>
      </c>
    </row>
    <row r="207" spans="1:6">
      <c r="A207" s="67" t="s">
        <v>4858</v>
      </c>
      <c r="C207" s="34"/>
      <c r="D207" s="34" t="s">
        <v>4859</v>
      </c>
    </row>
    <row r="208" spans="1:6">
      <c r="A208" s="97" t="s">
        <v>4860</v>
      </c>
      <c r="B208" s="97" t="s">
        <v>4861</v>
      </c>
      <c r="C208" s="97" t="s">
        <v>4862</v>
      </c>
      <c r="D208" s="97" t="s">
        <v>4863</v>
      </c>
      <c r="E208" s="29"/>
      <c r="F208" s="29"/>
    </row>
    <row r="209" spans="1:8">
      <c r="A209" s="97" t="s">
        <v>4864</v>
      </c>
      <c r="B209" s="97"/>
      <c r="C209" s="97"/>
      <c r="D209" s="97" t="s">
        <v>4865</v>
      </c>
      <c r="E209" s="29"/>
      <c r="F209" s="29"/>
    </row>
    <row r="210" spans="1:8">
      <c r="A210" s="97" t="s">
        <v>4866</v>
      </c>
      <c r="B210" s="97"/>
      <c r="C210" s="97"/>
      <c r="D210" s="97" t="s">
        <v>4867</v>
      </c>
      <c r="E210" s="29"/>
      <c r="F210" s="29"/>
    </row>
    <row r="211" spans="1:8">
      <c r="A211" s="97" t="s">
        <v>4868</v>
      </c>
      <c r="B211" s="97"/>
      <c r="C211" s="97"/>
      <c r="D211" s="97" t="s">
        <v>4869</v>
      </c>
      <c r="E211" s="29"/>
      <c r="F211" s="29"/>
    </row>
    <row r="212" spans="1:8">
      <c r="A212" s="67" t="s">
        <v>4870</v>
      </c>
      <c r="C212" s="34"/>
      <c r="D212" s="34" t="s">
        <v>4871</v>
      </c>
    </row>
    <row r="213" spans="1:8">
      <c r="A213" s="97" t="s">
        <v>4872</v>
      </c>
      <c r="B213" s="97"/>
      <c r="C213" s="97"/>
      <c r="D213" s="97" t="s">
        <v>4873</v>
      </c>
      <c r="E213" s="29"/>
      <c r="F213" s="29"/>
    </row>
    <row r="214" spans="1:8">
      <c r="A214" s="97" t="s">
        <v>4874</v>
      </c>
      <c r="B214" s="97"/>
      <c r="C214" s="97"/>
      <c r="D214" s="97" t="s">
        <v>4875</v>
      </c>
      <c r="E214" s="29"/>
      <c r="F214" s="29"/>
    </row>
    <row r="215" spans="1:8">
      <c r="A215" s="97" t="s">
        <v>4876</v>
      </c>
      <c r="B215" s="97" t="s">
        <v>4843</v>
      </c>
      <c r="C215" s="97" t="s">
        <v>4844</v>
      </c>
      <c r="D215" s="97" t="s">
        <v>4877</v>
      </c>
      <c r="E215" s="29"/>
      <c r="F215" s="29"/>
    </row>
    <row r="216" spans="1:8">
      <c r="A216" s="97" t="s">
        <v>4878</v>
      </c>
      <c r="B216" s="97"/>
      <c r="C216" s="97"/>
      <c r="D216" s="97" t="s">
        <v>4879</v>
      </c>
      <c r="E216" s="29"/>
      <c r="F216" s="29"/>
    </row>
    <row r="217" spans="1:8">
      <c r="A217" s="97" t="s">
        <v>4880</v>
      </c>
      <c r="B217" s="97"/>
      <c r="C217" s="97"/>
      <c r="D217" s="97" t="s">
        <v>4881</v>
      </c>
      <c r="E217" s="29"/>
      <c r="F217" s="29"/>
    </row>
    <row r="218" spans="1:8">
      <c r="A218" s="97" t="s">
        <v>4882</v>
      </c>
      <c r="B218" s="97" t="s">
        <v>4883</v>
      </c>
      <c r="C218" s="97" t="s">
        <v>4884</v>
      </c>
      <c r="D218" s="97" t="s">
        <v>4885</v>
      </c>
      <c r="E218" s="29"/>
      <c r="F218" s="29"/>
    </row>
    <row r="219" spans="1:8">
      <c r="A219" s="97" t="s">
        <v>4886</v>
      </c>
      <c r="B219" s="97"/>
      <c r="C219" s="97"/>
      <c r="D219" s="97" t="s">
        <v>4887</v>
      </c>
      <c r="E219" s="29"/>
      <c r="F219" s="29"/>
    </row>
    <row r="220" spans="1:8">
      <c r="A220" s="67"/>
      <c r="B220" s="67"/>
      <c r="C220" s="67"/>
      <c r="D220" s="67"/>
    </row>
    <row r="221" spans="1:8">
      <c r="A221" s="79" t="s">
        <v>4888</v>
      </c>
      <c r="B221" s="79"/>
      <c r="C221" s="79"/>
      <c r="D221" s="79"/>
    </row>
    <row r="222" spans="1:8">
      <c r="A222" s="97" t="s">
        <v>4889</v>
      </c>
      <c r="B222" s="97"/>
      <c r="C222" s="97"/>
      <c r="D222" s="97" t="s">
        <v>4890</v>
      </c>
      <c r="E222" s="29"/>
      <c r="F222" s="29"/>
      <c r="G222" s="29"/>
      <c r="H222" s="29"/>
    </row>
    <row r="223" spans="1:8">
      <c r="A223" s="97" t="s">
        <v>4891</v>
      </c>
      <c r="B223" s="97"/>
      <c r="C223" s="97"/>
      <c r="D223" s="97" t="s">
        <v>4892</v>
      </c>
      <c r="E223" s="29"/>
      <c r="F223" s="29"/>
      <c r="G223" s="29"/>
      <c r="H223" s="29"/>
    </row>
    <row r="224" spans="1:8">
      <c r="A224" s="97" t="s">
        <v>4893</v>
      </c>
      <c r="B224" s="97"/>
      <c r="C224" s="97"/>
      <c r="D224" s="97" t="s">
        <v>4894</v>
      </c>
      <c r="E224" s="29"/>
      <c r="F224" s="29"/>
      <c r="G224" s="29"/>
      <c r="H224" s="29"/>
    </row>
    <row r="225" spans="1:8">
      <c r="A225" s="97" t="s">
        <v>4895</v>
      </c>
      <c r="B225" s="97" t="s">
        <v>4896</v>
      </c>
      <c r="C225" s="97" t="s">
        <v>4897</v>
      </c>
      <c r="D225" s="97" t="s">
        <v>4898</v>
      </c>
      <c r="E225" s="29"/>
      <c r="F225" s="29"/>
      <c r="G225" s="29"/>
      <c r="H225" s="29"/>
    </row>
    <row r="226" spans="1:8">
      <c r="A226" s="67"/>
      <c r="B226" s="67"/>
      <c r="C226" s="67"/>
      <c r="D226" s="67"/>
    </row>
    <row r="227" spans="1:8">
      <c r="A227" s="60" t="s">
        <v>4899</v>
      </c>
      <c r="B227" s="97"/>
      <c r="C227" s="97"/>
      <c r="D227" s="97" t="s">
        <v>4900</v>
      </c>
      <c r="E227" s="29"/>
      <c r="F227" s="29"/>
      <c r="G227" s="29"/>
      <c r="H227" s="29"/>
    </row>
    <row r="228" spans="1:8">
      <c r="A228" s="51"/>
      <c r="B228" s="12"/>
      <c r="C228" s="67"/>
      <c r="D228" s="67"/>
    </row>
    <row r="229" spans="1:8">
      <c r="A229" s="14" t="s">
        <v>428</v>
      </c>
      <c r="B229" s="5" t="s">
        <v>147</v>
      </c>
      <c r="C229" s="79" t="s">
        <v>210</v>
      </c>
      <c r="D229" s="79" t="s">
        <v>182</v>
      </c>
      <c r="E229" s="79" t="s">
        <v>211</v>
      </c>
      <c r="F229" s="98"/>
      <c r="H229" s="29"/>
    </row>
    <row r="230" spans="1:8">
      <c r="A230" s="83" t="str">
        <f>HYPERLINK("http://en.wikipedia.org/wiki/List_of_television_stations_in_Georgia_(U.S._state)","List of GA television stations")</f>
        <v>List of GA television stations</v>
      </c>
      <c r="B230" s="69"/>
      <c r="C230" s="67"/>
      <c r="D230" s="67"/>
      <c r="E230" t="s">
        <v>4901</v>
      </c>
      <c r="F230" s="65"/>
    </row>
    <row r="231" spans="1:8">
      <c r="A231" s="83" t="s">
        <v>4902</v>
      </c>
      <c r="B231" s="69"/>
      <c r="C231" s="67"/>
      <c r="D231" s="67" t="s">
        <v>4903</v>
      </c>
      <c r="F231" s="65"/>
    </row>
    <row r="232" spans="1:8">
      <c r="A232" s="83" t="s">
        <v>4904</v>
      </c>
      <c r="B232" s="69"/>
      <c r="C232" s="67"/>
      <c r="D232" s="67" t="s">
        <v>4905</v>
      </c>
      <c r="F232" s="65"/>
    </row>
    <row r="233" spans="1:8">
      <c r="A233" s="83" t="s">
        <v>4906</v>
      </c>
      <c r="B233" s="69"/>
      <c r="C233" s="67"/>
      <c r="D233" s="67" t="s">
        <v>4907</v>
      </c>
      <c r="F233" s="65"/>
    </row>
    <row r="234" spans="1:8">
      <c r="A234" s="31" t="s">
        <v>4908</v>
      </c>
      <c r="B234" s="97"/>
      <c r="C234" s="97"/>
      <c r="D234" s="97" t="s">
        <v>4909</v>
      </c>
      <c r="E234" s="29"/>
      <c r="F234" s="29"/>
      <c r="G234" s="29"/>
      <c r="H234" s="29"/>
    </row>
    <row r="235" spans="1:8">
      <c r="A235" s="97" t="s">
        <v>4910</v>
      </c>
      <c r="B235" s="97"/>
      <c r="C235" s="97"/>
      <c r="D235" s="97" t="s">
        <v>4911</v>
      </c>
      <c r="E235" s="29"/>
      <c r="F235" s="29"/>
      <c r="G235" s="29"/>
      <c r="H235" s="29"/>
    </row>
    <row r="236" spans="1:8">
      <c r="A236" s="97" t="s">
        <v>4912</v>
      </c>
      <c r="B236" s="97"/>
      <c r="C236" s="97"/>
      <c r="D236" s="97" t="s">
        <v>4913</v>
      </c>
      <c r="E236" s="29"/>
      <c r="F236" s="29"/>
      <c r="G236" s="29"/>
      <c r="H236" s="29"/>
    </row>
    <row r="237" spans="1:8">
      <c r="A237" s="97" t="s">
        <v>4914</v>
      </c>
      <c r="B237" s="97"/>
      <c r="C237" s="97"/>
      <c r="D237" s="97" t="s">
        <v>4915</v>
      </c>
      <c r="E237" s="29"/>
      <c r="F237" s="29"/>
      <c r="G237" s="29"/>
      <c r="H237" s="29"/>
    </row>
    <row r="238" spans="1:8">
      <c r="A238" s="97" t="s">
        <v>4916</v>
      </c>
      <c r="B238" s="97"/>
      <c r="C238" s="97"/>
      <c r="D238" s="97" t="s">
        <v>4917</v>
      </c>
      <c r="E238" s="29"/>
      <c r="F238" s="29"/>
      <c r="G238" s="29"/>
      <c r="H238" s="29"/>
    </row>
    <row r="239" spans="1:8">
      <c r="A239" s="97" t="s">
        <v>4918</v>
      </c>
      <c r="B239" s="97"/>
      <c r="C239" s="97"/>
      <c r="D239" s="97" t="s">
        <v>4919</v>
      </c>
      <c r="E239" s="29"/>
      <c r="F239" s="29"/>
      <c r="G239" s="29"/>
      <c r="H239" s="29"/>
    </row>
    <row r="240" spans="1:8">
      <c r="A240" s="97" t="s">
        <v>4920</v>
      </c>
      <c r="B240" s="97"/>
      <c r="C240" s="97"/>
      <c r="D240" s="97" t="s">
        <v>4921</v>
      </c>
      <c r="E240" s="29"/>
      <c r="F240" s="29"/>
      <c r="G240" s="29"/>
      <c r="H240" s="29"/>
    </row>
    <row r="241" spans="1:8">
      <c r="A241" s="97" t="s">
        <v>4922</v>
      </c>
      <c r="B241" s="97"/>
      <c r="C241" s="97"/>
      <c r="D241" s="97" t="s">
        <v>4923</v>
      </c>
      <c r="E241" s="29"/>
      <c r="F241" s="29"/>
      <c r="G241" s="29"/>
      <c r="H241" s="29"/>
    </row>
    <row r="242" spans="1:8">
      <c r="A242" s="97" t="s">
        <v>4924</v>
      </c>
      <c r="B242" s="97"/>
      <c r="C242" s="97"/>
      <c r="D242" s="97" t="s">
        <v>4925</v>
      </c>
      <c r="E242" s="29"/>
      <c r="F242" s="29"/>
      <c r="G242" s="29"/>
      <c r="H242" s="29"/>
    </row>
    <row r="243" spans="1:8">
      <c r="A243" s="97" t="s">
        <v>4926</v>
      </c>
      <c r="B243" s="97"/>
      <c r="C243" s="97"/>
      <c r="D243" s="97" t="s">
        <v>4927</v>
      </c>
      <c r="E243" s="29"/>
      <c r="F243" s="29"/>
      <c r="G243" s="29"/>
      <c r="H243" s="29"/>
    </row>
    <row r="244" spans="1:8">
      <c r="A244" s="97" t="s">
        <v>4928</v>
      </c>
      <c r="B244" s="97"/>
      <c r="C244" s="97"/>
      <c r="D244" s="97" t="s">
        <v>4929</v>
      </c>
      <c r="E244" s="29"/>
      <c r="F244" s="29"/>
      <c r="G244" s="29"/>
      <c r="H244" s="29"/>
    </row>
    <row r="245" spans="1:8">
      <c r="A245" s="97" t="s">
        <v>4930</v>
      </c>
      <c r="B245" s="97"/>
      <c r="C245" s="97"/>
      <c r="D245" s="97" t="s">
        <v>4931</v>
      </c>
      <c r="E245" s="29"/>
      <c r="F245" s="29"/>
      <c r="G245" s="29"/>
      <c r="H245" s="29"/>
    </row>
    <row r="246" spans="1:8">
      <c r="A246" s="97" t="s">
        <v>4932</v>
      </c>
      <c r="B246" s="97"/>
      <c r="C246" s="97"/>
      <c r="D246" s="97" t="s">
        <v>4933</v>
      </c>
      <c r="E246" s="29"/>
      <c r="F246" s="29"/>
      <c r="G246" s="29"/>
      <c r="H246" s="29"/>
    </row>
    <row r="247" spans="1:8">
      <c r="A247" s="97" t="s">
        <v>4934</v>
      </c>
      <c r="B247" s="97"/>
      <c r="C247" s="97"/>
      <c r="D247" s="97" t="s">
        <v>4935</v>
      </c>
      <c r="E247" s="29"/>
      <c r="F247" s="29"/>
      <c r="G247" s="29"/>
      <c r="H247" s="29"/>
    </row>
    <row r="248" spans="1:8">
      <c r="A248" s="97" t="s">
        <v>4936</v>
      </c>
      <c r="B248" s="97"/>
      <c r="C248" s="97"/>
      <c r="D248" s="97" t="s">
        <v>4937</v>
      </c>
      <c r="E248" s="29"/>
      <c r="F248" s="29"/>
      <c r="G248" s="29"/>
      <c r="H248" s="29"/>
    </row>
    <row r="249" spans="1:8">
      <c r="A249" s="97" t="s">
        <v>4938</v>
      </c>
      <c r="B249" s="97"/>
      <c r="C249" s="97"/>
      <c r="D249" s="97" t="s">
        <v>4939</v>
      </c>
      <c r="E249" s="29"/>
      <c r="F249" s="29"/>
      <c r="G249" s="29"/>
      <c r="H249" s="29"/>
    </row>
    <row r="250" spans="1:8">
      <c r="A250" s="97" t="s">
        <v>4940</v>
      </c>
      <c r="B250" s="97"/>
      <c r="C250" s="97"/>
      <c r="D250" s="97" t="s">
        <v>4941</v>
      </c>
      <c r="E250" s="29"/>
      <c r="F250" s="29"/>
      <c r="G250" s="29"/>
      <c r="H250" s="29"/>
    </row>
    <row r="251" spans="1:8">
      <c r="A251" s="97" t="s">
        <v>4942</v>
      </c>
      <c r="B251" s="97"/>
      <c r="C251" s="97"/>
      <c r="D251" s="97" t="s">
        <v>4943</v>
      </c>
      <c r="E251" s="29"/>
      <c r="F251" s="29"/>
      <c r="G251" s="29"/>
      <c r="H251" s="29"/>
    </row>
    <row r="252" spans="1:8">
      <c r="A252" s="97"/>
      <c r="B252" s="97"/>
      <c r="C252" s="97"/>
      <c r="D252" s="97"/>
      <c r="E252" s="29"/>
      <c r="F252" s="29"/>
      <c r="G252" s="29"/>
      <c r="H252" s="29"/>
    </row>
    <row r="253" spans="1:8">
      <c r="A253" s="60" t="s">
        <v>3157</v>
      </c>
      <c r="B253" s="43"/>
      <c r="C253" s="43"/>
      <c r="D253" s="43"/>
      <c r="E253" s="29"/>
      <c r="F253" s="29"/>
      <c r="G253" s="29"/>
      <c r="H253" s="29"/>
    </row>
    <row r="254" spans="1:8">
      <c r="A254" s="97" t="s">
        <v>4944</v>
      </c>
      <c r="B254" s="97"/>
      <c r="C254" s="97"/>
      <c r="D254" s="97" t="s">
        <v>4945</v>
      </c>
      <c r="E254" s="29" t="s">
        <v>4946</v>
      </c>
      <c r="F254" s="29"/>
      <c r="G254" s="29"/>
      <c r="H254" s="29"/>
    </row>
    <row r="255" spans="1:8">
      <c r="A255" s="97" t="s">
        <v>4947</v>
      </c>
      <c r="B255" s="97" t="s">
        <v>4948</v>
      </c>
      <c r="C255" s="97" t="s">
        <v>4949</v>
      </c>
      <c r="D255" s="97" t="s">
        <v>4950</v>
      </c>
      <c r="E255" s="29"/>
      <c r="F255" s="29"/>
      <c r="G255" s="29"/>
      <c r="H255" s="29"/>
    </row>
    <row r="256" spans="1:8">
      <c r="A256" s="97"/>
      <c r="B256" s="97"/>
      <c r="C256" s="97"/>
      <c r="D256" s="97"/>
      <c r="E256" s="29"/>
      <c r="F256" s="29"/>
      <c r="G256" s="29"/>
      <c r="H256" s="29"/>
    </row>
    <row r="257" spans="1:8">
      <c r="A257" s="97"/>
      <c r="B257" s="97"/>
      <c r="C257" s="97"/>
      <c r="D257" s="97"/>
      <c r="E257" s="29"/>
      <c r="F257" s="29"/>
      <c r="G257" s="29"/>
      <c r="H257" s="29"/>
    </row>
    <row r="258" spans="1:8">
      <c r="A258" s="97"/>
      <c r="B258" s="97"/>
      <c r="C258" s="97"/>
      <c r="D258" s="97"/>
      <c r="E258" s="29"/>
      <c r="F258" s="29"/>
      <c r="G258" s="29"/>
      <c r="H258" s="29"/>
    </row>
  </sheetData>
  <customSheetViews>
    <customSheetView guid="{617856E6-44D1-4ADD-8CA5-796514BA6839}">
      <pageMargins left="0.7" right="0.7" top="0.75" bottom="0.75" header="0.3" footer="0.3"/>
    </customSheetView>
  </customSheetViews>
  <mergeCells count="1">
    <mergeCell ref="F18:F20"/>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F97"/>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25.7109375" customWidth="1"/>
    <col min="6" max="6" width="25" customWidth="1"/>
  </cols>
  <sheetData>
    <row r="1" spans="1:6" ht="15" customHeight="1">
      <c r="A1" s="56" t="s">
        <v>1403</v>
      </c>
      <c r="C1" s="34"/>
      <c r="D1" s="34"/>
      <c r="E1" s="34"/>
      <c r="F1" s="34"/>
    </row>
    <row r="2" spans="1:6">
      <c r="A2" s="79" t="s">
        <v>146</v>
      </c>
      <c r="B2" s="79" t="s">
        <v>147</v>
      </c>
      <c r="C2" s="79" t="s">
        <v>148</v>
      </c>
      <c r="D2" s="79" t="s">
        <v>182</v>
      </c>
      <c r="E2" s="34"/>
      <c r="F2" s="34"/>
    </row>
    <row r="3" spans="1:6">
      <c r="A3" s="67" t="str">
        <f>HYPERLINK("V","Hawaii")</f>
        <v>Hawaii</v>
      </c>
      <c r="C3" s="34"/>
      <c r="D3" s="67" t="s">
        <v>4951</v>
      </c>
      <c r="E3" s="34"/>
      <c r="F3" s="34"/>
    </row>
    <row r="4" spans="1:6">
      <c r="A4" s="67" t="s">
        <v>4952</v>
      </c>
      <c r="C4" s="34"/>
      <c r="D4" s="11" t="s">
        <v>4953</v>
      </c>
      <c r="E4" s="34"/>
      <c r="F4" s="34"/>
    </row>
    <row r="5" spans="1:6">
      <c r="A5" s="67" t="s">
        <v>4954</v>
      </c>
      <c r="C5" s="34" t="s">
        <v>4955</v>
      </c>
      <c r="D5" s="11" t="str">
        <f>HYPERLINK("http://wildlife.rescueshelter.com/Hawaii","http://wildlife.rescueshelter.com/Hawaii")</f>
        <v>http://wildlife.rescueshelter.com/Hawaii</v>
      </c>
      <c r="E5" s="34"/>
      <c r="F5" s="34"/>
    </row>
    <row r="6" spans="1:6" ht="15" customHeight="1">
      <c r="A6" t="s">
        <v>4956</v>
      </c>
      <c r="C6" s="34" t="s">
        <v>4957</v>
      </c>
      <c r="D6" s="34" t="s">
        <v>4958</v>
      </c>
      <c r="E6" s="34"/>
      <c r="F6" s="34"/>
    </row>
    <row r="7" spans="1:6" ht="15" customHeight="1">
      <c r="A7" t="s">
        <v>4959</v>
      </c>
      <c r="C7" s="34"/>
      <c r="D7" s="34" t="s">
        <v>4960</v>
      </c>
      <c r="E7" s="34"/>
      <c r="F7" s="34"/>
    </row>
    <row r="8" spans="1:6" ht="15" customHeight="1">
      <c r="A8" s="72" t="s">
        <v>4961</v>
      </c>
      <c r="C8" s="34"/>
      <c r="D8" s="34" t="s">
        <v>4962</v>
      </c>
      <c r="E8" s="34"/>
      <c r="F8" s="34"/>
    </row>
    <row r="9" spans="1:6" ht="15" customHeight="1">
      <c r="A9" s="29"/>
      <c r="C9" s="34"/>
      <c r="D9" s="34"/>
      <c r="E9" s="34"/>
      <c r="F9" s="34"/>
    </row>
    <row r="10" spans="1:6" ht="15" customHeight="1">
      <c r="A10" s="41" t="s">
        <v>181</v>
      </c>
      <c r="B10" s="41" t="s">
        <v>147</v>
      </c>
      <c r="C10" s="77" t="s">
        <v>148</v>
      </c>
      <c r="D10" s="77" t="s">
        <v>182</v>
      </c>
      <c r="E10" s="34"/>
      <c r="F10" s="34"/>
    </row>
    <row r="11" spans="1:6" ht="15" customHeight="1">
      <c r="A11" t="str">
        <f>HYPERLINK("http://en.wikipedia.org/wiki/Honolulu","Honolulu")</f>
        <v>Honolulu</v>
      </c>
      <c r="B11" t="s">
        <v>4963</v>
      </c>
      <c r="C11" s="34" t="s">
        <v>4964</v>
      </c>
      <c r="D11" s="34" t="s">
        <v>4965</v>
      </c>
      <c r="E11" t="str">
        <f>HYPERLINK("http://www1.honolulu.gov/dem/","Honolulu DEM")</f>
        <v>Honolulu DEM</v>
      </c>
      <c r="F11" s="34" t="s">
        <v>4966</v>
      </c>
    </row>
    <row r="12" spans="1:6" ht="15" customHeight="1">
      <c r="A12" t="str">
        <f>HYPERLINK("http://en.wikipedia.org/wiki/Hilo,_Hawaii","Hilo")</f>
        <v>Hilo</v>
      </c>
      <c r="C12" s="34"/>
      <c r="D12" s="34" t="s">
        <v>4967</v>
      </c>
      <c r="E12" s="34"/>
      <c r="F12" s="34"/>
    </row>
    <row r="13" spans="1:6" ht="15" customHeight="1">
      <c r="A13" t="str">
        <f>HYPERLINK("http://en.wikipedia.org/wiki/Kailua,_Hawaii_County,_Hawaii","Kailua")</f>
        <v>Kailua</v>
      </c>
      <c r="B13" t="s">
        <v>4968</v>
      </c>
      <c r="C13" s="34"/>
      <c r="D13" s="34" t="s">
        <v>4967</v>
      </c>
      <c r="E13" s="34"/>
      <c r="F13" s="34"/>
    </row>
    <row r="14" spans="1:6" ht="15" customHeight="1">
      <c r="A14" t="str">
        <f>HYPERLINK("http://en.wikipedia.org/wiki/Kapolei,_Hawaii","Kapolei")</f>
        <v>Kapolei</v>
      </c>
      <c r="B14" t="s">
        <v>4963</v>
      </c>
      <c r="C14" s="34" t="s">
        <v>4964</v>
      </c>
      <c r="D14" s="34" t="s">
        <v>4965</v>
      </c>
      <c r="E14" t="str">
        <f>HYPERLINK("http://www1.honolulu.gov/dem/","Honolulu DEM")</f>
        <v>Honolulu DEM</v>
      </c>
      <c r="F14" s="34"/>
    </row>
    <row r="15" spans="1:6" ht="15" customHeight="1">
      <c r="A15" t="str">
        <f>HYPERLINK("http://en.wikipedia.org/wiki/Kaneohe,_Hawaii","Kaneohe")</f>
        <v>Kaneohe</v>
      </c>
      <c r="C15" s="34" t="s">
        <v>4964</v>
      </c>
      <c r="D15" s="34" t="s">
        <v>4965</v>
      </c>
      <c r="E15" s="34"/>
      <c r="F15" s="34"/>
    </row>
    <row r="16" spans="1:6" ht="15" customHeight="1">
      <c r="A16" s="41" t="s">
        <v>4969</v>
      </c>
      <c r="C16" s="34"/>
      <c r="D16" s="34"/>
      <c r="E16" s="34"/>
      <c r="F16" s="34"/>
    </row>
    <row r="17" spans="1:6" ht="15" customHeight="1">
      <c r="A17" t="str">
        <f>HYPERLINK("http://en.wikipedia.org/wiki/Hawaii_(island)"," Hawaii Island")</f>
        <v xml:space="preserve"> Hawaii Island</v>
      </c>
      <c r="C17" s="34"/>
      <c r="D17" s="34"/>
      <c r="E17" s="34"/>
      <c r="F17" s="34"/>
    </row>
    <row r="18" spans="1:6" ht="15" customHeight="1">
      <c r="A18" t="str">
        <f>HYPERLINK("http://en.wikipedia.org/wiki/Maui","Maui")</f>
        <v>Maui</v>
      </c>
      <c r="C18" s="34"/>
      <c r="D18" s="34" t="s">
        <v>4970</v>
      </c>
      <c r="E18" s="34"/>
      <c r="F18" s="34"/>
    </row>
    <row r="19" spans="1:6" ht="15" customHeight="1">
      <c r="A19" t="str">
        <f>HYPERLINK("http://en.wikipedia.org/wiki/Oahu","Oahu")</f>
        <v>Oahu</v>
      </c>
      <c r="B19" t="s">
        <v>4971</v>
      </c>
      <c r="C19" s="34" t="s">
        <v>4972</v>
      </c>
      <c r="D19" s="34"/>
      <c r="E19" s="34" t="str">
        <f>HYPERLINK("https://www.facebook.com/OahuDEM","OahuDEM")</f>
        <v>OahuDEM</v>
      </c>
      <c r="F19" s="34"/>
    </row>
    <row r="20" spans="1:6" ht="15" customHeight="1">
      <c r="A20" t="str">
        <f>HYPERLINK("http://en.wikipedia.org/wiki/Kauai","Kauai")</f>
        <v>Kauai</v>
      </c>
      <c r="C20" s="34"/>
      <c r="D20" s="34"/>
      <c r="E20" s="34"/>
      <c r="F20" s="34"/>
    </row>
    <row r="21" spans="1:6" ht="15" customHeight="1">
      <c r="A21" t="str">
        <f>HYPERLINK("http://en.wikipedia.org/wiki/Molokai","Molokai")</f>
        <v>Molokai</v>
      </c>
      <c r="C21" s="34"/>
      <c r="D21" s="34"/>
      <c r="E21" s="34"/>
      <c r="F21" s="34"/>
    </row>
    <row r="22" spans="1:6" ht="15" customHeight="1">
      <c r="A22" t="str">
        <f>HYPERLINK("http://en.wikipedia.org/wiki/Lanaii","Lanaii")</f>
        <v>Lanaii</v>
      </c>
      <c r="C22" s="34"/>
      <c r="D22" s="34"/>
      <c r="E22" s="34"/>
      <c r="F22" s="34"/>
    </row>
    <row r="23" spans="1:6" ht="15" customHeight="1">
      <c r="A23" t="str">
        <f>HYPERLINK("http://en.wikipedia.org/wiki/Niihau","Niihau")</f>
        <v>Niihau</v>
      </c>
      <c r="C23" s="34"/>
      <c r="D23" s="34"/>
      <c r="E23" s="34"/>
      <c r="F23" s="34"/>
    </row>
    <row r="24" spans="1:6" ht="15" customHeight="1">
      <c r="A24" t="str">
        <f>HYPERLINK("http://en.wikipedia.org/wiki/Kahoolawe","Kahoolawe")</f>
        <v>Kahoolawe</v>
      </c>
      <c r="C24" s="34"/>
      <c r="D24" s="34"/>
      <c r="E24" s="34"/>
      <c r="F24" s="34"/>
    </row>
    <row r="25" spans="1:6">
      <c r="A25" s="79" t="s">
        <v>209</v>
      </c>
      <c r="B25" s="79" t="s">
        <v>147</v>
      </c>
      <c r="C25" s="79" t="s">
        <v>148</v>
      </c>
      <c r="D25" s="79" t="s">
        <v>182</v>
      </c>
      <c r="E25" s="14" t="s">
        <v>183</v>
      </c>
      <c r="F25" s="34"/>
    </row>
    <row r="26" spans="1:6">
      <c r="A26" s="67" t="s">
        <v>4973</v>
      </c>
      <c r="C26" s="34"/>
      <c r="D26" s="67" t="s">
        <v>4967</v>
      </c>
      <c r="E26" s="65" t="str">
        <f>HYPERLINK("http://www.hawaiicounty.gov/active-alerts/","CIVIL DEFENSE MESSAGES AND ALERTS")</f>
        <v>CIVIL DEFENSE MESSAGES AND ALERTS</v>
      </c>
      <c r="F26" s="34" t="str">
        <f>HYPERLINK("http://flood.hawaiicounty.gov/","County of Hawai‘i, Department of Public Works-Flood awareness")</f>
        <v>County of Hawai‘i, Department of Public Works-Flood awareness</v>
      </c>
    </row>
    <row r="27" spans="1:6">
      <c r="A27" s="67" t="s">
        <v>4974</v>
      </c>
      <c r="B27" s="70" t="s">
        <v>4975</v>
      </c>
      <c r="C27" s="67" t="s">
        <v>4976</v>
      </c>
      <c r="D27" s="67" t="s">
        <v>4977</v>
      </c>
      <c r="E27" s="34" t="str">
        <f>HYPERLINK("http://www.co.maui.hi.us/index.aspx?nid=70","Maui Civil Defense Agency")</f>
        <v>Maui Civil Defense Agency</v>
      </c>
      <c r="F27" s="34"/>
    </row>
    <row r="28" spans="1:6">
      <c r="A28" s="67" t="s">
        <v>4978</v>
      </c>
      <c r="B28" s="70" t="s">
        <v>4979</v>
      </c>
      <c r="C28" s="67" t="s">
        <v>4980</v>
      </c>
      <c r="D28" s="67" t="s">
        <v>4981</v>
      </c>
      <c r="E28" s="34"/>
      <c r="F28" s="34"/>
    </row>
    <row r="29" spans="1:6">
      <c r="A29" s="67" t="s">
        <v>4982</v>
      </c>
      <c r="C29" s="67" t="s">
        <v>4983</v>
      </c>
      <c r="D29" s="67" t="s">
        <v>4984</v>
      </c>
      <c r="E29" s="34"/>
      <c r="F29" s="34"/>
    </row>
    <row r="30" spans="1:6" ht="15" customHeight="1">
      <c r="A30" t="s">
        <v>4985</v>
      </c>
      <c r="B30" t="s">
        <v>4986</v>
      </c>
      <c r="C30" s="34" t="s">
        <v>4966</v>
      </c>
      <c r="D30" s="34" t="s">
        <v>4965</v>
      </c>
      <c r="E30" s="34"/>
      <c r="F30" s="34"/>
    </row>
    <row r="31" spans="1:6" ht="15" customHeight="1">
      <c r="C31" s="34"/>
      <c r="D31" s="34"/>
      <c r="E31" s="34"/>
      <c r="F31" s="34"/>
    </row>
    <row r="32" spans="1:6">
      <c r="A32" s="79" t="s">
        <v>333</v>
      </c>
      <c r="B32" s="79" t="s">
        <v>147</v>
      </c>
      <c r="C32" s="79" t="s">
        <v>148</v>
      </c>
      <c r="D32" s="79" t="s">
        <v>182</v>
      </c>
      <c r="E32" s="34"/>
      <c r="F32" s="34"/>
    </row>
    <row r="33" spans="1:6">
      <c r="A33" s="67" t="s">
        <v>4987</v>
      </c>
      <c r="B33" s="70" t="s">
        <v>4988</v>
      </c>
      <c r="C33" s="67" t="s">
        <v>4989</v>
      </c>
      <c r="D33" s="67" t="s">
        <v>4990</v>
      </c>
      <c r="E33" s="34"/>
      <c r="F33" s="34"/>
    </row>
    <row r="34" spans="1:6">
      <c r="A34" s="67" t="s">
        <v>4991</v>
      </c>
      <c r="C34" s="34"/>
      <c r="D34" s="67" t="s">
        <v>4992</v>
      </c>
      <c r="E34" s="34"/>
      <c r="F34" s="34"/>
    </row>
    <row r="35" spans="1:6">
      <c r="A35" s="67" t="s">
        <v>4993</v>
      </c>
      <c r="C35" s="34"/>
      <c r="D35" s="67" t="s">
        <v>4994</v>
      </c>
      <c r="E35" s="34"/>
      <c r="F35" s="34"/>
    </row>
    <row r="36" spans="1:6" ht="15" customHeight="1">
      <c r="A36" t="s">
        <v>4995</v>
      </c>
      <c r="C36" s="34"/>
      <c r="D36" s="34" t="s">
        <v>4996</v>
      </c>
      <c r="E36" s="34"/>
      <c r="F36" s="34"/>
    </row>
    <row r="37" spans="1:6" ht="15" customHeight="1">
      <c r="A37" t="s">
        <v>4997</v>
      </c>
      <c r="C37" s="34"/>
      <c r="D37" s="34" t="s">
        <v>4996</v>
      </c>
      <c r="E37" s="34"/>
      <c r="F37" s="34"/>
    </row>
    <row r="38" spans="1:6" ht="15" customHeight="1">
      <c r="A38" t="s">
        <v>4998</v>
      </c>
      <c r="C38" s="34"/>
      <c r="D38" s="34" t="s">
        <v>4996</v>
      </c>
      <c r="E38" s="34"/>
      <c r="F38" s="34"/>
    </row>
    <row r="39" spans="1:6" ht="15" customHeight="1">
      <c r="A39" t="s">
        <v>4999</v>
      </c>
      <c r="B39" t="s">
        <v>5000</v>
      </c>
      <c r="C39" s="34" t="s">
        <v>5001</v>
      </c>
      <c r="D39" s="34" t="s">
        <v>5002</v>
      </c>
      <c r="E39" s="34"/>
      <c r="F39" s="34"/>
    </row>
    <row r="40" spans="1:6" ht="15" customHeight="1">
      <c r="A40" t="s">
        <v>5003</v>
      </c>
      <c r="C40" s="34"/>
      <c r="D40" s="34"/>
      <c r="E40" s="34"/>
      <c r="F40" s="34"/>
    </row>
    <row r="41" spans="1:6">
      <c r="A41" s="79" t="s">
        <v>388</v>
      </c>
      <c r="B41" s="79" t="s">
        <v>147</v>
      </c>
      <c r="C41" s="79" t="s">
        <v>148</v>
      </c>
      <c r="D41" s="79" t="s">
        <v>182</v>
      </c>
      <c r="E41" s="79" t="s">
        <v>490</v>
      </c>
      <c r="F41" s="34"/>
    </row>
    <row r="42" spans="1:6" ht="15" customHeight="1">
      <c r="A42" t="s">
        <v>5004</v>
      </c>
      <c r="B42" t="s">
        <v>5005</v>
      </c>
      <c r="C42" s="34"/>
      <c r="D42" s="34"/>
      <c r="E42" s="34"/>
      <c r="F42" s="34"/>
    </row>
    <row r="43" spans="1:6" ht="15" customHeight="1">
      <c r="A43" t="s">
        <v>5006</v>
      </c>
      <c r="B43" t="s">
        <v>787</v>
      </c>
      <c r="C43" s="34" t="s">
        <v>787</v>
      </c>
      <c r="D43" s="34" t="s">
        <v>5007</v>
      </c>
      <c r="E43" s="34" t="s">
        <v>5008</v>
      </c>
      <c r="F43" s="34"/>
    </row>
    <row r="44" spans="1:6" ht="15" customHeight="1">
      <c r="A44" t="s">
        <v>5009</v>
      </c>
      <c r="B44" t="s">
        <v>787</v>
      </c>
      <c r="C44" s="34" t="s">
        <v>787</v>
      </c>
      <c r="D44" s="34" t="s">
        <v>5007</v>
      </c>
      <c r="E44" s="34" t="s">
        <v>4978</v>
      </c>
      <c r="F44" s="34"/>
    </row>
    <row r="45" spans="1:6" ht="15" customHeight="1">
      <c r="A45" t="s">
        <v>5010</v>
      </c>
      <c r="B45" t="s">
        <v>787</v>
      </c>
      <c r="C45" s="34" t="s">
        <v>787</v>
      </c>
      <c r="D45" s="34" t="s">
        <v>5007</v>
      </c>
      <c r="E45" s="34" t="s">
        <v>5011</v>
      </c>
      <c r="F45" s="34"/>
    </row>
    <row r="46" spans="1:6" ht="15" customHeight="1">
      <c r="A46" t="s">
        <v>5012</v>
      </c>
      <c r="B46" t="s">
        <v>787</v>
      </c>
      <c r="C46" s="34" t="s">
        <v>787</v>
      </c>
      <c r="D46" s="34" t="s">
        <v>5007</v>
      </c>
      <c r="E46" s="34" t="s">
        <v>4978</v>
      </c>
      <c r="F46" s="34"/>
    </row>
    <row r="47" spans="1:6" ht="15" customHeight="1">
      <c r="A47" t="s">
        <v>5013</v>
      </c>
      <c r="B47" t="s">
        <v>787</v>
      </c>
      <c r="C47" s="34" t="s">
        <v>787</v>
      </c>
      <c r="D47" s="34" t="s">
        <v>5007</v>
      </c>
      <c r="E47" s="34" t="s">
        <v>5014</v>
      </c>
      <c r="F47" s="34"/>
    </row>
    <row r="48" spans="1:6" ht="15" customHeight="1">
      <c r="A48" t="s">
        <v>5015</v>
      </c>
      <c r="B48" t="s">
        <v>787</v>
      </c>
      <c r="C48" s="34" t="s">
        <v>787</v>
      </c>
      <c r="D48" s="34" t="s">
        <v>5007</v>
      </c>
      <c r="E48" s="34" t="s">
        <v>5016</v>
      </c>
      <c r="F48" s="34"/>
    </row>
    <row r="49" spans="1:6" ht="15" customHeight="1">
      <c r="A49" t="s">
        <v>5017</v>
      </c>
      <c r="B49" t="s">
        <v>787</v>
      </c>
      <c r="C49" s="34" t="s">
        <v>787</v>
      </c>
      <c r="D49" s="34" t="s">
        <v>5007</v>
      </c>
      <c r="E49" s="34" t="s">
        <v>5018</v>
      </c>
      <c r="F49" s="34"/>
    </row>
    <row r="50" spans="1:6" ht="15" customHeight="1">
      <c r="A50" t="s">
        <v>5019</v>
      </c>
      <c r="B50" t="s">
        <v>787</v>
      </c>
      <c r="C50" s="34" t="s">
        <v>787</v>
      </c>
      <c r="D50" s="34" t="s">
        <v>5007</v>
      </c>
      <c r="E50" s="34" t="s">
        <v>5018</v>
      </c>
      <c r="F50" s="34"/>
    </row>
    <row r="51" spans="1:6" ht="15" customHeight="1">
      <c r="A51" t="s">
        <v>5020</v>
      </c>
      <c r="B51" t="s">
        <v>787</v>
      </c>
      <c r="C51" s="34" t="s">
        <v>787</v>
      </c>
      <c r="D51" s="34" t="s">
        <v>5007</v>
      </c>
      <c r="E51" s="34" t="s">
        <v>4978</v>
      </c>
      <c r="F51" s="34"/>
    </row>
    <row r="52" spans="1:6" ht="15" customHeight="1">
      <c r="A52" t="s">
        <v>5021</v>
      </c>
      <c r="B52" t="s">
        <v>787</v>
      </c>
      <c r="C52" s="34" t="s">
        <v>787</v>
      </c>
      <c r="D52" s="34" t="s">
        <v>5007</v>
      </c>
      <c r="E52" s="34" t="s">
        <v>4978</v>
      </c>
      <c r="F52" s="34"/>
    </row>
    <row r="53" spans="1:6" ht="15" customHeight="1">
      <c r="A53" t="s">
        <v>5022</v>
      </c>
      <c r="B53" t="s">
        <v>787</v>
      </c>
      <c r="C53" s="34" t="s">
        <v>787</v>
      </c>
      <c r="D53" s="34" t="s">
        <v>5007</v>
      </c>
      <c r="E53" s="34" t="s">
        <v>5023</v>
      </c>
      <c r="F53" s="34"/>
    </row>
    <row r="54" spans="1:6" ht="15" customHeight="1">
      <c r="A54" t="s">
        <v>5024</v>
      </c>
      <c r="B54" t="s">
        <v>787</v>
      </c>
      <c r="C54" s="34" t="s">
        <v>787</v>
      </c>
      <c r="D54" s="34" t="s">
        <v>5007</v>
      </c>
      <c r="E54" s="34" t="s">
        <v>5025</v>
      </c>
      <c r="F54" s="34"/>
    </row>
    <row r="55" spans="1:6" ht="15" customHeight="1">
      <c r="A55" t="s">
        <v>5026</v>
      </c>
      <c r="B55" t="s">
        <v>787</v>
      </c>
      <c r="C55" s="34" t="s">
        <v>787</v>
      </c>
      <c r="D55" s="34" t="s">
        <v>5007</v>
      </c>
      <c r="E55" s="34" t="s">
        <v>5027</v>
      </c>
      <c r="F55" s="34"/>
    </row>
    <row r="56" spans="1:6" ht="15" customHeight="1">
      <c r="A56" t="s">
        <v>5028</v>
      </c>
      <c r="B56" t="s">
        <v>787</v>
      </c>
      <c r="C56" s="34" t="s">
        <v>787</v>
      </c>
      <c r="D56" s="34" t="s">
        <v>5007</v>
      </c>
      <c r="E56" s="34" t="s">
        <v>5029</v>
      </c>
      <c r="F56" s="34"/>
    </row>
    <row r="57" spans="1:6" ht="15" customHeight="1">
      <c r="A57" t="s">
        <v>5030</v>
      </c>
      <c r="B57" t="s">
        <v>787</v>
      </c>
      <c r="C57" s="34" t="s">
        <v>787</v>
      </c>
      <c r="D57" s="34" t="s">
        <v>5007</v>
      </c>
      <c r="E57" s="34" t="s">
        <v>5031</v>
      </c>
      <c r="F57" s="34"/>
    </row>
    <row r="58" spans="1:6" ht="15" customHeight="1">
      <c r="C58" s="34"/>
      <c r="D58" s="34"/>
      <c r="E58" s="34"/>
      <c r="F58" s="34"/>
    </row>
    <row r="59" spans="1:6">
      <c r="A59" s="79" t="s">
        <v>878</v>
      </c>
      <c r="B59" s="79" t="s">
        <v>147</v>
      </c>
      <c r="C59" s="79" t="s">
        <v>148</v>
      </c>
      <c r="D59" s="79" t="s">
        <v>182</v>
      </c>
      <c r="E59" s="34"/>
      <c r="F59" s="34"/>
    </row>
    <row r="60" spans="1:6">
      <c r="A60" s="67" t="s">
        <v>5032</v>
      </c>
      <c r="C60" s="34"/>
      <c r="D60" s="67" t="s">
        <v>5033</v>
      </c>
      <c r="E60" s="34"/>
      <c r="F60" s="34"/>
    </row>
    <row r="61" spans="1:6">
      <c r="A61" s="67" t="s">
        <v>5034</v>
      </c>
      <c r="C61" s="34"/>
      <c r="D61" s="67" t="s">
        <v>5035</v>
      </c>
      <c r="E61" s="34"/>
      <c r="F61" s="34"/>
    </row>
    <row r="62" spans="1:6">
      <c r="A62" s="67" t="s">
        <v>5036</v>
      </c>
      <c r="C62" s="34"/>
      <c r="D62" s="67" t="s">
        <v>5037</v>
      </c>
      <c r="E62" s="34"/>
      <c r="F62" s="34"/>
    </row>
    <row r="63" spans="1:6">
      <c r="A63" s="67" t="s">
        <v>5038</v>
      </c>
      <c r="C63" s="34"/>
      <c r="D63" s="67" t="s">
        <v>5039</v>
      </c>
      <c r="E63" s="34"/>
      <c r="F63" s="34"/>
    </row>
    <row r="64" spans="1:6">
      <c r="A64" s="67" t="s">
        <v>5040</v>
      </c>
      <c r="C64" s="34"/>
      <c r="D64" s="67" t="s">
        <v>5041</v>
      </c>
      <c r="E64" s="34"/>
      <c r="F64" s="34"/>
    </row>
    <row r="65" spans="1:6">
      <c r="A65" s="67" t="s">
        <v>5042</v>
      </c>
      <c r="C65" s="34"/>
      <c r="D65" s="67" t="s">
        <v>5043</v>
      </c>
      <c r="E65" s="34"/>
      <c r="F65" s="34"/>
    </row>
    <row r="66" spans="1:6">
      <c r="A66" s="67" t="s">
        <v>5044</v>
      </c>
      <c r="C66" s="34"/>
      <c r="D66" s="67" t="s">
        <v>5045</v>
      </c>
      <c r="E66" s="34"/>
      <c r="F66" s="34"/>
    </row>
    <row r="67" spans="1:6" ht="15" customHeight="1">
      <c r="C67" s="34"/>
      <c r="D67" s="34"/>
      <c r="E67" s="34"/>
      <c r="F67" s="34"/>
    </row>
    <row r="68" spans="1:6">
      <c r="A68" s="79" t="s">
        <v>428</v>
      </c>
      <c r="B68" s="79" t="s">
        <v>147</v>
      </c>
      <c r="C68" s="79" t="s">
        <v>148</v>
      </c>
      <c r="D68" s="79" t="s">
        <v>182</v>
      </c>
      <c r="E68" s="34"/>
      <c r="F68" s="34"/>
    </row>
    <row r="69" spans="1:6">
      <c r="A69" s="67" t="s">
        <v>5046</v>
      </c>
      <c r="C69" s="67" t="s">
        <v>5047</v>
      </c>
      <c r="D69" s="67" t="s">
        <v>5048</v>
      </c>
      <c r="E69" s="34"/>
      <c r="F69" s="34"/>
    </row>
    <row r="70" spans="1:6">
      <c r="A70" s="67" t="s">
        <v>5049</v>
      </c>
      <c r="B70" s="70" t="s">
        <v>5050</v>
      </c>
      <c r="C70" s="67" t="s">
        <v>5051</v>
      </c>
      <c r="D70" s="67" t="s">
        <v>5052</v>
      </c>
      <c r="E70" s="34"/>
      <c r="F70" s="34"/>
    </row>
    <row r="71" spans="1:6">
      <c r="A71" s="67" t="s">
        <v>5053</v>
      </c>
      <c r="C71" s="67" t="s">
        <v>5054</v>
      </c>
      <c r="D71" s="67" t="s">
        <v>5055</v>
      </c>
      <c r="E71" s="34"/>
      <c r="F71" s="34"/>
    </row>
    <row r="72" spans="1:6">
      <c r="A72" s="67" t="s">
        <v>5056</v>
      </c>
      <c r="B72" s="70" t="s">
        <v>5057</v>
      </c>
      <c r="C72" s="67" t="s">
        <v>5058</v>
      </c>
      <c r="D72" s="67" t="s">
        <v>5059</v>
      </c>
      <c r="E72" s="34"/>
      <c r="F72" s="34"/>
    </row>
    <row r="73" spans="1:6">
      <c r="A73" s="67" t="s">
        <v>5060</v>
      </c>
      <c r="B73" s="70" t="s">
        <v>5061</v>
      </c>
      <c r="C73" s="67" t="s">
        <v>5062</v>
      </c>
      <c r="D73" s="67" t="s">
        <v>5063</v>
      </c>
      <c r="E73" s="34"/>
      <c r="F73" s="34"/>
    </row>
    <row r="74" spans="1:6">
      <c r="A74" s="67" t="s">
        <v>5064</v>
      </c>
      <c r="B74" s="70" t="s">
        <v>5065</v>
      </c>
      <c r="C74" s="67" t="s">
        <v>5066</v>
      </c>
      <c r="D74" s="67" t="s">
        <v>5067</v>
      </c>
      <c r="E74" s="34"/>
      <c r="F74" s="34"/>
    </row>
    <row r="75" spans="1:6">
      <c r="A75" s="67" t="s">
        <v>5068</v>
      </c>
      <c r="C75" s="67" t="s">
        <v>5069</v>
      </c>
      <c r="D75" s="67" t="s">
        <v>5070</v>
      </c>
      <c r="E75" s="34"/>
      <c r="F75" s="34"/>
    </row>
    <row r="76" spans="1:6">
      <c r="A76" s="67" t="s">
        <v>5071</v>
      </c>
      <c r="C76" s="67" t="s">
        <v>5072</v>
      </c>
      <c r="D76" s="67" t="s">
        <v>5073</v>
      </c>
      <c r="E76" s="34"/>
      <c r="F76" s="34"/>
    </row>
    <row r="77" spans="1:6">
      <c r="A77" s="67" t="s">
        <v>5074</v>
      </c>
      <c r="B77" s="70" t="s">
        <v>5075</v>
      </c>
      <c r="C77" s="67" t="s">
        <v>5076</v>
      </c>
      <c r="D77" s="67" t="s">
        <v>5077</v>
      </c>
      <c r="E77" s="34"/>
      <c r="F77" s="34"/>
    </row>
    <row r="78" spans="1:6">
      <c r="A78" s="67" t="s">
        <v>5078</v>
      </c>
      <c r="B78" s="70" t="s">
        <v>5079</v>
      </c>
      <c r="C78" s="67" t="s">
        <v>5080</v>
      </c>
      <c r="D78" s="67" t="s">
        <v>5081</v>
      </c>
      <c r="E78" s="34"/>
      <c r="F78" s="34"/>
    </row>
    <row r="79" spans="1:6">
      <c r="A79" s="67" t="s">
        <v>5082</v>
      </c>
      <c r="B79" s="70"/>
      <c r="C79" s="67" t="s">
        <v>5083</v>
      </c>
      <c r="D79" s="67"/>
      <c r="E79" s="34"/>
      <c r="F79" s="34"/>
    </row>
    <row r="80" spans="1:6">
      <c r="A80" s="79" t="s">
        <v>5084</v>
      </c>
      <c r="B80" s="79" t="s">
        <v>147</v>
      </c>
      <c r="C80" s="79" t="s">
        <v>148</v>
      </c>
      <c r="D80" s="79" t="s">
        <v>182</v>
      </c>
      <c r="E80" s="79" t="s">
        <v>490</v>
      </c>
      <c r="F80" s="34"/>
    </row>
    <row r="81" spans="1:6">
      <c r="A81" s="67" t="s">
        <v>5085</v>
      </c>
      <c r="B81" s="70"/>
      <c r="C81" s="67"/>
      <c r="D81" s="67"/>
      <c r="E81" s="34" t="s">
        <v>5086</v>
      </c>
      <c r="F81" s="34"/>
    </row>
    <row r="82" spans="1:6">
      <c r="A82" s="67" t="s">
        <v>5087</v>
      </c>
      <c r="B82" s="70"/>
      <c r="C82" s="67"/>
      <c r="D82" s="67"/>
      <c r="E82" s="34" t="s">
        <v>4978</v>
      </c>
      <c r="F82" s="34"/>
    </row>
    <row r="83" spans="1:6">
      <c r="A83" s="67" t="s">
        <v>5088</v>
      </c>
      <c r="B83" s="70"/>
      <c r="C83" s="67"/>
      <c r="D83" s="67"/>
      <c r="E83" s="34" t="s">
        <v>4978</v>
      </c>
      <c r="F83" s="34"/>
    </row>
    <row r="84" spans="1:6">
      <c r="A84" s="67" t="s">
        <v>5089</v>
      </c>
      <c r="B84" s="70"/>
      <c r="C84" s="67"/>
      <c r="D84" s="67"/>
      <c r="E84" s="34" t="s">
        <v>5090</v>
      </c>
      <c r="F84" s="34"/>
    </row>
    <row r="85" spans="1:6">
      <c r="A85" s="67" t="s">
        <v>5091</v>
      </c>
      <c r="B85" s="70"/>
      <c r="C85" s="67"/>
      <c r="D85" s="67"/>
      <c r="E85" s="34" t="s">
        <v>5092</v>
      </c>
      <c r="F85" s="34"/>
    </row>
    <row r="86" spans="1:6">
      <c r="A86" s="67" t="s">
        <v>5093</v>
      </c>
      <c r="B86" s="70"/>
      <c r="C86" s="67"/>
      <c r="D86" s="67"/>
      <c r="E86" s="34" t="s">
        <v>5094</v>
      </c>
      <c r="F86" s="34"/>
    </row>
    <row r="87" spans="1:6">
      <c r="A87" s="67" t="s">
        <v>5095</v>
      </c>
      <c r="B87" s="70"/>
      <c r="C87" s="67"/>
      <c r="D87" s="67"/>
      <c r="E87" s="34" t="s">
        <v>5086</v>
      </c>
      <c r="F87" s="34"/>
    </row>
    <row r="88" spans="1:6">
      <c r="A88" s="67" t="s">
        <v>5096</v>
      </c>
      <c r="B88" s="70"/>
      <c r="C88" s="67"/>
      <c r="D88" s="67"/>
      <c r="E88" s="34" t="s">
        <v>4978</v>
      </c>
      <c r="F88" s="34"/>
    </row>
    <row r="89" spans="1:6">
      <c r="A89" s="67" t="s">
        <v>5097</v>
      </c>
      <c r="B89" s="70"/>
      <c r="C89" s="67"/>
      <c r="D89" s="67"/>
      <c r="E89" s="34" t="s">
        <v>5092</v>
      </c>
      <c r="F89" s="34"/>
    </row>
    <row r="90" spans="1:6">
      <c r="A90" s="67" t="s">
        <v>5098</v>
      </c>
      <c r="B90" s="70"/>
      <c r="C90" s="67"/>
      <c r="D90" s="67"/>
      <c r="E90" s="34" t="s">
        <v>5014</v>
      </c>
      <c r="F90" s="34"/>
    </row>
    <row r="91" spans="1:6">
      <c r="A91" s="67" t="s">
        <v>5099</v>
      </c>
      <c r="B91" s="70"/>
      <c r="C91" s="67"/>
      <c r="D91" s="67"/>
      <c r="E91" s="34" t="s">
        <v>5100</v>
      </c>
      <c r="F91" s="34"/>
    </row>
    <row r="92" spans="1:6">
      <c r="A92" s="67" t="s">
        <v>5101</v>
      </c>
      <c r="B92" s="70"/>
      <c r="C92" s="67"/>
      <c r="D92" s="67"/>
      <c r="E92" s="34" t="s">
        <v>4978</v>
      </c>
      <c r="F92" s="34"/>
    </row>
    <row r="93" spans="1:6">
      <c r="A93" s="67" t="s">
        <v>5102</v>
      </c>
      <c r="B93" s="70"/>
      <c r="C93" s="67"/>
      <c r="D93" s="67"/>
      <c r="E93" s="34" t="s">
        <v>4978</v>
      </c>
      <c r="F93" s="34"/>
    </row>
    <row r="94" spans="1:6">
      <c r="A94" s="67" t="s">
        <v>5103</v>
      </c>
      <c r="B94" s="70"/>
      <c r="C94" s="67"/>
      <c r="D94" s="67"/>
      <c r="E94" s="34" t="s">
        <v>4978</v>
      </c>
      <c r="F94" s="34"/>
    </row>
    <row r="95" spans="1:6">
      <c r="A95" s="67" t="s">
        <v>5104</v>
      </c>
      <c r="B95" s="70"/>
      <c r="C95" s="67"/>
      <c r="D95" s="67"/>
      <c r="E95" s="34" t="s">
        <v>4978</v>
      </c>
      <c r="F95" s="34"/>
    </row>
    <row r="96" spans="1:6">
      <c r="A96" s="67" t="s">
        <v>5105</v>
      </c>
      <c r="B96" s="70" t="s">
        <v>5106</v>
      </c>
      <c r="C96" s="67"/>
      <c r="D96" s="67"/>
      <c r="E96" s="34"/>
      <c r="F96" s="34"/>
    </row>
    <row r="97" spans="1:6">
      <c r="A97" s="67"/>
      <c r="B97" s="70"/>
      <c r="C97" s="67"/>
      <c r="D97" s="67"/>
      <c r="E97" s="34"/>
      <c r="F97"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F10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12.5703125" customWidth="1"/>
    <col min="6" max="6" width="28.7109375" customWidth="1"/>
  </cols>
  <sheetData>
    <row r="1" spans="1:6" ht="15" customHeight="1">
      <c r="A1" s="7" t="s">
        <v>1403</v>
      </c>
    </row>
    <row r="2" spans="1:6">
      <c r="A2" s="91" t="s">
        <v>146</v>
      </c>
      <c r="B2" s="91" t="s">
        <v>147</v>
      </c>
      <c r="C2" s="79" t="s">
        <v>148</v>
      </c>
      <c r="D2" s="79" t="s">
        <v>182</v>
      </c>
    </row>
    <row r="3" spans="1:6">
      <c r="A3" s="12" t="str">
        <f>HYPERLINK("http://en.wikipedia.org/wiki/Idaho","Idaho")</f>
        <v>Idaho</v>
      </c>
      <c r="B3" s="54" t="s">
        <v>5107</v>
      </c>
      <c r="C3" s="34" t="s">
        <v>164</v>
      </c>
      <c r="D3" s="67" t="s">
        <v>5108</v>
      </c>
    </row>
    <row r="4" spans="1:6">
      <c r="A4" s="12" t="s">
        <v>5109</v>
      </c>
      <c r="C4" s="34" t="s">
        <v>5110</v>
      </c>
      <c r="D4" s="67" t="s">
        <v>5111</v>
      </c>
    </row>
    <row r="5" spans="1:6">
      <c r="A5" s="12" t="s">
        <v>5112</v>
      </c>
      <c r="B5" t="s">
        <v>5113</v>
      </c>
      <c r="C5" s="34"/>
      <c r="D5" s="11" t="str">
        <f>HYPERLINK("http://wildlife.rescueshelter.com/Idaho","http://wildlife.rescueshelter.com/Idaho")</f>
        <v>http://wildlife.rescueshelter.com/Idaho</v>
      </c>
    </row>
    <row r="6" spans="1:6" ht="15" customHeight="1">
      <c r="A6" t="s">
        <v>5114</v>
      </c>
      <c r="C6" s="34"/>
      <c r="D6" s="34" t="s">
        <v>5115</v>
      </c>
    </row>
    <row r="7" spans="1:6">
      <c r="A7" s="41" t="s">
        <v>181</v>
      </c>
      <c r="B7" s="91" t="s">
        <v>147</v>
      </c>
      <c r="C7" s="79" t="s">
        <v>148</v>
      </c>
      <c r="D7" s="79" t="s">
        <v>182</v>
      </c>
      <c r="E7" s="79" t="s">
        <v>184</v>
      </c>
      <c r="F7" s="14"/>
    </row>
    <row r="8" spans="1:6" ht="15" customHeight="1">
      <c r="A8" s="33" t="s">
        <v>5116</v>
      </c>
      <c r="B8" t="s">
        <v>5117</v>
      </c>
      <c r="C8" s="34"/>
      <c r="D8" s="34"/>
    </row>
    <row r="9" spans="1:6" ht="15" customHeight="1">
      <c r="A9" s="33" t="s">
        <v>5118</v>
      </c>
      <c r="C9" s="34"/>
      <c r="D9" s="34" t="s">
        <v>5119</v>
      </c>
    </row>
    <row r="10" spans="1:6" ht="15" customHeight="1">
      <c r="A10" t="s">
        <v>5120</v>
      </c>
      <c r="B10" t="s">
        <v>5121</v>
      </c>
      <c r="C10" s="34" t="s">
        <v>5122</v>
      </c>
      <c r="D10" s="34" t="s">
        <v>5123</v>
      </c>
      <c r="E10" t="s">
        <v>5124</v>
      </c>
    </row>
    <row r="11" spans="1:6" ht="15" customHeight="1">
      <c r="A11" t="s">
        <v>5125</v>
      </c>
      <c r="B11" t="s">
        <v>164</v>
      </c>
      <c r="C11" s="34" t="s">
        <v>164</v>
      </c>
      <c r="D11" s="34" t="s">
        <v>164</v>
      </c>
      <c r="E11" t="s">
        <v>5126</v>
      </c>
    </row>
    <row r="12" spans="1:6" ht="15" customHeight="1">
      <c r="A12" t="s">
        <v>5127</v>
      </c>
      <c r="B12" t="s">
        <v>5128</v>
      </c>
      <c r="C12" s="34" t="s">
        <v>5129</v>
      </c>
      <c r="D12" s="34" t="s">
        <v>5130</v>
      </c>
      <c r="E12" t="s">
        <v>5124</v>
      </c>
    </row>
    <row r="13" spans="1:6" ht="15" customHeight="1">
      <c r="A13" t="s">
        <v>5131</v>
      </c>
      <c r="C13" s="34"/>
      <c r="D13" s="34" t="s">
        <v>5132</v>
      </c>
      <c r="E13" t="s">
        <v>5133</v>
      </c>
    </row>
    <row r="14" spans="1:6" ht="15" customHeight="1">
      <c r="A14" t="s">
        <v>5134</v>
      </c>
      <c r="C14" s="34" t="s">
        <v>5135</v>
      </c>
      <c r="D14" s="34" t="s">
        <v>5136</v>
      </c>
      <c r="E14" t="s">
        <v>5137</v>
      </c>
    </row>
    <row r="16" spans="1:6">
      <c r="A16" s="91" t="s">
        <v>209</v>
      </c>
      <c r="B16" s="91" t="s">
        <v>147</v>
      </c>
      <c r="C16" s="79" t="s">
        <v>148</v>
      </c>
      <c r="D16" s="79" t="s">
        <v>182</v>
      </c>
      <c r="E16" s="72"/>
      <c r="F16" s="3" t="s">
        <v>183</v>
      </c>
    </row>
    <row r="17" spans="1:6">
      <c r="A17" s="78" t="s">
        <v>5138</v>
      </c>
      <c r="C17" s="34"/>
      <c r="D17" s="34"/>
    </row>
    <row r="18" spans="1:6">
      <c r="A18" s="12" t="str">
        <f>HYPERLINK("http://en.wikipedia.org/wiki/Ada_County,_Idaho","Ada")</f>
        <v>Ada</v>
      </c>
      <c r="B18" t="s">
        <v>5139</v>
      </c>
      <c r="C18" s="34" t="s">
        <v>5140</v>
      </c>
      <c r="D18" s="34" t="s">
        <v>5141</v>
      </c>
      <c r="F18" s="34" t="str">
        <f>HYPERLINK("http://www.accem.org/index.html","Ada City-County Emer. Mgmnt.")</f>
        <v>Ada City-County Emer. Mgmnt.</v>
      </c>
    </row>
    <row r="19" spans="1:6">
      <c r="A19" s="12" t="str">
        <f>HYPERLINK("http://en.wikipedia.org/wiki/Adams_County,_Idaho","Adams")</f>
        <v>Adams</v>
      </c>
      <c r="B19" t="s">
        <v>164</v>
      </c>
      <c r="C19" s="34" t="s">
        <v>164</v>
      </c>
      <c r="D19" s="34" t="s">
        <v>5142</v>
      </c>
      <c r="F19" t="str">
        <f>HYPERLINK("http://www.co.adams.id.us/building.html#Emergency","Adams EMA")</f>
        <v>Adams EMA</v>
      </c>
    </row>
    <row r="20" spans="1:6">
      <c r="A20" s="12" t="str">
        <f>HYPERLINK("http://en.wikipedia.org/wiki/Bannock_County,_Idaho","Bannock")</f>
        <v>Bannock</v>
      </c>
      <c r="B20" t="s">
        <v>164</v>
      </c>
      <c r="C20" s="34" t="s">
        <v>5143</v>
      </c>
      <c r="D20" s="34" t="s">
        <v>5144</v>
      </c>
      <c r="F20" t="str">
        <f>HYPERLINK("http://205.185.94.142/BannockOEM/index.html","Bannock OEM")</f>
        <v>Bannock OEM</v>
      </c>
    </row>
    <row r="21" spans="1:6">
      <c r="A21" s="12" t="str">
        <f>HYPERLINK("http://en.wikipedia.org/wiki/Bear_Lake_County,_Idaho","Bear Lake")</f>
        <v>Bear Lake</v>
      </c>
      <c r="B21" t="s">
        <v>164</v>
      </c>
      <c r="C21" s="34" t="s">
        <v>164</v>
      </c>
      <c r="D21" s="34" t="s">
        <v>5145</v>
      </c>
      <c r="F21" t="str">
        <f>HYPERLINK("http://www.bearlakecounty.info/services.html#anchor6456","Bear Lake OEM")</f>
        <v>Bear Lake OEM</v>
      </c>
    </row>
    <row r="22" spans="1:6">
      <c r="A22" s="12" t="str">
        <f>HYPERLINK("http://en.wikipedia.org/wiki/Benewah_County,_Idaho","Benewah")</f>
        <v>Benewah</v>
      </c>
      <c r="B22" t="s">
        <v>164</v>
      </c>
      <c r="C22" s="34" t="s">
        <v>164</v>
      </c>
      <c r="D22" s="34" t="s">
        <v>5146</v>
      </c>
      <c r="F22" t="s">
        <v>164</v>
      </c>
    </row>
    <row r="23" spans="1:6">
      <c r="A23" s="12" t="str">
        <f>HYPERLINK("http://en.wikipedia.org/wiki/Bingham_County,_Idaho","Bingham")</f>
        <v>Bingham</v>
      </c>
      <c r="B23" t="s">
        <v>164</v>
      </c>
      <c r="C23" s="34" t="s">
        <v>164</v>
      </c>
      <c r="D23" s="34" t="s">
        <v>5147</v>
      </c>
      <c r="F23" t="str">
        <f>HYPERLINK("http://www.co.bingham.id.us/homeland_security/homeland_security.html","Bingham OEM")</f>
        <v>Bingham OEM</v>
      </c>
    </row>
    <row r="24" spans="1:6">
      <c r="A24" s="12" t="str">
        <f>HYPERLINK("http://en.wikipedia.org/wiki/Blaine_County,_Idaho","Blaine")</f>
        <v>Blaine</v>
      </c>
      <c r="B24" t="s">
        <v>164</v>
      </c>
      <c r="C24" s="34" t="s">
        <v>164</v>
      </c>
      <c r="D24" s="34" t="s">
        <v>5148</v>
      </c>
      <c r="F24" t="str">
        <f>HYPERLINK("http://www.blainecounty911.org/","Blaine 911")</f>
        <v>Blaine 911</v>
      </c>
    </row>
    <row r="25" spans="1:6">
      <c r="A25" s="12" t="str">
        <f>HYPERLINK("http://en.wikipedia.org/wiki/Boise_County,_Idaho","Boise")</f>
        <v>Boise</v>
      </c>
      <c r="B25" t="s">
        <v>5149</v>
      </c>
      <c r="C25" s="34" t="s">
        <v>164</v>
      </c>
      <c r="D25" s="34" t="s">
        <v>5150</v>
      </c>
      <c r="F25" t="str">
        <f>HYPERLINK("http://www.boisecounty.us/Emergency_Management.aspx", "Boise County EMA")</f>
        <v>Boise County EMA</v>
      </c>
    </row>
    <row r="26" spans="1:6">
      <c r="A26" s="12" t="str">
        <f>HYPERLINK("http://en.wikipedia.org/wiki/Bonner_County,_Idaho","Bonner")</f>
        <v>Bonner</v>
      </c>
      <c r="B26" t="s">
        <v>164</v>
      </c>
      <c r="C26" s="34" t="s">
        <v>164</v>
      </c>
      <c r="D26" s="34" t="s">
        <v>5151</v>
      </c>
      <c r="F26" t="str">
        <f>HYPERLINK("http://co.bonner.id.us/emergencymanagement/index.html","Bonner EM")</f>
        <v>Bonner EM</v>
      </c>
    </row>
    <row r="27" spans="1:6">
      <c r="A27" s="12" t="str">
        <f>HYPERLINK("http://en.wikipedia.org/wiki/Bonneville_County,_Idaho","Bonneville")</f>
        <v>Bonneville</v>
      </c>
      <c r="B27" t="s">
        <v>164</v>
      </c>
      <c r="C27" s="34" t="s">
        <v>164</v>
      </c>
      <c r="D27" s="34" t="s">
        <v>5152</v>
      </c>
      <c r="F27" t="str">
        <f>HYPERLINK("http://www.co.bonneville.id.us/index.php/emergency-management","Bonneville EM")</f>
        <v>Bonneville EM</v>
      </c>
    </row>
    <row r="28" spans="1:6">
      <c r="A28" s="12" t="str">
        <f>HYPERLINK("http://en.wikipedia.org/wiki/Boundary_County,_Idaho","Boundary")</f>
        <v>Boundary</v>
      </c>
      <c r="B28" t="s">
        <v>5153</v>
      </c>
      <c r="C28" s="34" t="s">
        <v>164</v>
      </c>
      <c r="D28" s="34" t="s">
        <v>5154</v>
      </c>
      <c r="F28" t="str">
        <f>HYPERLINK("http://boundarycountyid.org/emermgmt/index.htm","Boundary EM")</f>
        <v>Boundary EM</v>
      </c>
    </row>
    <row r="29" spans="1:6">
      <c r="A29" s="12" t="str">
        <f>HYPERLINK("http://en.wikipedia.org/wiki/Butte_County,_Idaho","Butte")</f>
        <v>Butte</v>
      </c>
      <c r="B29" t="s">
        <v>164</v>
      </c>
      <c r="C29" s="34" t="s">
        <v>164</v>
      </c>
      <c r="D29" s="34" t="s">
        <v>5155</v>
      </c>
      <c r="F29" s="6" t="s">
        <v>164</v>
      </c>
    </row>
    <row r="30" spans="1:6">
      <c r="A30" s="12" t="str">
        <f>HYPERLINK("http://en.wikipedia.org/wiki/Camas_County,_Idaho","Camas")</f>
        <v>Camas</v>
      </c>
      <c r="B30" t="s">
        <v>5156</v>
      </c>
      <c r="C30" s="34" t="s">
        <v>5157</v>
      </c>
      <c r="D30" s="34" t="s">
        <v>5158</v>
      </c>
      <c r="F30" t="str">
        <f>HYPERLINK("http://countyspotlight.com/Directory/16025/camas/1379/government/1382/emergency-services"," Camas EM")</f>
        <v xml:space="preserve"> Camas EM</v>
      </c>
    </row>
    <row r="31" spans="1:6">
      <c r="A31" s="12" t="str">
        <f>HYPERLINK("http://en.wikipedia.org/wiki/Canyon","Canyon")</f>
        <v>Canyon</v>
      </c>
      <c r="B31" t="s">
        <v>5159</v>
      </c>
      <c r="C31" s="34" t="s">
        <v>5160</v>
      </c>
      <c r="D31" s="34" t="s">
        <v>5161</v>
      </c>
      <c r="F31" t="str">
        <f>HYPERLINK("http://www.canyonco.org/Elected-Officials/Sheriff/Emergency-Management.aspx","Canyon EM")</f>
        <v>Canyon EM</v>
      </c>
    </row>
    <row r="32" spans="1:6">
      <c r="A32" s="12" t="str">
        <f>HYPERLINK("http://en.wikipedia.org/wiki/Caribou_County,_Idaho","Caribou")</f>
        <v>Caribou</v>
      </c>
      <c r="B32" t="s">
        <v>164</v>
      </c>
      <c r="C32" s="34" t="s">
        <v>164</v>
      </c>
      <c r="D32" s="34" t="s">
        <v>5162</v>
      </c>
      <c r="F32" t="str">
        <f>HYPERLINK("http://www.cariboucounty.us/Department/366/sheriff_contact_information.aspx","Caribou Sheriff")</f>
        <v>Caribou Sheriff</v>
      </c>
    </row>
    <row r="33" spans="1:6">
      <c r="A33" s="12" t="str">
        <f>HYPERLINK("http://en.wikipedia.org/wiki/Cassia_County,_Idaho","Cassia")</f>
        <v>Cassia</v>
      </c>
      <c r="B33" t="s">
        <v>5163</v>
      </c>
      <c r="C33" s="34" t="s">
        <v>5164</v>
      </c>
      <c r="D33" s="34" t="s">
        <v>5165</v>
      </c>
      <c r="F33" t="str">
        <f>HYPERLINK("http://www.cassiacounty.org/emergency-management/index.htm","Cassia EM")</f>
        <v>Cassia EM</v>
      </c>
    </row>
    <row r="34" spans="1:6">
      <c r="A34" s="12" t="str">
        <f>HYPERLINK("http://en.wikipedia.org/wiki/Clark_County,_Idaho","Clark")</f>
        <v>Clark</v>
      </c>
      <c r="B34" t="s">
        <v>164</v>
      </c>
      <c r="C34" s="34" t="s">
        <v>164</v>
      </c>
      <c r="D34" s="34" t="s">
        <v>5166</v>
      </c>
      <c r="F34" t="str">
        <f>HYPERLINK("http://www.clark-co.id.gov/Oem.aspx","Clark EM")</f>
        <v>Clark EM</v>
      </c>
    </row>
    <row r="35" spans="1:6">
      <c r="A35" s="12" t="str">
        <f>HYPERLINK("http://en.wikipedia.org/wiki/Clearwater_County,_Idaho","Clearwater")</f>
        <v>Clearwater</v>
      </c>
      <c r="B35" t="s">
        <v>5167</v>
      </c>
      <c r="C35" s="34" t="s">
        <v>5168</v>
      </c>
      <c r="D35" s="34" t="s">
        <v>5169</v>
      </c>
      <c r="F35" t="str">
        <f>HYPERLINK("http://www.clearwatercounty.org/departments/emergency_management/index.html","Clearwater EM")</f>
        <v>Clearwater EM</v>
      </c>
    </row>
    <row r="36" spans="1:6">
      <c r="A36" s="12" t="str">
        <f>HYPERLINK("http://en.wikipedia.org/wiki/Custer_County,_Idaho","Custer")</f>
        <v>Custer</v>
      </c>
      <c r="B36" t="s">
        <v>164</v>
      </c>
      <c r="C36" s="34" t="s">
        <v>164</v>
      </c>
      <c r="D36" s="34" t="s">
        <v>5170</v>
      </c>
      <c r="F36" t="str">
        <f>HYPERLINK("http://www.co.custer.id.us/departments/executive/emergency-services/","Custer EMS")</f>
        <v>Custer EMS</v>
      </c>
    </row>
    <row r="37" spans="1:6">
      <c r="A37" s="12" t="str">
        <f>HYPERLINK("http://en.wikipedia.org/wiki/Elmore_County,_Idaho","Elmore")</f>
        <v>Elmore</v>
      </c>
      <c r="C37" s="34" t="s">
        <v>5171</v>
      </c>
      <c r="D37" s="34" t="s">
        <v>5172</v>
      </c>
      <c r="F37" t="str">
        <f>HYPERLINK("http://www.elmorecounty.org/","Elmore E-911")</f>
        <v>Elmore E-911</v>
      </c>
    </row>
    <row r="38" spans="1:6">
      <c r="A38" s="12" t="str">
        <f>HYPERLINK("http://en.wikipedia.org/wiki/Franklin_County,_Idaho","Franklin")</f>
        <v>Franklin</v>
      </c>
      <c r="C38" s="34" t="s">
        <v>5173</v>
      </c>
      <c r="D38" s="34" t="s">
        <v>5174</v>
      </c>
      <c r="F38" t="str">
        <f>HYPERLINK("http://www.franklincountyidaho.org/County1/Civil_Defense.html","Franklin EM")</f>
        <v>Franklin EM</v>
      </c>
    </row>
    <row r="39" spans="1:6">
      <c r="A39" s="12" t="s">
        <v>5175</v>
      </c>
      <c r="B39" t="s">
        <v>5176</v>
      </c>
      <c r="C39" s="34" t="s">
        <v>5177</v>
      </c>
      <c r="D39" s="34" t="s">
        <v>5178</v>
      </c>
      <c r="F39" s="24" t="s">
        <v>5179</v>
      </c>
    </row>
    <row r="40" spans="1:6">
      <c r="A40" s="12" t="s">
        <v>5180</v>
      </c>
      <c r="C40" s="34" t="s">
        <v>5181</v>
      </c>
      <c r="D40" s="34" t="s">
        <v>5182</v>
      </c>
    </row>
    <row r="41" spans="1:6">
      <c r="A41" s="12" t="s">
        <v>5183</v>
      </c>
      <c r="C41" s="34" t="s">
        <v>5177</v>
      </c>
      <c r="D41" s="34" t="s">
        <v>5184</v>
      </c>
    </row>
    <row r="42" spans="1:6">
      <c r="A42" s="12" t="s">
        <v>47</v>
      </c>
      <c r="B42" t="s">
        <v>5185</v>
      </c>
      <c r="C42" s="34" t="s">
        <v>5186</v>
      </c>
      <c r="D42" s="34"/>
    </row>
    <row r="43" spans="1:6">
      <c r="A43" s="12" t="s">
        <v>5187</v>
      </c>
      <c r="C43" s="34" t="s">
        <v>5188</v>
      </c>
      <c r="D43" s="34" t="s">
        <v>5189</v>
      </c>
    </row>
    <row r="44" spans="1:6">
      <c r="A44" s="12" t="s">
        <v>5190</v>
      </c>
      <c r="C44" s="34" t="s">
        <v>5191</v>
      </c>
      <c r="D44" s="34" t="s">
        <v>5192</v>
      </c>
    </row>
    <row r="45" spans="1:6">
      <c r="A45" s="12" t="s">
        <v>5193</v>
      </c>
      <c r="C45" s="34" t="s">
        <v>5194</v>
      </c>
      <c r="D45" s="34" t="s">
        <v>5195</v>
      </c>
    </row>
    <row r="46" spans="1:6">
      <c r="A46" s="12" t="s">
        <v>5196</v>
      </c>
      <c r="B46" t="s">
        <v>5197</v>
      </c>
      <c r="C46" s="34" t="s">
        <v>5198</v>
      </c>
      <c r="D46" s="34" t="s">
        <v>5199</v>
      </c>
    </row>
    <row r="47" spans="1:6">
      <c r="A47" s="12" t="s">
        <v>5200</v>
      </c>
      <c r="C47" s="34" t="s">
        <v>5201</v>
      </c>
      <c r="D47" s="34" t="s">
        <v>5202</v>
      </c>
    </row>
    <row r="48" spans="1:6">
      <c r="A48" s="12" t="s">
        <v>5203</v>
      </c>
      <c r="C48" s="34" t="s">
        <v>5204</v>
      </c>
      <c r="D48" s="34" t="s">
        <v>5205</v>
      </c>
    </row>
    <row r="49" spans="1:4">
      <c r="A49" s="12" t="s">
        <v>5206</v>
      </c>
      <c r="C49" s="34" t="s">
        <v>5207</v>
      </c>
      <c r="D49" s="34" t="s">
        <v>5208</v>
      </c>
    </row>
    <row r="50" spans="1:4">
      <c r="A50" s="12" t="s">
        <v>5209</v>
      </c>
      <c r="C50" s="34" t="s">
        <v>5210</v>
      </c>
      <c r="D50" s="34" t="s">
        <v>5211</v>
      </c>
    </row>
    <row r="51" spans="1:4">
      <c r="A51" s="12" t="s">
        <v>5212</v>
      </c>
      <c r="C51" s="34" t="s">
        <v>5213</v>
      </c>
      <c r="D51" s="34" t="s">
        <v>5214</v>
      </c>
    </row>
    <row r="52" spans="1:4">
      <c r="A52" s="12" t="s">
        <v>5215</v>
      </c>
      <c r="C52" s="34" t="s">
        <v>5216</v>
      </c>
      <c r="D52" s="34" t="s">
        <v>5217</v>
      </c>
    </row>
    <row r="53" spans="1:4">
      <c r="A53" s="12" t="s">
        <v>5218</v>
      </c>
      <c r="C53" s="34" t="s">
        <v>5219</v>
      </c>
      <c r="D53" s="34" t="s">
        <v>5220</v>
      </c>
    </row>
    <row r="54" spans="1:4">
      <c r="A54" s="12" t="s">
        <v>5221</v>
      </c>
      <c r="C54" s="34" t="s">
        <v>5222</v>
      </c>
      <c r="D54" s="34" t="s">
        <v>5223</v>
      </c>
    </row>
    <row r="55" spans="1:4">
      <c r="A55" s="12" t="s">
        <v>5224</v>
      </c>
      <c r="B55" t="s">
        <v>5225</v>
      </c>
      <c r="C55" s="34" t="s">
        <v>5226</v>
      </c>
      <c r="D55" s="34" t="s">
        <v>5227</v>
      </c>
    </row>
    <row r="56" spans="1:4">
      <c r="A56" s="12" t="s">
        <v>5228</v>
      </c>
      <c r="C56" s="34" t="s">
        <v>5229</v>
      </c>
      <c r="D56" s="34" t="s">
        <v>5230</v>
      </c>
    </row>
    <row r="57" spans="1:4">
      <c r="A57" s="12" t="s">
        <v>5231</v>
      </c>
      <c r="B57" t="s">
        <v>5232</v>
      </c>
      <c r="C57" s="34" t="s">
        <v>5233</v>
      </c>
      <c r="D57" s="34" t="s">
        <v>5234</v>
      </c>
    </row>
    <row r="58" spans="1:4">
      <c r="A58" s="12" t="s">
        <v>5235</v>
      </c>
      <c r="C58" s="34" t="s">
        <v>5236</v>
      </c>
      <c r="D58" s="34" t="s">
        <v>5237</v>
      </c>
    </row>
    <row r="59" spans="1:4">
      <c r="A59" s="12" t="s">
        <v>5238</v>
      </c>
      <c r="B59" t="s">
        <v>5239</v>
      </c>
      <c r="C59" s="34" t="s">
        <v>5240</v>
      </c>
      <c r="D59" s="34" t="s">
        <v>5241</v>
      </c>
    </row>
    <row r="60" spans="1:4">
      <c r="A60" s="12" t="s">
        <v>5242</v>
      </c>
      <c r="C60" s="34" t="s">
        <v>5243</v>
      </c>
      <c r="D60" s="34" t="s">
        <v>5244</v>
      </c>
    </row>
    <row r="61" spans="1:4">
      <c r="A61" s="12" t="s">
        <v>117</v>
      </c>
      <c r="C61" s="34" t="s">
        <v>5245</v>
      </c>
      <c r="D61" s="34" t="s">
        <v>5246</v>
      </c>
    </row>
    <row r="62" spans="1:4" ht="15" customHeight="1">
      <c r="C62" s="34"/>
      <c r="D62" s="34"/>
    </row>
    <row r="63" spans="1:4">
      <c r="A63" s="91" t="s">
        <v>333</v>
      </c>
      <c r="B63" s="91" t="s">
        <v>147</v>
      </c>
      <c r="C63" s="79" t="s">
        <v>148</v>
      </c>
      <c r="D63" s="79" t="s">
        <v>182</v>
      </c>
    </row>
    <row r="64" spans="1:4">
      <c r="A64" s="12" t="s">
        <v>5247</v>
      </c>
      <c r="C64" s="34"/>
      <c r="D64" s="34" t="s">
        <v>5248</v>
      </c>
    </row>
    <row r="65" spans="1:4">
      <c r="A65" s="12" t="s">
        <v>5249</v>
      </c>
      <c r="B65" t="s">
        <v>5250</v>
      </c>
      <c r="C65" s="34" t="s">
        <v>5251</v>
      </c>
      <c r="D65" s="34" t="s">
        <v>5252</v>
      </c>
    </row>
    <row r="66" spans="1:4">
      <c r="A66" s="12" t="s">
        <v>5253</v>
      </c>
      <c r="B66" t="s">
        <v>5254</v>
      </c>
      <c r="C66" s="34" t="s">
        <v>5255</v>
      </c>
      <c r="D66" s="34" t="s">
        <v>5256</v>
      </c>
    </row>
    <row r="67" spans="1:4" ht="15" customHeight="1">
      <c r="A67" s="25" t="s">
        <v>5257</v>
      </c>
      <c r="C67" s="34"/>
      <c r="D67" s="34" t="s">
        <v>5258</v>
      </c>
    </row>
    <row r="68" spans="1:4" ht="15" customHeight="1">
      <c r="A68" s="25" t="s">
        <v>5259</v>
      </c>
      <c r="C68" s="34" t="s">
        <v>5135</v>
      </c>
      <c r="D68" s="34" t="s">
        <v>5260</v>
      </c>
    </row>
    <row r="69" spans="1:4" ht="15" customHeight="1">
      <c r="A69" s="25" t="s">
        <v>5261</v>
      </c>
      <c r="C69" s="34"/>
      <c r="D69" s="34" t="s">
        <v>5262</v>
      </c>
    </row>
    <row r="70" spans="1:4">
      <c r="A70" s="12" t="s">
        <v>5263</v>
      </c>
      <c r="C70" s="34"/>
      <c r="D70" s="34" t="s">
        <v>5264</v>
      </c>
    </row>
    <row r="71" spans="1:4" ht="15" customHeight="1">
      <c r="C71" s="34"/>
      <c r="D71" s="34"/>
    </row>
    <row r="72" spans="1:4">
      <c r="A72" s="91" t="s">
        <v>878</v>
      </c>
      <c r="B72" s="91" t="s">
        <v>147</v>
      </c>
      <c r="C72" s="79" t="s">
        <v>148</v>
      </c>
      <c r="D72" s="79" t="s">
        <v>182</v>
      </c>
    </row>
    <row r="73" spans="1:4">
      <c r="A73" s="12" t="s">
        <v>5265</v>
      </c>
      <c r="B73" t="s">
        <v>5266</v>
      </c>
      <c r="C73" s="34" t="s">
        <v>5267</v>
      </c>
      <c r="D73" s="34" t="s">
        <v>5268</v>
      </c>
    </row>
    <row r="74" spans="1:4">
      <c r="A74" s="12" t="s">
        <v>5269</v>
      </c>
      <c r="C74" s="34"/>
      <c r="D74" s="34" t="s">
        <v>5270</v>
      </c>
    </row>
    <row r="75" spans="1:4">
      <c r="A75" s="12" t="s">
        <v>5271</v>
      </c>
      <c r="C75" s="34"/>
      <c r="D75" s="34" t="s">
        <v>5272</v>
      </c>
    </row>
    <row r="76" spans="1:4">
      <c r="A76" s="12" t="s">
        <v>5273</v>
      </c>
      <c r="C76" s="34" t="s">
        <v>5274</v>
      </c>
      <c r="D76" s="34" t="s">
        <v>5275</v>
      </c>
    </row>
    <row r="77" spans="1:4">
      <c r="A77" s="12" t="s">
        <v>5276</v>
      </c>
      <c r="C77" s="34"/>
      <c r="D77" s="34" t="s">
        <v>5277</v>
      </c>
    </row>
    <row r="78" spans="1:4">
      <c r="A78" s="12" t="s">
        <v>5278</v>
      </c>
      <c r="C78" s="34"/>
      <c r="D78" s="34" t="s">
        <v>5279</v>
      </c>
    </row>
    <row r="79" spans="1:4" ht="15" customHeight="1">
      <c r="A79" t="s">
        <v>5280</v>
      </c>
      <c r="C79" s="34"/>
      <c r="D79" s="34" t="s">
        <v>5281</v>
      </c>
    </row>
    <row r="80" spans="1:4" ht="15" customHeight="1">
      <c r="A80" t="s">
        <v>5282</v>
      </c>
      <c r="C80" s="34"/>
      <c r="D80" s="34" t="str">
        <f>HYPERLINK(" www.airnav.com/airport/1U4")</f>
        <v xml:space="preserve"> www.airnav.com/airport/1U4</v>
      </c>
    </row>
    <row r="81" spans="1:5">
      <c r="A81" s="91" t="s">
        <v>388</v>
      </c>
      <c r="B81" s="91" t="s">
        <v>147</v>
      </c>
      <c r="C81" s="79" t="s">
        <v>148</v>
      </c>
      <c r="D81" s="79" t="s">
        <v>182</v>
      </c>
      <c r="E81" s="79" t="s">
        <v>490</v>
      </c>
    </row>
    <row r="82" spans="1:5" ht="15" customHeight="1">
      <c r="A82" t="s">
        <v>5283</v>
      </c>
      <c r="C82" s="34"/>
      <c r="D82" s="34"/>
    </row>
    <row r="83" spans="1:5" ht="15" customHeight="1">
      <c r="A83" t="s">
        <v>5284</v>
      </c>
      <c r="B83" t="s">
        <v>787</v>
      </c>
      <c r="C83" s="34" t="s">
        <v>787</v>
      </c>
      <c r="D83" s="34" t="s">
        <v>5285</v>
      </c>
      <c r="E83" t="s">
        <v>5286</v>
      </c>
    </row>
    <row r="84" spans="1:5" ht="15" customHeight="1">
      <c r="C84" s="34"/>
      <c r="D84" s="34"/>
    </row>
    <row r="85" spans="1:5">
      <c r="A85" s="91" t="s">
        <v>428</v>
      </c>
      <c r="B85" s="91" t="s">
        <v>147</v>
      </c>
      <c r="C85" s="79" t="s">
        <v>148</v>
      </c>
      <c r="D85" s="79" t="s">
        <v>182</v>
      </c>
    </row>
    <row r="86" spans="1:5">
      <c r="A86" s="36" t="s">
        <v>5287</v>
      </c>
      <c r="B86" s="36" t="s">
        <v>5288</v>
      </c>
      <c r="C86" s="97" t="s">
        <v>5289</v>
      </c>
      <c r="D86" s="97" t="s">
        <v>5290</v>
      </c>
    </row>
    <row r="87" spans="1:5">
      <c r="A87" s="36" t="s">
        <v>5291</v>
      </c>
      <c r="B87" s="36" t="s">
        <v>5292</v>
      </c>
      <c r="C87" s="97" t="s">
        <v>5293</v>
      </c>
      <c r="D87" s="97" t="s">
        <v>5294</v>
      </c>
    </row>
    <row r="88" spans="1:5">
      <c r="A88" s="36" t="s">
        <v>5295</v>
      </c>
      <c r="B88" s="36" t="s">
        <v>5296</v>
      </c>
      <c r="C88" s="97" t="s">
        <v>5297</v>
      </c>
      <c r="D88" s="97" t="s">
        <v>5298</v>
      </c>
    </row>
    <row r="89" spans="1:5">
      <c r="A89" s="36" t="s">
        <v>5299</v>
      </c>
      <c r="B89" s="36" t="s">
        <v>5300</v>
      </c>
      <c r="C89" s="97" t="s">
        <v>5301</v>
      </c>
      <c r="D89" s="97" t="s">
        <v>5302</v>
      </c>
    </row>
    <row r="90" spans="1:5">
      <c r="A90" s="36" t="s">
        <v>5303</v>
      </c>
      <c r="B90" s="36" t="s">
        <v>5304</v>
      </c>
      <c r="C90" s="97" t="s">
        <v>5305</v>
      </c>
      <c r="D90" s="97" t="s">
        <v>5306</v>
      </c>
    </row>
    <row r="91" spans="1:5">
      <c r="A91" s="36" t="s">
        <v>5307</v>
      </c>
      <c r="B91" s="36" t="s">
        <v>5308</v>
      </c>
      <c r="C91" s="97" t="s">
        <v>5309</v>
      </c>
      <c r="D91" s="97" t="s">
        <v>5310</v>
      </c>
    </row>
    <row r="92" spans="1:5">
      <c r="A92" s="36" t="s">
        <v>5311</v>
      </c>
      <c r="B92" s="36" t="s">
        <v>5312</v>
      </c>
      <c r="C92" s="97" t="s">
        <v>5313</v>
      </c>
      <c r="D92" s="97" t="s">
        <v>5314</v>
      </c>
    </row>
    <row r="93" spans="1:5">
      <c r="A93" s="36" t="s">
        <v>5315</v>
      </c>
      <c r="B93" s="36" t="s">
        <v>5316</v>
      </c>
      <c r="C93" s="97" t="s">
        <v>5317</v>
      </c>
      <c r="D93" s="97" t="s">
        <v>5318</v>
      </c>
    </row>
    <row r="94" spans="1:5">
      <c r="A94" s="36" t="s">
        <v>5319</v>
      </c>
      <c r="B94" s="36" t="s">
        <v>5320</v>
      </c>
      <c r="C94" s="97" t="s">
        <v>5321</v>
      </c>
      <c r="D94" s="97" t="s">
        <v>5322</v>
      </c>
    </row>
    <row r="95" spans="1:5">
      <c r="A95" s="36" t="s">
        <v>5323</v>
      </c>
      <c r="B95" s="36" t="s">
        <v>5324</v>
      </c>
      <c r="C95" s="34" t="s">
        <v>5325</v>
      </c>
      <c r="D95" s="97" t="s">
        <v>5326</v>
      </c>
    </row>
    <row r="96" spans="1:5">
      <c r="A96" s="36" t="s">
        <v>5327</v>
      </c>
      <c r="B96" s="36" t="s">
        <v>787</v>
      </c>
      <c r="C96" s="97" t="s">
        <v>5328</v>
      </c>
      <c r="D96" s="97" t="s">
        <v>5329</v>
      </c>
    </row>
    <row r="97" spans="1:6">
      <c r="A97" s="36" t="s">
        <v>5330</v>
      </c>
      <c r="B97" s="36" t="s">
        <v>5331</v>
      </c>
      <c r="C97" s="97" t="s">
        <v>5332</v>
      </c>
      <c r="D97" s="97" t="s">
        <v>5333</v>
      </c>
    </row>
    <row r="98" spans="1:6">
      <c r="A98" s="36" t="s">
        <v>5334</v>
      </c>
      <c r="B98" s="36" t="s">
        <v>5335</v>
      </c>
      <c r="C98" s="97" t="s">
        <v>5336</v>
      </c>
      <c r="D98" s="97" t="s">
        <v>5337</v>
      </c>
    </row>
    <row r="99" spans="1:6">
      <c r="A99" s="36" t="s">
        <v>5338</v>
      </c>
      <c r="B99" s="36" t="s">
        <v>5339</v>
      </c>
      <c r="C99" s="97" t="s">
        <v>5340</v>
      </c>
      <c r="D99" s="97" t="s">
        <v>5341</v>
      </c>
    </row>
    <row r="100" spans="1:6">
      <c r="A100" s="36"/>
      <c r="B100" s="36"/>
      <c r="C100" s="97"/>
      <c r="D100" s="97"/>
    </row>
    <row r="101" spans="1:6">
      <c r="A101" s="93" t="s">
        <v>5342</v>
      </c>
      <c r="B101" s="36"/>
      <c r="C101" s="97"/>
      <c r="D101" s="97" t="s">
        <v>5343</v>
      </c>
      <c r="F101" t="s">
        <v>5344</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E174"/>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5">
      <c r="A1" s="79" t="s">
        <v>146</v>
      </c>
      <c r="B1" s="79" t="s">
        <v>147</v>
      </c>
      <c r="C1" s="79" t="s">
        <v>148</v>
      </c>
      <c r="D1" s="79" t="s">
        <v>182</v>
      </c>
    </row>
    <row r="2" spans="1:5">
      <c r="A2" s="67" t="s">
        <v>5345</v>
      </c>
      <c r="C2" s="34"/>
      <c r="D2" s="67" t="s">
        <v>5346</v>
      </c>
    </row>
    <row r="3" spans="1:5">
      <c r="A3" s="67" t="s">
        <v>5347</v>
      </c>
      <c r="C3" s="67" t="s">
        <v>5348</v>
      </c>
      <c r="D3" s="11" t="str">
        <f>HYPERLINK("http://iema.illinois.gov/iema/index.asp","http://iema.illinois.gov/iema/index.asp")</f>
        <v>http://iema.illinois.gov/iema/index.asp</v>
      </c>
      <c r="E3" s="67" t="s">
        <v>5349</v>
      </c>
    </row>
    <row r="4" spans="1:5">
      <c r="A4" s="67" t="s">
        <v>5350</v>
      </c>
      <c r="C4" s="34"/>
      <c r="D4" s="11" t="str">
        <f>HYPERLINK("http://wildlife.rescueshelter.com/Illinois","http://wildlife.rescueshelter.com/Illinois")</f>
        <v>http://wildlife.rescueshelter.com/Illinois</v>
      </c>
    </row>
    <row r="5" spans="1:5" ht="15" customHeight="1">
      <c r="C5" s="34"/>
      <c r="D5" s="34"/>
    </row>
    <row r="6" spans="1:5">
      <c r="A6" s="41" t="s">
        <v>181</v>
      </c>
      <c r="B6" s="79" t="s">
        <v>147</v>
      </c>
      <c r="C6" s="79" t="s">
        <v>148</v>
      </c>
      <c r="D6" s="79" t="s">
        <v>182</v>
      </c>
      <c r="E6" s="79" t="s">
        <v>184</v>
      </c>
    </row>
    <row r="7" spans="1:5" ht="15" customHeight="1">
      <c r="A7" t="s">
        <v>5351</v>
      </c>
      <c r="B7" t="s">
        <v>5352</v>
      </c>
      <c r="C7" s="34"/>
      <c r="D7" s="34"/>
    </row>
    <row r="8" spans="1:5" ht="15" customHeight="1">
      <c r="A8" t="s">
        <v>5353</v>
      </c>
      <c r="B8" t="s">
        <v>5354</v>
      </c>
      <c r="C8" s="34" t="s">
        <v>5355</v>
      </c>
      <c r="D8" s="34" t="s">
        <v>5356</v>
      </c>
      <c r="E8" t="s">
        <v>5357</v>
      </c>
    </row>
    <row r="9" spans="1:5" ht="15" customHeight="1">
      <c r="A9" t="s">
        <v>3251</v>
      </c>
      <c r="B9" t="s">
        <v>5358</v>
      </c>
      <c r="C9" s="34" t="s">
        <v>5359</v>
      </c>
      <c r="D9" s="34" t="s">
        <v>5360</v>
      </c>
      <c r="E9" t="s">
        <v>5361</v>
      </c>
    </row>
    <row r="10" spans="1:5" ht="15" customHeight="1">
      <c r="A10" t="s">
        <v>5362</v>
      </c>
      <c r="B10" t="s">
        <v>5363</v>
      </c>
      <c r="C10" s="34"/>
      <c r="D10" s="34" t="s">
        <v>5364</v>
      </c>
      <c r="E10" t="s">
        <v>5365</v>
      </c>
    </row>
    <row r="11" spans="1:5" ht="15" customHeight="1">
      <c r="A11" t="s">
        <v>5366</v>
      </c>
      <c r="B11" t="s">
        <v>5367</v>
      </c>
      <c r="C11" s="34" t="s">
        <v>5368</v>
      </c>
      <c r="D11" s="34" t="s">
        <v>5369</v>
      </c>
      <c r="E11" t="s">
        <v>5370</v>
      </c>
    </row>
    <row r="12" spans="1:5" ht="15" customHeight="1">
      <c r="A12" t="s">
        <v>5371</v>
      </c>
      <c r="B12" t="s">
        <v>5372</v>
      </c>
      <c r="C12" s="34" t="s">
        <v>5373</v>
      </c>
      <c r="D12" s="34" t="s">
        <v>5374</v>
      </c>
      <c r="E12" t="s">
        <v>5375</v>
      </c>
    </row>
    <row r="13" spans="1:5" ht="15" customHeight="1">
      <c r="C13" s="34"/>
      <c r="D13" s="34"/>
    </row>
    <row r="14" spans="1:5">
      <c r="A14" s="79" t="s">
        <v>209</v>
      </c>
      <c r="B14" s="79" t="s">
        <v>147</v>
      </c>
      <c r="C14" s="79" t="s">
        <v>148</v>
      </c>
      <c r="D14" s="79" t="s">
        <v>182</v>
      </c>
    </row>
    <row r="15" spans="1:5">
      <c r="A15" s="67" t="s">
        <v>5376</v>
      </c>
      <c r="C15" s="34" t="s">
        <v>5377</v>
      </c>
      <c r="D15" s="34" t="s">
        <v>5378</v>
      </c>
    </row>
    <row r="16" spans="1:5">
      <c r="A16" s="67" t="s">
        <v>5379</v>
      </c>
      <c r="C16" s="34"/>
      <c r="D16" s="63" t="s">
        <v>5380</v>
      </c>
    </row>
    <row r="17" spans="1:4">
      <c r="A17" s="67" t="s">
        <v>5381</v>
      </c>
      <c r="C17" s="34"/>
      <c r="D17" s="34" t="s">
        <v>5382</v>
      </c>
    </row>
    <row r="18" spans="1:4">
      <c r="A18" s="67" t="s">
        <v>5383</v>
      </c>
      <c r="C18" s="34"/>
      <c r="D18" s="34" t="s">
        <v>5384</v>
      </c>
    </row>
    <row r="19" spans="1:4">
      <c r="A19" s="67" t="s">
        <v>5385</v>
      </c>
      <c r="C19" s="34"/>
      <c r="D19" s="34" t="s">
        <v>5386</v>
      </c>
    </row>
    <row r="20" spans="1:4">
      <c r="A20" s="67" t="s">
        <v>5387</v>
      </c>
      <c r="C20" s="34"/>
      <c r="D20" s="34" t="s">
        <v>5388</v>
      </c>
    </row>
    <row r="21" spans="1:4">
      <c r="A21" s="67" t="s">
        <v>5389</v>
      </c>
      <c r="C21" s="34"/>
      <c r="D21" s="34" t="s">
        <v>5390</v>
      </c>
    </row>
    <row r="22" spans="1:4">
      <c r="A22" s="67" t="s">
        <v>5391</v>
      </c>
      <c r="C22" s="34"/>
      <c r="D22" s="34" t="s">
        <v>5392</v>
      </c>
    </row>
    <row r="23" spans="1:4">
      <c r="A23" s="67" t="s">
        <v>5393</v>
      </c>
      <c r="C23" s="34"/>
      <c r="D23" s="34" t="s">
        <v>5394</v>
      </c>
    </row>
    <row r="24" spans="1:4">
      <c r="A24" s="67" t="s">
        <v>5395</v>
      </c>
      <c r="B24" t="s">
        <v>5396</v>
      </c>
      <c r="C24" s="34"/>
      <c r="D24" s="34" t="s">
        <v>5397</v>
      </c>
    </row>
    <row r="25" spans="1:4">
      <c r="A25" s="67" t="s">
        <v>5398</v>
      </c>
      <c r="C25" s="34" t="s">
        <v>5399</v>
      </c>
      <c r="D25" s="34" t="s">
        <v>5400</v>
      </c>
    </row>
    <row r="26" spans="1:4">
      <c r="A26" s="67" t="s">
        <v>5401</v>
      </c>
      <c r="C26" s="34"/>
      <c r="D26" s="34" t="s">
        <v>5402</v>
      </c>
    </row>
    <row r="27" spans="1:4">
      <c r="A27" s="67" t="s">
        <v>5403</v>
      </c>
      <c r="C27" s="34"/>
      <c r="D27" s="34" t="s">
        <v>5404</v>
      </c>
    </row>
    <row r="28" spans="1:4">
      <c r="A28" s="67" t="s">
        <v>5405</v>
      </c>
      <c r="C28" s="34" t="s">
        <v>5406</v>
      </c>
      <c r="D28" s="34" t="s">
        <v>5407</v>
      </c>
    </row>
    <row r="29" spans="1:4">
      <c r="A29" s="67" t="s">
        <v>5408</v>
      </c>
      <c r="C29" s="34"/>
      <c r="D29" s="34" t="s">
        <v>5409</v>
      </c>
    </row>
    <row r="30" spans="1:4">
      <c r="A30" s="67" t="s">
        <v>5410</v>
      </c>
      <c r="B30" t="s">
        <v>5411</v>
      </c>
      <c r="C30" s="34"/>
      <c r="D30" s="34" t="s">
        <v>5412</v>
      </c>
    </row>
    <row r="31" spans="1:4">
      <c r="A31" s="67" t="s">
        <v>5413</v>
      </c>
      <c r="C31" s="34"/>
      <c r="D31" s="34" t="s">
        <v>5414</v>
      </c>
    </row>
    <row r="32" spans="1:4">
      <c r="A32" s="67" t="s">
        <v>5415</v>
      </c>
      <c r="C32" s="34"/>
      <c r="D32" s="34" t="s">
        <v>5416</v>
      </c>
    </row>
    <row r="33" spans="1:4">
      <c r="A33" s="67" t="s">
        <v>5417</v>
      </c>
      <c r="B33" t="s">
        <v>5418</v>
      </c>
      <c r="C33" s="34"/>
      <c r="D33" s="34" t="s">
        <v>5419</v>
      </c>
    </row>
    <row r="34" spans="1:4">
      <c r="A34" s="67" t="s">
        <v>5420</v>
      </c>
      <c r="C34" s="34"/>
      <c r="D34" s="34" t="s">
        <v>5421</v>
      </c>
    </row>
    <row r="35" spans="1:4">
      <c r="A35" s="67" t="s">
        <v>5422</v>
      </c>
      <c r="C35" s="34"/>
      <c r="D35" s="34" t="s">
        <v>5423</v>
      </c>
    </row>
    <row r="36" spans="1:4">
      <c r="A36" s="67" t="s">
        <v>5424</v>
      </c>
      <c r="B36" t="s">
        <v>5425</v>
      </c>
      <c r="C36" s="34"/>
      <c r="D36" s="34" t="s">
        <v>5426</v>
      </c>
    </row>
    <row r="37" spans="1:4">
      <c r="A37" s="67" t="s">
        <v>5427</v>
      </c>
      <c r="C37" s="34" t="s">
        <v>5428</v>
      </c>
      <c r="D37" s="34" t="s">
        <v>5429</v>
      </c>
    </row>
    <row r="38" spans="1:4">
      <c r="A38" s="67" t="s">
        <v>5430</v>
      </c>
      <c r="C38" s="34" t="s">
        <v>5431</v>
      </c>
      <c r="D38" s="34" t="s">
        <v>5432</v>
      </c>
    </row>
    <row r="39" spans="1:4">
      <c r="A39" s="67" t="s">
        <v>5433</v>
      </c>
      <c r="B39" t="s">
        <v>5434</v>
      </c>
      <c r="C39" s="34"/>
      <c r="D39" s="34" t="s">
        <v>5435</v>
      </c>
    </row>
    <row r="40" spans="1:4">
      <c r="A40" s="67" t="s">
        <v>5436</v>
      </c>
      <c r="C40" s="34" t="s">
        <v>5437</v>
      </c>
      <c r="D40" s="34" t="s">
        <v>5438</v>
      </c>
    </row>
    <row r="41" spans="1:4">
      <c r="A41" s="67" t="s">
        <v>5439</v>
      </c>
      <c r="C41" s="34"/>
      <c r="D41" s="34" t="s">
        <v>5440</v>
      </c>
    </row>
    <row r="42" spans="1:4">
      <c r="A42" s="67" t="s">
        <v>5441</v>
      </c>
      <c r="B42" t="s">
        <v>5442</v>
      </c>
      <c r="C42" s="34"/>
      <c r="D42" s="34" t="s">
        <v>5443</v>
      </c>
    </row>
    <row r="43" spans="1:4">
      <c r="A43" s="67" t="s">
        <v>5444</v>
      </c>
      <c r="C43" s="34"/>
      <c r="D43" s="34" t="s">
        <v>5445</v>
      </c>
    </row>
    <row r="44" spans="1:4">
      <c r="A44" s="67" t="s">
        <v>5446</v>
      </c>
      <c r="C44" s="34" t="s">
        <v>5447</v>
      </c>
      <c r="D44" s="34" t="s">
        <v>5448</v>
      </c>
    </row>
    <row r="45" spans="1:4">
      <c r="A45" s="67" t="s">
        <v>5449</v>
      </c>
      <c r="C45" s="34"/>
      <c r="D45" s="34" t="s">
        <v>5450</v>
      </c>
    </row>
    <row r="46" spans="1:4">
      <c r="A46" s="67" t="s">
        <v>5451</v>
      </c>
      <c r="C46" s="34"/>
      <c r="D46" s="34" t="s">
        <v>5452</v>
      </c>
    </row>
    <row r="47" spans="1:4">
      <c r="A47" s="67" t="s">
        <v>5453</v>
      </c>
      <c r="C47" s="34"/>
      <c r="D47" s="34" t="s">
        <v>5454</v>
      </c>
    </row>
    <row r="48" spans="1:4">
      <c r="A48" s="67" t="s">
        <v>5455</v>
      </c>
      <c r="C48" s="34"/>
      <c r="D48" s="34" t="s">
        <v>5456</v>
      </c>
    </row>
    <row r="49" spans="1:4">
      <c r="A49" s="67" t="s">
        <v>5457</v>
      </c>
      <c r="C49" s="34"/>
      <c r="D49" s="34" t="s">
        <v>5458</v>
      </c>
    </row>
    <row r="50" spans="1:4">
      <c r="A50" s="67" t="s">
        <v>5459</v>
      </c>
      <c r="C50" s="34"/>
      <c r="D50" s="34" t="s">
        <v>5460</v>
      </c>
    </row>
    <row r="51" spans="1:4">
      <c r="A51" s="67" t="s">
        <v>5461</v>
      </c>
      <c r="C51" s="34"/>
      <c r="D51" s="34" t="s">
        <v>5462</v>
      </c>
    </row>
    <row r="52" spans="1:4">
      <c r="A52" s="67" t="s">
        <v>5463</v>
      </c>
      <c r="B52" t="s">
        <v>5464</v>
      </c>
      <c r="C52" s="34"/>
      <c r="D52" s="34" t="s">
        <v>5465</v>
      </c>
    </row>
    <row r="53" spans="1:4">
      <c r="A53" s="67" t="s">
        <v>5466</v>
      </c>
      <c r="C53" s="34"/>
      <c r="D53" s="34" t="s">
        <v>5467</v>
      </c>
    </row>
    <row r="54" spans="1:4">
      <c r="A54" s="67" t="s">
        <v>5468</v>
      </c>
      <c r="C54" s="34"/>
      <c r="D54" s="34" t="s">
        <v>5469</v>
      </c>
    </row>
    <row r="55" spans="1:4">
      <c r="A55" s="67" t="s">
        <v>5187</v>
      </c>
      <c r="C55" s="34"/>
      <c r="D55" s="34" t="s">
        <v>5470</v>
      </c>
    </row>
    <row r="56" spans="1:4">
      <c r="A56" s="67" t="s">
        <v>5471</v>
      </c>
      <c r="C56" s="34"/>
      <c r="D56" s="34" t="s">
        <v>5472</v>
      </c>
    </row>
    <row r="57" spans="1:4">
      <c r="A57" s="67" t="s">
        <v>5473</v>
      </c>
      <c r="C57" s="34"/>
      <c r="D57" s="34" t="s">
        <v>5474</v>
      </c>
    </row>
    <row r="58" spans="1:4">
      <c r="A58" s="67" t="s">
        <v>5475</v>
      </c>
      <c r="B58" t="s">
        <v>5476</v>
      </c>
      <c r="C58" s="34"/>
      <c r="D58" s="34" t="s">
        <v>5477</v>
      </c>
    </row>
    <row r="59" spans="1:4">
      <c r="A59" s="67" t="s">
        <v>5478</v>
      </c>
      <c r="C59" s="34"/>
      <c r="D59" s="34" t="s">
        <v>5479</v>
      </c>
    </row>
    <row r="60" spans="1:4">
      <c r="A60" s="67" t="s">
        <v>5480</v>
      </c>
      <c r="C60" s="34"/>
      <c r="D60" s="34" t="s">
        <v>5481</v>
      </c>
    </row>
    <row r="61" spans="1:4">
      <c r="A61" s="67" t="s">
        <v>5482</v>
      </c>
      <c r="C61" s="34"/>
      <c r="D61" s="34" t="s">
        <v>5483</v>
      </c>
    </row>
    <row r="62" spans="1:4">
      <c r="A62" s="67" t="s">
        <v>5484</v>
      </c>
      <c r="C62" s="34"/>
      <c r="D62" s="34" t="s">
        <v>5485</v>
      </c>
    </row>
    <row r="63" spans="1:4">
      <c r="A63" s="67" t="s">
        <v>5486</v>
      </c>
      <c r="B63" t="s">
        <v>5487</v>
      </c>
      <c r="C63" s="34" t="s">
        <v>5488</v>
      </c>
      <c r="D63" s="34" t="s">
        <v>5489</v>
      </c>
    </row>
    <row r="64" spans="1:4">
      <c r="A64" s="67" t="s">
        <v>5490</v>
      </c>
      <c r="B64" t="s">
        <v>5491</v>
      </c>
      <c r="C64" s="34" t="s">
        <v>5492</v>
      </c>
      <c r="D64" s="34" t="s">
        <v>5493</v>
      </c>
    </row>
    <row r="65" spans="1:4">
      <c r="A65" s="67" t="s">
        <v>5494</v>
      </c>
      <c r="C65" s="34"/>
      <c r="D65" s="34" t="s">
        <v>5495</v>
      </c>
    </row>
    <row r="66" spans="1:4">
      <c r="A66" s="67" t="s">
        <v>5496</v>
      </c>
      <c r="C66" s="34"/>
      <c r="D66" s="34" t="s">
        <v>5497</v>
      </c>
    </row>
    <row r="67" spans="1:4">
      <c r="A67" s="67" t="s">
        <v>5498</v>
      </c>
      <c r="C67" s="34"/>
      <c r="D67" s="34" t="s">
        <v>5499</v>
      </c>
    </row>
    <row r="68" spans="1:4">
      <c r="A68" s="67" t="s">
        <v>5500</v>
      </c>
      <c r="C68" s="34"/>
      <c r="D68" s="34" t="s">
        <v>5501</v>
      </c>
    </row>
    <row r="69" spans="1:4">
      <c r="A69" s="67" t="s">
        <v>5502</v>
      </c>
      <c r="C69" s="34"/>
      <c r="D69" s="34" t="s">
        <v>5503</v>
      </c>
    </row>
    <row r="70" spans="1:4">
      <c r="A70" s="67" t="s">
        <v>5504</v>
      </c>
      <c r="C70" s="34"/>
      <c r="D70" s="34" t="s">
        <v>5505</v>
      </c>
    </row>
    <row r="71" spans="1:4">
      <c r="A71" s="67" t="s">
        <v>5209</v>
      </c>
      <c r="C71" s="34"/>
      <c r="D71" s="34" t="s">
        <v>5506</v>
      </c>
    </row>
    <row r="72" spans="1:4">
      <c r="A72" s="67" t="s">
        <v>5507</v>
      </c>
      <c r="C72" s="34"/>
      <c r="D72" s="34" t="s">
        <v>5508</v>
      </c>
    </row>
    <row r="73" spans="1:4">
      <c r="A73" s="67" t="s">
        <v>5509</v>
      </c>
      <c r="C73" s="34"/>
      <c r="D73" s="34" t="s">
        <v>5510</v>
      </c>
    </row>
    <row r="74" spans="1:4">
      <c r="A74" s="67" t="s">
        <v>5511</v>
      </c>
      <c r="C74" s="34"/>
      <c r="D74" s="34" t="s">
        <v>5512</v>
      </c>
    </row>
    <row r="75" spans="1:4">
      <c r="A75" s="67" t="s">
        <v>5513</v>
      </c>
      <c r="C75" s="34"/>
      <c r="D75" s="34" t="s">
        <v>787</v>
      </c>
    </row>
    <row r="76" spans="1:4">
      <c r="A76" s="67" t="s">
        <v>5514</v>
      </c>
      <c r="C76" s="34"/>
      <c r="D76" s="34" t="s">
        <v>5515</v>
      </c>
    </row>
    <row r="77" spans="1:4">
      <c r="A77" s="67" t="s">
        <v>5516</v>
      </c>
      <c r="C77" s="34"/>
      <c r="D77" s="34" t="s">
        <v>5517</v>
      </c>
    </row>
    <row r="78" spans="1:4">
      <c r="A78" s="67" t="s">
        <v>5518</v>
      </c>
      <c r="B78" t="s">
        <v>5519</v>
      </c>
      <c r="C78" s="34"/>
      <c r="D78" s="34" t="s">
        <v>5520</v>
      </c>
    </row>
    <row r="79" spans="1:4">
      <c r="A79" s="67" t="s">
        <v>5521</v>
      </c>
      <c r="C79" s="34"/>
      <c r="D79" s="34" t="s">
        <v>5522</v>
      </c>
    </row>
    <row r="80" spans="1:4">
      <c r="A80" s="67" t="s">
        <v>5523</v>
      </c>
      <c r="C80" s="34"/>
      <c r="D80" s="34" t="s">
        <v>787</v>
      </c>
    </row>
    <row r="81" spans="1:4">
      <c r="A81" s="67" t="s">
        <v>5524</v>
      </c>
      <c r="C81" s="34"/>
      <c r="D81" s="34" t="s">
        <v>5525</v>
      </c>
    </row>
    <row r="82" spans="1:4">
      <c r="A82" s="67" t="s">
        <v>5526</v>
      </c>
      <c r="C82" s="34"/>
      <c r="D82" s="34" t="s">
        <v>787</v>
      </c>
    </row>
    <row r="83" spans="1:4">
      <c r="A83" s="67" t="s">
        <v>5527</v>
      </c>
      <c r="C83" s="34"/>
      <c r="D83" s="34" t="s">
        <v>5528</v>
      </c>
    </row>
    <row r="84" spans="1:4">
      <c r="A84" s="67" t="s">
        <v>5529</v>
      </c>
      <c r="C84" s="34"/>
      <c r="D84" s="34" t="s">
        <v>787</v>
      </c>
    </row>
    <row r="85" spans="1:4">
      <c r="A85" s="67" t="s">
        <v>5530</v>
      </c>
      <c r="C85" s="34"/>
      <c r="D85" s="34" t="s">
        <v>5531</v>
      </c>
    </row>
    <row r="86" spans="1:4">
      <c r="A86" s="67" t="s">
        <v>5532</v>
      </c>
      <c r="C86" s="34"/>
      <c r="D86" s="34" t="s">
        <v>787</v>
      </c>
    </row>
    <row r="87" spans="1:4">
      <c r="A87" s="67" t="s">
        <v>5533</v>
      </c>
      <c r="C87" s="34"/>
      <c r="D87" s="34" t="s">
        <v>787</v>
      </c>
    </row>
    <row r="88" spans="1:4">
      <c r="A88" s="67" t="s">
        <v>5534</v>
      </c>
      <c r="C88" s="34"/>
      <c r="D88" s="34" t="s">
        <v>5535</v>
      </c>
    </row>
    <row r="89" spans="1:4">
      <c r="A89" s="67" t="s">
        <v>5536</v>
      </c>
      <c r="C89" s="34"/>
      <c r="D89" s="34" t="s">
        <v>5537</v>
      </c>
    </row>
    <row r="90" spans="1:4">
      <c r="A90" s="67" t="s">
        <v>5538</v>
      </c>
      <c r="C90" s="34"/>
      <c r="D90" s="34" t="s">
        <v>5539</v>
      </c>
    </row>
    <row r="91" spans="1:4">
      <c r="A91" s="67" t="s">
        <v>5540</v>
      </c>
      <c r="C91" s="34"/>
      <c r="D91" s="34" t="s">
        <v>787</v>
      </c>
    </row>
    <row r="92" spans="1:4">
      <c r="A92" s="67" t="s">
        <v>5541</v>
      </c>
      <c r="C92" s="34"/>
      <c r="D92" s="34" t="s">
        <v>5542</v>
      </c>
    </row>
    <row r="93" spans="1:4">
      <c r="A93" s="67" t="s">
        <v>5543</v>
      </c>
      <c r="C93" s="34"/>
      <c r="D93" s="34" t="s">
        <v>5544</v>
      </c>
    </row>
    <row r="94" spans="1:4">
      <c r="A94" s="67" t="s">
        <v>5545</v>
      </c>
      <c r="C94" s="34"/>
      <c r="D94" s="34" t="s">
        <v>787</v>
      </c>
    </row>
    <row r="95" spans="1:4">
      <c r="A95" s="67" t="s">
        <v>5546</v>
      </c>
      <c r="C95" s="34"/>
      <c r="D95" s="34" t="s">
        <v>5547</v>
      </c>
    </row>
    <row r="96" spans="1:4">
      <c r="A96" s="67" t="s">
        <v>5548</v>
      </c>
      <c r="C96" s="34"/>
      <c r="D96" s="34" t="s">
        <v>787</v>
      </c>
    </row>
    <row r="97" spans="1:4">
      <c r="A97" s="67" t="s">
        <v>5549</v>
      </c>
      <c r="C97" s="34"/>
      <c r="D97" s="34" t="s">
        <v>5550</v>
      </c>
    </row>
    <row r="98" spans="1:4">
      <c r="A98" s="67" t="s">
        <v>5551</v>
      </c>
      <c r="C98" s="34"/>
      <c r="D98" s="34" t="s">
        <v>5552</v>
      </c>
    </row>
    <row r="99" spans="1:4">
      <c r="A99" s="67" t="s">
        <v>5553</v>
      </c>
      <c r="C99" s="34"/>
      <c r="D99" s="34" t="s">
        <v>787</v>
      </c>
    </row>
    <row r="100" spans="1:4">
      <c r="A100" s="67" t="s">
        <v>5554</v>
      </c>
      <c r="C100" s="34"/>
      <c r="D100" s="34" t="s">
        <v>5555</v>
      </c>
    </row>
    <row r="101" spans="1:4">
      <c r="A101" s="67" t="s">
        <v>5556</v>
      </c>
      <c r="C101" s="34"/>
      <c r="D101" s="34" t="s">
        <v>5557</v>
      </c>
    </row>
    <row r="102" spans="1:4">
      <c r="A102" s="67" t="s">
        <v>5558</v>
      </c>
      <c r="C102" s="34"/>
      <c r="D102" s="34" t="s">
        <v>5559</v>
      </c>
    </row>
    <row r="103" spans="1:4">
      <c r="A103" s="67" t="s">
        <v>5560</v>
      </c>
      <c r="C103" s="34"/>
      <c r="D103" s="34" t="s">
        <v>5561</v>
      </c>
    </row>
    <row r="104" spans="1:4">
      <c r="A104" s="67" t="s">
        <v>5562</v>
      </c>
      <c r="C104" s="34"/>
      <c r="D104" s="34" t="s">
        <v>5563</v>
      </c>
    </row>
    <row r="105" spans="1:4">
      <c r="A105" s="67" t="s">
        <v>5564</v>
      </c>
      <c r="B105" t="s">
        <v>5565</v>
      </c>
      <c r="C105" s="34" t="s">
        <v>5566</v>
      </c>
      <c r="D105" s="34" t="s">
        <v>5567</v>
      </c>
    </row>
    <row r="106" spans="1:4">
      <c r="A106" s="67" t="s">
        <v>5568</v>
      </c>
      <c r="C106" s="34"/>
      <c r="D106" s="34" t="s">
        <v>5569</v>
      </c>
    </row>
    <row r="107" spans="1:4">
      <c r="A107" s="67" t="s">
        <v>5570</v>
      </c>
      <c r="C107" s="34"/>
      <c r="D107" s="34" t="s">
        <v>787</v>
      </c>
    </row>
    <row r="108" spans="1:4">
      <c r="A108" s="67" t="s">
        <v>5571</v>
      </c>
      <c r="C108" s="34"/>
      <c r="D108" s="34" t="s">
        <v>5572</v>
      </c>
    </row>
    <row r="109" spans="1:4">
      <c r="A109" s="67" t="s">
        <v>117</v>
      </c>
      <c r="C109" s="34"/>
      <c r="D109" s="34" t="s">
        <v>787</v>
      </c>
    </row>
    <row r="110" spans="1:4">
      <c r="A110" s="67" t="s">
        <v>5573</v>
      </c>
      <c r="C110" s="34"/>
      <c r="D110" s="34" t="s">
        <v>787</v>
      </c>
    </row>
    <row r="111" spans="1:4">
      <c r="A111" s="67" t="s">
        <v>5574</v>
      </c>
      <c r="C111" s="34"/>
      <c r="D111" s="34" t="s">
        <v>5575</v>
      </c>
    </row>
    <row r="112" spans="1:4">
      <c r="A112" s="67" t="s">
        <v>5576</v>
      </c>
      <c r="C112" s="34"/>
      <c r="D112" s="34" t="s">
        <v>5577</v>
      </c>
    </row>
    <row r="113" spans="1:4">
      <c r="A113" s="67" t="s">
        <v>5578</v>
      </c>
      <c r="C113" s="34"/>
      <c r="D113" s="34" t="s">
        <v>5579</v>
      </c>
    </row>
    <row r="114" spans="1:4">
      <c r="A114" s="67" t="s">
        <v>5580</v>
      </c>
      <c r="C114" s="34"/>
      <c r="D114" s="34" t="s">
        <v>787</v>
      </c>
    </row>
    <row r="115" spans="1:4">
      <c r="A115" s="67" t="s">
        <v>5581</v>
      </c>
      <c r="C115" s="34"/>
      <c r="D115" s="34" t="s">
        <v>5582</v>
      </c>
    </row>
    <row r="116" spans="1:4">
      <c r="A116" s="67" t="s">
        <v>5583</v>
      </c>
      <c r="C116" s="34"/>
      <c r="D116" s="34" t="s">
        <v>5584</v>
      </c>
    </row>
    <row r="117" spans="1:4" ht="15" customHeight="1">
      <c r="C117" s="34"/>
      <c r="D117" s="34"/>
    </row>
    <row r="118" spans="1:4">
      <c r="A118" s="79" t="s">
        <v>333</v>
      </c>
      <c r="B118" s="79" t="s">
        <v>147</v>
      </c>
      <c r="C118" s="79" t="s">
        <v>148</v>
      </c>
      <c r="D118" s="79" t="s">
        <v>182</v>
      </c>
    </row>
    <row r="119" spans="1:4">
      <c r="A119" s="67" t="s">
        <v>5585</v>
      </c>
      <c r="C119" s="34"/>
      <c r="D119" s="34" t="s">
        <v>5586</v>
      </c>
    </row>
    <row r="120" spans="1:4">
      <c r="A120" s="67" t="s">
        <v>5587</v>
      </c>
      <c r="C120" s="34"/>
      <c r="D120" s="34" t="s">
        <v>5588</v>
      </c>
    </row>
    <row r="121" spans="1:4">
      <c r="A121" s="67" t="s">
        <v>5589</v>
      </c>
      <c r="C121" s="34"/>
      <c r="D121" s="34" t="s">
        <v>5590</v>
      </c>
    </row>
    <row r="122" spans="1:4">
      <c r="A122" s="67" t="s">
        <v>5591</v>
      </c>
      <c r="B122" t="s">
        <v>5592</v>
      </c>
      <c r="C122" s="34"/>
      <c r="D122" s="34" t="s">
        <v>5593</v>
      </c>
    </row>
    <row r="123" spans="1:4">
      <c r="A123" s="67" t="s">
        <v>5594</v>
      </c>
      <c r="C123" s="34"/>
      <c r="D123" s="34" t="s">
        <v>5595</v>
      </c>
    </row>
    <row r="124" spans="1:4">
      <c r="A124" s="67" t="s">
        <v>5596</v>
      </c>
      <c r="C124" s="34"/>
      <c r="D124" s="34" t="s">
        <v>5597</v>
      </c>
    </row>
    <row r="125" spans="1:4">
      <c r="A125" s="67" t="s">
        <v>5598</v>
      </c>
      <c r="B125" t="s">
        <v>5599</v>
      </c>
      <c r="C125" s="34" t="s">
        <v>5600</v>
      </c>
      <c r="D125" s="34" t="s">
        <v>5601</v>
      </c>
    </row>
    <row r="126" spans="1:4">
      <c r="A126" s="67" t="s">
        <v>5602</v>
      </c>
      <c r="B126" t="s">
        <v>5603</v>
      </c>
      <c r="C126" s="34" t="s">
        <v>5604</v>
      </c>
      <c r="D126" s="34" t="s">
        <v>5605</v>
      </c>
    </row>
    <row r="127" spans="1:4">
      <c r="A127" s="67" t="s">
        <v>5606</v>
      </c>
      <c r="C127" s="34"/>
      <c r="D127" s="34" t="s">
        <v>787</v>
      </c>
    </row>
    <row r="128" spans="1:4">
      <c r="A128" s="67" t="s">
        <v>5607</v>
      </c>
      <c r="B128" t="s">
        <v>5603</v>
      </c>
      <c r="C128" s="34" t="s">
        <v>5604</v>
      </c>
      <c r="D128" s="34" t="s">
        <v>5605</v>
      </c>
    </row>
    <row r="129" spans="1:5" ht="15" customHeight="1">
      <c r="C129" s="34"/>
      <c r="D129" s="34"/>
    </row>
    <row r="130" spans="1:5">
      <c r="A130" s="79" t="s">
        <v>878</v>
      </c>
      <c r="B130" s="79" t="s">
        <v>147</v>
      </c>
      <c r="C130" s="79" t="s">
        <v>148</v>
      </c>
      <c r="D130" s="79" t="s">
        <v>182</v>
      </c>
    </row>
    <row r="131" spans="1:5">
      <c r="A131" s="67" t="s">
        <v>5608</v>
      </c>
      <c r="B131" t="s">
        <v>5609</v>
      </c>
      <c r="C131" s="34" t="s">
        <v>5610</v>
      </c>
      <c r="D131" s="34" t="s">
        <v>5611</v>
      </c>
    </row>
    <row r="132" spans="1:5">
      <c r="A132" s="67" t="s">
        <v>5612</v>
      </c>
      <c r="C132" s="34"/>
      <c r="D132" s="34" t="s">
        <v>5613</v>
      </c>
    </row>
    <row r="133" spans="1:5">
      <c r="A133" s="67" t="s">
        <v>5614</v>
      </c>
      <c r="B133" t="s">
        <v>5615</v>
      </c>
      <c r="C133" s="34" t="s">
        <v>5616</v>
      </c>
      <c r="D133" s="34" t="s">
        <v>5617</v>
      </c>
    </row>
    <row r="134" spans="1:5">
      <c r="A134" s="67" t="s">
        <v>5618</v>
      </c>
      <c r="B134" t="s">
        <v>5619</v>
      </c>
      <c r="C134" s="34" t="s">
        <v>5620</v>
      </c>
      <c r="D134" s="34" t="s">
        <v>5621</v>
      </c>
    </row>
    <row r="135" spans="1:5">
      <c r="A135" s="67" t="s">
        <v>5622</v>
      </c>
      <c r="C135" s="34"/>
      <c r="D135" s="34" t="s">
        <v>5623</v>
      </c>
    </row>
    <row r="136" spans="1:5">
      <c r="A136" s="67" t="s">
        <v>5624</v>
      </c>
      <c r="C136" s="34" t="s">
        <v>5625</v>
      </c>
      <c r="D136" s="34" t="s">
        <v>5626</v>
      </c>
    </row>
    <row r="137" spans="1:5">
      <c r="A137" s="67" t="s">
        <v>5627</v>
      </c>
      <c r="C137" s="34"/>
      <c r="D137" s="34" t="s">
        <v>5628</v>
      </c>
    </row>
    <row r="138" spans="1:5">
      <c r="A138" s="67" t="s">
        <v>5629</v>
      </c>
      <c r="C138" s="34"/>
      <c r="D138" s="34" t="s">
        <v>5630</v>
      </c>
    </row>
    <row r="139" spans="1:5" ht="15" customHeight="1">
      <c r="C139" s="34"/>
      <c r="D139" s="34"/>
    </row>
    <row r="140" spans="1:5">
      <c r="A140" s="79" t="s">
        <v>388</v>
      </c>
      <c r="B140" s="79" t="s">
        <v>147</v>
      </c>
      <c r="C140" s="79" t="s">
        <v>148</v>
      </c>
      <c r="D140" s="79" t="s">
        <v>182</v>
      </c>
      <c r="E140" s="79" t="s">
        <v>490</v>
      </c>
    </row>
    <row r="141" spans="1:5" ht="15" customHeight="1">
      <c r="A141" t="s">
        <v>5283</v>
      </c>
      <c r="B141" t="s">
        <v>5631</v>
      </c>
      <c r="C141" s="34"/>
      <c r="D141" s="34"/>
    </row>
    <row r="142" spans="1:5" ht="15" customHeight="1">
      <c r="A142" t="s">
        <v>5632</v>
      </c>
      <c r="B142" t="s">
        <v>787</v>
      </c>
      <c r="C142" s="34" t="s">
        <v>787</v>
      </c>
      <c r="D142" s="34" t="s">
        <v>5633</v>
      </c>
      <c r="E142" t="s">
        <v>5634</v>
      </c>
    </row>
    <row r="143" spans="1:5" ht="15" customHeight="1">
      <c r="A143" t="s">
        <v>5635</v>
      </c>
      <c r="B143" t="s">
        <v>787</v>
      </c>
      <c r="C143" s="34" t="s">
        <v>787</v>
      </c>
      <c r="D143" s="34" t="s">
        <v>787</v>
      </c>
      <c r="E143" t="s">
        <v>5636</v>
      </c>
    </row>
    <row r="144" spans="1:5" ht="15" customHeight="1">
      <c r="A144" t="s">
        <v>5637</v>
      </c>
      <c r="B144" t="s">
        <v>5638</v>
      </c>
      <c r="C144" s="34" t="s">
        <v>5639</v>
      </c>
      <c r="D144" s="34" t="s">
        <v>5640</v>
      </c>
      <c r="E144" t="s">
        <v>5353</v>
      </c>
    </row>
    <row r="145" spans="1:5" ht="15" customHeight="1">
      <c r="A145" t="s">
        <v>5641</v>
      </c>
      <c r="B145" t="s">
        <v>5638</v>
      </c>
      <c r="C145" s="34" t="s">
        <v>5639</v>
      </c>
      <c r="D145" s="34" t="s">
        <v>5640</v>
      </c>
      <c r="E145" t="s">
        <v>5353</v>
      </c>
    </row>
    <row r="146" spans="1:5" ht="15" customHeight="1">
      <c r="A146" t="s">
        <v>5642</v>
      </c>
      <c r="B146" t="s">
        <v>787</v>
      </c>
      <c r="C146" s="34" t="s">
        <v>787</v>
      </c>
      <c r="D146" s="34" t="s">
        <v>787</v>
      </c>
      <c r="E146" t="s">
        <v>5643</v>
      </c>
    </row>
    <row r="147" spans="1:5" ht="15" customHeight="1">
      <c r="A147" t="s">
        <v>5644</v>
      </c>
      <c r="B147" t="s">
        <v>787</v>
      </c>
      <c r="C147" s="34" t="s">
        <v>787</v>
      </c>
      <c r="D147" s="34" t="s">
        <v>5645</v>
      </c>
      <c r="E147" t="s">
        <v>5646</v>
      </c>
    </row>
    <row r="148" spans="1:5" ht="15" customHeight="1">
      <c r="A148" t="s">
        <v>5647</v>
      </c>
      <c r="B148" t="s">
        <v>787</v>
      </c>
      <c r="C148" s="34" t="s">
        <v>787</v>
      </c>
      <c r="D148" s="34" t="s">
        <v>787</v>
      </c>
      <c r="E148" t="s">
        <v>5366</v>
      </c>
    </row>
    <row r="149" spans="1:5" ht="15" customHeight="1">
      <c r="A149" t="s">
        <v>5648</v>
      </c>
      <c r="B149" t="s">
        <v>787</v>
      </c>
      <c r="C149" s="34" t="s">
        <v>787</v>
      </c>
      <c r="D149" s="34" t="s">
        <v>787</v>
      </c>
      <c r="E149" t="s">
        <v>5649</v>
      </c>
    </row>
    <row r="150" spans="1:5" ht="15" customHeight="1">
      <c r="A150" t="s">
        <v>5650</v>
      </c>
      <c r="B150" t="s">
        <v>787</v>
      </c>
      <c r="C150" s="34" t="s">
        <v>787</v>
      </c>
      <c r="D150" s="34" t="s">
        <v>787</v>
      </c>
      <c r="E150" t="s">
        <v>5651</v>
      </c>
    </row>
    <row r="151" spans="1:5" ht="15" customHeight="1">
      <c r="A151" t="s">
        <v>5652</v>
      </c>
      <c r="B151" t="s">
        <v>787</v>
      </c>
      <c r="C151" s="34" t="s">
        <v>787</v>
      </c>
      <c r="D151" s="34" t="s">
        <v>5633</v>
      </c>
      <c r="E151" t="s">
        <v>5653</v>
      </c>
    </row>
    <row r="152" spans="1:5" ht="15" customHeight="1">
      <c r="A152" t="s">
        <v>5654</v>
      </c>
      <c r="B152" t="s">
        <v>787</v>
      </c>
      <c r="C152" s="34" t="s">
        <v>787</v>
      </c>
      <c r="D152" s="34" t="s">
        <v>787</v>
      </c>
      <c r="E152" t="s">
        <v>5655</v>
      </c>
    </row>
    <row r="153" spans="1:5" ht="15" customHeight="1">
      <c r="C153" s="34"/>
      <c r="D153" s="34"/>
    </row>
    <row r="154" spans="1:5">
      <c r="A154" s="79" t="s">
        <v>428</v>
      </c>
      <c r="B154" s="79" t="s">
        <v>147</v>
      </c>
      <c r="C154" s="79" t="s">
        <v>148</v>
      </c>
      <c r="D154" s="79" t="s">
        <v>182</v>
      </c>
    </row>
    <row r="155" spans="1:5">
      <c r="A155" s="97" t="s">
        <v>5656</v>
      </c>
      <c r="B155" s="29" t="s">
        <v>5657</v>
      </c>
      <c r="C155" s="87" t="s">
        <v>5658</v>
      </c>
      <c r="D155" s="87" t="s">
        <v>5659</v>
      </c>
    </row>
    <row r="156" spans="1:5">
      <c r="A156" s="97" t="s">
        <v>5660</v>
      </c>
      <c r="B156" s="29" t="s">
        <v>5661</v>
      </c>
      <c r="C156" s="87" t="s">
        <v>5662</v>
      </c>
      <c r="D156" s="87" t="s">
        <v>5663</v>
      </c>
    </row>
    <row r="157" spans="1:5">
      <c r="A157" s="97" t="s">
        <v>5664</v>
      </c>
      <c r="B157" s="29" t="s">
        <v>5665</v>
      </c>
      <c r="C157" s="87" t="s">
        <v>5666</v>
      </c>
      <c r="D157" s="87" t="s">
        <v>5667</v>
      </c>
    </row>
    <row r="158" spans="1:5">
      <c r="A158" s="97" t="s">
        <v>5668</v>
      </c>
      <c r="B158" s="29" t="s">
        <v>5669</v>
      </c>
      <c r="C158" s="87" t="s">
        <v>5670</v>
      </c>
      <c r="D158" s="87" t="s">
        <v>5671</v>
      </c>
    </row>
    <row r="159" spans="1:5">
      <c r="A159" s="97" t="s">
        <v>5672</v>
      </c>
      <c r="B159" s="29" t="s">
        <v>5673</v>
      </c>
      <c r="C159" s="87" t="s">
        <v>5674</v>
      </c>
      <c r="D159" s="87" t="s">
        <v>5675</v>
      </c>
    </row>
    <row r="160" spans="1:5">
      <c r="A160" s="97" t="s">
        <v>5676</v>
      </c>
      <c r="B160" s="29" t="s">
        <v>5677</v>
      </c>
      <c r="C160" s="87" t="s">
        <v>5678</v>
      </c>
      <c r="D160" s="87" t="s">
        <v>5679</v>
      </c>
    </row>
    <row r="161" spans="1:4">
      <c r="A161" s="97" t="s">
        <v>5680</v>
      </c>
      <c r="B161" s="29" t="s">
        <v>5681</v>
      </c>
      <c r="C161" s="87" t="s">
        <v>5682</v>
      </c>
      <c r="D161" s="87" t="s">
        <v>5683</v>
      </c>
    </row>
    <row r="162" spans="1:4">
      <c r="A162" s="97" t="s">
        <v>5684</v>
      </c>
      <c r="B162" s="29" t="s">
        <v>5685</v>
      </c>
      <c r="C162" s="87" t="s">
        <v>5686</v>
      </c>
      <c r="D162" s="87" t="s">
        <v>5687</v>
      </c>
    </row>
    <row r="163" spans="1:4">
      <c r="A163" s="97" t="s">
        <v>5688</v>
      </c>
      <c r="B163" s="29" t="s">
        <v>5689</v>
      </c>
      <c r="C163" s="87" t="s">
        <v>5690</v>
      </c>
      <c r="D163" s="87" t="s">
        <v>5691</v>
      </c>
    </row>
    <row r="164" spans="1:4">
      <c r="A164" s="97" t="s">
        <v>5692</v>
      </c>
      <c r="B164" s="29" t="s">
        <v>5693</v>
      </c>
      <c r="C164" s="87" t="s">
        <v>5694</v>
      </c>
      <c r="D164" s="87" t="s">
        <v>5695</v>
      </c>
    </row>
    <row r="165" spans="1:4">
      <c r="A165" s="97" t="s">
        <v>5696</v>
      </c>
      <c r="B165" s="29" t="s">
        <v>5697</v>
      </c>
      <c r="C165" s="87" t="s">
        <v>5698</v>
      </c>
      <c r="D165" s="87" t="s">
        <v>5699</v>
      </c>
    </row>
    <row r="166" spans="1:4" ht="15" customHeight="1">
      <c r="A166" t="s">
        <v>5700</v>
      </c>
      <c r="B166" s="29" t="s">
        <v>5701</v>
      </c>
      <c r="C166" s="87" t="s">
        <v>5702</v>
      </c>
      <c r="D166" s="87" t="s">
        <v>5703</v>
      </c>
    </row>
    <row r="167" spans="1:4">
      <c r="A167" s="97" t="s">
        <v>5704</v>
      </c>
      <c r="B167" s="29" t="s">
        <v>5705</v>
      </c>
      <c r="C167" s="87" t="s">
        <v>5706</v>
      </c>
      <c r="D167" s="87" t="s">
        <v>5707</v>
      </c>
    </row>
    <row r="168" spans="1:4">
      <c r="A168" s="97" t="s">
        <v>5708</v>
      </c>
      <c r="B168" s="29" t="s">
        <v>5709</v>
      </c>
      <c r="C168" s="87" t="s">
        <v>5710</v>
      </c>
      <c r="D168" s="87" t="s">
        <v>5711</v>
      </c>
    </row>
    <row r="169" spans="1:4">
      <c r="A169" s="97" t="s">
        <v>5712</v>
      </c>
      <c r="B169" s="29" t="s">
        <v>5713</v>
      </c>
      <c r="C169" s="87" t="s">
        <v>5714</v>
      </c>
      <c r="D169" s="87" t="s">
        <v>5715</v>
      </c>
    </row>
    <row r="170" spans="1:4">
      <c r="A170" s="97" t="s">
        <v>5716</v>
      </c>
      <c r="B170" s="29" t="s">
        <v>5717</v>
      </c>
      <c r="C170" s="87" t="s">
        <v>5718</v>
      </c>
      <c r="D170" s="87" t="s">
        <v>5719</v>
      </c>
    </row>
    <row r="171" spans="1:4">
      <c r="A171" s="97" t="s">
        <v>5720</v>
      </c>
      <c r="B171" s="29" t="s">
        <v>5721</v>
      </c>
      <c r="C171" s="87" t="s">
        <v>5722</v>
      </c>
      <c r="D171" s="87" t="s">
        <v>5723</v>
      </c>
    </row>
    <row r="172" spans="1:4">
      <c r="A172" s="97" t="s">
        <v>5724</v>
      </c>
      <c r="B172" s="29" t="s">
        <v>5725</v>
      </c>
      <c r="C172" s="87" t="s">
        <v>5726</v>
      </c>
      <c r="D172" s="87" t="s">
        <v>5727</v>
      </c>
    </row>
    <row r="173" spans="1:4">
      <c r="A173" s="97" t="s">
        <v>5728</v>
      </c>
      <c r="B173" s="29" t="s">
        <v>5729</v>
      </c>
      <c r="C173" s="87" t="s">
        <v>5730</v>
      </c>
      <c r="D173" s="87" t="s">
        <v>5731</v>
      </c>
    </row>
    <row r="174" spans="1:4">
      <c r="A174" s="97"/>
      <c r="B174" s="29"/>
      <c r="C174" s="87"/>
      <c r="D174" s="8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F1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16.28515625" customWidth="1"/>
  </cols>
  <sheetData>
    <row r="1" spans="1:6">
      <c r="A1" s="79" t="s">
        <v>146</v>
      </c>
      <c r="B1" s="79" t="s">
        <v>147</v>
      </c>
      <c r="C1" s="79" t="s">
        <v>148</v>
      </c>
      <c r="D1" s="79" t="s">
        <v>182</v>
      </c>
      <c r="E1" s="34"/>
      <c r="F1" s="34"/>
    </row>
    <row r="2" spans="1:6">
      <c r="A2" s="67" t="s">
        <v>5732</v>
      </c>
      <c r="B2" s="70" t="s">
        <v>5733</v>
      </c>
      <c r="C2" s="67" t="s">
        <v>5734</v>
      </c>
      <c r="D2" s="67" t="s">
        <v>5735</v>
      </c>
      <c r="E2" s="34"/>
      <c r="F2" s="34"/>
    </row>
    <row r="3" spans="1:6">
      <c r="A3" s="67" t="s">
        <v>5736</v>
      </c>
      <c r="B3" s="70" t="s">
        <v>5737</v>
      </c>
      <c r="C3" s="67" t="s">
        <v>5738</v>
      </c>
      <c r="D3" s="11" t="str">
        <f>HYPERLINK("http://www.in.gov/sema/","http://www.in.gov/sema/")</f>
        <v>http://www.in.gov/sema/</v>
      </c>
      <c r="E3" s="34"/>
      <c r="F3" s="34"/>
    </row>
    <row r="4" spans="1:6">
      <c r="A4" s="67" t="s">
        <v>5739</v>
      </c>
      <c r="B4" s="34"/>
      <c r="C4" s="34"/>
      <c r="D4" s="11" t="str">
        <f>HYPERLINK("http://wildlife.rescueshelter.com/Indiana","http://wildlife.rescueshelter.com/Indiana")</f>
        <v>http://wildlife.rescueshelter.com/Indiana</v>
      </c>
      <c r="E4" s="34"/>
      <c r="F4" s="34"/>
    </row>
    <row r="5" spans="1:6" ht="12.75">
      <c r="A5" s="34"/>
      <c r="B5" s="34"/>
      <c r="C5" s="34"/>
      <c r="D5" s="34"/>
      <c r="E5" s="34"/>
      <c r="F5" s="34"/>
    </row>
    <row r="6" spans="1:6">
      <c r="A6" s="79" t="s">
        <v>209</v>
      </c>
      <c r="B6" s="79" t="s">
        <v>147</v>
      </c>
      <c r="C6" s="79" t="s">
        <v>148</v>
      </c>
      <c r="D6" s="79" t="s">
        <v>182</v>
      </c>
      <c r="E6" s="77" t="s">
        <v>5740</v>
      </c>
      <c r="F6" s="34"/>
    </row>
    <row r="7" spans="1:6" ht="1.5" customHeight="1">
      <c r="A7" s="67" t="s">
        <v>5376</v>
      </c>
      <c r="B7" s="34" t="s">
        <v>787</v>
      </c>
      <c r="C7" s="34" t="s">
        <v>787</v>
      </c>
      <c r="D7" s="34" t="s">
        <v>5741</v>
      </c>
      <c r="E7" s="34" t="s">
        <v>5742</v>
      </c>
      <c r="F7" s="34"/>
    </row>
    <row r="8" spans="1:6">
      <c r="A8" s="67" t="s">
        <v>5743</v>
      </c>
      <c r="B8" s="34" t="s">
        <v>5744</v>
      </c>
      <c r="C8" s="34" t="s">
        <v>5745</v>
      </c>
      <c r="D8" s="34" t="s">
        <v>5746</v>
      </c>
      <c r="E8" s="34" t="s">
        <v>5747</v>
      </c>
      <c r="F8" s="34"/>
    </row>
    <row r="9" spans="1:6">
      <c r="A9" s="67" t="s">
        <v>5748</v>
      </c>
      <c r="B9" s="34" t="s">
        <v>5749</v>
      </c>
      <c r="C9" s="34" t="s">
        <v>787</v>
      </c>
      <c r="D9" s="34" t="s">
        <v>5750</v>
      </c>
      <c r="E9" s="34" t="s">
        <v>5751</v>
      </c>
      <c r="F9" s="34"/>
    </row>
    <row r="10" spans="1:6">
      <c r="A10" s="67" t="s">
        <v>5752</v>
      </c>
      <c r="B10" s="34" t="s">
        <v>787</v>
      </c>
      <c r="C10" s="34" t="s">
        <v>787</v>
      </c>
      <c r="D10" s="34" t="s">
        <v>5753</v>
      </c>
      <c r="E10" s="34" t="s">
        <v>5754</v>
      </c>
      <c r="F10" s="34"/>
    </row>
    <row r="11" spans="1:6">
      <c r="A11" s="67" t="s">
        <v>5755</v>
      </c>
      <c r="B11" s="34" t="s">
        <v>787</v>
      </c>
      <c r="C11" s="34" t="s">
        <v>5756</v>
      </c>
      <c r="D11" s="34" t="s">
        <v>5757</v>
      </c>
      <c r="E11" s="34" t="s">
        <v>5758</v>
      </c>
      <c r="F11" s="34"/>
    </row>
    <row r="12" spans="1:6">
      <c r="A12" s="67" t="s">
        <v>5383</v>
      </c>
      <c r="B12" s="34" t="s">
        <v>787</v>
      </c>
      <c r="C12" s="34" t="s">
        <v>787</v>
      </c>
      <c r="D12" s="34" t="s">
        <v>5759</v>
      </c>
      <c r="E12" s="34" t="s">
        <v>5760</v>
      </c>
      <c r="F12" s="34"/>
    </row>
    <row r="13" spans="1:6">
      <c r="A13" s="67" t="s">
        <v>5385</v>
      </c>
      <c r="B13" s="34" t="s">
        <v>787</v>
      </c>
      <c r="C13" s="34" t="s">
        <v>787</v>
      </c>
      <c r="D13" s="34" t="s">
        <v>5761</v>
      </c>
      <c r="E13" s="34" t="s">
        <v>5762</v>
      </c>
      <c r="F13" s="34"/>
    </row>
    <row r="14" spans="1:6">
      <c r="A14" s="67" t="s">
        <v>5391</v>
      </c>
      <c r="B14" s="34" t="s">
        <v>787</v>
      </c>
      <c r="C14" s="34" t="s">
        <v>787</v>
      </c>
      <c r="D14" s="34" t="s">
        <v>5763</v>
      </c>
      <c r="E14" s="34" t="s">
        <v>5764</v>
      </c>
      <c r="F14" s="34"/>
    </row>
    <row r="15" spans="1:6">
      <c r="A15" s="67" t="s">
        <v>5393</v>
      </c>
      <c r="B15" s="34" t="s">
        <v>787</v>
      </c>
      <c r="C15" s="34" t="s">
        <v>787</v>
      </c>
      <c r="D15" s="34" t="s">
        <v>5765</v>
      </c>
      <c r="E15" s="34" t="s">
        <v>5766</v>
      </c>
      <c r="F15" s="34"/>
    </row>
    <row r="16" spans="1:6">
      <c r="A16" s="67" t="s">
        <v>5401</v>
      </c>
      <c r="B16" s="34" t="s">
        <v>787</v>
      </c>
      <c r="C16" s="34" t="s">
        <v>787</v>
      </c>
      <c r="D16" s="34" t="s">
        <v>5767</v>
      </c>
      <c r="E16" s="34" t="s">
        <v>5768</v>
      </c>
      <c r="F16" s="34"/>
    </row>
    <row r="17" spans="1:6">
      <c r="A17" s="67" t="s">
        <v>5403</v>
      </c>
      <c r="B17" s="34" t="s">
        <v>787</v>
      </c>
      <c r="C17" s="34" t="s">
        <v>787</v>
      </c>
      <c r="D17" s="34" t="s">
        <v>5769</v>
      </c>
      <c r="E17" s="34" t="s">
        <v>5770</v>
      </c>
      <c r="F17" s="34"/>
    </row>
    <row r="18" spans="1:6">
      <c r="A18" s="67" t="s">
        <v>5405</v>
      </c>
      <c r="B18" s="34" t="s">
        <v>787</v>
      </c>
      <c r="C18" s="34" t="s">
        <v>5771</v>
      </c>
      <c r="D18" s="34" t="s">
        <v>5772</v>
      </c>
      <c r="E18" s="34" t="s">
        <v>5773</v>
      </c>
      <c r="F18" s="34"/>
    </row>
    <row r="19" spans="1:6">
      <c r="A19" s="67" t="s">
        <v>5413</v>
      </c>
      <c r="B19" s="34" t="s">
        <v>787</v>
      </c>
      <c r="C19" s="34" t="s">
        <v>787</v>
      </c>
      <c r="D19" s="34" t="s">
        <v>787</v>
      </c>
      <c r="E19" s="34" t="s">
        <v>787</v>
      </c>
      <c r="F19" s="34"/>
    </row>
    <row r="20" spans="1:6">
      <c r="A20" s="67" t="s">
        <v>5774</v>
      </c>
      <c r="B20" s="34" t="s">
        <v>787</v>
      </c>
      <c r="C20" s="34" t="s">
        <v>787</v>
      </c>
      <c r="D20" s="34" t="s">
        <v>787</v>
      </c>
      <c r="E20" s="34" t="s">
        <v>787</v>
      </c>
      <c r="F20" s="34"/>
    </row>
    <row r="21" spans="1:6">
      <c r="A21" s="67" t="s">
        <v>5775</v>
      </c>
      <c r="B21" s="34" t="s">
        <v>787</v>
      </c>
      <c r="C21" s="34" t="s">
        <v>787</v>
      </c>
      <c r="D21" s="34" t="s">
        <v>5776</v>
      </c>
      <c r="E21" s="34" t="s">
        <v>5777</v>
      </c>
      <c r="F21" s="34"/>
    </row>
    <row r="22" spans="1:6">
      <c r="A22" s="67" t="s">
        <v>5778</v>
      </c>
      <c r="B22" s="34" t="s">
        <v>787</v>
      </c>
      <c r="C22" s="34" t="s">
        <v>787</v>
      </c>
      <c r="D22" s="34" t="s">
        <v>5779</v>
      </c>
      <c r="E22" s="34" t="s">
        <v>5780</v>
      </c>
      <c r="F22" s="34"/>
    </row>
    <row r="23" spans="1:6">
      <c r="A23" s="67" t="s">
        <v>5417</v>
      </c>
      <c r="B23" s="34" t="s">
        <v>787</v>
      </c>
      <c r="C23" s="34" t="s">
        <v>787</v>
      </c>
      <c r="D23" s="34" t="s">
        <v>5781</v>
      </c>
      <c r="E23" s="34" t="s">
        <v>5782</v>
      </c>
      <c r="F23" s="34"/>
    </row>
    <row r="24" spans="1:6">
      <c r="A24" s="67" t="s">
        <v>5783</v>
      </c>
      <c r="B24" s="34" t="s">
        <v>787</v>
      </c>
      <c r="C24" s="34" t="s">
        <v>5784</v>
      </c>
      <c r="D24" s="34" t="s">
        <v>5785</v>
      </c>
      <c r="E24" s="34" t="s">
        <v>5786</v>
      </c>
      <c r="F24" s="34"/>
    </row>
    <row r="25" spans="1:6">
      <c r="A25" s="67" t="s">
        <v>5787</v>
      </c>
      <c r="B25" s="34" t="s">
        <v>787</v>
      </c>
      <c r="C25" s="34" t="s">
        <v>787</v>
      </c>
      <c r="D25" s="34" t="s">
        <v>5788</v>
      </c>
      <c r="E25" s="34" t="s">
        <v>5789</v>
      </c>
      <c r="F25" s="34"/>
    </row>
    <row r="26" spans="1:6">
      <c r="A26" s="67" t="s">
        <v>5790</v>
      </c>
      <c r="B26" s="34" t="s">
        <v>787</v>
      </c>
      <c r="C26" s="34" t="s">
        <v>787</v>
      </c>
      <c r="D26" s="34" t="s">
        <v>5791</v>
      </c>
      <c r="E26" s="34" t="s">
        <v>5792</v>
      </c>
      <c r="F26" s="34"/>
    </row>
    <row r="27" spans="1:6">
      <c r="A27" s="67" t="s">
        <v>5436</v>
      </c>
      <c r="B27" s="34" t="s">
        <v>787</v>
      </c>
      <c r="C27" s="34" t="s">
        <v>787</v>
      </c>
      <c r="D27" s="34" t="s">
        <v>5793</v>
      </c>
      <c r="E27" s="34" t="s">
        <v>5794</v>
      </c>
      <c r="F27" s="34"/>
    </row>
    <row r="28" spans="1:6">
      <c r="A28" s="67" t="s">
        <v>5795</v>
      </c>
      <c r="B28" s="34" t="s">
        <v>787</v>
      </c>
      <c r="C28" s="34" t="s">
        <v>787</v>
      </c>
      <c r="D28" s="34" t="s">
        <v>5796</v>
      </c>
      <c r="E28" s="34" t="s">
        <v>5797</v>
      </c>
      <c r="F28" s="34"/>
    </row>
    <row r="29" spans="1:6">
      <c r="A29" s="67" t="s">
        <v>5798</v>
      </c>
      <c r="B29" s="34" t="s">
        <v>787</v>
      </c>
      <c r="C29" s="34" t="s">
        <v>787</v>
      </c>
      <c r="D29" s="34" t="s">
        <v>787</v>
      </c>
      <c r="E29" s="34" t="s">
        <v>787</v>
      </c>
      <c r="F29" s="34"/>
    </row>
    <row r="30" spans="1:6">
      <c r="A30" s="67" t="s">
        <v>5441</v>
      </c>
      <c r="B30" s="34" t="s">
        <v>787</v>
      </c>
      <c r="C30" s="34" t="s">
        <v>787</v>
      </c>
      <c r="D30" s="34" t="s">
        <v>5799</v>
      </c>
      <c r="E30" s="34" t="s">
        <v>5800</v>
      </c>
      <c r="F30" s="34"/>
    </row>
    <row r="31" spans="1:6">
      <c r="A31" s="67" t="s">
        <v>5444</v>
      </c>
      <c r="B31" s="34" t="s">
        <v>787</v>
      </c>
      <c r="C31" s="34" t="s">
        <v>787</v>
      </c>
      <c r="D31" s="34" t="s">
        <v>5801</v>
      </c>
      <c r="E31" s="34" t="s">
        <v>5802</v>
      </c>
      <c r="F31" s="34"/>
    </row>
    <row r="32" spans="1:6">
      <c r="A32" s="67" t="s">
        <v>5803</v>
      </c>
      <c r="B32" s="34" t="s">
        <v>787</v>
      </c>
      <c r="C32" s="34" t="s">
        <v>787</v>
      </c>
      <c r="D32" s="34" t="s">
        <v>5804</v>
      </c>
      <c r="E32" s="34" t="s">
        <v>5805</v>
      </c>
      <c r="F32" s="34"/>
    </row>
    <row r="33" spans="1:6">
      <c r="A33" s="67" t="s">
        <v>5806</v>
      </c>
      <c r="B33" s="34" t="s">
        <v>787</v>
      </c>
      <c r="C33" s="34" t="s">
        <v>787</v>
      </c>
      <c r="D33" s="34" t="s">
        <v>5807</v>
      </c>
      <c r="E33" s="34" t="s">
        <v>5808</v>
      </c>
      <c r="F33" s="34"/>
    </row>
    <row r="34" spans="1:6">
      <c r="A34" s="67" t="s">
        <v>5449</v>
      </c>
      <c r="B34" s="34" t="s">
        <v>787</v>
      </c>
      <c r="C34" s="34" t="s">
        <v>787</v>
      </c>
      <c r="D34" s="34" t="s">
        <v>787</v>
      </c>
      <c r="E34" s="34" t="s">
        <v>787</v>
      </c>
      <c r="F34" s="34"/>
    </row>
    <row r="35" spans="1:6">
      <c r="A35" s="67" t="s">
        <v>5453</v>
      </c>
      <c r="B35" s="34" t="s">
        <v>5809</v>
      </c>
      <c r="C35" s="34" t="s">
        <v>5810</v>
      </c>
      <c r="D35" s="34" t="s">
        <v>5811</v>
      </c>
      <c r="E35" s="34" t="s">
        <v>5812</v>
      </c>
      <c r="F35" s="34"/>
    </row>
    <row r="36" spans="1:6">
      <c r="A36" s="67" t="s">
        <v>5455</v>
      </c>
      <c r="B36" s="34" t="s">
        <v>787</v>
      </c>
      <c r="C36" s="34" t="s">
        <v>787</v>
      </c>
      <c r="D36" s="34" t="s">
        <v>5813</v>
      </c>
      <c r="E36" s="34" t="s">
        <v>5814</v>
      </c>
      <c r="F36" s="34"/>
    </row>
    <row r="37" spans="1:6">
      <c r="A37" s="67" t="s">
        <v>1758</v>
      </c>
      <c r="B37" s="34" t="s">
        <v>787</v>
      </c>
      <c r="C37" s="34" t="s">
        <v>787</v>
      </c>
      <c r="D37" s="34" t="s">
        <v>5815</v>
      </c>
      <c r="E37" s="34" t="s">
        <v>5816</v>
      </c>
      <c r="F37" s="34"/>
    </row>
    <row r="38" spans="1:6">
      <c r="A38" s="67" t="s">
        <v>5817</v>
      </c>
      <c r="B38" s="34" t="s">
        <v>787</v>
      </c>
      <c r="C38" s="34" t="s">
        <v>787</v>
      </c>
      <c r="D38" s="34" t="s">
        <v>5818</v>
      </c>
      <c r="E38" s="34" t="s">
        <v>5819</v>
      </c>
      <c r="F38" s="34"/>
    </row>
    <row r="39" spans="1:6">
      <c r="A39" s="67" t="s">
        <v>5461</v>
      </c>
      <c r="B39" s="34" t="s">
        <v>787</v>
      </c>
      <c r="C39" s="34" t="s">
        <v>787</v>
      </c>
      <c r="D39" s="34" t="s">
        <v>5820</v>
      </c>
      <c r="E39" s="34" t="s">
        <v>5821</v>
      </c>
      <c r="F39" s="34"/>
    </row>
    <row r="40" spans="1:6">
      <c r="A40" s="67" t="s">
        <v>5822</v>
      </c>
      <c r="B40" s="34" t="s">
        <v>787</v>
      </c>
      <c r="C40" s="34" t="s">
        <v>787</v>
      </c>
      <c r="D40" s="34" t="s">
        <v>5823</v>
      </c>
      <c r="E40" s="34" t="s">
        <v>5824</v>
      </c>
      <c r="F40" s="34"/>
    </row>
    <row r="41" spans="1:6">
      <c r="A41" s="67" t="s">
        <v>5825</v>
      </c>
      <c r="B41" s="34" t="s">
        <v>787</v>
      </c>
      <c r="C41" s="34" t="s">
        <v>787</v>
      </c>
      <c r="D41" s="34" t="s">
        <v>5826</v>
      </c>
      <c r="E41" s="34" t="s">
        <v>5827</v>
      </c>
      <c r="F41" s="34"/>
    </row>
    <row r="42" spans="1:6">
      <c r="A42" s="67" t="s">
        <v>5828</v>
      </c>
      <c r="B42" s="34" t="s">
        <v>5829</v>
      </c>
      <c r="C42" t="s">
        <v>787</v>
      </c>
      <c r="D42" s="34" t="s">
        <v>5830</v>
      </c>
      <c r="E42" s="34" t="s">
        <v>5831</v>
      </c>
      <c r="F42" s="34"/>
    </row>
    <row r="43" spans="1:6">
      <c r="A43" s="67" t="s">
        <v>5468</v>
      </c>
      <c r="B43" s="34" t="s">
        <v>787</v>
      </c>
      <c r="C43" s="34" t="s">
        <v>787</v>
      </c>
      <c r="D43" s="34" t="s">
        <v>5832</v>
      </c>
      <c r="E43" s="34" t="s">
        <v>5833</v>
      </c>
      <c r="F43" s="34"/>
    </row>
    <row r="44" spans="1:6">
      <c r="A44" s="67" t="s">
        <v>5834</v>
      </c>
      <c r="B44" s="34" t="s">
        <v>787</v>
      </c>
      <c r="C44" s="34" t="s">
        <v>787</v>
      </c>
      <c r="D44" s="34" t="s">
        <v>787</v>
      </c>
      <c r="E44" s="34" t="s">
        <v>5835</v>
      </c>
      <c r="F44" s="34"/>
    </row>
    <row r="45" spans="1:6">
      <c r="A45" s="67" t="s">
        <v>5187</v>
      </c>
      <c r="B45" s="34" t="s">
        <v>787</v>
      </c>
      <c r="C45" s="34" t="s">
        <v>787</v>
      </c>
      <c r="D45" s="34" t="s">
        <v>5836</v>
      </c>
      <c r="E45" s="34" t="s">
        <v>5837</v>
      </c>
      <c r="F45" s="34"/>
    </row>
    <row r="46" spans="1:6">
      <c r="A46" s="67" t="s">
        <v>5838</v>
      </c>
      <c r="B46" s="34" t="s">
        <v>5839</v>
      </c>
      <c r="C46" s="34" t="s">
        <v>5840</v>
      </c>
      <c r="D46" s="34" t="s">
        <v>5841</v>
      </c>
      <c r="E46" s="34" t="s">
        <v>5842</v>
      </c>
      <c r="F46" s="34"/>
    </row>
    <row r="47" spans="1:6">
      <c r="A47" s="67" t="s">
        <v>5475</v>
      </c>
      <c r="B47" s="34" t="s">
        <v>787</v>
      </c>
      <c r="C47" s="34" t="s">
        <v>787</v>
      </c>
      <c r="D47" s="34" t="s">
        <v>5843</v>
      </c>
      <c r="E47" s="34" t="s">
        <v>5844</v>
      </c>
      <c r="F47" s="34"/>
    </row>
    <row r="48" spans="1:6">
      <c r="A48" s="67" t="s">
        <v>5484</v>
      </c>
      <c r="B48" s="34" t="s">
        <v>787</v>
      </c>
      <c r="C48" s="34" t="s">
        <v>5845</v>
      </c>
      <c r="D48" s="34" t="s">
        <v>5846</v>
      </c>
      <c r="E48" s="34" t="s">
        <v>5847</v>
      </c>
      <c r="F48" s="34"/>
    </row>
    <row r="49" spans="1:6">
      <c r="A49" s="67" t="s">
        <v>5848</v>
      </c>
      <c r="B49" s="34" t="s">
        <v>787</v>
      </c>
      <c r="C49" s="34" t="s">
        <v>787</v>
      </c>
      <c r="D49" s="34" t="s">
        <v>5849</v>
      </c>
      <c r="E49" s="34" t="s">
        <v>5850</v>
      </c>
      <c r="F49" s="34"/>
    </row>
    <row r="50" spans="1:6">
      <c r="A50" s="67" t="s">
        <v>5851</v>
      </c>
      <c r="B50" s="34" t="s">
        <v>787</v>
      </c>
      <c r="C50" s="34" t="s">
        <v>787</v>
      </c>
      <c r="D50" s="34" t="s">
        <v>5852</v>
      </c>
      <c r="E50" s="34" t="s">
        <v>5853</v>
      </c>
      <c r="F50" s="34"/>
    </row>
    <row r="51" spans="1:6">
      <c r="A51" s="67" t="s">
        <v>5486</v>
      </c>
      <c r="B51" s="34" t="s">
        <v>787</v>
      </c>
      <c r="C51" s="34" t="s">
        <v>787</v>
      </c>
      <c r="D51" s="34" t="s">
        <v>5854</v>
      </c>
      <c r="E51" s="34" t="s">
        <v>5855</v>
      </c>
      <c r="F51" s="34"/>
    </row>
    <row r="52" spans="1:6">
      <c r="A52" s="67" t="s">
        <v>5856</v>
      </c>
      <c r="B52" s="34" t="s">
        <v>787</v>
      </c>
      <c r="C52" s="34" t="s">
        <v>5857</v>
      </c>
      <c r="D52" s="34" t="s">
        <v>5858</v>
      </c>
      <c r="E52" s="34" t="s">
        <v>5859</v>
      </c>
      <c r="F52" s="34"/>
    </row>
    <row r="53" spans="1:6">
      <c r="A53" s="67" t="s">
        <v>5494</v>
      </c>
      <c r="B53" s="34" t="s">
        <v>787</v>
      </c>
      <c r="C53" s="34" t="s">
        <v>787</v>
      </c>
      <c r="D53" s="34" t="s">
        <v>787</v>
      </c>
      <c r="E53" s="34" t="s">
        <v>5860</v>
      </c>
      <c r="F53" s="34"/>
    </row>
    <row r="54" spans="1:6">
      <c r="A54" s="67" t="s">
        <v>5209</v>
      </c>
      <c r="B54" s="34" t="s">
        <v>787</v>
      </c>
      <c r="C54" s="34" t="s">
        <v>787</v>
      </c>
      <c r="D54" s="34" t="s">
        <v>5861</v>
      </c>
      <c r="E54" s="34" t="s">
        <v>5862</v>
      </c>
      <c r="F54" s="34"/>
    </row>
    <row r="55" spans="1:6">
      <c r="A55" s="67" t="s">
        <v>5507</v>
      </c>
      <c r="B55" s="34" t="s">
        <v>5863</v>
      </c>
      <c r="C55" s="34" t="s">
        <v>5864</v>
      </c>
      <c r="D55" s="34" t="s">
        <v>5865</v>
      </c>
      <c r="E55" s="34" t="s">
        <v>5866</v>
      </c>
      <c r="F55" s="34"/>
    </row>
    <row r="56" spans="1:6">
      <c r="A56" s="67" t="s">
        <v>5509</v>
      </c>
      <c r="B56" s="34" t="s">
        <v>787</v>
      </c>
      <c r="C56" s="34" t="s">
        <v>787</v>
      </c>
      <c r="D56" s="34" t="s">
        <v>5867</v>
      </c>
      <c r="E56" s="34" t="s">
        <v>5868</v>
      </c>
      <c r="F56" s="34"/>
    </row>
    <row r="57" spans="1:6">
      <c r="A57" s="67" t="s">
        <v>5869</v>
      </c>
      <c r="B57" s="34" t="s">
        <v>787</v>
      </c>
      <c r="C57" s="34" t="s">
        <v>787</v>
      </c>
      <c r="D57" s="34" t="s">
        <v>787</v>
      </c>
      <c r="E57" s="34" t="s">
        <v>787</v>
      </c>
      <c r="F57" s="34"/>
    </row>
    <row r="58" spans="1:6">
      <c r="A58" s="67" t="s">
        <v>5870</v>
      </c>
      <c r="B58" s="34" t="s">
        <v>787</v>
      </c>
      <c r="C58" s="34" t="s">
        <v>787</v>
      </c>
      <c r="D58" s="34" t="s">
        <v>5871</v>
      </c>
      <c r="E58" s="34" t="s">
        <v>5872</v>
      </c>
      <c r="F58" s="34"/>
    </row>
    <row r="59" spans="1:6">
      <c r="A59" s="67" t="s">
        <v>5524</v>
      </c>
      <c r="B59" s="34" t="s">
        <v>787</v>
      </c>
      <c r="C59" s="34" t="s">
        <v>787</v>
      </c>
      <c r="D59" s="34" t="s">
        <v>5873</v>
      </c>
      <c r="E59" s="34" t="s">
        <v>5874</v>
      </c>
      <c r="F59" s="34"/>
    </row>
    <row r="60" spans="1:6">
      <c r="A60" s="67" t="s">
        <v>5526</v>
      </c>
      <c r="B60" s="34" t="s">
        <v>787</v>
      </c>
      <c r="C60" s="34" t="s">
        <v>787</v>
      </c>
      <c r="D60" s="34" t="s">
        <v>5875</v>
      </c>
      <c r="E60" s="34" t="s">
        <v>5876</v>
      </c>
      <c r="F60" s="34"/>
    </row>
    <row r="61" spans="1:6">
      <c r="A61" s="67" t="s">
        <v>5527</v>
      </c>
      <c r="B61" s="34" t="s">
        <v>787</v>
      </c>
      <c r="C61" s="34" t="s">
        <v>787</v>
      </c>
      <c r="D61" s="34" t="s">
        <v>5877</v>
      </c>
      <c r="E61" s="34" t="s">
        <v>5878</v>
      </c>
      <c r="F61" s="34"/>
    </row>
    <row r="62" spans="1:6">
      <c r="A62" s="67" t="s">
        <v>5879</v>
      </c>
      <c r="B62" s="34" t="s">
        <v>787</v>
      </c>
      <c r="C62" s="34" t="s">
        <v>787</v>
      </c>
      <c r="D62" s="34" t="s">
        <v>5880</v>
      </c>
      <c r="E62" s="34" t="s">
        <v>5881</v>
      </c>
      <c r="F62" s="34"/>
    </row>
    <row r="63" spans="1:6">
      <c r="A63" s="67" t="s">
        <v>5882</v>
      </c>
      <c r="B63" s="34" t="s">
        <v>787</v>
      </c>
      <c r="C63" s="34" t="s">
        <v>787</v>
      </c>
      <c r="D63" s="34" t="s">
        <v>5883</v>
      </c>
      <c r="E63" s="34" t="s">
        <v>5884</v>
      </c>
      <c r="F63" s="34"/>
    </row>
    <row r="64" spans="1:6">
      <c r="A64" s="67" t="s">
        <v>93</v>
      </c>
      <c r="B64" s="34" t="s">
        <v>787</v>
      </c>
      <c r="C64" s="34" t="s">
        <v>787</v>
      </c>
      <c r="D64" s="34" t="s">
        <v>787</v>
      </c>
      <c r="E64" s="34" t="s">
        <v>787</v>
      </c>
      <c r="F64" s="34"/>
    </row>
    <row r="65" spans="1:6">
      <c r="A65" s="67" t="s">
        <v>5885</v>
      </c>
      <c r="B65" s="34" t="s">
        <v>787</v>
      </c>
      <c r="C65" s="34" t="s">
        <v>787</v>
      </c>
      <c r="D65" s="34" t="s">
        <v>5886</v>
      </c>
      <c r="E65" s="34" t="s">
        <v>787</v>
      </c>
      <c r="F65" s="34"/>
    </row>
    <row r="66" spans="1:6">
      <c r="A66" s="67" t="s">
        <v>5887</v>
      </c>
      <c r="B66" s="34" t="s">
        <v>787</v>
      </c>
      <c r="C66" s="34" t="s">
        <v>787</v>
      </c>
      <c r="D66" s="34" t="s">
        <v>5888</v>
      </c>
      <c r="E66" s="34" t="s">
        <v>5889</v>
      </c>
      <c r="F66" s="34"/>
    </row>
    <row r="67" spans="1:6">
      <c r="A67" s="67" t="s">
        <v>5890</v>
      </c>
      <c r="B67" s="34" t="s">
        <v>787</v>
      </c>
      <c r="C67" s="34" t="s">
        <v>787</v>
      </c>
      <c r="D67" s="34" t="s">
        <v>5891</v>
      </c>
      <c r="E67" s="34" t="s">
        <v>5892</v>
      </c>
      <c r="F67" s="34"/>
    </row>
    <row r="68" spans="1:6">
      <c r="A68" s="67" t="s">
        <v>5533</v>
      </c>
      <c r="B68" s="34" t="s">
        <v>787</v>
      </c>
      <c r="C68" s="34" t="s">
        <v>787</v>
      </c>
      <c r="D68" s="34" t="s">
        <v>5893</v>
      </c>
      <c r="E68" s="34" t="s">
        <v>5894</v>
      </c>
      <c r="F68" s="34"/>
    </row>
    <row r="69" spans="1:6">
      <c r="A69" s="67" t="s">
        <v>5536</v>
      </c>
      <c r="B69" s="34" t="s">
        <v>787</v>
      </c>
      <c r="C69" s="34" t="s">
        <v>787</v>
      </c>
      <c r="D69" s="34" t="s">
        <v>5895</v>
      </c>
      <c r="E69" s="34" t="s">
        <v>5896</v>
      </c>
      <c r="F69" s="34"/>
    </row>
    <row r="70" spans="1:6">
      <c r="A70" s="67" t="s">
        <v>5897</v>
      </c>
      <c r="B70" s="34" t="s">
        <v>787</v>
      </c>
      <c r="C70" s="34" t="s">
        <v>787</v>
      </c>
      <c r="D70" s="34" t="s">
        <v>5898</v>
      </c>
      <c r="E70" s="34" t="s">
        <v>5899</v>
      </c>
      <c r="F70" s="34"/>
    </row>
    <row r="71" spans="1:6">
      <c r="A71" s="67" t="s">
        <v>5900</v>
      </c>
      <c r="B71" s="34" t="s">
        <v>787</v>
      </c>
      <c r="C71" s="34" t="s">
        <v>787</v>
      </c>
      <c r="D71" s="34" t="s">
        <v>787</v>
      </c>
      <c r="E71" s="34" t="s">
        <v>5901</v>
      </c>
      <c r="F71" s="34"/>
    </row>
    <row r="72" spans="1:6">
      <c r="A72" s="67" t="s">
        <v>5540</v>
      </c>
      <c r="B72" s="34" t="s">
        <v>787</v>
      </c>
      <c r="C72" s="34" t="s">
        <v>787</v>
      </c>
      <c r="D72" s="34" t="s">
        <v>5902</v>
      </c>
      <c r="E72" s="34" t="s">
        <v>5903</v>
      </c>
      <c r="F72" s="34"/>
    </row>
    <row r="73" spans="1:6">
      <c r="A73" s="67" t="s">
        <v>5541</v>
      </c>
      <c r="B73" s="34" t="s">
        <v>787</v>
      </c>
      <c r="C73" s="34" t="s">
        <v>787</v>
      </c>
      <c r="D73" s="34" t="s">
        <v>787</v>
      </c>
      <c r="E73" s="34" t="s">
        <v>5904</v>
      </c>
      <c r="F73" s="34"/>
    </row>
    <row r="74" spans="1:6">
      <c r="A74" s="67" t="s">
        <v>5543</v>
      </c>
      <c r="B74" s="34" t="s">
        <v>787</v>
      </c>
      <c r="C74" s="34" t="s">
        <v>787</v>
      </c>
      <c r="D74" s="34" t="s">
        <v>5905</v>
      </c>
      <c r="E74" s="34" t="s">
        <v>5906</v>
      </c>
      <c r="F74" s="34"/>
    </row>
    <row r="75" spans="1:6">
      <c r="A75" s="67" t="s">
        <v>5907</v>
      </c>
      <c r="B75" s="34" t="s">
        <v>5908</v>
      </c>
      <c r="C75" s="34" t="s">
        <v>5909</v>
      </c>
      <c r="D75" s="34" t="s">
        <v>5910</v>
      </c>
      <c r="E75" s="34" t="s">
        <v>5911</v>
      </c>
      <c r="F75" s="34"/>
    </row>
    <row r="76" spans="1:6">
      <c r="A76" s="67" t="s">
        <v>5912</v>
      </c>
      <c r="B76" s="34" t="s">
        <v>787</v>
      </c>
      <c r="C76" s="34" t="s">
        <v>787</v>
      </c>
      <c r="D76" s="34" t="s">
        <v>5913</v>
      </c>
      <c r="E76" s="34" t="s">
        <v>5914</v>
      </c>
      <c r="F76" s="34"/>
    </row>
    <row r="77" spans="1:6">
      <c r="A77" s="67" t="s">
        <v>5553</v>
      </c>
      <c r="B77" s="34" t="s">
        <v>787</v>
      </c>
      <c r="C77" s="34" t="s">
        <v>5915</v>
      </c>
      <c r="D77" s="34" t="s">
        <v>787</v>
      </c>
      <c r="E77" s="34" t="s">
        <v>5916</v>
      </c>
      <c r="F77" s="34"/>
    </row>
    <row r="78" spans="1:6">
      <c r="A78" s="67" t="s">
        <v>5554</v>
      </c>
      <c r="B78" s="34" t="s">
        <v>787</v>
      </c>
      <c r="C78" s="34" t="s">
        <v>787</v>
      </c>
      <c r="D78" s="34" t="s">
        <v>5917</v>
      </c>
      <c r="E78" s="34" t="s">
        <v>5918</v>
      </c>
      <c r="F78" s="34"/>
    </row>
    <row r="79" spans="1:6">
      <c r="A79" s="67" t="s">
        <v>5919</v>
      </c>
      <c r="B79" s="34" t="s">
        <v>787</v>
      </c>
      <c r="C79" s="34" t="s">
        <v>787</v>
      </c>
      <c r="D79" s="34" t="s">
        <v>5920</v>
      </c>
      <c r="E79" s="34" t="s">
        <v>5921</v>
      </c>
      <c r="F79" s="34"/>
    </row>
    <row r="80" spans="1:6">
      <c r="A80" s="67" t="s">
        <v>5922</v>
      </c>
      <c r="B80" s="34" t="s">
        <v>787</v>
      </c>
      <c r="C80" s="34" t="s">
        <v>787</v>
      </c>
      <c r="D80" s="34" t="s">
        <v>5923</v>
      </c>
      <c r="E80" s="34" t="s">
        <v>5924</v>
      </c>
      <c r="F80" s="34"/>
    </row>
    <row r="81" spans="1:6">
      <c r="A81" s="67" t="s">
        <v>5925</v>
      </c>
      <c r="B81" s="34" t="s">
        <v>787</v>
      </c>
      <c r="C81" s="34" t="s">
        <v>787</v>
      </c>
      <c r="D81" s="34" t="s">
        <v>5926</v>
      </c>
      <c r="E81" s="34" t="s">
        <v>5927</v>
      </c>
      <c r="F81" s="34"/>
    </row>
    <row r="82" spans="1:6">
      <c r="A82" s="67" t="s">
        <v>5928</v>
      </c>
      <c r="B82" s="34" t="s">
        <v>787</v>
      </c>
      <c r="C82" s="34" t="s">
        <v>787</v>
      </c>
      <c r="D82" s="34" t="s">
        <v>5929</v>
      </c>
      <c r="E82" s="34" t="s">
        <v>5930</v>
      </c>
      <c r="F82" s="34"/>
    </row>
    <row r="83" spans="1:6">
      <c r="A83" s="67" t="s">
        <v>5931</v>
      </c>
      <c r="B83" s="34" t="s">
        <v>787</v>
      </c>
      <c r="C83" s="34" t="s">
        <v>787</v>
      </c>
      <c r="D83" s="34" t="s">
        <v>5932</v>
      </c>
      <c r="E83" s="34" t="s">
        <v>787</v>
      </c>
      <c r="F83" s="34"/>
    </row>
    <row r="84" spans="1:6">
      <c r="A84" s="67" t="s">
        <v>5933</v>
      </c>
      <c r="B84" s="34" t="s">
        <v>787</v>
      </c>
      <c r="C84" s="34" t="s">
        <v>787</v>
      </c>
      <c r="D84" s="34" t="s">
        <v>787</v>
      </c>
      <c r="E84" s="34" t="s">
        <v>787</v>
      </c>
      <c r="F84" s="34"/>
    </row>
    <row r="85" spans="1:6">
      <c r="A85" s="67" t="s">
        <v>5934</v>
      </c>
      <c r="B85" s="34" t="s">
        <v>787</v>
      </c>
      <c r="C85" s="34" t="s">
        <v>787</v>
      </c>
      <c r="D85" s="34" t="s">
        <v>5935</v>
      </c>
      <c r="E85" s="34" t="s">
        <v>5936</v>
      </c>
      <c r="F85" s="34"/>
    </row>
    <row r="86" spans="1:6">
      <c r="A86" s="67" t="s">
        <v>5937</v>
      </c>
      <c r="B86" s="34" t="s">
        <v>787</v>
      </c>
      <c r="C86" s="34" t="s">
        <v>787</v>
      </c>
      <c r="D86" s="34" t="s">
        <v>5938</v>
      </c>
      <c r="E86" s="34" t="s">
        <v>787</v>
      </c>
      <c r="F86" s="34"/>
    </row>
    <row r="87" spans="1:6">
      <c r="A87" s="67" t="s">
        <v>5564</v>
      </c>
      <c r="B87" s="34" t="s">
        <v>787</v>
      </c>
      <c r="C87" s="34" t="s">
        <v>787</v>
      </c>
      <c r="D87" s="34" t="s">
        <v>5939</v>
      </c>
      <c r="E87" s="34" t="s">
        <v>5940</v>
      </c>
      <c r="F87" s="34"/>
    </row>
    <row r="88" spans="1:6">
      <c r="A88" s="67" t="s">
        <v>5941</v>
      </c>
      <c r="B88" t="s">
        <v>5942</v>
      </c>
      <c r="C88" s="34" t="s">
        <v>5943</v>
      </c>
      <c r="D88" s="34" t="s">
        <v>5944</v>
      </c>
      <c r="E88" s="34" t="s">
        <v>5945</v>
      </c>
      <c r="F88" s="34"/>
    </row>
    <row r="89" spans="1:6">
      <c r="A89" s="67" t="s">
        <v>5946</v>
      </c>
      <c r="B89" s="34" t="s">
        <v>787</v>
      </c>
      <c r="C89" s="34" t="s">
        <v>787</v>
      </c>
      <c r="D89" s="34" t="s">
        <v>5947</v>
      </c>
      <c r="E89" s="34" t="s">
        <v>5948</v>
      </c>
      <c r="F89" s="34"/>
    </row>
    <row r="90" spans="1:6">
      <c r="A90" s="67" t="s">
        <v>5949</v>
      </c>
      <c r="B90" s="34" t="s">
        <v>787</v>
      </c>
      <c r="C90" s="34" t="s">
        <v>787</v>
      </c>
      <c r="D90" s="34" t="s">
        <v>5950</v>
      </c>
      <c r="E90" s="34" t="s">
        <v>5951</v>
      </c>
      <c r="F90" s="34"/>
    </row>
    <row r="91" spans="1:6">
      <c r="A91" s="67" t="s">
        <v>5570</v>
      </c>
      <c r="B91" s="34" t="s">
        <v>787</v>
      </c>
      <c r="C91" s="34" t="s">
        <v>787</v>
      </c>
      <c r="D91" s="34" t="s">
        <v>5952</v>
      </c>
      <c r="E91" s="34" t="s">
        <v>5953</v>
      </c>
      <c r="F91" s="34"/>
    </row>
    <row r="92" spans="1:6">
      <c r="A92" s="67" t="s">
        <v>5571</v>
      </c>
      <c r="B92" s="34" t="s">
        <v>787</v>
      </c>
      <c r="C92" s="34" t="s">
        <v>787</v>
      </c>
      <c r="D92" s="34" t="s">
        <v>787</v>
      </c>
      <c r="E92" s="34" t="s">
        <v>5954</v>
      </c>
      <c r="F92" s="34"/>
    </row>
    <row r="93" spans="1:6">
      <c r="A93" s="67" t="s">
        <v>5955</v>
      </c>
      <c r="B93" s="34" t="s">
        <v>787</v>
      </c>
      <c r="C93" s="34" t="s">
        <v>5956</v>
      </c>
      <c r="D93" s="34" t="s">
        <v>5957</v>
      </c>
      <c r="E93" s="34" t="s">
        <v>5958</v>
      </c>
      <c r="F93" s="34"/>
    </row>
    <row r="94" spans="1:6">
      <c r="A94" s="67" t="s">
        <v>117</v>
      </c>
      <c r="B94" s="34" t="s">
        <v>787</v>
      </c>
      <c r="C94" s="34" t="s">
        <v>787</v>
      </c>
      <c r="D94" s="34" t="s">
        <v>5959</v>
      </c>
      <c r="E94" s="34" t="s">
        <v>5960</v>
      </c>
      <c r="F94" s="34"/>
    </row>
    <row r="95" spans="1:6">
      <c r="A95" s="67" t="s">
        <v>5573</v>
      </c>
      <c r="B95" s="34" t="s">
        <v>787</v>
      </c>
      <c r="C95" s="34" t="s">
        <v>787</v>
      </c>
      <c r="D95" s="34" t="s">
        <v>5961</v>
      </c>
      <c r="E95" s="34" t="s">
        <v>787</v>
      </c>
      <c r="F95" s="34"/>
    </row>
    <row r="96" spans="1:6">
      <c r="A96" s="67" t="s">
        <v>5962</v>
      </c>
      <c r="B96" s="34" t="s">
        <v>787</v>
      </c>
      <c r="C96" s="34" t="s">
        <v>787</v>
      </c>
      <c r="D96" s="34" t="s">
        <v>5963</v>
      </c>
      <c r="E96" s="34" t="s">
        <v>5964</v>
      </c>
      <c r="F96" s="34"/>
    </row>
    <row r="97" spans="1:6">
      <c r="A97" s="67" t="s">
        <v>5574</v>
      </c>
      <c r="B97" s="34" t="s">
        <v>787</v>
      </c>
      <c r="C97" s="34" t="s">
        <v>787</v>
      </c>
      <c r="D97" s="34" t="s">
        <v>5965</v>
      </c>
      <c r="E97" s="34" t="s">
        <v>5966</v>
      </c>
      <c r="F97" s="34"/>
    </row>
    <row r="98" spans="1:6">
      <c r="A98" s="67" t="s">
        <v>5967</v>
      </c>
      <c r="B98" s="34" t="s">
        <v>787</v>
      </c>
      <c r="C98" s="34" t="s">
        <v>787</v>
      </c>
      <c r="D98" s="34" t="s">
        <v>5968</v>
      </c>
      <c r="E98" s="34" t="s">
        <v>5969</v>
      </c>
      <c r="F98" s="34"/>
    </row>
    <row r="99" spans="1:6" ht="12.75">
      <c r="A99" s="34"/>
      <c r="B99" s="34"/>
      <c r="C99" s="34"/>
      <c r="D99" s="34"/>
      <c r="E99" s="34"/>
      <c r="F99" s="34"/>
    </row>
    <row r="100" spans="1:6">
      <c r="A100" s="79" t="s">
        <v>333</v>
      </c>
      <c r="B100" s="79" t="s">
        <v>147</v>
      </c>
      <c r="C100" s="79" t="s">
        <v>148</v>
      </c>
      <c r="D100" s="79" t="s">
        <v>182</v>
      </c>
      <c r="E100" s="34"/>
      <c r="F100" s="34"/>
    </row>
    <row r="101" spans="1:6">
      <c r="A101" s="67" t="s">
        <v>5970</v>
      </c>
      <c r="B101" s="34" t="s">
        <v>787</v>
      </c>
      <c r="C101" s="34" t="s">
        <v>787</v>
      </c>
      <c r="D101" s="34" t="s">
        <v>5971</v>
      </c>
      <c r="E101" s="34"/>
      <c r="F101" s="34"/>
    </row>
    <row r="102" spans="1:6">
      <c r="A102" s="67" t="s">
        <v>5972</v>
      </c>
      <c r="B102" s="34" t="s">
        <v>5973</v>
      </c>
      <c r="C102" s="34" t="s">
        <v>5974</v>
      </c>
      <c r="D102" s="34" t="s">
        <v>5975</v>
      </c>
      <c r="E102" s="34"/>
      <c r="F102" s="34"/>
    </row>
    <row r="103" spans="1:6" ht="51.75">
      <c r="A103" s="67" t="s">
        <v>5976</v>
      </c>
      <c r="B103" s="34" t="s">
        <v>5977</v>
      </c>
      <c r="C103" t="s">
        <v>5978</v>
      </c>
      <c r="D103" s="34" t="s">
        <v>5979</v>
      </c>
      <c r="E103" s="34"/>
      <c r="F103" s="34"/>
    </row>
    <row r="104" spans="1:6">
      <c r="A104" s="67" t="s">
        <v>5980</v>
      </c>
      <c r="B104" s="34" t="s">
        <v>5981</v>
      </c>
      <c r="C104" s="34" t="s">
        <v>5982</v>
      </c>
      <c r="D104" s="34" t="s">
        <v>5983</v>
      </c>
      <c r="E104" s="34"/>
      <c r="F104" s="34"/>
    </row>
    <row r="105" spans="1:6">
      <c r="A105" s="67" t="s">
        <v>5984</v>
      </c>
      <c r="B105" s="34" t="s">
        <v>787</v>
      </c>
      <c r="C105" s="34" t="s">
        <v>787</v>
      </c>
      <c r="D105" s="34" t="s">
        <v>5985</v>
      </c>
      <c r="E105" s="34"/>
      <c r="F105" s="34"/>
    </row>
    <row r="106" spans="1:6">
      <c r="A106" s="67" t="s">
        <v>5986</v>
      </c>
      <c r="B106" s="34" t="s">
        <v>787</v>
      </c>
      <c r="C106" s="34" t="s">
        <v>5987</v>
      </c>
      <c r="D106" s="34" t="s">
        <v>5988</v>
      </c>
      <c r="E106" s="34"/>
      <c r="F106" s="34"/>
    </row>
    <row r="107" spans="1:6">
      <c r="A107" s="67" t="s">
        <v>5989</v>
      </c>
      <c r="B107" s="34" t="s">
        <v>5990</v>
      </c>
      <c r="C107" s="34" t="s">
        <v>5991</v>
      </c>
      <c r="D107" s="34" t="s">
        <v>5992</v>
      </c>
      <c r="E107" s="34"/>
      <c r="F107" s="34"/>
    </row>
    <row r="108" spans="1:6" ht="12.75">
      <c r="A108" s="34"/>
      <c r="B108" s="34"/>
      <c r="C108" s="34"/>
      <c r="D108" s="34"/>
      <c r="E108" s="34"/>
      <c r="F108" s="34"/>
    </row>
    <row r="109" spans="1:6">
      <c r="A109" s="79" t="s">
        <v>878</v>
      </c>
      <c r="B109" s="79" t="s">
        <v>147</v>
      </c>
      <c r="C109" s="79" t="s">
        <v>148</v>
      </c>
      <c r="D109" s="79" t="s">
        <v>182</v>
      </c>
      <c r="E109" s="34"/>
      <c r="F109" s="34"/>
    </row>
    <row r="110" spans="1:6">
      <c r="A110" s="67" t="s">
        <v>5993</v>
      </c>
      <c r="B110" s="34" t="s">
        <v>5994</v>
      </c>
      <c r="C110" s="34" t="s">
        <v>5995</v>
      </c>
      <c r="D110" s="34" t="s">
        <v>5996</v>
      </c>
      <c r="E110" s="34"/>
      <c r="F110" s="34"/>
    </row>
    <row r="111" spans="1:6">
      <c r="A111" s="67" t="s">
        <v>5997</v>
      </c>
      <c r="B111" s="34" t="s">
        <v>5998</v>
      </c>
      <c r="C111" s="34" t="s">
        <v>5999</v>
      </c>
      <c r="D111" s="34" t="s">
        <v>6000</v>
      </c>
      <c r="E111" s="34"/>
      <c r="F111" s="34"/>
    </row>
    <row r="112" spans="1:6">
      <c r="A112" s="67" t="s">
        <v>6001</v>
      </c>
      <c r="B112" s="34" t="s">
        <v>6002</v>
      </c>
      <c r="C112" s="34" t="s">
        <v>6003</v>
      </c>
      <c r="D112" s="34" t="s">
        <v>6004</v>
      </c>
      <c r="E112" s="34"/>
      <c r="F112" s="34"/>
    </row>
    <row r="113" spans="1:6">
      <c r="A113" s="67" t="s">
        <v>6005</v>
      </c>
      <c r="B113" s="34" t="s">
        <v>6006</v>
      </c>
      <c r="C113" s="34" t="s">
        <v>6007</v>
      </c>
      <c r="D113" s="34" t="s">
        <v>6008</v>
      </c>
      <c r="E113" s="34"/>
      <c r="F113" s="34"/>
    </row>
    <row r="114" spans="1:6" ht="12.75">
      <c r="A114" s="34"/>
      <c r="B114" s="34"/>
      <c r="C114" s="34"/>
      <c r="D114" s="34"/>
      <c r="E114" s="34"/>
      <c r="F114" s="34"/>
    </row>
    <row r="115" spans="1:6">
      <c r="A115" s="79" t="s">
        <v>428</v>
      </c>
      <c r="B115" s="79" t="s">
        <v>147</v>
      </c>
      <c r="C115" s="79" t="s">
        <v>148</v>
      </c>
      <c r="D115" s="79" t="s">
        <v>182</v>
      </c>
      <c r="E115" s="34"/>
      <c r="F115" s="34"/>
    </row>
    <row r="116" spans="1:6">
      <c r="A116" s="97" t="s">
        <v>6009</v>
      </c>
      <c r="B116" s="87" t="s">
        <v>6010</v>
      </c>
      <c r="C116" s="87" t="s">
        <v>6011</v>
      </c>
      <c r="D116" s="87" t="s">
        <v>6012</v>
      </c>
      <c r="E116" s="34"/>
      <c r="F116" s="34"/>
    </row>
    <row r="117" spans="1:6">
      <c r="A117" s="97" t="s">
        <v>6013</v>
      </c>
      <c r="B117" s="87" t="s">
        <v>6014</v>
      </c>
      <c r="C117" s="87" t="s">
        <v>6015</v>
      </c>
      <c r="D117" s="87" t="s">
        <v>6016</v>
      </c>
      <c r="E117" s="34"/>
      <c r="F117" s="34"/>
    </row>
    <row r="118" spans="1:6">
      <c r="A118" s="97" t="s">
        <v>6017</v>
      </c>
      <c r="B118" s="87" t="s">
        <v>6018</v>
      </c>
      <c r="C118" s="87" t="s">
        <v>6019</v>
      </c>
      <c r="D118" s="87" t="s">
        <v>6020</v>
      </c>
      <c r="E118" s="34"/>
      <c r="F118" s="34"/>
    </row>
    <row r="119" spans="1:6">
      <c r="A119" s="97" t="s">
        <v>6021</v>
      </c>
      <c r="B119" s="87" t="s">
        <v>6022</v>
      </c>
      <c r="C119" s="87" t="s">
        <v>6023</v>
      </c>
      <c r="D119" s="87" t="s">
        <v>6024</v>
      </c>
      <c r="E119" s="34"/>
      <c r="F119" s="34"/>
    </row>
    <row r="120" spans="1:6">
      <c r="A120" s="97" t="s">
        <v>6025</v>
      </c>
      <c r="B120" s="87" t="s">
        <v>6026</v>
      </c>
      <c r="C120" s="87" t="s">
        <v>6027</v>
      </c>
      <c r="D120" s="87" t="s">
        <v>6028</v>
      </c>
      <c r="E120" s="34"/>
      <c r="F120" s="34"/>
    </row>
    <row r="121" spans="1:6">
      <c r="A121" s="97" t="s">
        <v>6029</v>
      </c>
      <c r="B121" s="87" t="s">
        <v>787</v>
      </c>
      <c r="C121" s="87" t="s">
        <v>6030</v>
      </c>
      <c r="D121" s="87" t="s">
        <v>6031</v>
      </c>
      <c r="E121" s="34"/>
      <c r="F121" s="34"/>
    </row>
    <row r="122" spans="1:6" ht="51.75">
      <c r="A122" s="97" t="s">
        <v>6032</v>
      </c>
      <c r="B122" s="87" t="s">
        <v>6033</v>
      </c>
      <c r="C122" t="s">
        <v>6034</v>
      </c>
      <c r="D122" s="87" t="s">
        <v>6035</v>
      </c>
      <c r="E122" s="34"/>
      <c r="F122" s="34"/>
    </row>
    <row r="123" spans="1:6">
      <c r="A123" s="97" t="s">
        <v>6036</v>
      </c>
      <c r="B123" s="87" t="s">
        <v>6037</v>
      </c>
      <c r="C123" s="87" t="s">
        <v>6038</v>
      </c>
      <c r="D123" s="87" t="s">
        <v>6039</v>
      </c>
      <c r="E123" s="34"/>
      <c r="F123" s="34"/>
    </row>
    <row r="124" spans="1:6">
      <c r="A124" s="97" t="s">
        <v>6040</v>
      </c>
      <c r="B124" s="87" t="s">
        <v>6041</v>
      </c>
      <c r="C124" s="87" t="s">
        <v>6042</v>
      </c>
      <c r="D124" s="87" t="s">
        <v>6043</v>
      </c>
      <c r="E124" s="34"/>
      <c r="F124" s="34"/>
    </row>
    <row r="125" spans="1:6">
      <c r="A125" s="97" t="s">
        <v>6044</v>
      </c>
      <c r="B125" s="87" t="s">
        <v>6045</v>
      </c>
      <c r="C125" s="87" t="s">
        <v>6046</v>
      </c>
      <c r="D125" s="87" t="s">
        <v>6047</v>
      </c>
      <c r="E125" s="34"/>
      <c r="F125" s="34"/>
    </row>
    <row r="126" spans="1:6">
      <c r="A126" s="97" t="s">
        <v>6048</v>
      </c>
      <c r="B126" s="87" t="s">
        <v>6049</v>
      </c>
      <c r="C126" s="87" t="s">
        <v>6050</v>
      </c>
      <c r="D126" s="87" t="s">
        <v>6051</v>
      </c>
      <c r="E126" s="34"/>
      <c r="F126" s="34"/>
    </row>
    <row r="127" spans="1:6">
      <c r="A127" s="97" t="s">
        <v>6052</v>
      </c>
      <c r="B127" s="87" t="s">
        <v>6053</v>
      </c>
      <c r="C127" s="87" t="s">
        <v>6054</v>
      </c>
      <c r="D127" s="87" t="s">
        <v>6055</v>
      </c>
      <c r="E127" s="34"/>
      <c r="F127" s="34"/>
    </row>
    <row r="128" spans="1:6">
      <c r="A128" s="97" t="s">
        <v>6056</v>
      </c>
      <c r="B128" s="87" t="s">
        <v>6057</v>
      </c>
      <c r="C128" s="87" t="s">
        <v>6058</v>
      </c>
      <c r="D128" s="87" t="s">
        <v>6059</v>
      </c>
      <c r="E128" s="34"/>
      <c r="F128" s="34"/>
    </row>
    <row r="129" spans="1:6">
      <c r="A129" s="97" t="s">
        <v>6060</v>
      </c>
      <c r="B129" s="87" t="s">
        <v>6061</v>
      </c>
      <c r="C129" s="87" t="s">
        <v>6062</v>
      </c>
      <c r="D129" s="87" t="s">
        <v>6063</v>
      </c>
      <c r="E129" s="34"/>
      <c r="F129" s="34"/>
    </row>
    <row r="130" spans="1:6">
      <c r="A130" s="97" t="s">
        <v>6064</v>
      </c>
      <c r="B130" s="87" t="s">
        <v>6065</v>
      </c>
      <c r="C130" s="87" t="s">
        <v>6066</v>
      </c>
      <c r="D130" s="87" t="s">
        <v>6067</v>
      </c>
      <c r="E130" s="34"/>
      <c r="F130" s="34"/>
    </row>
    <row r="131" spans="1:6">
      <c r="A131" s="97" t="s">
        <v>6068</v>
      </c>
      <c r="B131" s="87" t="s">
        <v>6069</v>
      </c>
      <c r="C131" s="87" t="s">
        <v>6070</v>
      </c>
      <c r="D131" s="87" t="s">
        <v>6071</v>
      </c>
      <c r="E131" s="34"/>
      <c r="F131" s="34"/>
    </row>
    <row r="132" spans="1:6">
      <c r="A132" s="97" t="s">
        <v>6072</v>
      </c>
      <c r="B132" s="87" t="s">
        <v>6073</v>
      </c>
      <c r="C132" s="87" t="s">
        <v>6074</v>
      </c>
      <c r="D132" s="87" t="s">
        <v>6075</v>
      </c>
      <c r="E132" s="34"/>
      <c r="F132" s="34"/>
    </row>
    <row r="133" spans="1:6">
      <c r="A133" s="97"/>
      <c r="B133" s="87"/>
      <c r="C133" s="87"/>
      <c r="D133" s="87"/>
      <c r="E133" s="34"/>
      <c r="F133"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9"/>
  <sheetViews>
    <sheetView workbookViewId="0"/>
  </sheetViews>
  <sheetFormatPr defaultColWidth="9.140625" defaultRowHeight="15" customHeight="1"/>
  <cols>
    <col min="1" max="1" width="27.5703125" customWidth="1"/>
    <col min="2" max="2" width="4.7109375" customWidth="1"/>
    <col min="3" max="3" width="0" hidden="1"/>
    <col min="4" max="4" width="21.7109375" customWidth="1"/>
    <col min="5" max="5" width="39.42578125" customWidth="1"/>
    <col min="6" max="6" width="3.42578125" customWidth="1"/>
    <col min="7" max="7" width="3.85546875" customWidth="1"/>
    <col min="8" max="8" width="18" customWidth="1"/>
  </cols>
  <sheetData>
    <row r="1" spans="1:8" ht="12.75">
      <c r="A1" s="34"/>
    </row>
    <row r="2" spans="1:8" ht="13.5">
      <c r="A2" s="34"/>
      <c r="D2" s="99" t="s">
        <v>10</v>
      </c>
      <c r="E2" s="100"/>
    </row>
    <row r="3" spans="1:8" ht="12.75">
      <c r="A3" s="34"/>
    </row>
    <row r="4" spans="1:8" ht="12.75">
      <c r="A4" s="34"/>
    </row>
    <row r="5" spans="1:8" ht="12.75">
      <c r="A5" s="34"/>
    </row>
    <row r="6" spans="1:8" ht="12.75">
      <c r="A6" s="34"/>
    </row>
    <row r="7" spans="1:8" ht="12.75">
      <c r="A7" s="34"/>
    </row>
    <row r="8" spans="1:8" ht="12.75">
      <c r="A8" s="34"/>
    </row>
    <row r="9" spans="1:8" ht="12.75">
      <c r="A9" s="34"/>
    </row>
    <row r="10" spans="1:8" ht="12.75">
      <c r="A10" s="34"/>
    </row>
    <row r="11" spans="1:8" ht="12.75">
      <c r="A11" s="34"/>
    </row>
    <row r="12" spans="1:8" ht="22.5" customHeight="1">
      <c r="A12" s="34"/>
      <c r="B12" s="101" t="s">
        <v>11</v>
      </c>
      <c r="C12" s="100"/>
      <c r="D12" s="100"/>
      <c r="E12" s="100"/>
      <c r="F12" s="100"/>
      <c r="G12" s="100"/>
      <c r="H12" s="100"/>
    </row>
    <row r="13" spans="1:8" ht="22.5" customHeight="1">
      <c r="A13" s="34"/>
      <c r="D13" s="101" t="s">
        <v>12</v>
      </c>
      <c r="E13" s="100"/>
      <c r="F13" s="100"/>
      <c r="G13" s="100"/>
      <c r="H13" s="100"/>
    </row>
    <row r="14" spans="1:8" ht="58.5" customHeight="1">
      <c r="A14" s="34"/>
      <c r="D14" s="102" t="s">
        <v>13</v>
      </c>
      <c r="E14" s="100"/>
      <c r="F14" s="100"/>
      <c r="G14" s="100"/>
      <c r="H14" s="100"/>
    </row>
    <row r="15" spans="1:8" ht="12" customHeight="1">
      <c r="A15" s="34"/>
    </row>
    <row r="16" spans="1:8" ht="12.75">
      <c r="A16" s="34"/>
      <c r="D16" s="102"/>
      <c r="E16" s="100"/>
      <c r="F16" s="100"/>
      <c r="G16" s="100"/>
      <c r="H16" s="100"/>
    </row>
    <row r="17" spans="1:8" ht="12.75">
      <c r="A17" s="34"/>
    </row>
    <row r="18" spans="1:8" ht="12.75">
      <c r="A18" s="34"/>
    </row>
    <row r="19" spans="1:8" ht="12.75">
      <c r="A19" s="34"/>
    </row>
    <row r="20" spans="1:8" ht="12.75">
      <c r="A20" s="34"/>
    </row>
    <row r="21" spans="1:8" ht="23.25" customHeight="1">
      <c r="A21" s="103" t="s">
        <v>14</v>
      </c>
      <c r="B21" s="104"/>
      <c r="C21" s="104"/>
      <c r="D21" s="104"/>
      <c r="E21" s="104"/>
      <c r="F21" s="104"/>
      <c r="G21" s="104"/>
      <c r="H21" s="104"/>
    </row>
    <row r="22" spans="1:8" ht="12.75">
      <c r="A22" s="34"/>
    </row>
    <row r="23" spans="1:8">
      <c r="A23" s="74" t="s">
        <v>15</v>
      </c>
    </row>
    <row r="24" spans="1:8" ht="12.75">
      <c r="A24" s="34"/>
    </row>
    <row r="25" spans="1:8">
      <c r="A25" s="67" t="s">
        <v>16</v>
      </c>
      <c r="E25" s="67" t="s">
        <v>17</v>
      </c>
    </row>
    <row r="26" spans="1:8" ht="12.75">
      <c r="A26" s="34"/>
    </row>
    <row r="27" spans="1:8">
      <c r="A27" s="67" t="s">
        <v>18</v>
      </c>
      <c r="E27" s="59" t="str">
        <f>HYPERLINK("http://en.wikipedia.org/wiki/List_of_United_States_electric_companies","http://en.wikipedia.org/wiki/List_of_United_States_electric_companies")</f>
        <v>http://en.wikipedia.org/wiki/List_of_United_States_electric_companies</v>
      </c>
    </row>
    <row r="28" spans="1:8" ht="12.75">
      <c r="A28" s="34"/>
    </row>
    <row r="29" spans="1:8">
      <c r="A29" s="67" t="s">
        <v>19</v>
      </c>
      <c r="E29" s="59" t="str">
        <f>HYPERLINK("http://en.wikipedia.org/wiki/List_of_United_States_water_companies","http://en.wikipedia.org/wiki/List_of_United_States_water_companies")</f>
        <v>http://en.wikipedia.org/wiki/List_of_United_States_water_companies</v>
      </c>
    </row>
  </sheetData>
  <customSheetViews>
    <customSheetView guid="{617856E6-44D1-4ADD-8CA5-796514BA6839}" hiddenColumns="1">
      <pageMargins left="0.7" right="0.7" top="0.75" bottom="0.75" header="0.3" footer="0.3"/>
    </customSheetView>
  </customSheetViews>
  <mergeCells count="6">
    <mergeCell ref="A21:H21"/>
    <mergeCell ref="D2:E2"/>
    <mergeCell ref="B12:H12"/>
    <mergeCell ref="D13:H13"/>
    <mergeCell ref="D14:H14"/>
    <mergeCell ref="D16:H1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F14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11.42578125" customWidth="1"/>
  </cols>
  <sheetData>
    <row r="1" spans="1:6">
      <c r="A1" s="79" t="s">
        <v>146</v>
      </c>
      <c r="B1" s="79" t="s">
        <v>147</v>
      </c>
      <c r="C1" s="79" t="s">
        <v>148</v>
      </c>
      <c r="D1" s="79" t="s">
        <v>182</v>
      </c>
    </row>
    <row r="2" spans="1:6">
      <c r="A2" s="67" t="s">
        <v>6076</v>
      </c>
      <c r="B2" t="s">
        <v>787</v>
      </c>
      <c r="C2" t="s">
        <v>787</v>
      </c>
      <c r="D2" s="67" t="s">
        <v>6077</v>
      </c>
    </row>
    <row r="3" spans="1:6">
      <c r="A3" s="67" t="s">
        <v>6078</v>
      </c>
      <c r="B3" t="s">
        <v>787</v>
      </c>
      <c r="C3" t="s">
        <v>787</v>
      </c>
      <c r="D3" s="11" t="str">
        <f>HYPERLINK("http://www.dhs.gov/redirect?url=http%3A%2F%2Fwww.iowahomelandsecurity.org%2F","www.iowahomelandsecurity.org")</f>
        <v>www.iowahomelandsecurity.org</v>
      </c>
    </row>
    <row r="4" spans="1:6">
      <c r="A4" s="67" t="s">
        <v>6079</v>
      </c>
      <c r="B4" t="s">
        <v>787</v>
      </c>
      <c r="C4" t="s">
        <v>787</v>
      </c>
      <c r="D4" s="11" t="str">
        <f>HYPERLINK("http://wildlife.rescueshelter.com/Iowa","http://wildlife.rescueshelter.com/Iowa")</f>
        <v>http://wildlife.rescueshelter.com/Iowa</v>
      </c>
    </row>
    <row r="5" spans="1:6" ht="15" customHeight="1">
      <c r="A5" t="s">
        <v>6080</v>
      </c>
      <c r="B5" t="s">
        <v>6081</v>
      </c>
      <c r="C5" t="s">
        <v>6082</v>
      </c>
      <c r="D5" t="s">
        <v>6083</v>
      </c>
    </row>
    <row r="7" spans="1:6">
      <c r="A7" s="79" t="s">
        <v>209</v>
      </c>
      <c r="B7" s="79" t="s">
        <v>147</v>
      </c>
      <c r="C7" s="79" t="s">
        <v>148</v>
      </c>
      <c r="D7" s="79" t="s">
        <v>182</v>
      </c>
      <c r="E7" s="41" t="s">
        <v>6084</v>
      </c>
    </row>
    <row r="8" spans="1:6">
      <c r="A8" s="67" t="s">
        <v>6085</v>
      </c>
      <c r="B8" t="s">
        <v>6086</v>
      </c>
      <c r="C8" t="s">
        <v>6087</v>
      </c>
      <c r="D8" t="s">
        <v>6088</v>
      </c>
      <c r="E8" t="s">
        <v>6089</v>
      </c>
    </row>
    <row r="9" spans="1:6">
      <c r="A9" s="67" t="s">
        <v>5376</v>
      </c>
      <c r="B9" t="s">
        <v>787</v>
      </c>
      <c r="C9" t="s">
        <v>787</v>
      </c>
      <c r="D9" t="s">
        <v>6090</v>
      </c>
      <c r="E9" t="s">
        <v>6091</v>
      </c>
    </row>
    <row r="10" spans="1:6">
      <c r="A10" s="67" t="s">
        <v>6092</v>
      </c>
      <c r="B10" t="s">
        <v>787</v>
      </c>
      <c r="C10" t="s">
        <v>787</v>
      </c>
      <c r="D10" t="s">
        <v>6093</v>
      </c>
      <c r="E10" t="s">
        <v>6094</v>
      </c>
    </row>
    <row r="11" spans="1:6">
      <c r="A11" s="67" t="s">
        <v>6095</v>
      </c>
      <c r="B11" s="34" t="s">
        <v>787</v>
      </c>
      <c r="C11" s="34" t="s">
        <v>787</v>
      </c>
      <c r="D11" s="34" t="s">
        <v>6096</v>
      </c>
      <c r="E11" s="34" t="s">
        <v>6097</v>
      </c>
      <c r="F11" s="34"/>
    </row>
    <row r="12" spans="1:6">
      <c r="A12" s="67" t="s">
        <v>6098</v>
      </c>
      <c r="B12" s="34" t="s">
        <v>787</v>
      </c>
      <c r="C12" s="34" t="s">
        <v>787</v>
      </c>
      <c r="D12" t="s">
        <v>6099</v>
      </c>
      <c r="E12" t="s">
        <v>6100</v>
      </c>
    </row>
    <row r="13" spans="1:6">
      <c r="A13" s="67" t="s">
        <v>5752</v>
      </c>
      <c r="B13" s="34" t="s">
        <v>6101</v>
      </c>
      <c r="C13" s="34" t="s">
        <v>6102</v>
      </c>
      <c r="D13" s="34" t="s">
        <v>6103</v>
      </c>
      <c r="E13" s="34" t="s">
        <v>6104</v>
      </c>
      <c r="F13" s="34"/>
    </row>
    <row r="14" spans="1:6">
      <c r="A14" s="67" t="s">
        <v>6105</v>
      </c>
      <c r="B14" s="34" t="s">
        <v>787</v>
      </c>
      <c r="C14" s="34" t="s">
        <v>787</v>
      </c>
      <c r="D14" s="34" t="s">
        <v>6106</v>
      </c>
      <c r="E14" s="34" t="s">
        <v>6107</v>
      </c>
      <c r="F14" s="34"/>
    </row>
    <row r="15" spans="1:6">
      <c r="A15" s="67" t="s">
        <v>5383</v>
      </c>
      <c r="B15" t="s">
        <v>787</v>
      </c>
      <c r="C15" t="s">
        <v>787</v>
      </c>
      <c r="D15" t="s">
        <v>6108</v>
      </c>
      <c r="E15" s="34" t="s">
        <v>6109</v>
      </c>
    </row>
    <row r="16" spans="1:6">
      <c r="A16" s="67" t="s">
        <v>6110</v>
      </c>
      <c r="B16" t="s">
        <v>787</v>
      </c>
      <c r="C16" s="34" t="s">
        <v>6111</v>
      </c>
      <c r="D16" t="s">
        <v>6112</v>
      </c>
      <c r="E16" s="34" t="s">
        <v>6113</v>
      </c>
    </row>
    <row r="17" spans="1:5">
      <c r="A17" s="67" t="s">
        <v>6114</v>
      </c>
      <c r="B17" t="s">
        <v>787</v>
      </c>
      <c r="C17" t="s">
        <v>787</v>
      </c>
      <c r="D17" t="s">
        <v>6115</v>
      </c>
      <c r="E17" s="34" t="s">
        <v>6116</v>
      </c>
    </row>
    <row r="18" spans="1:5">
      <c r="A18" s="67" t="s">
        <v>6117</v>
      </c>
      <c r="B18" t="s">
        <v>787</v>
      </c>
      <c r="C18" t="s">
        <v>787</v>
      </c>
      <c r="D18" t="s">
        <v>6118</v>
      </c>
      <c r="E18" t="s">
        <v>6119</v>
      </c>
    </row>
    <row r="19" spans="1:5">
      <c r="A19" s="67" t="s">
        <v>6120</v>
      </c>
      <c r="B19" t="s">
        <v>787</v>
      </c>
      <c r="C19" t="s">
        <v>787</v>
      </c>
      <c r="D19" t="s">
        <v>6121</v>
      </c>
      <c r="E19" t="s">
        <v>6122</v>
      </c>
    </row>
    <row r="20" spans="1:5">
      <c r="A20" s="67" t="s">
        <v>5389</v>
      </c>
      <c r="B20" t="s">
        <v>787</v>
      </c>
      <c r="C20" t="s">
        <v>787</v>
      </c>
      <c r="D20" t="s">
        <v>6123</v>
      </c>
      <c r="E20" t="s">
        <v>6124</v>
      </c>
    </row>
    <row r="21" spans="1:5">
      <c r="A21" s="67" t="s">
        <v>5391</v>
      </c>
      <c r="B21" t="s">
        <v>6125</v>
      </c>
      <c r="C21" s="34" t="s">
        <v>6126</v>
      </c>
      <c r="D21" t="s">
        <v>6127</v>
      </c>
      <c r="E21" t="s">
        <v>6128</v>
      </c>
    </row>
    <row r="22" spans="1:5">
      <c r="A22" s="67" t="s">
        <v>5393</v>
      </c>
      <c r="B22" t="s">
        <v>787</v>
      </c>
      <c r="C22" t="s">
        <v>787</v>
      </c>
      <c r="D22" t="s">
        <v>6129</v>
      </c>
      <c r="E22" t="s">
        <v>6130</v>
      </c>
    </row>
    <row r="23" spans="1:5">
      <c r="A23" s="67" t="s">
        <v>6131</v>
      </c>
      <c r="B23" t="s">
        <v>787</v>
      </c>
      <c r="C23" t="s">
        <v>787</v>
      </c>
      <c r="D23" t="s">
        <v>6132</v>
      </c>
      <c r="E23" t="s">
        <v>6133</v>
      </c>
    </row>
    <row r="24" spans="1:5">
      <c r="A24" s="67" t="s">
        <v>6134</v>
      </c>
      <c r="B24" t="s">
        <v>6135</v>
      </c>
      <c r="C24" t="s">
        <v>787</v>
      </c>
      <c r="D24" s="34" t="s">
        <v>6136</v>
      </c>
      <c r="E24" s="34" t="s">
        <v>6137</v>
      </c>
    </row>
    <row r="25" spans="1:5">
      <c r="A25" s="67" t="s">
        <v>6138</v>
      </c>
      <c r="B25" t="s">
        <v>787</v>
      </c>
      <c r="C25" t="s">
        <v>787</v>
      </c>
      <c r="D25" t="s">
        <v>6139</v>
      </c>
      <c r="E25" t="s">
        <v>6140</v>
      </c>
    </row>
    <row r="26" spans="1:5">
      <c r="A26" s="67" t="s">
        <v>6141</v>
      </c>
      <c r="B26" t="s">
        <v>787</v>
      </c>
      <c r="C26" t="s">
        <v>787</v>
      </c>
      <c r="D26" t="s">
        <v>6142</v>
      </c>
      <c r="E26" t="s">
        <v>6143</v>
      </c>
    </row>
    <row r="27" spans="1:5">
      <c r="A27" s="67" t="s">
        <v>6144</v>
      </c>
      <c r="B27" t="s">
        <v>787</v>
      </c>
      <c r="C27" t="s">
        <v>787</v>
      </c>
      <c r="D27" t="s">
        <v>6145</v>
      </c>
      <c r="E27" t="s">
        <v>6146</v>
      </c>
    </row>
    <row r="28" spans="1:5">
      <c r="A28" s="67" t="s">
        <v>5403</v>
      </c>
      <c r="B28" t="s">
        <v>787</v>
      </c>
      <c r="C28" t="s">
        <v>787</v>
      </c>
      <c r="D28" t="s">
        <v>6147</v>
      </c>
      <c r="E28" t="s">
        <v>6148</v>
      </c>
    </row>
    <row r="29" spans="1:5">
      <c r="A29" s="67" t="s">
        <v>6149</v>
      </c>
      <c r="B29" t="s">
        <v>787</v>
      </c>
      <c r="C29" t="s">
        <v>787</v>
      </c>
      <c r="D29" t="s">
        <v>6150</v>
      </c>
      <c r="E29" s="34" t="s">
        <v>6151</v>
      </c>
    </row>
    <row r="30" spans="1:5">
      <c r="A30" s="67" t="s">
        <v>5405</v>
      </c>
      <c r="B30" t="s">
        <v>787</v>
      </c>
      <c r="C30" s="34" t="s">
        <v>6152</v>
      </c>
      <c r="D30" s="34" t="s">
        <v>6153</v>
      </c>
      <c r="E30" s="34" t="s">
        <v>6154</v>
      </c>
    </row>
    <row r="31" spans="1:5">
      <c r="A31" s="67" t="s">
        <v>5413</v>
      </c>
      <c r="B31" t="s">
        <v>787</v>
      </c>
      <c r="C31" t="s">
        <v>787</v>
      </c>
      <c r="D31" t="s">
        <v>6155</v>
      </c>
      <c r="E31" t="s">
        <v>787</v>
      </c>
    </row>
    <row r="32" spans="1:5">
      <c r="A32" s="67" t="s">
        <v>6156</v>
      </c>
      <c r="B32" t="s">
        <v>787</v>
      </c>
      <c r="C32" t="s">
        <v>787</v>
      </c>
      <c r="D32" t="s">
        <v>6157</v>
      </c>
      <c r="E32" s="34" t="s">
        <v>6158</v>
      </c>
    </row>
    <row r="33" spans="1:6">
      <c r="A33" s="67" t="s">
        <v>6159</v>
      </c>
      <c r="B33" t="s">
        <v>787</v>
      </c>
      <c r="C33" t="s">
        <v>787</v>
      </c>
      <c r="D33" t="s">
        <v>6160</v>
      </c>
      <c r="E33" t="s">
        <v>6161</v>
      </c>
    </row>
    <row r="34" spans="1:6">
      <c r="A34" s="67" t="s">
        <v>5778</v>
      </c>
      <c r="B34" t="s">
        <v>787</v>
      </c>
      <c r="C34" t="s">
        <v>787</v>
      </c>
      <c r="D34" t="s">
        <v>787</v>
      </c>
      <c r="E34" t="s">
        <v>787</v>
      </c>
    </row>
    <row r="35" spans="1:6">
      <c r="A35" s="67" t="s">
        <v>5783</v>
      </c>
      <c r="B35" t="s">
        <v>787</v>
      </c>
      <c r="C35" t="s">
        <v>787</v>
      </c>
      <c r="D35" t="s">
        <v>6162</v>
      </c>
      <c r="E35" t="s">
        <v>6163</v>
      </c>
    </row>
    <row r="36" spans="1:6">
      <c r="A36" s="67" t="s">
        <v>6164</v>
      </c>
      <c r="B36" t="s">
        <v>787</v>
      </c>
      <c r="C36" s="34" t="s">
        <v>6165</v>
      </c>
      <c r="D36" t="s">
        <v>6166</v>
      </c>
      <c r="E36" s="34" t="s">
        <v>6167</v>
      </c>
    </row>
    <row r="37" spans="1:6">
      <c r="A37" s="67" t="s">
        <v>6168</v>
      </c>
      <c r="B37" t="s">
        <v>6169</v>
      </c>
      <c r="C37" s="34" t="s">
        <v>6170</v>
      </c>
      <c r="D37" t="s">
        <v>6171</v>
      </c>
      <c r="E37" t="s">
        <v>6172</v>
      </c>
    </row>
    <row r="38" spans="1:6">
      <c r="A38" s="67" t="s">
        <v>6173</v>
      </c>
      <c r="B38" t="s">
        <v>787</v>
      </c>
      <c r="C38" t="s">
        <v>787</v>
      </c>
      <c r="D38" t="s">
        <v>6174</v>
      </c>
      <c r="E38" t="s">
        <v>6175</v>
      </c>
    </row>
    <row r="39" spans="1:6">
      <c r="A39" s="67" t="s">
        <v>6176</v>
      </c>
      <c r="B39" t="s">
        <v>787</v>
      </c>
      <c r="C39" t="s">
        <v>787</v>
      </c>
      <c r="D39" t="s">
        <v>6177</v>
      </c>
      <c r="E39" t="s">
        <v>6178</v>
      </c>
    </row>
    <row r="40" spans="1:6">
      <c r="A40" s="67" t="s">
        <v>5436</v>
      </c>
      <c r="B40" t="s">
        <v>787</v>
      </c>
      <c r="C40" t="s">
        <v>6179</v>
      </c>
      <c r="D40" t="s">
        <v>6180</v>
      </c>
      <c r="E40" t="s">
        <v>6181</v>
      </c>
    </row>
    <row r="41" spans="1:6">
      <c r="A41" s="67" t="s">
        <v>5795</v>
      </c>
      <c r="B41" t="s">
        <v>787</v>
      </c>
      <c r="C41" t="s">
        <v>787</v>
      </c>
      <c r="D41" t="s">
        <v>6182</v>
      </c>
      <c r="E41" t="s">
        <v>6183</v>
      </c>
    </row>
    <row r="42" spans="1:6">
      <c r="A42" s="67" t="s">
        <v>5441</v>
      </c>
      <c r="B42" t="s">
        <v>787</v>
      </c>
      <c r="C42" t="s">
        <v>787</v>
      </c>
      <c r="D42" t="s">
        <v>6184</v>
      </c>
      <c r="E42" t="s">
        <v>6185</v>
      </c>
    </row>
    <row r="43" spans="1:6">
      <c r="A43" s="67" t="s">
        <v>5175</v>
      </c>
      <c r="B43" t="s">
        <v>787</v>
      </c>
      <c r="C43" t="s">
        <v>787</v>
      </c>
      <c r="D43" t="s">
        <v>6186</v>
      </c>
      <c r="E43" t="s">
        <v>6187</v>
      </c>
    </row>
    <row r="44" spans="1:6">
      <c r="A44" s="67" t="s">
        <v>5449</v>
      </c>
      <c r="B44" t="s">
        <v>787</v>
      </c>
      <c r="C44" t="s">
        <v>787</v>
      </c>
      <c r="D44" t="s">
        <v>6188</v>
      </c>
      <c r="E44" t="s">
        <v>6189</v>
      </c>
    </row>
    <row r="45" spans="1:6">
      <c r="A45" s="67" t="s">
        <v>5451</v>
      </c>
      <c r="B45" s="34" t="s">
        <v>787</v>
      </c>
      <c r="C45" s="34" t="s">
        <v>6190</v>
      </c>
      <c r="D45" s="34" t="s">
        <v>6191</v>
      </c>
      <c r="E45" s="34" t="s">
        <v>6192</v>
      </c>
      <c r="F45" s="34"/>
    </row>
    <row r="46" spans="1:6">
      <c r="A46" s="67" t="s">
        <v>6193</v>
      </c>
      <c r="B46" t="s">
        <v>787</v>
      </c>
      <c r="C46" t="s">
        <v>787</v>
      </c>
      <c r="D46" t="s">
        <v>6194</v>
      </c>
      <c r="E46" t="s">
        <v>6195</v>
      </c>
    </row>
    <row r="47" spans="1:6">
      <c r="A47" s="67" t="s">
        <v>5453</v>
      </c>
      <c r="B47" t="s">
        <v>787</v>
      </c>
      <c r="C47" t="s">
        <v>787</v>
      </c>
      <c r="D47" t="s">
        <v>6196</v>
      </c>
      <c r="E47" t="s">
        <v>6197</v>
      </c>
    </row>
    <row r="48" spans="1:6">
      <c r="A48" s="67" t="s">
        <v>5455</v>
      </c>
      <c r="B48" t="s">
        <v>787</v>
      </c>
      <c r="C48" t="s">
        <v>787</v>
      </c>
      <c r="D48" t="s">
        <v>6198</v>
      </c>
      <c r="E48" t="s">
        <v>6199</v>
      </c>
    </row>
    <row r="49" spans="1:6">
      <c r="A49" s="67" t="s">
        <v>5457</v>
      </c>
      <c r="B49" t="s">
        <v>787</v>
      </c>
      <c r="C49" t="s">
        <v>787</v>
      </c>
      <c r="D49" t="s">
        <v>6200</v>
      </c>
      <c r="E49" t="s">
        <v>6201</v>
      </c>
    </row>
    <row r="50" spans="1:6">
      <c r="A50" s="67" t="s">
        <v>6202</v>
      </c>
      <c r="B50" t="s">
        <v>787</v>
      </c>
      <c r="C50" t="s">
        <v>787</v>
      </c>
      <c r="D50" t="s">
        <v>6203</v>
      </c>
      <c r="E50" t="s">
        <v>6204</v>
      </c>
    </row>
    <row r="51" spans="1:6">
      <c r="A51" s="67" t="s">
        <v>5461</v>
      </c>
      <c r="B51" t="s">
        <v>787</v>
      </c>
      <c r="C51" t="s">
        <v>787</v>
      </c>
      <c r="D51" t="s">
        <v>6205</v>
      </c>
      <c r="E51" t="s">
        <v>6206</v>
      </c>
    </row>
    <row r="52" spans="1:6">
      <c r="A52" s="67" t="s">
        <v>5822</v>
      </c>
      <c r="B52" t="s">
        <v>787</v>
      </c>
      <c r="C52" t="s">
        <v>787</v>
      </c>
      <c r="D52" t="s">
        <v>6207</v>
      </c>
      <c r="E52" t="s">
        <v>6208</v>
      </c>
    </row>
    <row r="53" spans="1:6">
      <c r="A53" s="67" t="s">
        <v>6209</v>
      </c>
      <c r="B53" t="s">
        <v>787</v>
      </c>
      <c r="C53" t="s">
        <v>787</v>
      </c>
      <c r="D53" t="s">
        <v>6210</v>
      </c>
      <c r="E53" s="34" t="s">
        <v>6211</v>
      </c>
    </row>
    <row r="54" spans="1:6">
      <c r="A54" s="67" t="s">
        <v>6212</v>
      </c>
      <c r="B54" t="s">
        <v>787</v>
      </c>
      <c r="C54" t="s">
        <v>787</v>
      </c>
      <c r="D54" t="s">
        <v>787</v>
      </c>
      <c r="E54" t="s">
        <v>787</v>
      </c>
    </row>
    <row r="55" spans="1:6">
      <c r="A55" s="67" t="s">
        <v>53</v>
      </c>
      <c r="B55" t="s">
        <v>787</v>
      </c>
      <c r="C55" t="s">
        <v>787</v>
      </c>
      <c r="D55" t="s">
        <v>6213</v>
      </c>
      <c r="E55" t="s">
        <v>6214</v>
      </c>
    </row>
    <row r="56" spans="1:6">
      <c r="A56" s="67" t="s">
        <v>5466</v>
      </c>
      <c r="B56" t="s">
        <v>787</v>
      </c>
      <c r="C56" t="s">
        <v>787</v>
      </c>
      <c r="D56" t="s">
        <v>6215</v>
      </c>
      <c r="E56" t="s">
        <v>6216</v>
      </c>
    </row>
    <row r="57" spans="1:6">
      <c r="A57" s="67" t="s">
        <v>5468</v>
      </c>
      <c r="B57" t="s">
        <v>787</v>
      </c>
      <c r="C57" t="s">
        <v>787</v>
      </c>
      <c r="D57" s="34" t="s">
        <v>6217</v>
      </c>
      <c r="E57" s="34" t="s">
        <v>6218</v>
      </c>
      <c r="F57" s="34"/>
    </row>
    <row r="58" spans="1:6">
      <c r="A58" s="67" t="s">
        <v>5187</v>
      </c>
      <c r="B58" t="s">
        <v>787</v>
      </c>
      <c r="C58" t="s">
        <v>787</v>
      </c>
      <c r="D58" t="s">
        <v>6219</v>
      </c>
      <c r="E58" t="s">
        <v>6220</v>
      </c>
    </row>
    <row r="59" spans="1:6">
      <c r="A59" s="67" t="s">
        <v>5475</v>
      </c>
      <c r="B59" s="34" t="s">
        <v>6221</v>
      </c>
      <c r="C59" s="34" t="s">
        <v>6222</v>
      </c>
      <c r="D59" s="34" t="s">
        <v>6223</v>
      </c>
      <c r="E59" s="34" t="s">
        <v>6224</v>
      </c>
      <c r="F59" s="34"/>
    </row>
    <row r="60" spans="1:6">
      <c r="A60" s="67" t="s">
        <v>6225</v>
      </c>
      <c r="B60" t="s">
        <v>787</v>
      </c>
      <c r="C60" t="s">
        <v>787</v>
      </c>
      <c r="D60" t="s">
        <v>6226</v>
      </c>
      <c r="E60" t="s">
        <v>6227</v>
      </c>
    </row>
    <row r="61" spans="1:6">
      <c r="A61" s="67" t="s">
        <v>6228</v>
      </c>
      <c r="B61" t="s">
        <v>787</v>
      </c>
      <c r="C61" t="s">
        <v>787</v>
      </c>
      <c r="D61" t="s">
        <v>6229</v>
      </c>
      <c r="E61" t="s">
        <v>6230</v>
      </c>
    </row>
    <row r="62" spans="1:6">
      <c r="A62" s="67" t="s">
        <v>6231</v>
      </c>
      <c r="B62" t="s">
        <v>787</v>
      </c>
      <c r="C62" t="s">
        <v>787</v>
      </c>
      <c r="D62" t="s">
        <v>6232</v>
      </c>
      <c r="E62" t="s">
        <v>6233</v>
      </c>
    </row>
    <row r="63" spans="1:6">
      <c r="A63" s="67" t="s">
        <v>5496</v>
      </c>
      <c r="B63" t="s">
        <v>787</v>
      </c>
      <c r="C63" t="s">
        <v>787</v>
      </c>
      <c r="D63" t="s">
        <v>6234</v>
      </c>
      <c r="E63" t="s">
        <v>6235</v>
      </c>
    </row>
    <row r="64" spans="1:6">
      <c r="A64" s="67" t="s">
        <v>6236</v>
      </c>
      <c r="B64" t="s">
        <v>6237</v>
      </c>
      <c r="C64" t="s">
        <v>787</v>
      </c>
      <c r="D64" t="s">
        <v>6238</v>
      </c>
      <c r="E64" s="34" t="s">
        <v>6239</v>
      </c>
    </row>
    <row r="65" spans="1:6">
      <c r="A65" s="67" t="s">
        <v>6240</v>
      </c>
      <c r="B65" t="s">
        <v>787</v>
      </c>
      <c r="C65" t="s">
        <v>787</v>
      </c>
      <c r="D65" t="s">
        <v>6241</v>
      </c>
      <c r="E65" t="s">
        <v>6242</v>
      </c>
    </row>
    <row r="66" spans="1:6">
      <c r="A66" s="67" t="s">
        <v>6243</v>
      </c>
      <c r="B66" t="s">
        <v>787</v>
      </c>
      <c r="C66" t="s">
        <v>787</v>
      </c>
      <c r="D66" t="s">
        <v>787</v>
      </c>
      <c r="E66" t="s">
        <v>787</v>
      </c>
    </row>
    <row r="67" spans="1:6">
      <c r="A67" s="67" t="s">
        <v>6244</v>
      </c>
      <c r="B67" t="s">
        <v>787</v>
      </c>
      <c r="C67" t="s">
        <v>787</v>
      </c>
      <c r="D67" t="s">
        <v>6245</v>
      </c>
      <c r="E67" t="s">
        <v>6246</v>
      </c>
    </row>
    <row r="68" spans="1:6">
      <c r="A68" s="67" t="s">
        <v>5209</v>
      </c>
      <c r="B68" t="s">
        <v>787</v>
      </c>
      <c r="C68" t="s">
        <v>787</v>
      </c>
      <c r="D68" t="s">
        <v>6247</v>
      </c>
      <c r="E68" t="s">
        <v>6248</v>
      </c>
    </row>
    <row r="69" spans="1:6">
      <c r="A69" s="67" t="s">
        <v>6249</v>
      </c>
      <c r="B69" t="s">
        <v>787</v>
      </c>
      <c r="C69" t="s">
        <v>787</v>
      </c>
      <c r="D69" t="s">
        <v>6250</v>
      </c>
      <c r="E69" s="34" t="s">
        <v>6251</v>
      </c>
    </row>
    <row r="70" spans="1:6">
      <c r="A70" s="67" t="s">
        <v>5507</v>
      </c>
      <c r="B70" t="s">
        <v>787</v>
      </c>
      <c r="C70" t="s">
        <v>787</v>
      </c>
      <c r="D70" t="s">
        <v>6252</v>
      </c>
      <c r="E70" t="s">
        <v>6253</v>
      </c>
    </row>
    <row r="71" spans="1:6">
      <c r="A71" s="67" t="s">
        <v>5509</v>
      </c>
      <c r="B71" t="s">
        <v>787</v>
      </c>
      <c r="C71" t="s">
        <v>787</v>
      </c>
      <c r="D71" t="s">
        <v>6254</v>
      </c>
      <c r="E71" t="s">
        <v>6255</v>
      </c>
    </row>
    <row r="72" spans="1:6">
      <c r="A72" s="67" t="s">
        <v>6256</v>
      </c>
      <c r="B72" t="s">
        <v>787</v>
      </c>
      <c r="C72" t="s">
        <v>787</v>
      </c>
      <c r="D72" t="s">
        <v>6257</v>
      </c>
      <c r="E72" t="s">
        <v>6258</v>
      </c>
    </row>
    <row r="73" spans="1:6">
      <c r="A73" s="67" t="s">
        <v>6259</v>
      </c>
      <c r="B73" t="s">
        <v>787</v>
      </c>
      <c r="C73" t="s">
        <v>787</v>
      </c>
      <c r="D73" t="s">
        <v>6260</v>
      </c>
      <c r="E73" s="34" t="s">
        <v>6261</v>
      </c>
    </row>
    <row r="74" spans="1:6">
      <c r="A74" s="67" t="s">
        <v>6262</v>
      </c>
      <c r="B74" s="34" t="s">
        <v>787</v>
      </c>
      <c r="C74" s="34" t="s">
        <v>787</v>
      </c>
      <c r="D74" t="s">
        <v>6263</v>
      </c>
      <c r="E74" t="s">
        <v>6264</v>
      </c>
    </row>
    <row r="75" spans="1:6">
      <c r="A75" s="67" t="s">
        <v>5524</v>
      </c>
      <c r="B75" s="34" t="s">
        <v>787</v>
      </c>
      <c r="C75" s="34" t="s">
        <v>787</v>
      </c>
      <c r="D75" t="s">
        <v>6265</v>
      </c>
      <c r="E75" t="s">
        <v>6266</v>
      </c>
    </row>
    <row r="76" spans="1:6">
      <c r="A76" s="67" t="s">
        <v>5526</v>
      </c>
      <c r="B76" s="34" t="s">
        <v>787</v>
      </c>
      <c r="C76" s="34" t="s">
        <v>6267</v>
      </c>
      <c r="D76" s="34" t="s">
        <v>6268</v>
      </c>
      <c r="E76" s="34" t="s">
        <v>6269</v>
      </c>
      <c r="F76" s="34"/>
    </row>
    <row r="77" spans="1:6">
      <c r="A77" s="67" t="s">
        <v>6270</v>
      </c>
      <c r="B77" t="s">
        <v>787</v>
      </c>
      <c r="C77" t="s">
        <v>787</v>
      </c>
      <c r="D77" t="s">
        <v>6271</v>
      </c>
      <c r="E77" t="s">
        <v>6272</v>
      </c>
    </row>
    <row r="78" spans="1:6">
      <c r="A78" s="67" t="s">
        <v>6273</v>
      </c>
      <c r="B78" t="s">
        <v>787</v>
      </c>
      <c r="C78" t="s">
        <v>787</v>
      </c>
      <c r="D78" t="s">
        <v>787</v>
      </c>
      <c r="E78" t="s">
        <v>6274</v>
      </c>
    </row>
    <row r="79" spans="1:6">
      <c r="A79" s="67" t="s">
        <v>6275</v>
      </c>
      <c r="B79" t="s">
        <v>787</v>
      </c>
      <c r="C79" t="s">
        <v>787</v>
      </c>
      <c r="D79" t="s">
        <v>6276</v>
      </c>
      <c r="E79" t="s">
        <v>6277</v>
      </c>
    </row>
    <row r="80" spans="1:6">
      <c r="A80" s="67" t="s">
        <v>6278</v>
      </c>
      <c r="B80" t="s">
        <v>787</v>
      </c>
      <c r="C80" t="s">
        <v>787</v>
      </c>
      <c r="D80" t="s">
        <v>6279</v>
      </c>
      <c r="E80" t="s">
        <v>6280</v>
      </c>
    </row>
    <row r="81" spans="1:6">
      <c r="A81" s="67" t="s">
        <v>6281</v>
      </c>
      <c r="B81" t="s">
        <v>787</v>
      </c>
      <c r="C81" t="s">
        <v>787</v>
      </c>
      <c r="D81" t="s">
        <v>6282</v>
      </c>
      <c r="E81" t="s">
        <v>787</v>
      </c>
    </row>
    <row r="82" spans="1:6">
      <c r="A82" s="67" t="s">
        <v>6283</v>
      </c>
      <c r="B82" t="s">
        <v>787</v>
      </c>
      <c r="C82" t="s">
        <v>787</v>
      </c>
      <c r="D82" t="s">
        <v>6284</v>
      </c>
      <c r="E82" t="s">
        <v>6285</v>
      </c>
    </row>
    <row r="83" spans="1:6">
      <c r="A83" s="67" t="s">
        <v>6286</v>
      </c>
      <c r="B83" s="34" t="s">
        <v>787</v>
      </c>
      <c r="C83" s="34" t="s">
        <v>6287</v>
      </c>
      <c r="D83" s="34" t="s">
        <v>6288</v>
      </c>
      <c r="E83" s="34" t="s">
        <v>6289</v>
      </c>
      <c r="F83" s="34"/>
    </row>
    <row r="84" spans="1:6">
      <c r="A84" s="67" t="s">
        <v>6290</v>
      </c>
      <c r="B84" t="s">
        <v>6291</v>
      </c>
      <c r="C84" s="34" t="s">
        <v>6292</v>
      </c>
      <c r="D84" t="s">
        <v>6293</v>
      </c>
      <c r="E84" s="34" t="s">
        <v>6294</v>
      </c>
    </row>
    <row r="85" spans="1:6">
      <c r="A85" s="67" t="s">
        <v>6295</v>
      </c>
      <c r="B85" t="s">
        <v>787</v>
      </c>
      <c r="C85" s="34" t="s">
        <v>6296</v>
      </c>
      <c r="D85" t="s">
        <v>6297</v>
      </c>
      <c r="E85" s="34" t="s">
        <v>6298</v>
      </c>
    </row>
    <row r="86" spans="1:6">
      <c r="A86" s="67" t="s">
        <v>6299</v>
      </c>
      <c r="B86" t="s">
        <v>787</v>
      </c>
      <c r="C86" t="s">
        <v>787</v>
      </c>
      <c r="D86" t="s">
        <v>6300</v>
      </c>
      <c r="E86" t="s">
        <v>6301</v>
      </c>
    </row>
    <row r="87" spans="1:6">
      <c r="A87" s="67" t="s">
        <v>6302</v>
      </c>
      <c r="B87" t="s">
        <v>787</v>
      </c>
      <c r="C87" t="s">
        <v>787</v>
      </c>
      <c r="D87" t="s">
        <v>6303</v>
      </c>
      <c r="E87" t="s">
        <v>787</v>
      </c>
    </row>
    <row r="88" spans="1:6">
      <c r="A88" s="67" t="s">
        <v>6304</v>
      </c>
      <c r="B88" t="s">
        <v>787</v>
      </c>
      <c r="C88" t="s">
        <v>787</v>
      </c>
      <c r="D88" t="s">
        <v>6305</v>
      </c>
      <c r="E88" t="s">
        <v>6306</v>
      </c>
    </row>
    <row r="89" spans="1:6">
      <c r="A89" s="67" t="s">
        <v>5553</v>
      </c>
      <c r="B89" t="s">
        <v>6307</v>
      </c>
      <c r="C89" t="s">
        <v>6308</v>
      </c>
      <c r="D89" t="s">
        <v>6309</v>
      </c>
      <c r="E89" t="s">
        <v>6310</v>
      </c>
    </row>
    <row r="90" spans="1:6">
      <c r="A90" s="67" t="s">
        <v>5554</v>
      </c>
      <c r="B90" t="s">
        <v>787</v>
      </c>
      <c r="C90" t="s">
        <v>787</v>
      </c>
      <c r="D90" t="s">
        <v>6311</v>
      </c>
      <c r="E90" t="s">
        <v>6312</v>
      </c>
    </row>
    <row r="91" spans="1:6">
      <c r="A91" s="67" t="s">
        <v>6313</v>
      </c>
      <c r="B91" t="s">
        <v>6314</v>
      </c>
      <c r="C91" s="34" t="s">
        <v>6315</v>
      </c>
      <c r="D91" t="s">
        <v>6316</v>
      </c>
      <c r="E91" t="s">
        <v>6317</v>
      </c>
    </row>
    <row r="92" spans="1:6">
      <c r="A92" s="67" t="s">
        <v>6318</v>
      </c>
      <c r="B92" t="s">
        <v>6319</v>
      </c>
      <c r="C92" t="s">
        <v>6320</v>
      </c>
      <c r="D92" t="s">
        <v>6321</v>
      </c>
      <c r="E92" s="34" t="s">
        <v>6322</v>
      </c>
    </row>
    <row r="93" spans="1:6">
      <c r="A93" s="67" t="s">
        <v>6323</v>
      </c>
      <c r="B93" s="34" t="s">
        <v>787</v>
      </c>
      <c r="C93" s="34" t="s">
        <v>6324</v>
      </c>
      <c r="D93" s="34" t="s">
        <v>6325</v>
      </c>
      <c r="E93" s="34" t="s">
        <v>6326</v>
      </c>
      <c r="F93" s="34"/>
    </row>
    <row r="94" spans="1:6">
      <c r="A94" s="67" t="s">
        <v>6327</v>
      </c>
      <c r="B94" s="34" t="s">
        <v>787</v>
      </c>
      <c r="C94" s="34" t="s">
        <v>6328</v>
      </c>
      <c r="D94" s="34" t="s">
        <v>6329</v>
      </c>
      <c r="E94" s="34" t="s">
        <v>6330</v>
      </c>
      <c r="F94" s="34"/>
    </row>
    <row r="95" spans="1:6">
      <c r="A95" s="67" t="s">
        <v>5564</v>
      </c>
      <c r="B95" t="s">
        <v>787</v>
      </c>
      <c r="C95" t="s">
        <v>6331</v>
      </c>
      <c r="D95" t="s">
        <v>6332</v>
      </c>
      <c r="E95" s="34" t="s">
        <v>6333</v>
      </c>
    </row>
    <row r="96" spans="1:6">
      <c r="A96" s="67" t="s">
        <v>6334</v>
      </c>
      <c r="B96" t="s">
        <v>787</v>
      </c>
      <c r="C96" t="s">
        <v>787</v>
      </c>
      <c r="D96" t="s">
        <v>6335</v>
      </c>
      <c r="E96" t="s">
        <v>6336</v>
      </c>
    </row>
    <row r="97" spans="1:5">
      <c r="A97" s="67" t="s">
        <v>6337</v>
      </c>
      <c r="B97" t="s">
        <v>787</v>
      </c>
      <c r="C97" s="34" t="s">
        <v>6338</v>
      </c>
      <c r="D97" t="s">
        <v>6339</v>
      </c>
      <c r="E97" t="s">
        <v>6340</v>
      </c>
    </row>
    <row r="98" spans="1:5">
      <c r="A98" s="67" t="s">
        <v>5571</v>
      </c>
      <c r="B98" t="s">
        <v>787</v>
      </c>
      <c r="C98" t="s">
        <v>787</v>
      </c>
      <c r="D98" t="s">
        <v>6341</v>
      </c>
      <c r="E98" t="s">
        <v>6342</v>
      </c>
    </row>
    <row r="99" spans="1:5">
      <c r="A99" s="67" t="s">
        <v>117</v>
      </c>
      <c r="B99" t="s">
        <v>787</v>
      </c>
      <c r="C99" t="s">
        <v>787</v>
      </c>
      <c r="D99" t="s">
        <v>6343</v>
      </c>
      <c r="E99" t="s">
        <v>6344</v>
      </c>
    </row>
    <row r="100" spans="1:5">
      <c r="A100" s="67" t="s">
        <v>5573</v>
      </c>
      <c r="B100" t="s">
        <v>787</v>
      </c>
      <c r="C100" t="s">
        <v>787</v>
      </c>
      <c r="D100" t="s">
        <v>6345</v>
      </c>
      <c r="E100" t="s">
        <v>787</v>
      </c>
    </row>
    <row r="101" spans="1:5">
      <c r="A101" s="67" t="s">
        <v>6346</v>
      </c>
      <c r="B101" t="s">
        <v>787</v>
      </c>
      <c r="C101" t="s">
        <v>787</v>
      </c>
      <c r="D101" t="s">
        <v>6347</v>
      </c>
      <c r="E101" t="s">
        <v>6348</v>
      </c>
    </row>
    <row r="102" spans="1:5">
      <c r="A102" s="67" t="s">
        <v>5581</v>
      </c>
      <c r="B102" t="s">
        <v>787</v>
      </c>
      <c r="C102" t="s">
        <v>787</v>
      </c>
      <c r="D102" t="s">
        <v>6349</v>
      </c>
      <c r="E102" s="34" t="s">
        <v>6350</v>
      </c>
    </row>
    <row r="103" spans="1:5">
      <c r="A103" s="67" t="s">
        <v>6351</v>
      </c>
      <c r="B103" t="s">
        <v>787</v>
      </c>
      <c r="C103" s="34" t="s">
        <v>6352</v>
      </c>
      <c r="D103" t="s">
        <v>6353</v>
      </c>
      <c r="E103" s="34" t="s">
        <v>6354</v>
      </c>
    </row>
    <row r="104" spans="1:5">
      <c r="A104" s="67" t="s">
        <v>6355</v>
      </c>
      <c r="B104" t="s">
        <v>787</v>
      </c>
      <c r="C104" s="34" t="s">
        <v>6356</v>
      </c>
      <c r="D104" t="s">
        <v>6357</v>
      </c>
      <c r="E104" s="34" t="s">
        <v>6358</v>
      </c>
    </row>
    <row r="105" spans="1:5">
      <c r="A105" s="67" t="s">
        <v>6359</v>
      </c>
      <c r="B105" t="s">
        <v>787</v>
      </c>
      <c r="C105" t="s">
        <v>787</v>
      </c>
      <c r="D105" t="s">
        <v>6360</v>
      </c>
      <c r="E105" s="34" t="s">
        <v>6361</v>
      </c>
    </row>
    <row r="106" spans="1:5">
      <c r="A106" s="67" t="s">
        <v>6362</v>
      </c>
      <c r="B106" t="s">
        <v>787</v>
      </c>
      <c r="C106" s="34" t="s">
        <v>6363</v>
      </c>
      <c r="D106" t="s">
        <v>6364</v>
      </c>
      <c r="E106" t="s">
        <v>6365</v>
      </c>
    </row>
    <row r="108" spans="1:5">
      <c r="A108" s="79" t="s">
        <v>333</v>
      </c>
      <c r="B108" s="79" t="s">
        <v>147</v>
      </c>
      <c r="C108" s="79" t="s">
        <v>148</v>
      </c>
      <c r="D108" s="79" t="s">
        <v>182</v>
      </c>
    </row>
    <row r="109" spans="1:5">
      <c r="A109" s="67" t="s">
        <v>6366</v>
      </c>
      <c r="B109" s="34" t="s">
        <v>6367</v>
      </c>
      <c r="C109" s="34" t="s">
        <v>6368</v>
      </c>
      <c r="D109" t="s">
        <v>6369</v>
      </c>
    </row>
    <row r="110" spans="1:5">
      <c r="A110" s="67" t="s">
        <v>6370</v>
      </c>
      <c r="B110" s="34" t="s">
        <v>6371</v>
      </c>
      <c r="C110" s="34" t="s">
        <v>6372</v>
      </c>
      <c r="D110" t="s">
        <v>6373</v>
      </c>
    </row>
    <row r="111" spans="1:5">
      <c r="A111" s="67" t="s">
        <v>6374</v>
      </c>
      <c r="B111" t="s">
        <v>6375</v>
      </c>
      <c r="C111" s="34" t="s">
        <v>6376</v>
      </c>
      <c r="D111" t="s">
        <v>6377</v>
      </c>
    </row>
    <row r="112" spans="1:5">
      <c r="A112" s="67" t="s">
        <v>6378</v>
      </c>
      <c r="D112" t="s">
        <v>6379</v>
      </c>
    </row>
    <row r="114" spans="1:4">
      <c r="A114" s="79" t="s">
        <v>878</v>
      </c>
      <c r="B114" s="79" t="s">
        <v>147</v>
      </c>
      <c r="C114" s="79" t="s">
        <v>148</v>
      </c>
      <c r="D114" s="79" t="s">
        <v>182</v>
      </c>
    </row>
    <row r="115" spans="1:4">
      <c r="A115" s="67" t="s">
        <v>6380</v>
      </c>
      <c r="B115" t="s">
        <v>6381</v>
      </c>
      <c r="C115" t="s">
        <v>6382</v>
      </c>
      <c r="D115" t="s">
        <v>6383</v>
      </c>
    </row>
    <row r="116" spans="1:4">
      <c r="A116" s="67" t="s">
        <v>6384</v>
      </c>
      <c r="B116" t="s">
        <v>6385</v>
      </c>
      <c r="C116" t="s">
        <v>6386</v>
      </c>
      <c r="D116" t="s">
        <v>6387</v>
      </c>
    </row>
    <row r="117" spans="1:4">
      <c r="A117" s="67" t="s">
        <v>6388</v>
      </c>
      <c r="B117" t="s">
        <v>6389</v>
      </c>
      <c r="C117" t="s">
        <v>6390</v>
      </c>
      <c r="D117" t="s">
        <v>6391</v>
      </c>
    </row>
    <row r="118" spans="1:4">
      <c r="A118" s="67" t="s">
        <v>6392</v>
      </c>
      <c r="D118" t="s">
        <v>6393</v>
      </c>
    </row>
    <row r="119" spans="1:4">
      <c r="A119" s="67" t="s">
        <v>6394</v>
      </c>
      <c r="C119" t="s">
        <v>6395</v>
      </c>
      <c r="D119" t="s">
        <v>6396</v>
      </c>
    </row>
    <row r="120" spans="1:4">
      <c r="A120" s="67" t="s">
        <v>6397</v>
      </c>
      <c r="D120" t="s">
        <v>6398</v>
      </c>
    </row>
    <row r="122" spans="1:4">
      <c r="A122" s="79" t="s">
        <v>428</v>
      </c>
      <c r="B122" s="79" t="s">
        <v>147</v>
      </c>
      <c r="C122" s="79" t="s">
        <v>148</v>
      </c>
      <c r="D122" s="79" t="s">
        <v>182</v>
      </c>
    </row>
    <row r="123" spans="1:4">
      <c r="A123" s="97" t="s">
        <v>6399</v>
      </c>
      <c r="B123" s="97" t="s">
        <v>6400</v>
      </c>
      <c r="C123" s="97" t="s">
        <v>6401</v>
      </c>
      <c r="D123" s="97" t="s">
        <v>6402</v>
      </c>
    </row>
    <row r="124" spans="1:4">
      <c r="A124" s="97" t="s">
        <v>6403</v>
      </c>
      <c r="B124" s="97" t="s">
        <v>6404</v>
      </c>
      <c r="C124" s="97" t="s">
        <v>6405</v>
      </c>
      <c r="D124" s="97" t="s">
        <v>6406</v>
      </c>
    </row>
    <row r="125" spans="1:4">
      <c r="A125" s="97" t="s">
        <v>6407</v>
      </c>
      <c r="B125" s="97" t="s">
        <v>6408</v>
      </c>
      <c r="C125" s="97" t="s">
        <v>6409</v>
      </c>
      <c r="D125" s="97" t="s">
        <v>6410</v>
      </c>
    </row>
    <row r="126" spans="1:4">
      <c r="A126" s="97" t="s">
        <v>6411</v>
      </c>
      <c r="B126" s="97" t="s">
        <v>6412</v>
      </c>
      <c r="C126" s="97" t="s">
        <v>6413</v>
      </c>
      <c r="D126" s="97" t="s">
        <v>6414</v>
      </c>
    </row>
    <row r="127" spans="1:4">
      <c r="A127" s="97" t="s">
        <v>6415</v>
      </c>
      <c r="B127" s="97" t="s">
        <v>6416</v>
      </c>
      <c r="C127" s="97" t="s">
        <v>6417</v>
      </c>
      <c r="D127" s="97" t="s">
        <v>6418</v>
      </c>
    </row>
    <row r="128" spans="1:4">
      <c r="A128" s="97" t="s">
        <v>6419</v>
      </c>
      <c r="B128" s="97" t="s">
        <v>6420</v>
      </c>
      <c r="C128" s="97" t="s">
        <v>6421</v>
      </c>
      <c r="D128" s="97" t="s">
        <v>6422</v>
      </c>
    </row>
    <row r="129" spans="1:4">
      <c r="A129" s="97" t="s">
        <v>6423</v>
      </c>
      <c r="B129" s="97" t="s">
        <v>6424</v>
      </c>
      <c r="C129" s="97" t="s">
        <v>6425</v>
      </c>
      <c r="D129" s="97" t="s">
        <v>6426</v>
      </c>
    </row>
    <row r="130" spans="1:4">
      <c r="A130" s="97" t="s">
        <v>6427</v>
      </c>
      <c r="B130" s="97" t="s">
        <v>6428</v>
      </c>
      <c r="C130" s="97" t="s">
        <v>6429</v>
      </c>
      <c r="D130" s="97" t="s">
        <v>6430</v>
      </c>
    </row>
    <row r="131" spans="1:4">
      <c r="A131" s="97" t="s">
        <v>6431</v>
      </c>
      <c r="B131" s="97"/>
      <c r="C131" s="97" t="s">
        <v>6432</v>
      </c>
      <c r="D131" s="97" t="s">
        <v>6433</v>
      </c>
    </row>
    <row r="132" spans="1:4">
      <c r="A132" s="97" t="s">
        <v>6434</v>
      </c>
      <c r="B132" s="97" t="s">
        <v>6435</v>
      </c>
      <c r="C132" s="97" t="s">
        <v>6436</v>
      </c>
      <c r="D132" s="97" t="s">
        <v>6437</v>
      </c>
    </row>
    <row r="133" spans="1:4">
      <c r="A133" s="97" t="s">
        <v>6438</v>
      </c>
      <c r="B133" s="97"/>
      <c r="C133" s="97" t="s">
        <v>6439</v>
      </c>
      <c r="D133" s="97" t="s">
        <v>6440</v>
      </c>
    </row>
    <row r="134" spans="1:4">
      <c r="A134" s="97" t="s">
        <v>6441</v>
      </c>
      <c r="B134" s="97"/>
      <c r="C134" s="97" t="s">
        <v>6442</v>
      </c>
      <c r="D134" s="97" t="s">
        <v>6443</v>
      </c>
    </row>
    <row r="135" spans="1:4">
      <c r="A135" s="97" t="s">
        <v>6444</v>
      </c>
      <c r="B135" s="97" t="s">
        <v>6445</v>
      </c>
      <c r="C135" s="97" t="s">
        <v>6446</v>
      </c>
      <c r="D135" s="97" t="s">
        <v>6447</v>
      </c>
    </row>
    <row r="136" spans="1:4">
      <c r="A136" s="97" t="s">
        <v>6448</v>
      </c>
      <c r="B136" s="97" t="s">
        <v>6449</v>
      </c>
      <c r="C136" s="97" t="s">
        <v>6450</v>
      </c>
      <c r="D136" s="97" t="s">
        <v>6451</v>
      </c>
    </row>
    <row r="137" spans="1:4">
      <c r="A137" s="97" t="s">
        <v>6452</v>
      </c>
      <c r="B137" s="97" t="s">
        <v>6453</v>
      </c>
      <c r="C137" s="34" t="s">
        <v>6454</v>
      </c>
      <c r="D137" s="97" t="s">
        <v>6455</v>
      </c>
    </row>
    <row r="138" spans="1:4">
      <c r="A138" s="97" t="s">
        <v>6456</v>
      </c>
      <c r="B138" s="97" t="s">
        <v>6457</v>
      </c>
      <c r="C138" s="97" t="s">
        <v>6458</v>
      </c>
      <c r="D138" s="97" t="s">
        <v>6459</v>
      </c>
    </row>
    <row r="139" spans="1:4">
      <c r="A139" s="97" t="s">
        <v>6460</v>
      </c>
      <c r="B139" s="97" t="s">
        <v>6461</v>
      </c>
      <c r="C139" s="97" t="s">
        <v>6462</v>
      </c>
      <c r="D139" s="97" t="s">
        <v>6463</v>
      </c>
    </row>
    <row r="140" spans="1:4">
      <c r="A140" s="97" t="s">
        <v>6464</v>
      </c>
      <c r="B140" s="97" t="s">
        <v>6465</v>
      </c>
      <c r="C140" s="97" t="s">
        <v>6466</v>
      </c>
      <c r="D140" s="97" t="s">
        <v>6467</v>
      </c>
    </row>
    <row r="141" spans="1:4">
      <c r="A141" s="97"/>
      <c r="B141" s="97"/>
      <c r="C141" s="97"/>
      <c r="D141" s="9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E16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5">
      <c r="A1" s="79" t="s">
        <v>146</v>
      </c>
      <c r="B1" s="79" t="s">
        <v>147</v>
      </c>
      <c r="C1" s="79" t="s">
        <v>148</v>
      </c>
      <c r="D1" s="79" t="s">
        <v>182</v>
      </c>
      <c r="E1" s="34"/>
    </row>
    <row r="2" spans="1:5">
      <c r="A2" s="67" t="s">
        <v>6468</v>
      </c>
      <c r="B2" s="70" t="s">
        <v>6469</v>
      </c>
      <c r="C2" s="67" t="s">
        <v>6470</v>
      </c>
      <c r="D2" s="67" t="s">
        <v>6471</v>
      </c>
      <c r="E2" s="34"/>
    </row>
    <row r="3" spans="1:5">
      <c r="A3" s="67" t="s">
        <v>6472</v>
      </c>
      <c r="B3" s="70" t="s">
        <v>6473</v>
      </c>
      <c r="C3" s="67" t="s">
        <v>6474</v>
      </c>
      <c r="D3" s="67" t="s">
        <v>6475</v>
      </c>
      <c r="E3" s="34"/>
    </row>
    <row r="4" spans="1:5">
      <c r="A4" s="67" t="s">
        <v>6476</v>
      </c>
      <c r="C4" s="34"/>
      <c r="D4" s="11" t="str">
        <f>HYPERLINK("http://wildlife.rescueshelter.com/Kansas","http://wildlife.rescueshelter.com/Kansas")</f>
        <v>http://wildlife.rescueshelter.com/Kansas</v>
      </c>
      <c r="E4" s="34"/>
    </row>
    <row r="5" spans="1:5" ht="15" customHeight="1">
      <c r="A5" t="s">
        <v>6477</v>
      </c>
      <c r="B5" t="s">
        <v>6473</v>
      </c>
      <c r="C5" s="34" t="s">
        <v>6474</v>
      </c>
      <c r="D5" t="s">
        <v>6478</v>
      </c>
      <c r="E5" s="34"/>
    </row>
    <row r="6" spans="1:5" ht="15" customHeight="1">
      <c r="A6" t="s">
        <v>6479</v>
      </c>
      <c r="B6" t="s">
        <v>6480</v>
      </c>
      <c r="C6" s="34" t="s">
        <v>6481</v>
      </c>
      <c r="D6" t="s">
        <v>6482</v>
      </c>
      <c r="E6" s="34"/>
    </row>
    <row r="7" spans="1:5">
      <c r="A7" s="79" t="s">
        <v>209</v>
      </c>
      <c r="B7" s="79" t="s">
        <v>147</v>
      </c>
      <c r="C7" s="79" t="s">
        <v>148</v>
      </c>
      <c r="D7" s="79" t="s">
        <v>182</v>
      </c>
      <c r="E7" s="34"/>
    </row>
    <row r="8" spans="1:5">
      <c r="A8" s="74" t="s">
        <v>6483</v>
      </c>
      <c r="C8" s="34"/>
      <c r="D8" t="s">
        <v>6484</v>
      </c>
      <c r="E8" s="34"/>
    </row>
    <row r="9" spans="1:5">
      <c r="A9" s="74" t="s">
        <v>6485</v>
      </c>
      <c r="C9" s="34"/>
      <c r="D9" t="s">
        <v>6486</v>
      </c>
      <c r="E9" s="34"/>
    </row>
    <row r="10" spans="1:5">
      <c r="A10" s="67" t="s">
        <v>5743</v>
      </c>
      <c r="C10" s="34"/>
      <c r="D10" t="s">
        <v>6487</v>
      </c>
      <c r="E10" s="34"/>
    </row>
    <row r="11" spans="1:5">
      <c r="A11" t="s">
        <v>6488</v>
      </c>
      <c r="C11" s="34" t="s">
        <v>6489</v>
      </c>
      <c r="D11" s="67" t="s">
        <v>6490</v>
      </c>
      <c r="E11" s="34"/>
    </row>
    <row r="12" spans="1:5">
      <c r="A12" s="67" t="s">
        <v>6491</v>
      </c>
      <c r="B12" t="s">
        <v>6492</v>
      </c>
      <c r="C12" s="34" t="s">
        <v>6493</v>
      </c>
      <c r="D12" t="s">
        <v>6494</v>
      </c>
      <c r="E12" s="34"/>
    </row>
    <row r="13" spans="1:5">
      <c r="A13" s="67" t="s">
        <v>6495</v>
      </c>
      <c r="C13" s="34"/>
      <c r="E13" s="34"/>
    </row>
    <row r="14" spans="1:5">
      <c r="A14" s="67" t="s">
        <v>6496</v>
      </c>
      <c r="C14" s="34" t="s">
        <v>6497</v>
      </c>
      <c r="D14" t="s">
        <v>6498</v>
      </c>
      <c r="E14" s="34"/>
    </row>
    <row r="15" spans="1:5">
      <c r="A15" s="67" t="s">
        <v>6499</v>
      </c>
      <c r="C15" s="34" t="s">
        <v>6500</v>
      </c>
      <c r="D15" t="s">
        <v>6501</v>
      </c>
      <c r="E15" s="34"/>
    </row>
    <row r="16" spans="1:5">
      <c r="A16" s="67" t="s">
        <v>5385</v>
      </c>
      <c r="C16" s="34"/>
      <c r="D16" t="s">
        <v>6502</v>
      </c>
      <c r="E16" s="34"/>
    </row>
    <row r="17" spans="1:5">
      <c r="A17" s="67" t="s">
        <v>6120</v>
      </c>
      <c r="B17" t="s">
        <v>6503</v>
      </c>
      <c r="C17" s="34" t="s">
        <v>6504</v>
      </c>
      <c r="D17" t="s">
        <v>6505</v>
      </c>
      <c r="E17" s="34" t="s">
        <v>6506</v>
      </c>
    </row>
    <row r="18" spans="1:5">
      <c r="A18" s="67" t="s">
        <v>6507</v>
      </c>
      <c r="C18" s="34"/>
      <c r="D18" t="s">
        <v>6508</v>
      </c>
      <c r="E18" s="34"/>
    </row>
    <row r="19" spans="1:5">
      <c r="A19" s="67" t="s">
        <v>6509</v>
      </c>
      <c r="C19" s="34"/>
      <c r="D19" t="s">
        <v>6510</v>
      </c>
      <c r="E19" s="34"/>
    </row>
    <row r="20" spans="1:5">
      <c r="A20" s="67" t="s">
        <v>6138</v>
      </c>
      <c r="C20" s="34"/>
      <c r="D20" t="s">
        <v>6511</v>
      </c>
      <c r="E20" s="34"/>
    </row>
    <row r="21" spans="1:5">
      <c r="A21" s="67" t="s">
        <v>6512</v>
      </c>
      <c r="C21" s="34"/>
      <c r="D21" t="s">
        <v>6513</v>
      </c>
      <c r="E21" s="34"/>
    </row>
    <row r="22" spans="1:5">
      <c r="A22" s="67" t="s">
        <v>5401</v>
      </c>
      <c r="C22" s="34"/>
      <c r="D22" t="s">
        <v>6514</v>
      </c>
      <c r="E22" s="34"/>
    </row>
    <row r="23" spans="1:5">
      <c r="A23" s="67" t="s">
        <v>5403</v>
      </c>
      <c r="C23" s="34" t="s">
        <v>6515</v>
      </c>
      <c r="D23" t="s">
        <v>6516</v>
      </c>
      <c r="E23" s="34"/>
    </row>
    <row r="24" spans="1:5">
      <c r="A24" s="67" t="s">
        <v>6517</v>
      </c>
      <c r="C24" s="34"/>
      <c r="D24" t="s">
        <v>6518</v>
      </c>
      <c r="E24" s="34"/>
    </row>
    <row r="25" spans="1:5">
      <c r="A25" s="67" t="s">
        <v>6519</v>
      </c>
      <c r="C25" s="34"/>
      <c r="D25" t="s">
        <v>6520</v>
      </c>
      <c r="E25" s="34"/>
    </row>
    <row r="26" spans="1:5">
      <c r="A26" s="67" t="s">
        <v>6521</v>
      </c>
      <c r="C26" s="34"/>
      <c r="D26" t="s">
        <v>6522</v>
      </c>
      <c r="E26" s="34"/>
    </row>
    <row r="27" spans="1:5">
      <c r="A27" s="67" t="s">
        <v>6523</v>
      </c>
      <c r="C27" s="34" t="s">
        <v>6524</v>
      </c>
      <c r="D27" t="s">
        <v>6525</v>
      </c>
      <c r="E27" s="34"/>
    </row>
    <row r="28" spans="1:5">
      <c r="A28" s="67" t="s">
        <v>5413</v>
      </c>
      <c r="B28" t="s">
        <v>6526</v>
      </c>
      <c r="C28" s="34"/>
      <c r="D28" t="s">
        <v>6527</v>
      </c>
      <c r="E28" s="34"/>
    </row>
    <row r="29" spans="1:5">
      <c r="A29" s="67" t="s">
        <v>6528</v>
      </c>
      <c r="C29" s="34" t="s">
        <v>6529</v>
      </c>
      <c r="D29" t="s">
        <v>6530</v>
      </c>
      <c r="E29" s="34"/>
    </row>
    <row r="30" spans="1:5">
      <c r="A30" s="67" t="s">
        <v>6168</v>
      </c>
      <c r="C30" s="34" t="s">
        <v>6531</v>
      </c>
      <c r="D30" t="s">
        <v>6532</v>
      </c>
      <c r="E30" s="34"/>
    </row>
    <row r="31" spans="1:5">
      <c r="A31" s="67" t="s">
        <v>6533</v>
      </c>
      <c r="C31" s="34"/>
      <c r="D31" t="s">
        <v>6534</v>
      </c>
      <c r="E31" s="34"/>
    </row>
    <row r="32" spans="1:5">
      <c r="A32" s="67" t="s">
        <v>5422</v>
      </c>
      <c r="B32" t="s">
        <v>6535</v>
      </c>
      <c r="C32" s="34" t="s">
        <v>6536</v>
      </c>
      <c r="D32" t="s">
        <v>6537</v>
      </c>
      <c r="E32" s="34"/>
    </row>
    <row r="33" spans="1:5">
      <c r="A33" s="67" t="s">
        <v>5430</v>
      </c>
      <c r="C33" s="34"/>
      <c r="D33" t="s">
        <v>6538</v>
      </c>
      <c r="E33" s="34"/>
    </row>
    <row r="34" spans="1:5">
      <c r="A34" s="67" t="s">
        <v>6539</v>
      </c>
      <c r="C34" s="34"/>
      <c r="D34" t="s">
        <v>6540</v>
      </c>
      <c r="E34" s="34"/>
    </row>
    <row r="35" spans="1:5">
      <c r="A35" s="67" t="s">
        <v>6541</v>
      </c>
      <c r="B35" t="s">
        <v>6542</v>
      </c>
      <c r="C35" s="34" t="s">
        <v>6543</v>
      </c>
      <c r="D35" t="s">
        <v>6544</v>
      </c>
      <c r="E35" s="34"/>
    </row>
    <row r="36" spans="1:5">
      <c r="A36" s="67" t="s">
        <v>6545</v>
      </c>
      <c r="C36" s="34"/>
      <c r="D36" t="s">
        <v>6546</v>
      </c>
      <c r="E36" s="34"/>
    </row>
    <row r="37" spans="1:5">
      <c r="A37" s="67" t="s">
        <v>6547</v>
      </c>
      <c r="B37" t="s">
        <v>6548</v>
      </c>
      <c r="C37" s="34" t="s">
        <v>6549</v>
      </c>
      <c r="D37" t="s">
        <v>6550</v>
      </c>
      <c r="E37" s="34"/>
    </row>
    <row r="38" spans="1:5">
      <c r="A38" s="67" t="s">
        <v>5439</v>
      </c>
      <c r="C38" s="34" t="s">
        <v>6551</v>
      </c>
      <c r="D38" t="s">
        <v>6552</v>
      </c>
      <c r="E38" s="34"/>
    </row>
    <row r="39" spans="1:5">
      <c r="A39" s="67" t="s">
        <v>5441</v>
      </c>
      <c r="C39" s="34"/>
      <c r="D39" t="s">
        <v>6553</v>
      </c>
      <c r="E39" s="34"/>
    </row>
    <row r="40" spans="1:5">
      <c r="A40" s="67" t="s">
        <v>6554</v>
      </c>
      <c r="C40" s="34"/>
      <c r="D40" t="s">
        <v>6555</v>
      </c>
      <c r="E40" s="34"/>
    </row>
    <row r="41" spans="1:5">
      <c r="A41" s="67" t="s">
        <v>6556</v>
      </c>
      <c r="C41" s="34"/>
      <c r="E41" s="34"/>
    </row>
    <row r="42" spans="1:5">
      <c r="A42" s="67" t="s">
        <v>6557</v>
      </c>
      <c r="C42" s="34"/>
      <c r="D42" t="s">
        <v>6558</v>
      </c>
      <c r="E42" s="34"/>
    </row>
    <row r="43" spans="1:5">
      <c r="A43" s="67" t="s">
        <v>5806</v>
      </c>
      <c r="B43" t="s">
        <v>6559</v>
      </c>
      <c r="C43" s="34" t="s">
        <v>6560</v>
      </c>
      <c r="D43" t="s">
        <v>6561</v>
      </c>
      <c r="E43" s="34"/>
    </row>
    <row r="44" spans="1:5">
      <c r="A44" s="67" t="s">
        <v>6562</v>
      </c>
      <c r="C44" s="34"/>
      <c r="D44" t="s">
        <v>6563</v>
      </c>
      <c r="E44" s="34"/>
    </row>
    <row r="45" spans="1:5">
      <c r="A45" s="67" t="s">
        <v>6564</v>
      </c>
      <c r="C45" s="34" t="s">
        <v>6565</v>
      </c>
      <c r="D45" t="s">
        <v>6566</v>
      </c>
      <c r="E45" s="34" t="s">
        <v>6514</v>
      </c>
    </row>
    <row r="46" spans="1:5">
      <c r="A46" s="67" t="s">
        <v>6567</v>
      </c>
      <c r="C46" s="34"/>
      <c r="D46" t="s">
        <v>6568</v>
      </c>
      <c r="E46" s="34"/>
    </row>
    <row r="47" spans="1:5">
      <c r="A47" s="67" t="s">
        <v>5453</v>
      </c>
      <c r="C47" s="34" t="s">
        <v>6569</v>
      </c>
      <c r="E47" s="34"/>
    </row>
    <row r="48" spans="1:5">
      <c r="A48" s="67" t="s">
        <v>6570</v>
      </c>
      <c r="C48" s="34"/>
      <c r="D48" t="s">
        <v>6571</v>
      </c>
      <c r="E48" s="34"/>
    </row>
    <row r="49" spans="1:5">
      <c r="A49" s="67" t="s">
        <v>6572</v>
      </c>
      <c r="B49" t="s">
        <v>6573</v>
      </c>
      <c r="C49" s="34"/>
      <c r="D49" t="s">
        <v>6574</v>
      </c>
      <c r="E49" s="34"/>
    </row>
    <row r="50" spans="1:5">
      <c r="A50" s="67" t="s">
        <v>6575</v>
      </c>
      <c r="C50" s="34"/>
      <c r="D50" t="s">
        <v>6576</v>
      </c>
      <c r="E50" s="34"/>
    </row>
    <row r="51" spans="1:5">
      <c r="A51" s="67" t="s">
        <v>6577</v>
      </c>
      <c r="C51" s="34"/>
      <c r="D51" t="s">
        <v>6578</v>
      </c>
      <c r="E51" s="34"/>
    </row>
    <row r="52" spans="1:5">
      <c r="A52" s="67" t="s">
        <v>5466</v>
      </c>
      <c r="C52" s="34"/>
      <c r="D52" t="s">
        <v>6579</v>
      </c>
      <c r="E52" s="34"/>
    </row>
    <row r="53" spans="1:5">
      <c r="A53" s="67" t="s">
        <v>5187</v>
      </c>
      <c r="B53" t="s">
        <v>6580</v>
      </c>
      <c r="C53" s="34" t="s">
        <v>6581</v>
      </c>
      <c r="D53" t="s">
        <v>6582</v>
      </c>
      <c r="E53" s="34"/>
    </row>
    <row r="54" spans="1:5">
      <c r="A54" s="67" t="s">
        <v>6583</v>
      </c>
      <c r="C54" s="34"/>
      <c r="D54" t="s">
        <v>6584</v>
      </c>
      <c r="E54" s="34"/>
    </row>
    <row r="55" spans="1:5">
      <c r="A55" s="67" t="s">
        <v>5475</v>
      </c>
      <c r="B55" t="s">
        <v>6585</v>
      </c>
      <c r="C55" s="34" t="s">
        <v>6586</v>
      </c>
      <c r="D55" t="s">
        <v>6587</v>
      </c>
      <c r="E55" s="34"/>
    </row>
    <row r="56" spans="1:5">
      <c r="A56" s="67" t="s">
        <v>6588</v>
      </c>
      <c r="C56" s="34"/>
      <c r="D56" t="s">
        <v>6589</v>
      </c>
      <c r="E56" s="34"/>
    </row>
    <row r="57" spans="1:5">
      <c r="A57" s="67" t="s">
        <v>6590</v>
      </c>
      <c r="C57" s="34"/>
      <c r="D57" t="s">
        <v>6591</v>
      </c>
      <c r="E57" s="34"/>
    </row>
    <row r="58" spans="1:5">
      <c r="A58" s="67" t="s">
        <v>6592</v>
      </c>
      <c r="C58" s="34"/>
      <c r="D58" t="s">
        <v>6593</v>
      </c>
      <c r="E58" s="34"/>
    </row>
    <row r="59" spans="1:5">
      <c r="A59" s="67" t="s">
        <v>6594</v>
      </c>
      <c r="C59" s="34"/>
      <c r="D59" t="s">
        <v>6595</v>
      </c>
      <c r="E59" s="34"/>
    </row>
    <row r="60" spans="1:5">
      <c r="A60" s="67" t="s">
        <v>6596</v>
      </c>
      <c r="C60" s="34"/>
      <c r="E60" s="34"/>
    </row>
    <row r="61" spans="1:5">
      <c r="A61" s="67" t="s">
        <v>6597</v>
      </c>
      <c r="C61" s="34"/>
      <c r="D61" t="s">
        <v>6598</v>
      </c>
      <c r="E61" s="34"/>
    </row>
    <row r="62" spans="1:5">
      <c r="A62" s="67" t="s">
        <v>5206</v>
      </c>
      <c r="C62" s="34"/>
      <c r="D62" t="s">
        <v>6599</v>
      </c>
      <c r="E62" s="34"/>
    </row>
    <row r="63" spans="1:5">
      <c r="A63" s="67" t="s">
        <v>6236</v>
      </c>
      <c r="B63" t="s">
        <v>6600</v>
      </c>
      <c r="C63" s="34"/>
      <c r="D63" t="s">
        <v>6601</v>
      </c>
      <c r="E63" s="34"/>
    </row>
    <row r="64" spans="1:5">
      <c r="A64" s="67" t="s">
        <v>6602</v>
      </c>
      <c r="B64" t="s">
        <v>6603</v>
      </c>
      <c r="C64" s="34"/>
      <c r="D64" t="s">
        <v>6604</v>
      </c>
      <c r="E64" s="34"/>
    </row>
    <row r="65" spans="1:5">
      <c r="A65" s="67" t="s">
        <v>6244</v>
      </c>
      <c r="B65" t="s">
        <v>6605</v>
      </c>
      <c r="C65" s="34" t="s">
        <v>6606</v>
      </c>
      <c r="D65" t="s">
        <v>6607</v>
      </c>
      <c r="E65" s="34"/>
    </row>
    <row r="66" spans="1:5">
      <c r="A66" s="67" t="s">
        <v>5507</v>
      </c>
      <c r="C66" s="34"/>
      <c r="D66" t="s">
        <v>6608</v>
      </c>
      <c r="E66" s="34"/>
    </row>
    <row r="67" spans="1:5">
      <c r="A67" s="67" t="s">
        <v>5509</v>
      </c>
      <c r="C67" s="34"/>
      <c r="D67" t="s">
        <v>6609</v>
      </c>
      <c r="E67" s="34"/>
    </row>
    <row r="68" spans="1:5">
      <c r="A68" s="67" t="s">
        <v>6610</v>
      </c>
      <c r="C68" s="34"/>
      <c r="D68" t="s">
        <v>6611</v>
      </c>
      <c r="E68" s="34"/>
    </row>
    <row r="69" spans="1:5">
      <c r="A69" s="67" t="s">
        <v>6612</v>
      </c>
      <c r="C69" s="34"/>
      <c r="D69" t="s">
        <v>6613</v>
      </c>
      <c r="E69" s="34"/>
    </row>
    <row r="70" spans="1:5">
      <c r="A70" s="67" t="s">
        <v>5870</v>
      </c>
      <c r="B70" t="s">
        <v>6614</v>
      </c>
      <c r="C70" s="34" t="s">
        <v>6615</v>
      </c>
      <c r="D70" t="s">
        <v>6616</v>
      </c>
      <c r="E70" s="34"/>
    </row>
    <row r="71" spans="1:5">
      <c r="A71" s="67" t="s">
        <v>6617</v>
      </c>
      <c r="C71" s="34"/>
      <c r="D71" t="s">
        <v>6618</v>
      </c>
      <c r="E71" s="34"/>
    </row>
    <row r="72" spans="1:5">
      <c r="A72" s="67" t="s">
        <v>6619</v>
      </c>
      <c r="B72" t="s">
        <v>6620</v>
      </c>
      <c r="C72" s="34" t="s">
        <v>6621</v>
      </c>
      <c r="D72" t="s">
        <v>6622</v>
      </c>
      <c r="E72" s="34"/>
    </row>
    <row r="73" spans="1:5">
      <c r="A73" s="67" t="s">
        <v>6623</v>
      </c>
      <c r="C73" s="34"/>
      <c r="D73" t="s">
        <v>6624</v>
      </c>
      <c r="E73" s="34"/>
    </row>
    <row r="74" spans="1:5">
      <c r="A74" s="67" t="s">
        <v>6625</v>
      </c>
      <c r="C74" s="34"/>
      <c r="D74" t="s">
        <v>6626</v>
      </c>
      <c r="E74" s="34"/>
    </row>
    <row r="75" spans="1:5">
      <c r="A75" s="67" t="s">
        <v>6627</v>
      </c>
      <c r="C75" s="34"/>
      <c r="D75" t="s">
        <v>6628</v>
      </c>
      <c r="E75" s="34"/>
    </row>
    <row r="76" spans="1:5">
      <c r="A76" s="67" t="s">
        <v>6629</v>
      </c>
      <c r="C76" s="34"/>
      <c r="D76" t="s">
        <v>6630</v>
      </c>
      <c r="E76" s="34"/>
    </row>
    <row r="77" spans="1:5">
      <c r="A77" s="67" t="s">
        <v>6631</v>
      </c>
      <c r="C77" s="34"/>
      <c r="D77" t="s">
        <v>6632</v>
      </c>
      <c r="E77" s="34"/>
    </row>
    <row r="78" spans="1:5">
      <c r="A78" s="67" t="s">
        <v>6633</v>
      </c>
      <c r="C78" s="34" t="s">
        <v>6634</v>
      </c>
      <c r="D78" t="s">
        <v>6635</v>
      </c>
      <c r="E78" s="34"/>
    </row>
    <row r="79" spans="1:5">
      <c r="A79" s="67" t="s">
        <v>6636</v>
      </c>
      <c r="C79" s="34"/>
      <c r="D79" t="s">
        <v>6637</v>
      </c>
      <c r="E79" s="34"/>
    </row>
    <row r="80" spans="1:5">
      <c r="A80" s="67" t="s">
        <v>6638</v>
      </c>
      <c r="C80" s="34"/>
      <c r="D80" t="s">
        <v>6639</v>
      </c>
      <c r="E80" s="34"/>
    </row>
    <row r="81" spans="1:5">
      <c r="A81" s="67" t="s">
        <v>6640</v>
      </c>
      <c r="C81" s="34"/>
      <c r="D81" t="s">
        <v>6641</v>
      </c>
      <c r="E81" s="34"/>
    </row>
    <row r="82" spans="1:5">
      <c r="A82" s="67" t="s">
        <v>6642</v>
      </c>
      <c r="C82" s="34"/>
      <c r="D82" t="s">
        <v>6643</v>
      </c>
      <c r="E82" s="34"/>
    </row>
    <row r="83" spans="1:5">
      <c r="A83" s="67" t="s">
        <v>6644</v>
      </c>
      <c r="C83" s="34" t="s">
        <v>6645</v>
      </c>
      <c r="D83" t="s">
        <v>6646</v>
      </c>
      <c r="E83" s="34"/>
    </row>
    <row r="84" spans="1:5">
      <c r="A84" s="67" t="s">
        <v>6647</v>
      </c>
      <c r="C84" s="34"/>
      <c r="D84" t="s">
        <v>6648</v>
      </c>
      <c r="E84" s="34"/>
    </row>
    <row r="85" spans="1:5">
      <c r="A85" s="67" t="s">
        <v>6649</v>
      </c>
      <c r="C85" s="34"/>
      <c r="D85" t="s">
        <v>6650</v>
      </c>
      <c r="E85" s="34"/>
    </row>
    <row r="86" spans="1:5">
      <c r="A86" s="67" t="s">
        <v>6651</v>
      </c>
      <c r="C86" s="34"/>
      <c r="D86" t="s">
        <v>6652</v>
      </c>
      <c r="E86" s="34"/>
    </row>
    <row r="87" spans="1:5">
      <c r="A87" s="67" t="s">
        <v>6653</v>
      </c>
      <c r="B87" t="s">
        <v>6654</v>
      </c>
      <c r="C87" s="34" t="s">
        <v>6655</v>
      </c>
      <c r="D87" t="s">
        <v>6656</v>
      </c>
      <c r="E87" s="34"/>
    </row>
    <row r="88" spans="1:5">
      <c r="A88" s="67" t="s">
        <v>6657</v>
      </c>
      <c r="C88" s="34"/>
      <c r="D88" t="s">
        <v>6658</v>
      </c>
      <c r="E88" s="34"/>
    </row>
    <row r="89" spans="1:5">
      <c r="A89" s="67" t="s">
        <v>6659</v>
      </c>
      <c r="C89" s="34"/>
      <c r="D89" t="s">
        <v>6660</v>
      </c>
      <c r="E89" s="34"/>
    </row>
    <row r="90" spans="1:5">
      <c r="A90" s="67" t="s">
        <v>6661</v>
      </c>
      <c r="B90" t="s">
        <v>6662</v>
      </c>
      <c r="C90" s="34" t="s">
        <v>6663</v>
      </c>
      <c r="D90" t="s">
        <v>6664</v>
      </c>
      <c r="E90" s="34"/>
    </row>
    <row r="91" spans="1:5">
      <c r="A91" s="67" t="s">
        <v>6665</v>
      </c>
      <c r="C91" s="34"/>
      <c r="D91" t="s">
        <v>6666</v>
      </c>
      <c r="E91" s="34"/>
    </row>
    <row r="92" spans="1:5">
      <c r="A92" s="67" t="s">
        <v>5912</v>
      </c>
      <c r="C92" s="34"/>
      <c r="D92" t="s">
        <v>6667</v>
      </c>
      <c r="E92" s="34"/>
    </row>
    <row r="93" spans="1:5">
      <c r="A93" s="67" t="s">
        <v>6668</v>
      </c>
      <c r="C93" s="34"/>
      <c r="D93" t="s">
        <v>6669</v>
      </c>
      <c r="E93" s="34"/>
    </row>
    <row r="94" spans="1:5">
      <c r="A94" s="67" t="s">
        <v>5548</v>
      </c>
      <c r="B94" t="s">
        <v>6670</v>
      </c>
      <c r="C94" s="34" t="s">
        <v>6671</v>
      </c>
      <c r="D94" t="s">
        <v>6672</v>
      </c>
      <c r="E94" s="34"/>
    </row>
    <row r="95" spans="1:5">
      <c r="A95" s="67" t="s">
        <v>5553</v>
      </c>
      <c r="C95" s="34"/>
      <c r="D95" t="s">
        <v>6673</v>
      </c>
      <c r="E95" s="34"/>
    </row>
    <row r="96" spans="1:5">
      <c r="A96" s="67" t="s">
        <v>6674</v>
      </c>
      <c r="B96" t="s">
        <v>6675</v>
      </c>
      <c r="C96" s="34"/>
      <c r="D96" t="s">
        <v>6676</v>
      </c>
      <c r="E96" s="34"/>
    </row>
    <row r="97" spans="1:5">
      <c r="A97" s="67" t="s">
        <v>6677</v>
      </c>
      <c r="B97" t="s">
        <v>6678</v>
      </c>
      <c r="C97" s="34"/>
      <c r="D97" t="s">
        <v>6679</v>
      </c>
      <c r="E97" s="34"/>
    </row>
    <row r="98" spans="1:5">
      <c r="A98" s="67" t="s">
        <v>6680</v>
      </c>
      <c r="B98" t="s">
        <v>6681</v>
      </c>
      <c r="C98" s="34" t="s">
        <v>6682</v>
      </c>
      <c r="D98" t="s">
        <v>6683</v>
      </c>
      <c r="E98" s="34"/>
    </row>
    <row r="99" spans="1:5">
      <c r="A99" s="67" t="s">
        <v>6684</v>
      </c>
      <c r="C99" s="34" t="s">
        <v>6685</v>
      </c>
      <c r="D99" t="s">
        <v>6686</v>
      </c>
      <c r="E99" s="34"/>
    </row>
    <row r="100" spans="1:5">
      <c r="A100" s="67" t="s">
        <v>6687</v>
      </c>
      <c r="C100" s="34"/>
      <c r="D100" t="s">
        <v>6688</v>
      </c>
      <c r="E100" s="34"/>
    </row>
    <row r="101" spans="1:5">
      <c r="A101" s="67" t="s">
        <v>6689</v>
      </c>
      <c r="C101" s="34" t="s">
        <v>6690</v>
      </c>
      <c r="D101" t="s">
        <v>6691</v>
      </c>
      <c r="E101" s="34"/>
    </row>
    <row r="102" spans="1:5">
      <c r="A102" s="67" t="s">
        <v>6692</v>
      </c>
      <c r="C102" s="34"/>
      <c r="D102" t="s">
        <v>6693</v>
      </c>
      <c r="E102" s="34"/>
    </row>
    <row r="103" spans="1:5">
      <c r="A103" s="67" t="s">
        <v>6694</v>
      </c>
      <c r="C103" s="34"/>
      <c r="D103" t="s">
        <v>6695</v>
      </c>
      <c r="E103" s="34"/>
    </row>
    <row r="104" spans="1:5">
      <c r="A104" s="67" t="s">
        <v>6696</v>
      </c>
      <c r="C104" s="34"/>
      <c r="D104" t="s">
        <v>6697</v>
      </c>
      <c r="E104" s="34"/>
    </row>
    <row r="105" spans="1:5">
      <c r="A105" s="67" t="s">
        <v>6698</v>
      </c>
      <c r="C105" s="34"/>
      <c r="D105" t="s">
        <v>6699</v>
      </c>
      <c r="E105" s="34"/>
    </row>
    <row r="106" spans="1:5">
      <c r="A106" s="67" t="s">
        <v>6700</v>
      </c>
      <c r="C106" s="34"/>
      <c r="D106" t="s">
        <v>6701</v>
      </c>
      <c r="E106" s="34"/>
    </row>
    <row r="107" spans="1:5">
      <c r="A107" s="67" t="s">
        <v>6702</v>
      </c>
      <c r="C107" s="34"/>
      <c r="E107" s="34"/>
    </row>
    <row r="108" spans="1:5">
      <c r="A108" s="67" t="s">
        <v>6703</v>
      </c>
      <c r="C108" s="34"/>
      <c r="D108" t="s">
        <v>6704</v>
      </c>
      <c r="E108" s="34"/>
    </row>
    <row r="109" spans="1:5">
      <c r="A109" s="67" t="s">
        <v>6705</v>
      </c>
      <c r="C109" s="34"/>
      <c r="D109" t="s">
        <v>6706</v>
      </c>
      <c r="E109" s="34"/>
    </row>
    <row r="110" spans="1:5">
      <c r="A110" s="67" t="s">
        <v>117</v>
      </c>
      <c r="C110" s="34" t="s">
        <v>6707</v>
      </c>
      <c r="D110" t="s">
        <v>6708</v>
      </c>
      <c r="E110" s="34"/>
    </row>
    <row r="111" spans="1:5">
      <c r="A111" s="67" t="s">
        <v>6709</v>
      </c>
      <c r="B111" t="s">
        <v>6710</v>
      </c>
      <c r="C111" s="34"/>
      <c r="E111" s="34"/>
    </row>
    <row r="112" spans="1:5">
      <c r="A112" s="67" t="s">
        <v>6711</v>
      </c>
      <c r="C112" s="34" t="s">
        <v>6712</v>
      </c>
      <c r="D112" t="s">
        <v>6713</v>
      </c>
      <c r="E112" s="34"/>
    </row>
    <row r="113" spans="1:5">
      <c r="A113" s="67" t="s">
        <v>6714</v>
      </c>
      <c r="C113" s="34"/>
      <c r="D113" t="s">
        <v>6715</v>
      </c>
      <c r="E113" s="34"/>
    </row>
    <row r="114" spans="1:5">
      <c r="A114" s="67" t="s">
        <v>6716</v>
      </c>
      <c r="C114" s="34"/>
      <c r="D114" t="s">
        <v>6717</v>
      </c>
      <c r="E114" s="34"/>
    </row>
    <row r="115" spans="1:5" ht="15" customHeight="1">
      <c r="C115" s="34"/>
      <c r="E115" s="34"/>
    </row>
    <row r="116" spans="1:5">
      <c r="A116" s="79" t="s">
        <v>333</v>
      </c>
      <c r="B116" s="79" t="s">
        <v>147</v>
      </c>
      <c r="C116" s="79" t="s">
        <v>148</v>
      </c>
      <c r="D116" s="79" t="s">
        <v>182</v>
      </c>
      <c r="E116" s="34"/>
    </row>
    <row r="117" spans="1:5">
      <c r="A117" s="67" t="s">
        <v>6718</v>
      </c>
      <c r="B117" t="s">
        <v>6719</v>
      </c>
      <c r="C117" s="34" t="s">
        <v>6720</v>
      </c>
      <c r="D117" t="s">
        <v>6721</v>
      </c>
      <c r="E117" s="34"/>
    </row>
    <row r="118" spans="1:5">
      <c r="A118" s="67" t="s">
        <v>6722</v>
      </c>
      <c r="C118" s="34"/>
      <c r="E118" s="34"/>
    </row>
    <row r="119" spans="1:5">
      <c r="A119" s="67" t="s">
        <v>6723</v>
      </c>
      <c r="B119" t="s">
        <v>6724</v>
      </c>
      <c r="C119" s="34" t="s">
        <v>6725</v>
      </c>
      <c r="D119" t="s">
        <v>6726</v>
      </c>
      <c r="E119" s="34"/>
    </row>
    <row r="120" spans="1:5">
      <c r="A120" s="67" t="s">
        <v>6727</v>
      </c>
      <c r="C120" s="34"/>
      <c r="E120" s="34"/>
    </row>
    <row r="121" spans="1:5">
      <c r="A121" s="67" t="s">
        <v>6728</v>
      </c>
      <c r="B121" t="s">
        <v>6729</v>
      </c>
      <c r="C121" s="34" t="s">
        <v>6730</v>
      </c>
      <c r="D121" t="s">
        <v>6731</v>
      </c>
      <c r="E121" s="34"/>
    </row>
    <row r="122" spans="1:5">
      <c r="A122" s="67" t="s">
        <v>6732</v>
      </c>
      <c r="C122" s="34"/>
      <c r="D122" t="s">
        <v>6733</v>
      </c>
      <c r="E122" s="34"/>
    </row>
    <row r="123" spans="1:5">
      <c r="A123" s="67" t="s">
        <v>6734</v>
      </c>
      <c r="B123" t="s">
        <v>6735</v>
      </c>
      <c r="C123" s="34" t="s">
        <v>6736</v>
      </c>
      <c r="D123" s="67" t="s">
        <v>6737</v>
      </c>
      <c r="E123" s="34"/>
    </row>
    <row r="124" spans="1:5">
      <c r="A124" s="67" t="s">
        <v>6738</v>
      </c>
      <c r="B124" t="s">
        <v>6739</v>
      </c>
      <c r="C124" s="34" t="s">
        <v>6740</v>
      </c>
      <c r="D124" t="s">
        <v>6741</v>
      </c>
      <c r="E124" s="34"/>
    </row>
    <row r="125" spans="1:5" ht="15" customHeight="1">
      <c r="A125" t="s">
        <v>6742</v>
      </c>
      <c r="C125" s="34" t="s">
        <v>6743</v>
      </c>
      <c r="D125" t="s">
        <v>6744</v>
      </c>
      <c r="E125" s="34"/>
    </row>
    <row r="126" spans="1:5" ht="15" customHeight="1">
      <c r="A126" t="s">
        <v>6745</v>
      </c>
      <c r="B126" t="s">
        <v>6746</v>
      </c>
      <c r="C126" s="34" t="s">
        <v>6747</v>
      </c>
      <c r="D126" t="s">
        <v>6748</v>
      </c>
      <c r="E126" s="34"/>
    </row>
    <row r="127" spans="1:5" ht="15" customHeight="1">
      <c r="A127" t="s">
        <v>6749</v>
      </c>
      <c r="C127" s="34"/>
      <c r="D127" t="s">
        <v>6750</v>
      </c>
      <c r="E127" s="34"/>
    </row>
    <row r="128" spans="1:5" ht="15" customHeight="1">
      <c r="A128" t="s">
        <v>6751</v>
      </c>
      <c r="B128" t="s">
        <v>6752</v>
      </c>
      <c r="C128" s="34" t="s">
        <v>6753</v>
      </c>
      <c r="D128" t="s">
        <v>6754</v>
      </c>
      <c r="E128" s="34"/>
    </row>
    <row r="129" spans="1:5" ht="15" customHeight="1">
      <c r="A129" t="s">
        <v>6755</v>
      </c>
      <c r="B129" t="s">
        <v>6756</v>
      </c>
      <c r="C129" s="34" t="s">
        <v>6757</v>
      </c>
      <c r="D129" t="s">
        <v>6758</v>
      </c>
      <c r="E129" s="34"/>
    </row>
    <row r="130" spans="1:5" ht="15" customHeight="1">
      <c r="A130" t="s">
        <v>6759</v>
      </c>
      <c r="C130" s="34"/>
      <c r="D130" t="s">
        <v>6760</v>
      </c>
      <c r="E130" s="34"/>
    </row>
    <row r="131" spans="1:5" ht="15" customHeight="1">
      <c r="A131" t="s">
        <v>6761</v>
      </c>
      <c r="C131" s="34"/>
      <c r="D131" t="s">
        <v>6762</v>
      </c>
      <c r="E131" s="34"/>
    </row>
    <row r="132" spans="1:5" ht="15" customHeight="1">
      <c r="A132" t="s">
        <v>6763</v>
      </c>
      <c r="C132" s="34" t="s">
        <v>6764</v>
      </c>
      <c r="D132" t="s">
        <v>6765</v>
      </c>
      <c r="E132" s="34"/>
    </row>
    <row r="133" spans="1:5" ht="15" customHeight="1">
      <c r="A133" t="s">
        <v>6766</v>
      </c>
      <c r="C133" s="34"/>
      <c r="D133" t="s">
        <v>6767</v>
      </c>
      <c r="E133" s="34"/>
    </row>
    <row r="134" spans="1:5" ht="15" customHeight="1">
      <c r="C134" s="34"/>
      <c r="E134" s="34"/>
    </row>
    <row r="135" spans="1:5">
      <c r="A135" s="79" t="s">
        <v>878</v>
      </c>
      <c r="B135" s="79" t="s">
        <v>147</v>
      </c>
      <c r="C135" s="79" t="s">
        <v>148</v>
      </c>
      <c r="D135" s="79" t="s">
        <v>182</v>
      </c>
      <c r="E135" s="34"/>
    </row>
    <row r="136" spans="1:5">
      <c r="A136" s="67" t="s">
        <v>6768</v>
      </c>
      <c r="B136" t="s">
        <v>6769</v>
      </c>
      <c r="C136" s="34" t="s">
        <v>6770</v>
      </c>
      <c r="D136" t="s">
        <v>6771</v>
      </c>
      <c r="E136" s="34"/>
    </row>
    <row r="137" spans="1:5">
      <c r="A137" s="67" t="s">
        <v>6772</v>
      </c>
      <c r="C137" s="34"/>
      <c r="E137" s="34"/>
    </row>
    <row r="138" spans="1:5">
      <c r="A138" s="67" t="s">
        <v>6773</v>
      </c>
      <c r="C138" s="34"/>
      <c r="E138" s="34"/>
    </row>
    <row r="139" spans="1:5" ht="15" customHeight="1">
      <c r="A139" t="s">
        <v>6774</v>
      </c>
      <c r="C139" s="34"/>
      <c r="D139" t="s">
        <v>6775</v>
      </c>
      <c r="E139" s="34"/>
    </row>
    <row r="140" spans="1:5" ht="15" customHeight="1">
      <c r="A140" t="s">
        <v>6776</v>
      </c>
      <c r="C140" s="34"/>
      <c r="D140" t="s">
        <v>6777</v>
      </c>
      <c r="E140" s="34"/>
    </row>
    <row r="141" spans="1:5" ht="15" customHeight="1">
      <c r="A141" t="s">
        <v>6778</v>
      </c>
      <c r="C141" s="34"/>
      <c r="D141" t="s">
        <v>6779</v>
      </c>
      <c r="E141" s="34"/>
    </row>
    <row r="142" spans="1:5">
      <c r="A142" s="79" t="s">
        <v>428</v>
      </c>
      <c r="B142" s="79" t="s">
        <v>147</v>
      </c>
      <c r="C142" s="79" t="s">
        <v>148</v>
      </c>
      <c r="D142" s="79" t="s">
        <v>182</v>
      </c>
      <c r="E142" s="31"/>
    </row>
    <row r="143" spans="1:5">
      <c r="A143" s="97" t="s">
        <v>6780</v>
      </c>
      <c r="C143" s="34" t="s">
        <v>6781</v>
      </c>
      <c r="E143" s="34"/>
    </row>
    <row r="144" spans="1:5">
      <c r="A144" s="97" t="s">
        <v>6782</v>
      </c>
      <c r="B144" t="s">
        <v>6650</v>
      </c>
      <c r="C144" s="34" t="s">
        <v>6783</v>
      </c>
      <c r="D144" t="s">
        <v>6650</v>
      </c>
      <c r="E144" s="34"/>
    </row>
    <row r="145" spans="1:5">
      <c r="A145" s="97" t="s">
        <v>6784</v>
      </c>
      <c r="C145" s="34"/>
      <c r="D145" t="s">
        <v>6785</v>
      </c>
      <c r="E145" s="34"/>
    </row>
    <row r="146" spans="1:5">
      <c r="A146" s="97" t="s">
        <v>6786</v>
      </c>
      <c r="B146" t="s">
        <v>6787</v>
      </c>
      <c r="C146" s="63" t="s">
        <v>6788</v>
      </c>
      <c r="D146" t="s">
        <v>6788</v>
      </c>
      <c r="E146" s="34"/>
    </row>
    <row r="147" spans="1:5">
      <c r="A147" s="97" t="s">
        <v>6789</v>
      </c>
      <c r="B147" t="s">
        <v>6790</v>
      </c>
      <c r="C147" t="s">
        <v>6791</v>
      </c>
      <c r="D147" t="s">
        <v>6792</v>
      </c>
      <c r="E147" s="34"/>
    </row>
    <row r="148" spans="1:5">
      <c r="A148" s="97" t="s">
        <v>6793</v>
      </c>
      <c r="B148" t="s">
        <v>6794</v>
      </c>
      <c r="C148" s="34" t="s">
        <v>6795</v>
      </c>
      <c r="D148" t="s">
        <v>6796</v>
      </c>
      <c r="E148" s="34"/>
    </row>
    <row r="149" spans="1:5">
      <c r="A149" s="97" t="s">
        <v>6797</v>
      </c>
      <c r="B149" t="s">
        <v>6798</v>
      </c>
      <c r="C149" s="34" t="s">
        <v>6799</v>
      </c>
      <c r="D149" t="s">
        <v>6800</v>
      </c>
      <c r="E149" s="34"/>
    </row>
    <row r="150" spans="1:5">
      <c r="A150" s="97" t="s">
        <v>6801</v>
      </c>
      <c r="B150" t="s">
        <v>6802</v>
      </c>
      <c r="C150" s="34" t="s">
        <v>6803</v>
      </c>
      <c r="D150" t="s">
        <v>6804</v>
      </c>
      <c r="E150" s="34"/>
    </row>
    <row r="151" spans="1:5">
      <c r="A151" s="97" t="s">
        <v>6805</v>
      </c>
      <c r="B151" t="s">
        <v>6787</v>
      </c>
      <c r="C151" s="34" t="s">
        <v>6806</v>
      </c>
      <c r="D151" t="s">
        <v>6807</v>
      </c>
      <c r="E151" s="34"/>
    </row>
    <row r="152" spans="1:5">
      <c r="A152" s="97" t="s">
        <v>6808</v>
      </c>
      <c r="C152" s="34"/>
      <c r="D152" t="s">
        <v>6809</v>
      </c>
      <c r="E152" s="34"/>
    </row>
    <row r="153" spans="1:5">
      <c r="A153" s="97" t="s">
        <v>6810</v>
      </c>
      <c r="B153" t="s">
        <v>6811</v>
      </c>
      <c r="C153" s="34" t="s">
        <v>6812</v>
      </c>
      <c r="D153" t="s">
        <v>6813</v>
      </c>
      <c r="E153" s="34"/>
    </row>
    <row r="154" spans="1:5">
      <c r="A154" s="97" t="s">
        <v>6814</v>
      </c>
      <c r="B154" t="s">
        <v>6787</v>
      </c>
      <c r="C154" s="34" t="s">
        <v>6815</v>
      </c>
      <c r="D154" t="s">
        <v>6816</v>
      </c>
      <c r="E154" s="34"/>
    </row>
    <row r="155" spans="1:5">
      <c r="A155" s="97" t="s">
        <v>6817</v>
      </c>
      <c r="B155" t="s">
        <v>6818</v>
      </c>
      <c r="C155" s="34" t="s">
        <v>6819</v>
      </c>
      <c r="D155" t="s">
        <v>6820</v>
      </c>
      <c r="E155" s="34"/>
    </row>
    <row r="156" spans="1:5">
      <c r="A156" s="31"/>
      <c r="C156" s="34"/>
      <c r="E156" s="34"/>
    </row>
    <row r="157" spans="1:5">
      <c r="A157" s="31"/>
      <c r="C157" s="34"/>
      <c r="E157" s="34"/>
    </row>
    <row r="158" spans="1:5">
      <c r="A158" s="31"/>
      <c r="C158" s="34"/>
      <c r="E158" s="34"/>
    </row>
    <row r="159" spans="1:5">
      <c r="A159" s="31"/>
      <c r="C159" s="34"/>
      <c r="E159" s="34"/>
    </row>
    <row r="160" spans="1:5">
      <c r="A160" s="31"/>
      <c r="C160" s="34"/>
      <c r="E160" s="34"/>
    </row>
    <row r="161" spans="1:5">
      <c r="A161" s="31"/>
      <c r="C161" s="34"/>
      <c r="E161"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E174"/>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14.7109375" customWidth="1"/>
  </cols>
  <sheetData>
    <row r="1" spans="1:5">
      <c r="A1" s="79" t="s">
        <v>146</v>
      </c>
      <c r="B1" s="79" t="s">
        <v>147</v>
      </c>
      <c r="C1" s="79" t="s">
        <v>148</v>
      </c>
      <c r="D1" s="79" t="s">
        <v>182</v>
      </c>
      <c r="E1" s="46"/>
    </row>
    <row r="2" spans="1:5">
      <c r="A2" s="67" t="s">
        <v>6821</v>
      </c>
      <c r="B2" s="70" t="s">
        <v>6822</v>
      </c>
      <c r="C2" s="67" t="s">
        <v>6823</v>
      </c>
      <c r="D2" s="67" t="s">
        <v>6824</v>
      </c>
    </row>
    <row r="3" spans="1:5">
      <c r="A3" s="67" t="s">
        <v>6825</v>
      </c>
      <c r="B3" s="70" t="s">
        <v>6826</v>
      </c>
      <c r="C3" s="67" t="s">
        <v>6827</v>
      </c>
      <c r="D3" s="67" t="s">
        <v>6828</v>
      </c>
    </row>
    <row r="4" spans="1:5">
      <c r="A4" s="67" t="s">
        <v>6829</v>
      </c>
      <c r="D4" s="11" t="str">
        <f>HYPERLINK("http://homelandsecurity.ky.gov/","http://homelandsecurity.ky.gov/")</f>
        <v>http://homelandsecurity.ky.gov/</v>
      </c>
    </row>
    <row r="5" spans="1:5">
      <c r="A5" s="67" t="s">
        <v>6830</v>
      </c>
      <c r="D5" s="67" t="s">
        <v>6831</v>
      </c>
    </row>
    <row r="7" spans="1:5">
      <c r="A7" s="79" t="s">
        <v>209</v>
      </c>
      <c r="B7" s="79" t="s">
        <v>147</v>
      </c>
      <c r="C7" s="79" t="s">
        <v>148</v>
      </c>
      <c r="D7" s="79" t="s">
        <v>182</v>
      </c>
      <c r="E7" s="46" t="s">
        <v>6832</v>
      </c>
    </row>
    <row r="8" spans="1:5">
      <c r="A8" s="90" t="str">
        <f>HYPERLINK("http://en.wikipedia.org/wiki/Adair_County,_Kentucky","Adair")</f>
        <v>Adair</v>
      </c>
      <c r="B8" t="s">
        <v>787</v>
      </c>
      <c r="C8" t="s">
        <v>787</v>
      </c>
      <c r="D8" t="s">
        <v>6833</v>
      </c>
      <c r="E8" t="s">
        <v>6834</v>
      </c>
    </row>
    <row r="9" spans="1:5">
      <c r="A9" s="90" t="s">
        <v>6835</v>
      </c>
      <c r="B9" t="s">
        <v>787</v>
      </c>
      <c r="C9" t="s">
        <v>787</v>
      </c>
      <c r="D9" t="s">
        <v>6836</v>
      </c>
      <c r="E9" t="s">
        <v>787</v>
      </c>
    </row>
    <row r="10" spans="1:5">
      <c r="A10" s="90" t="s">
        <v>6488</v>
      </c>
      <c r="B10" t="s">
        <v>787</v>
      </c>
      <c r="C10" s="34" t="s">
        <v>6837</v>
      </c>
      <c r="D10" t="s">
        <v>6838</v>
      </c>
      <c r="E10" t="s">
        <v>6839</v>
      </c>
    </row>
    <row r="11" spans="1:5">
      <c r="A11" s="90" t="str">
        <f>HYPERLINK("http://en.wikipedia.org/wiki/Ballard_County,_Kentucky","Ballard")</f>
        <v>Ballard</v>
      </c>
      <c r="B11" t="s">
        <v>787</v>
      </c>
      <c r="C11" t="s">
        <v>787</v>
      </c>
      <c r="D11" t="s">
        <v>6840</v>
      </c>
      <c r="E11" t="s">
        <v>787</v>
      </c>
    </row>
    <row r="12" spans="1:5">
      <c r="A12" s="90" t="s">
        <v>6841</v>
      </c>
      <c r="B12" t="s">
        <v>787</v>
      </c>
      <c r="C12" t="s">
        <v>787</v>
      </c>
      <c r="D12" s="34" t="s">
        <v>6842</v>
      </c>
      <c r="E12" t="s">
        <v>6843</v>
      </c>
    </row>
    <row r="13" spans="1:5">
      <c r="A13" s="90" t="s">
        <v>6844</v>
      </c>
      <c r="B13" t="s">
        <v>787</v>
      </c>
      <c r="C13" t="s">
        <v>787</v>
      </c>
      <c r="D13" t="s">
        <v>6845</v>
      </c>
      <c r="E13" t="s">
        <v>6846</v>
      </c>
    </row>
    <row r="14" spans="1:5">
      <c r="A14" s="90" t="s">
        <v>6847</v>
      </c>
      <c r="B14" t="s">
        <v>787</v>
      </c>
      <c r="C14" t="s">
        <v>787</v>
      </c>
      <c r="D14" t="s">
        <v>6848</v>
      </c>
      <c r="E14" t="s">
        <v>6849</v>
      </c>
    </row>
    <row r="15" spans="1:5">
      <c r="A15" s="90" t="s">
        <v>6850</v>
      </c>
      <c r="B15" t="s">
        <v>787</v>
      </c>
      <c r="C15" t="s">
        <v>787</v>
      </c>
      <c r="D15" t="s">
        <v>6851</v>
      </c>
      <c r="E15" t="s">
        <v>6852</v>
      </c>
    </row>
    <row r="16" spans="1:5">
      <c r="A16" s="90" t="str">
        <f>HYPERLINK("http://en.wikipedia.org/wiki/Bourbon_County,_Kentucky","Bourbon")</f>
        <v>Bourbon</v>
      </c>
      <c r="B16" t="s">
        <v>787</v>
      </c>
      <c r="C16" t="s">
        <v>787</v>
      </c>
      <c r="D16" t="s">
        <v>6853</v>
      </c>
      <c r="E16" t="s">
        <v>6854</v>
      </c>
    </row>
    <row r="17" spans="1:5">
      <c r="A17" s="90" t="s">
        <v>6855</v>
      </c>
      <c r="B17" t="s">
        <v>787</v>
      </c>
      <c r="C17" t="s">
        <v>787</v>
      </c>
      <c r="D17" t="s">
        <v>6856</v>
      </c>
      <c r="E17" t="s">
        <v>6857</v>
      </c>
    </row>
    <row r="18" spans="1:5">
      <c r="A18" s="90" t="s">
        <v>6858</v>
      </c>
      <c r="B18" t="s">
        <v>787</v>
      </c>
      <c r="C18" t="s">
        <v>787</v>
      </c>
      <c r="D18" t="s">
        <v>6859</v>
      </c>
      <c r="E18" t="s">
        <v>6860</v>
      </c>
    </row>
    <row r="19" spans="1:5">
      <c r="A19" s="90" t="str">
        <f>HYPERLINK("http://en.wikipedia.org/wiki/Bracken_County,_Kentucky","Bracken")</f>
        <v>Bracken</v>
      </c>
      <c r="B19" t="s">
        <v>787</v>
      </c>
      <c r="C19" t="s">
        <v>787</v>
      </c>
      <c r="D19" t="s">
        <v>6861</v>
      </c>
      <c r="E19" t="s">
        <v>6862</v>
      </c>
    </row>
    <row r="20" spans="1:5">
      <c r="A20" s="90" t="str">
        <f>HYPERLINK("http://en.wikipedia.org/wiki/Breathitt_County,_Kentucky","Breathitt")</f>
        <v>Breathitt</v>
      </c>
      <c r="B20" t="s">
        <v>787</v>
      </c>
      <c r="C20" t="s">
        <v>787</v>
      </c>
      <c r="D20" t="s">
        <v>6863</v>
      </c>
      <c r="E20" t="s">
        <v>6864</v>
      </c>
    </row>
    <row r="21" spans="1:5">
      <c r="A21" s="90" t="str">
        <f>HYPERLINK("http://en.wikipedia.org/wiki/Breckinridge_County,_Kentucky","Breckinridge")</f>
        <v>Breckinridge</v>
      </c>
      <c r="B21" t="s">
        <v>787</v>
      </c>
      <c r="C21" t="s">
        <v>787</v>
      </c>
      <c r="D21" t="s">
        <v>6865</v>
      </c>
      <c r="E21" s="34" t="s">
        <v>6866</v>
      </c>
    </row>
    <row r="22" spans="1:5">
      <c r="A22" s="90" t="str">
        <f>HYPERLINK("http://en.wikipedia.org/wiki/Bullitt_County,_Kentucky","Bullitt")</f>
        <v>Bullitt</v>
      </c>
      <c r="B22" t="s">
        <v>787</v>
      </c>
      <c r="C22" t="s">
        <v>6867</v>
      </c>
      <c r="D22" t="s">
        <v>787</v>
      </c>
      <c r="E22" t="s">
        <v>6868</v>
      </c>
    </row>
    <row r="23" spans="1:5">
      <c r="A23" s="90" t="s">
        <v>6869</v>
      </c>
      <c r="B23" t="s">
        <v>787</v>
      </c>
      <c r="C23" t="s">
        <v>787</v>
      </c>
      <c r="D23" t="s">
        <v>6870</v>
      </c>
      <c r="E23" t="s">
        <v>6871</v>
      </c>
    </row>
    <row r="24" spans="1:5">
      <c r="A24" s="90" t="s">
        <v>6872</v>
      </c>
      <c r="B24" t="s">
        <v>787</v>
      </c>
      <c r="C24" t="s">
        <v>787</v>
      </c>
      <c r="D24" t="s">
        <v>6873</v>
      </c>
      <c r="E24" t="s">
        <v>6874</v>
      </c>
    </row>
    <row r="25" spans="1:5">
      <c r="A25" s="90" t="str">
        <f>HYPERLINK("http://en.wikipedia.org/wiki/Calloway_County,_Kentucky","Calloway")</f>
        <v>Calloway</v>
      </c>
      <c r="B25" t="s">
        <v>787</v>
      </c>
      <c r="C25" t="s">
        <v>787</v>
      </c>
      <c r="D25" s="34" t="s">
        <v>6875</v>
      </c>
      <c r="E25" t="s">
        <v>6876</v>
      </c>
    </row>
    <row r="26" spans="1:5">
      <c r="A26" s="90" t="s">
        <v>6877</v>
      </c>
      <c r="B26" t="s">
        <v>787</v>
      </c>
      <c r="C26" t="s">
        <v>787</v>
      </c>
      <c r="D26" t="s">
        <v>6878</v>
      </c>
      <c r="E26" s="34" t="s">
        <v>6879</v>
      </c>
    </row>
    <row r="27" spans="1:5">
      <c r="A27" s="90" t="str">
        <f>HYPERLINK("http://en.wikipedia.org/wiki/Carlisle_County,_Kentucky","Carlisle")</f>
        <v>Carlisle</v>
      </c>
      <c r="B27" t="s">
        <v>787</v>
      </c>
      <c r="C27" t="s">
        <v>787</v>
      </c>
      <c r="D27" t="s">
        <v>6880</v>
      </c>
      <c r="E27" t="s">
        <v>6881</v>
      </c>
    </row>
    <row r="28" spans="1:5">
      <c r="A28" s="90" t="str">
        <f>HYPERLINK("http://en.wikipedia.org/wiki/Carroll_County,_Kentucky","Carroll ")</f>
        <v xml:space="preserve">Carroll </v>
      </c>
      <c r="B28" t="s">
        <v>787</v>
      </c>
      <c r="C28" t="s">
        <v>787</v>
      </c>
      <c r="D28" t="s">
        <v>6882</v>
      </c>
      <c r="E28" t="s">
        <v>6883</v>
      </c>
    </row>
    <row r="29" spans="1:5">
      <c r="A29" s="90" t="str">
        <f>HYPERLINK("http://en.wikipedia.org/wiki/Carter_County,_Kentucky","Carter")</f>
        <v>Carter</v>
      </c>
      <c r="B29" t="s">
        <v>787</v>
      </c>
      <c r="C29" t="s">
        <v>787</v>
      </c>
      <c r="D29" t="s">
        <v>6884</v>
      </c>
      <c r="E29" t="s">
        <v>6885</v>
      </c>
    </row>
    <row r="30" spans="1:5">
      <c r="A30" s="90" t="s">
        <v>6886</v>
      </c>
      <c r="B30" t="s">
        <v>787</v>
      </c>
      <c r="C30" t="s">
        <v>787</v>
      </c>
      <c r="D30" t="s">
        <v>6887</v>
      </c>
      <c r="E30" t="s">
        <v>787</v>
      </c>
    </row>
    <row r="31" spans="1:5">
      <c r="A31" s="90" t="s">
        <v>6888</v>
      </c>
      <c r="B31" t="s">
        <v>787</v>
      </c>
      <c r="C31" t="s">
        <v>787</v>
      </c>
      <c r="D31" t="s">
        <v>6889</v>
      </c>
      <c r="E31" s="34" t="s">
        <v>6890</v>
      </c>
    </row>
    <row r="32" spans="1:5">
      <c r="A32" s="90" t="s">
        <v>6891</v>
      </c>
      <c r="B32" t="s">
        <v>787</v>
      </c>
      <c r="C32" t="s">
        <v>787</v>
      </c>
      <c r="D32" t="s">
        <v>6892</v>
      </c>
      <c r="E32" t="s">
        <v>6893</v>
      </c>
    </row>
    <row r="33" spans="1:5">
      <c r="A33" s="90" t="s">
        <v>236</v>
      </c>
      <c r="B33" t="s">
        <v>787</v>
      </c>
      <c r="C33" t="s">
        <v>787</v>
      </c>
      <c r="D33" t="s">
        <v>6894</v>
      </c>
      <c r="E33" t="s">
        <v>6895</v>
      </c>
    </row>
    <row r="34" spans="1:5">
      <c r="A34" s="90" t="s">
        <v>6896</v>
      </c>
      <c r="B34" t="s">
        <v>787</v>
      </c>
      <c r="C34" t="s">
        <v>787</v>
      </c>
      <c r="D34" t="s">
        <v>6897</v>
      </c>
      <c r="E34" t="s">
        <v>6898</v>
      </c>
    </row>
    <row r="35" spans="1:5">
      <c r="A35" s="90" t="str">
        <f>HYPERLINK("http://en.wikipedia.org/wiki/Crittenden_County,_Kentucky","Crittenden")</f>
        <v>Crittenden</v>
      </c>
      <c r="B35" t="s">
        <v>787</v>
      </c>
      <c r="C35" t="s">
        <v>787</v>
      </c>
      <c r="D35" t="s">
        <v>787</v>
      </c>
      <c r="E35" t="s">
        <v>787</v>
      </c>
    </row>
    <row r="36" spans="1:5">
      <c r="A36" s="90" t="s">
        <v>6899</v>
      </c>
      <c r="B36" t="s">
        <v>787</v>
      </c>
      <c r="C36" t="s">
        <v>787</v>
      </c>
      <c r="D36" t="s">
        <v>6900</v>
      </c>
      <c r="E36" t="s">
        <v>6901</v>
      </c>
    </row>
    <row r="37" spans="1:5">
      <c r="A37" s="90" t="str">
        <f>HYPERLINK("http://en.wikipedia.org/wiki/Daviess_County,_Kentucky","Daviess")</f>
        <v>Daviess</v>
      </c>
      <c r="B37" t="s">
        <v>6902</v>
      </c>
      <c r="C37" t="s">
        <v>787</v>
      </c>
      <c r="D37" t="s">
        <v>6903</v>
      </c>
      <c r="E37" t="s">
        <v>6904</v>
      </c>
    </row>
    <row r="38" spans="1:5">
      <c r="A38" s="90" t="s">
        <v>6905</v>
      </c>
      <c r="B38" t="s">
        <v>787</v>
      </c>
      <c r="C38" t="s">
        <v>787</v>
      </c>
      <c r="D38" t="s">
        <v>6906</v>
      </c>
      <c r="E38" t="s">
        <v>6907</v>
      </c>
    </row>
    <row r="39" spans="1:5">
      <c r="A39" s="90" t="str">
        <f>HYPERLINK("http://en.wikipedia.org/wiki/Elliott_County,_Kentucky","Elliott")</f>
        <v>Elliott</v>
      </c>
      <c r="B39" t="s">
        <v>787</v>
      </c>
      <c r="C39" t="s">
        <v>787</v>
      </c>
      <c r="D39" t="s">
        <v>6908</v>
      </c>
      <c r="E39" t="s">
        <v>6909</v>
      </c>
    </row>
    <row r="40" spans="1:5">
      <c r="A40" s="90" t="s">
        <v>6910</v>
      </c>
      <c r="B40" t="s">
        <v>6911</v>
      </c>
      <c r="C40" s="34" t="s">
        <v>6912</v>
      </c>
      <c r="D40" t="s">
        <v>6913</v>
      </c>
      <c r="E40" t="s">
        <v>6914</v>
      </c>
    </row>
    <row r="41" spans="1:5">
      <c r="A41" s="90" t="str">
        <f>HYPERLINK("http://en.wikipedia.org/wiki/Fayette_County,_Kentucky","Fayette")</f>
        <v>Fayette</v>
      </c>
      <c r="B41" t="s">
        <v>6915</v>
      </c>
      <c r="C41" s="34" t="s">
        <v>6916</v>
      </c>
      <c r="D41" s="34" t="s">
        <v>6917</v>
      </c>
      <c r="E41" s="34" t="s">
        <v>6918</v>
      </c>
    </row>
    <row r="42" spans="1:5">
      <c r="A42" s="90" t="s">
        <v>6919</v>
      </c>
      <c r="B42" t="s">
        <v>787</v>
      </c>
      <c r="C42" t="s">
        <v>787</v>
      </c>
      <c r="D42" t="s">
        <v>6920</v>
      </c>
      <c r="E42" t="s">
        <v>787</v>
      </c>
    </row>
    <row r="43" spans="1:5">
      <c r="A43" s="90" t="s">
        <v>6921</v>
      </c>
      <c r="B43" t="s">
        <v>787</v>
      </c>
      <c r="C43" t="s">
        <v>787</v>
      </c>
      <c r="D43" t="s">
        <v>787</v>
      </c>
      <c r="E43" t="s">
        <v>787</v>
      </c>
    </row>
    <row r="44" spans="1:5">
      <c r="A44" s="90" t="s">
        <v>6922</v>
      </c>
      <c r="B44" t="s">
        <v>787</v>
      </c>
      <c r="C44" t="s">
        <v>787</v>
      </c>
      <c r="D44" t="s">
        <v>6923</v>
      </c>
      <c r="E44" t="s">
        <v>6924</v>
      </c>
    </row>
    <row r="45" spans="1:5">
      <c r="A45" s="90" t="s">
        <v>4493</v>
      </c>
      <c r="B45" t="s">
        <v>787</v>
      </c>
      <c r="C45" t="s">
        <v>787</v>
      </c>
      <c r="D45" t="s">
        <v>6925</v>
      </c>
      <c r="E45" t="s">
        <v>6926</v>
      </c>
    </row>
    <row r="46" spans="1:5">
      <c r="A46" s="90" t="str">
        <f>HYPERLINK("http://en.wikipedia.org/wiki/Gallatin_County,_Kentucky","Gallatin")</f>
        <v>Gallatin</v>
      </c>
      <c r="B46" t="s">
        <v>787</v>
      </c>
      <c r="C46" t="s">
        <v>787</v>
      </c>
      <c r="D46" t="s">
        <v>6927</v>
      </c>
      <c r="E46" t="s">
        <v>6928</v>
      </c>
    </row>
    <row r="47" spans="1:5">
      <c r="A47" s="90" t="str">
        <f>HYPERLINK("http://en.wikipedia.org/wiki/Garrard_County,_Kentucky","Garrard")</f>
        <v>Garrard</v>
      </c>
      <c r="B47" t="s">
        <v>787</v>
      </c>
      <c r="C47" t="s">
        <v>787</v>
      </c>
      <c r="D47" t="s">
        <v>6929</v>
      </c>
      <c r="E47" t="s">
        <v>6930</v>
      </c>
    </row>
    <row r="48" spans="1:5">
      <c r="A48" s="90" t="s">
        <v>6931</v>
      </c>
      <c r="B48" t="s">
        <v>787</v>
      </c>
      <c r="C48" t="s">
        <v>787</v>
      </c>
      <c r="D48" t="s">
        <v>6932</v>
      </c>
      <c r="E48" t="s">
        <v>6933</v>
      </c>
    </row>
    <row r="49" spans="1:5">
      <c r="A49" s="90" t="str">
        <f>HYPERLINK("http://en.wikipedia.org/wiki/Graves_County,_Kentucky","Graves")</f>
        <v>Graves</v>
      </c>
      <c r="B49" t="s">
        <v>787</v>
      </c>
      <c r="C49" t="s">
        <v>787</v>
      </c>
      <c r="D49" t="s">
        <v>6934</v>
      </c>
      <c r="E49" t="s">
        <v>6935</v>
      </c>
    </row>
    <row r="50" spans="1:5">
      <c r="A50" s="90" t="s">
        <v>6936</v>
      </c>
      <c r="B50" t="s">
        <v>787</v>
      </c>
      <c r="C50" t="s">
        <v>787</v>
      </c>
      <c r="D50" t="s">
        <v>6937</v>
      </c>
      <c r="E50" t="s">
        <v>6938</v>
      </c>
    </row>
    <row r="51" spans="1:5">
      <c r="A51" s="90" t="s">
        <v>6939</v>
      </c>
      <c r="B51" t="s">
        <v>787</v>
      </c>
      <c r="C51" t="s">
        <v>787</v>
      </c>
      <c r="D51" t="s">
        <v>6940</v>
      </c>
      <c r="E51" t="s">
        <v>6941</v>
      </c>
    </row>
    <row r="52" spans="1:5">
      <c r="A52" s="90" t="s">
        <v>6942</v>
      </c>
      <c r="B52" t="s">
        <v>787</v>
      </c>
      <c r="C52" t="s">
        <v>787</v>
      </c>
      <c r="D52" t="s">
        <v>6943</v>
      </c>
      <c r="E52" t="s">
        <v>6944</v>
      </c>
    </row>
    <row r="53" spans="1:5">
      <c r="A53" s="90" t="str">
        <f>HYPERLINK("http://en.wikipedia.org/wiki/Hancock_County,_Kentucky","Hancock")</f>
        <v>Hancock</v>
      </c>
      <c r="B53" t="s">
        <v>787</v>
      </c>
      <c r="C53" s="34" t="s">
        <v>6945</v>
      </c>
      <c r="D53" t="s">
        <v>6946</v>
      </c>
      <c r="E53" t="s">
        <v>6947</v>
      </c>
    </row>
    <row r="54" spans="1:5">
      <c r="A54" s="90" t="s">
        <v>6948</v>
      </c>
      <c r="B54" t="s">
        <v>787</v>
      </c>
      <c r="C54" t="s">
        <v>787</v>
      </c>
      <c r="D54" t="s">
        <v>6949</v>
      </c>
      <c r="E54" t="s">
        <v>6950</v>
      </c>
    </row>
    <row r="55" spans="1:5">
      <c r="A55" s="90" t="s">
        <v>6951</v>
      </c>
      <c r="B55" t="s">
        <v>787</v>
      </c>
      <c r="C55" t="s">
        <v>787</v>
      </c>
      <c r="D55" t="s">
        <v>787</v>
      </c>
      <c r="E55" t="s">
        <v>787</v>
      </c>
    </row>
    <row r="56" spans="1:5">
      <c r="A56" s="90" t="str">
        <f>HYPERLINK("http://en.wikipedia.org/wiki/Harrison_County,_Kentucky","Harrison")</f>
        <v>Harrison</v>
      </c>
      <c r="B56" t="s">
        <v>787</v>
      </c>
      <c r="C56" t="s">
        <v>787</v>
      </c>
      <c r="D56" t="s">
        <v>6952</v>
      </c>
      <c r="E56" t="s">
        <v>787</v>
      </c>
    </row>
    <row r="57" spans="1:5">
      <c r="A57" s="90" t="s">
        <v>6953</v>
      </c>
      <c r="B57" t="s">
        <v>787</v>
      </c>
      <c r="C57" t="s">
        <v>787</v>
      </c>
      <c r="D57" t="s">
        <v>6954</v>
      </c>
      <c r="E57" t="s">
        <v>6955</v>
      </c>
    </row>
    <row r="58" spans="1:5">
      <c r="A58" s="90" t="s">
        <v>6956</v>
      </c>
      <c r="B58" t="s">
        <v>787</v>
      </c>
      <c r="C58" t="s">
        <v>787</v>
      </c>
      <c r="D58" t="s">
        <v>6957</v>
      </c>
      <c r="E58" t="s">
        <v>6958</v>
      </c>
    </row>
    <row r="59" spans="1:5">
      <c r="A59" s="90" t="s">
        <v>6959</v>
      </c>
      <c r="B59" t="s">
        <v>787</v>
      </c>
      <c r="C59" t="s">
        <v>787</v>
      </c>
      <c r="D59" t="s">
        <v>6960</v>
      </c>
      <c r="E59" t="s">
        <v>6961</v>
      </c>
    </row>
    <row r="60" spans="1:5">
      <c r="A60" s="90" t="s">
        <v>6962</v>
      </c>
      <c r="B60" t="s">
        <v>787</v>
      </c>
      <c r="C60" t="s">
        <v>787</v>
      </c>
      <c r="D60" t="s">
        <v>6963</v>
      </c>
      <c r="E60" t="s">
        <v>6964</v>
      </c>
    </row>
    <row r="61" spans="1:5">
      <c r="A61" s="90" t="s">
        <v>6965</v>
      </c>
      <c r="B61" t="s">
        <v>787</v>
      </c>
      <c r="C61" s="34" t="s">
        <v>6966</v>
      </c>
      <c r="D61" t="s">
        <v>6967</v>
      </c>
      <c r="E61" s="34" t="s">
        <v>6968</v>
      </c>
    </row>
    <row r="62" spans="1:5">
      <c r="A62" s="90" t="s">
        <v>5828</v>
      </c>
      <c r="B62" t="s">
        <v>787</v>
      </c>
      <c r="C62" t="s">
        <v>787</v>
      </c>
      <c r="D62" t="s">
        <v>6969</v>
      </c>
      <c r="E62" t="s">
        <v>6970</v>
      </c>
    </row>
    <row r="63" spans="1:5">
      <c r="A63" s="90" t="s">
        <v>2935</v>
      </c>
      <c r="B63" t="s">
        <v>6971</v>
      </c>
      <c r="C63" s="34" t="s">
        <v>6972</v>
      </c>
      <c r="D63" t="s">
        <v>6973</v>
      </c>
      <c r="E63" t="s">
        <v>6974</v>
      </c>
    </row>
    <row r="64" spans="1:5">
      <c r="A64" s="90" t="str">
        <f>HYPERLINK("http://en.wikipedia.org/wiki/Jessamine_County,_Kentucky","Jessamine")</f>
        <v>Jessamine</v>
      </c>
      <c r="B64" t="s">
        <v>787</v>
      </c>
      <c r="C64" t="s">
        <v>6975</v>
      </c>
      <c r="D64" t="s">
        <v>6976</v>
      </c>
      <c r="E64" s="34" t="s">
        <v>6977</v>
      </c>
    </row>
    <row r="65" spans="1:5">
      <c r="A65" s="90" t="str">
        <f>HYPERLINK("http://en.wikipedia.org/wiki/Johnson_County,_Kentucky","Johnson")</f>
        <v>Johnson</v>
      </c>
      <c r="B65" t="s">
        <v>787</v>
      </c>
      <c r="C65" t="s">
        <v>787</v>
      </c>
      <c r="D65" t="s">
        <v>6978</v>
      </c>
      <c r="E65" t="s">
        <v>6979</v>
      </c>
    </row>
    <row r="66" spans="1:5">
      <c r="A66" s="90" t="str">
        <f>HYPERLINK("http://en.wikipedia.org/wiki/Kenton_County,_Kentucky","Kenton ")</f>
        <v xml:space="preserve">Kenton </v>
      </c>
      <c r="B66" t="s">
        <v>787</v>
      </c>
      <c r="C66" s="34" t="s">
        <v>6980</v>
      </c>
      <c r="D66" t="s">
        <v>6981</v>
      </c>
      <c r="E66" t="s">
        <v>6982</v>
      </c>
    </row>
    <row r="67" spans="1:5">
      <c r="A67" s="90" t="s">
        <v>6983</v>
      </c>
      <c r="B67" t="s">
        <v>787</v>
      </c>
      <c r="C67" t="s">
        <v>787</v>
      </c>
      <c r="D67" t="s">
        <v>6984</v>
      </c>
      <c r="E67" s="34" t="s">
        <v>6985</v>
      </c>
    </row>
    <row r="68" spans="1:5">
      <c r="A68" s="90" t="s">
        <v>6986</v>
      </c>
      <c r="B68" t="s">
        <v>787</v>
      </c>
      <c r="C68" t="s">
        <v>787</v>
      </c>
      <c r="D68" t="s">
        <v>6987</v>
      </c>
      <c r="E68" s="34" t="s">
        <v>6988</v>
      </c>
    </row>
    <row r="69" spans="1:5">
      <c r="A69" s="90" t="str">
        <f>HYPERLINK("http://en.wikipedia.org/wiki/Larue_County,_Kentucky","Larue")</f>
        <v>Larue</v>
      </c>
      <c r="B69" t="s">
        <v>787</v>
      </c>
      <c r="C69" t="s">
        <v>787</v>
      </c>
      <c r="D69" t="s">
        <v>6989</v>
      </c>
      <c r="E69" t="s">
        <v>6990</v>
      </c>
    </row>
    <row r="70" spans="1:5">
      <c r="A70" s="90" t="s">
        <v>6991</v>
      </c>
      <c r="B70" t="s">
        <v>787</v>
      </c>
      <c r="C70" t="s">
        <v>787</v>
      </c>
      <c r="D70" t="s">
        <v>787</v>
      </c>
      <c r="E70" t="s">
        <v>787</v>
      </c>
    </row>
    <row r="71" spans="1:5">
      <c r="A71" s="90" t="str">
        <f>HYPERLINK("http://en.wikipedia.org/wiki/Lawrence_County,_Kentucky","Lawrence ")</f>
        <v xml:space="preserve">Lawrence </v>
      </c>
      <c r="B71" t="s">
        <v>787</v>
      </c>
      <c r="C71" t="s">
        <v>787</v>
      </c>
      <c r="D71" t="s">
        <v>6992</v>
      </c>
      <c r="E71" t="s">
        <v>6993</v>
      </c>
    </row>
    <row r="72" spans="1:5">
      <c r="A72" s="90" t="s">
        <v>6994</v>
      </c>
      <c r="B72" t="s">
        <v>787</v>
      </c>
      <c r="C72" t="s">
        <v>787</v>
      </c>
      <c r="D72" t="s">
        <v>6995</v>
      </c>
      <c r="E72" t="s">
        <v>6996</v>
      </c>
    </row>
    <row r="73" spans="1:5">
      <c r="A73" s="90" t="str">
        <f>HYPERLINK("http://en.wikipedia.org/wiki/Leslie_County,_Kentucky","Leslie ")</f>
        <v xml:space="preserve">Leslie </v>
      </c>
      <c r="B73" t="s">
        <v>787</v>
      </c>
      <c r="C73" t="s">
        <v>787</v>
      </c>
      <c r="D73" t="s">
        <v>6997</v>
      </c>
      <c r="E73" t="s">
        <v>6998</v>
      </c>
    </row>
    <row r="74" spans="1:5">
      <c r="A74" s="90" t="s">
        <v>6999</v>
      </c>
      <c r="B74" t="s">
        <v>787</v>
      </c>
      <c r="C74" t="s">
        <v>787</v>
      </c>
      <c r="D74" t="s">
        <v>7000</v>
      </c>
      <c r="E74" t="s">
        <v>7001</v>
      </c>
    </row>
    <row r="75" spans="1:5">
      <c r="A75" s="90" t="str">
        <f>HYPERLINK("http://en.wikipedia.org/wiki/Lewis_County,_Kentucky","Lewis ")</f>
        <v xml:space="preserve">Lewis </v>
      </c>
      <c r="B75" t="s">
        <v>787</v>
      </c>
      <c r="C75" t="s">
        <v>787</v>
      </c>
      <c r="D75" t="s">
        <v>7002</v>
      </c>
      <c r="E75" t="s">
        <v>7003</v>
      </c>
    </row>
    <row r="76" spans="1:5">
      <c r="A76" s="90" t="str">
        <f>HYPERLINK("http://en.wikipedia.org/wiki/Lincoln_County,_Kentucky","Lincoln ")</f>
        <v xml:space="preserve">Lincoln </v>
      </c>
      <c r="B76" t="s">
        <v>787</v>
      </c>
      <c r="C76" t="s">
        <v>787</v>
      </c>
      <c r="D76" t="s">
        <v>7004</v>
      </c>
      <c r="E76" t="s">
        <v>7005</v>
      </c>
    </row>
    <row r="77" spans="1:5">
      <c r="A77" s="90" t="str">
        <f>HYPERLINK("http://en.wikipedia.org/wiki/Livingston_County,_Kentucky","Livingston ")</f>
        <v xml:space="preserve">Livingston </v>
      </c>
      <c r="B77" t="s">
        <v>787</v>
      </c>
      <c r="C77" t="s">
        <v>787</v>
      </c>
      <c r="D77" t="s">
        <v>7006</v>
      </c>
      <c r="E77" t="s">
        <v>7007</v>
      </c>
    </row>
    <row r="78" spans="1:5">
      <c r="A78" s="90" t="str">
        <f>HYPERLINK("http://en.wikipedia.org/wiki/Logan_County,_Kentucky","Logan ")</f>
        <v xml:space="preserve">Logan </v>
      </c>
      <c r="B78" t="s">
        <v>787</v>
      </c>
      <c r="C78" t="s">
        <v>787</v>
      </c>
      <c r="D78" t="s">
        <v>7008</v>
      </c>
      <c r="E78" t="s">
        <v>7009</v>
      </c>
    </row>
    <row r="79" spans="1:5">
      <c r="A79" s="90" t="s">
        <v>7010</v>
      </c>
      <c r="B79" t="s">
        <v>787</v>
      </c>
      <c r="C79" t="s">
        <v>787</v>
      </c>
      <c r="D79" t="s">
        <v>7011</v>
      </c>
      <c r="E79" t="s">
        <v>7012</v>
      </c>
    </row>
    <row r="80" spans="1:5">
      <c r="A80" s="90" t="str">
        <f>HYPERLINK("http://en.wikipedia.org/wiki/McCracken_County,_Kentucky","McCracken")</f>
        <v>McCracken</v>
      </c>
      <c r="B80" t="s">
        <v>787</v>
      </c>
      <c r="C80" t="s">
        <v>7013</v>
      </c>
      <c r="D80" t="s">
        <v>787</v>
      </c>
      <c r="E80" t="s">
        <v>7014</v>
      </c>
    </row>
    <row r="81" spans="1:5">
      <c r="A81" s="90" t="str">
        <f>HYPERLINK("http://en.wikipedia.org/wiki/McCreary_County,_Kentucky","McCreary")</f>
        <v>McCreary</v>
      </c>
      <c r="B81" t="s">
        <v>787</v>
      </c>
      <c r="C81" t="s">
        <v>787</v>
      </c>
      <c r="D81" t="s">
        <v>7015</v>
      </c>
      <c r="E81" t="s">
        <v>7016</v>
      </c>
    </row>
    <row r="82" spans="1:5">
      <c r="A82" s="90" t="s">
        <v>7017</v>
      </c>
      <c r="B82" t="s">
        <v>787</v>
      </c>
      <c r="C82" t="s">
        <v>787</v>
      </c>
      <c r="D82" t="s">
        <v>7018</v>
      </c>
      <c r="E82" t="s">
        <v>7019</v>
      </c>
    </row>
    <row r="83" spans="1:5">
      <c r="A83" s="90" t="str">
        <f>HYPERLINK("http://en.wikipedia.org/wiki/Madison_County,_Kentucky","Madison")</f>
        <v>Madison</v>
      </c>
      <c r="B83" t="s">
        <v>787</v>
      </c>
      <c r="C83" t="s">
        <v>787</v>
      </c>
      <c r="D83" t="s">
        <v>7020</v>
      </c>
      <c r="E83" t="s">
        <v>7021</v>
      </c>
    </row>
    <row r="84" spans="1:5">
      <c r="A84" s="90" t="str">
        <f>HYPERLINK("http://en.wikipedia.org/wiki/Magoffin_County,_Kentucky","Magoffin")</f>
        <v>Magoffin</v>
      </c>
      <c r="B84" t="s">
        <v>787</v>
      </c>
      <c r="C84" t="s">
        <v>787</v>
      </c>
      <c r="D84" t="s">
        <v>7022</v>
      </c>
      <c r="E84" t="s">
        <v>7023</v>
      </c>
    </row>
    <row r="85" spans="1:5">
      <c r="A85" s="90" t="str">
        <f>HYPERLINK("http://en.wikipedia.org/wiki/Marion_County,_Kentucky","Marion")</f>
        <v>Marion</v>
      </c>
      <c r="B85" t="s">
        <v>787</v>
      </c>
      <c r="C85" t="s">
        <v>787</v>
      </c>
      <c r="D85" t="s">
        <v>7024</v>
      </c>
      <c r="E85" t="s">
        <v>7025</v>
      </c>
    </row>
    <row r="86" spans="1:5">
      <c r="A86" s="90" t="str">
        <f>HYPERLINK("http://en.wikipedia.org/wiki/Marshall_County,_Kentucky","Marshall")</f>
        <v>Marshall</v>
      </c>
      <c r="B86" t="s">
        <v>787</v>
      </c>
      <c r="C86" t="s">
        <v>787</v>
      </c>
      <c r="D86" t="s">
        <v>7026</v>
      </c>
      <c r="E86" t="s">
        <v>7026</v>
      </c>
    </row>
    <row r="87" spans="1:5">
      <c r="A87" s="90" t="str">
        <f>HYPERLINK("http://en.wikipedia.org/wiki/Martin_County,_Kentucky","Martin")</f>
        <v>Martin</v>
      </c>
      <c r="B87" t="s">
        <v>787</v>
      </c>
      <c r="C87" t="s">
        <v>787</v>
      </c>
      <c r="D87" t="s">
        <v>7027</v>
      </c>
      <c r="E87" t="s">
        <v>7028</v>
      </c>
    </row>
    <row r="88" spans="1:5">
      <c r="A88" s="90" t="str">
        <f>HYPERLINK("http://en.wikipedia.org/wiki/Mason_County,_Kentucky","Mason")</f>
        <v>Mason</v>
      </c>
      <c r="B88" t="s">
        <v>787</v>
      </c>
      <c r="C88" t="s">
        <v>787</v>
      </c>
      <c r="D88" t="s">
        <v>7029</v>
      </c>
      <c r="E88" t="s">
        <v>7030</v>
      </c>
    </row>
    <row r="89" spans="1:5">
      <c r="A89" s="90" t="str">
        <f>HYPERLINK("http://en.wikipedia.org/wiki/Meade_County,_Kentucky","Meade")</f>
        <v>Meade</v>
      </c>
      <c r="B89" t="s">
        <v>787</v>
      </c>
      <c r="C89" t="s">
        <v>787</v>
      </c>
      <c r="D89" t="s">
        <v>7031</v>
      </c>
      <c r="E89" t="s">
        <v>7032</v>
      </c>
    </row>
    <row r="90" spans="1:5">
      <c r="A90" s="90" t="str">
        <f>HYPERLINK("http://en.wikipedia.org/wiki/Menifee_County,_Kentucky","Menifee")</f>
        <v>Menifee</v>
      </c>
      <c r="B90" t="s">
        <v>787</v>
      </c>
      <c r="C90" t="s">
        <v>787</v>
      </c>
      <c r="D90" t="s">
        <v>7033</v>
      </c>
      <c r="E90" t="s">
        <v>7034</v>
      </c>
    </row>
    <row r="91" spans="1:5">
      <c r="A91" s="90" t="str">
        <f>HYPERLINK("http://en.wikipedia.org/wiki/Mercer_County,_Kentucky","Mercer")</f>
        <v>Mercer</v>
      </c>
      <c r="B91" t="s">
        <v>787</v>
      </c>
      <c r="C91" t="s">
        <v>787</v>
      </c>
      <c r="D91" t="s">
        <v>7035</v>
      </c>
      <c r="E91" t="s">
        <v>7036</v>
      </c>
    </row>
    <row r="92" spans="1:5">
      <c r="A92" s="90" t="str">
        <f>HYPERLINK("http://en.wikipedia.org/wiki/Metcalfe_County,_Kentucky","Metcalfe ")</f>
        <v xml:space="preserve">Metcalfe </v>
      </c>
      <c r="B92" t="s">
        <v>787</v>
      </c>
      <c r="C92" t="s">
        <v>787</v>
      </c>
      <c r="D92" t="s">
        <v>7037</v>
      </c>
      <c r="E92" t="s">
        <v>7038</v>
      </c>
    </row>
    <row r="93" spans="1:5">
      <c r="A93" s="90" t="str">
        <f>HYPERLINK("http://en.wikipedia.org/wiki/Monroe_County,_Kentucky","Monroe")</f>
        <v>Monroe</v>
      </c>
      <c r="B93" t="s">
        <v>787</v>
      </c>
      <c r="C93" t="s">
        <v>787</v>
      </c>
      <c r="D93" t="s">
        <v>7039</v>
      </c>
      <c r="E93" t="s">
        <v>787</v>
      </c>
    </row>
    <row r="94" spans="1:5">
      <c r="A94" s="90" t="str">
        <f>HYPERLINK("http://en.wikipedia.org/wiki/Montgomery_County,_Kentucky","Montgomery")</f>
        <v>Montgomery</v>
      </c>
      <c r="B94" t="s">
        <v>787</v>
      </c>
      <c r="C94" t="s">
        <v>787</v>
      </c>
      <c r="D94" t="s">
        <v>7040</v>
      </c>
      <c r="E94" t="s">
        <v>7041</v>
      </c>
    </row>
    <row r="95" spans="1:5">
      <c r="A95" s="90" t="s">
        <v>7042</v>
      </c>
      <c r="B95" t="s">
        <v>787</v>
      </c>
      <c r="C95" t="s">
        <v>787</v>
      </c>
      <c r="D95" t="s">
        <v>7043</v>
      </c>
      <c r="E95" t="s">
        <v>7044</v>
      </c>
    </row>
    <row r="96" spans="1:5">
      <c r="A96" s="90" t="str">
        <f>HYPERLINK("http://en.wikipedia.org/wiki/Muhlenberg_County,_Kentucky","Muhlenberg ")</f>
        <v xml:space="preserve">Muhlenberg </v>
      </c>
      <c r="B96" t="s">
        <v>787</v>
      </c>
      <c r="C96" t="s">
        <v>787</v>
      </c>
      <c r="D96" t="s">
        <v>7045</v>
      </c>
      <c r="E96" t="s">
        <v>7046</v>
      </c>
    </row>
    <row r="97" spans="1:5">
      <c r="A97" s="90" t="s">
        <v>7047</v>
      </c>
      <c r="B97" t="s">
        <v>787</v>
      </c>
      <c r="C97" t="s">
        <v>787</v>
      </c>
      <c r="D97" t="s">
        <v>7048</v>
      </c>
      <c r="E97" t="s">
        <v>7049</v>
      </c>
    </row>
    <row r="98" spans="1:5">
      <c r="A98" s="90" t="str">
        <f>HYPERLINK("http://en.wikipedia.org/wiki/Nicholas_County,_Kentucky","Nicholas")</f>
        <v>Nicholas</v>
      </c>
      <c r="B98" t="s">
        <v>787</v>
      </c>
      <c r="C98" t="s">
        <v>787</v>
      </c>
      <c r="D98" t="s">
        <v>7050</v>
      </c>
      <c r="E98" t="s">
        <v>7051</v>
      </c>
    </row>
    <row r="99" spans="1:5">
      <c r="A99" s="90" t="s">
        <v>7052</v>
      </c>
      <c r="B99" t="s">
        <v>787</v>
      </c>
      <c r="C99" t="s">
        <v>787</v>
      </c>
      <c r="D99" t="s">
        <v>7053</v>
      </c>
      <c r="E99" t="s">
        <v>7054</v>
      </c>
    </row>
    <row r="100" spans="1:5">
      <c r="A100" s="90" t="s">
        <v>7055</v>
      </c>
      <c r="B100" t="s">
        <v>787</v>
      </c>
      <c r="C100" t="s">
        <v>787</v>
      </c>
      <c r="D100" t="s">
        <v>787</v>
      </c>
      <c r="E100" t="s">
        <v>7056</v>
      </c>
    </row>
    <row r="101" spans="1:5">
      <c r="A101" s="90" t="str">
        <f>HYPERLINK("http://en.wikipedia.org/wiki/Owen_County,_Kentucky","Owen")</f>
        <v>Owen</v>
      </c>
      <c r="B101" t="s">
        <v>787</v>
      </c>
      <c r="C101" t="s">
        <v>787</v>
      </c>
      <c r="D101" t="s">
        <v>7057</v>
      </c>
      <c r="E101" t="s">
        <v>7058</v>
      </c>
    </row>
    <row r="102" spans="1:5">
      <c r="A102" s="90" t="str">
        <f>HYPERLINK("http://en.wikipedia.org/wiki/Owsley_County,_Kentucky","Owsley")</f>
        <v>Owsley</v>
      </c>
      <c r="B102" t="s">
        <v>787</v>
      </c>
      <c r="C102" t="s">
        <v>787</v>
      </c>
      <c r="D102" t="s">
        <v>7059</v>
      </c>
      <c r="E102" t="s">
        <v>7060</v>
      </c>
    </row>
    <row r="103" spans="1:5">
      <c r="A103" s="90" t="str">
        <f>HYPERLINK("http://en.wikipedia.org/wiki/Pendleton_County,_Kentucky","Pendleton")</f>
        <v>Pendleton</v>
      </c>
      <c r="B103" t="s">
        <v>787</v>
      </c>
      <c r="C103" t="s">
        <v>7061</v>
      </c>
      <c r="D103" t="s">
        <v>7062</v>
      </c>
      <c r="E103" t="s">
        <v>7063</v>
      </c>
    </row>
    <row r="104" spans="1:5">
      <c r="A104" s="90" t="str">
        <f>HYPERLINK("http://en.wikipedia.org/wiki/Perry_County,_Kentucky","Perry")</f>
        <v>Perry</v>
      </c>
      <c r="B104" t="s">
        <v>787</v>
      </c>
      <c r="C104" t="s">
        <v>787</v>
      </c>
      <c r="D104" t="s">
        <v>7064</v>
      </c>
      <c r="E104" t="s">
        <v>7065</v>
      </c>
    </row>
    <row r="105" spans="1:5">
      <c r="A105" s="90" t="s">
        <v>311</v>
      </c>
      <c r="B105" t="s">
        <v>787</v>
      </c>
      <c r="C105" t="s">
        <v>787</v>
      </c>
      <c r="D105" t="s">
        <v>787</v>
      </c>
      <c r="E105" t="s">
        <v>787</v>
      </c>
    </row>
    <row r="106" spans="1:5">
      <c r="A106" s="90" t="str">
        <f>HYPERLINK("http://en.wikipedia.org/wiki/Powell_County,_Kentucky","Powell")</f>
        <v>Powell</v>
      </c>
      <c r="B106" t="s">
        <v>787</v>
      </c>
      <c r="C106" t="s">
        <v>787</v>
      </c>
      <c r="D106" t="s">
        <v>7066</v>
      </c>
      <c r="E106" t="s">
        <v>7067</v>
      </c>
    </row>
    <row r="107" spans="1:5">
      <c r="A107" s="90" t="str">
        <f>HYPERLINK("http://en.wikipedia.org/wiki/Pulaski_County,_Kentucky","Pulaski ")</f>
        <v xml:space="preserve">Pulaski </v>
      </c>
      <c r="B107" t="s">
        <v>787</v>
      </c>
      <c r="C107" t="s">
        <v>787</v>
      </c>
      <c r="D107" t="s">
        <v>7068</v>
      </c>
      <c r="E107" t="s">
        <v>7069</v>
      </c>
    </row>
    <row r="108" spans="1:5">
      <c r="A108" s="90" t="str">
        <f>HYPERLINK("http://en.wikipedia.org/wiki/Robertson_County,_Kentucky","Robertson")</f>
        <v>Robertson</v>
      </c>
      <c r="B108" t="s">
        <v>787</v>
      </c>
      <c r="C108" t="s">
        <v>787</v>
      </c>
      <c r="D108" t="s">
        <v>7070</v>
      </c>
      <c r="E108" t="s">
        <v>7071</v>
      </c>
    </row>
    <row r="109" spans="1:5">
      <c r="A109" s="90" t="str">
        <f>HYPERLINK("http://en.wikipedia.org/wiki/Rockcastle_County,_Kentucky","Rockcastle ")</f>
        <v xml:space="preserve">Rockcastle </v>
      </c>
      <c r="B109" t="s">
        <v>787</v>
      </c>
      <c r="C109" t="s">
        <v>787</v>
      </c>
      <c r="D109" t="s">
        <v>7072</v>
      </c>
      <c r="E109" t="s">
        <v>7073</v>
      </c>
    </row>
    <row r="110" spans="1:5">
      <c r="A110" s="90" t="s">
        <v>7074</v>
      </c>
      <c r="B110" t="s">
        <v>787</v>
      </c>
      <c r="C110" t="s">
        <v>7075</v>
      </c>
      <c r="D110" t="s">
        <v>787</v>
      </c>
      <c r="E110" t="s">
        <v>7076</v>
      </c>
    </row>
    <row r="111" spans="1:5">
      <c r="A111" s="90" t="str">
        <f>HYPERLINK("http://en.wikipedia.org/wiki/Russell_County,_Kentucky","Russell")</f>
        <v>Russell</v>
      </c>
      <c r="B111" t="s">
        <v>787</v>
      </c>
      <c r="C111" t="s">
        <v>787</v>
      </c>
      <c r="D111" t="s">
        <v>787</v>
      </c>
      <c r="E111" t="s">
        <v>7077</v>
      </c>
    </row>
    <row r="112" spans="1:5">
      <c r="A112" s="90" t="s">
        <v>7078</v>
      </c>
      <c r="B112" t="s">
        <v>787</v>
      </c>
      <c r="C112" t="s">
        <v>787</v>
      </c>
      <c r="D112" t="s">
        <v>7079</v>
      </c>
      <c r="E112" t="s">
        <v>7080</v>
      </c>
    </row>
    <row r="113" spans="1:5">
      <c r="A113" s="90" t="str">
        <f>HYPERLINK("http://en.wikipedia.org/wiki/Shelby_County,_Kentucky","Shelby")</f>
        <v>Shelby</v>
      </c>
      <c r="B113" t="s">
        <v>787</v>
      </c>
      <c r="C113" s="34" t="s">
        <v>7081</v>
      </c>
      <c r="D113" t="s">
        <v>7082</v>
      </c>
      <c r="E113" t="s">
        <v>7083</v>
      </c>
    </row>
    <row r="114" spans="1:5">
      <c r="A114" s="90" t="str">
        <f>HYPERLINK("http://en.wikipedia.org/wiki/Simpson_County,_Kentucky","Simpson")</f>
        <v>Simpson</v>
      </c>
      <c r="B114" t="s">
        <v>787</v>
      </c>
      <c r="C114" t="s">
        <v>787</v>
      </c>
      <c r="D114" t="s">
        <v>7084</v>
      </c>
      <c r="E114" t="s">
        <v>7085</v>
      </c>
    </row>
    <row r="115" spans="1:5">
      <c r="A115" s="90" t="str">
        <f>HYPERLINK("http://en.wikipedia.org/wiki/Spencer_County,_Kentucky","Spencer")</f>
        <v>Spencer</v>
      </c>
      <c r="B115" t="s">
        <v>787</v>
      </c>
      <c r="C115" t="s">
        <v>787</v>
      </c>
      <c r="D115" t="s">
        <v>7086</v>
      </c>
      <c r="E115" t="s">
        <v>7087</v>
      </c>
    </row>
    <row r="116" spans="1:5">
      <c r="A116" s="90" t="str">
        <f>HYPERLINK("http://en.wikipedia.org/wiki/Taylor_County,_Kentucky","Taylor ")</f>
        <v xml:space="preserve">Taylor </v>
      </c>
      <c r="B116" t="s">
        <v>787</v>
      </c>
      <c r="C116" t="s">
        <v>787</v>
      </c>
      <c r="D116" t="s">
        <v>7088</v>
      </c>
      <c r="E116" s="34" t="s">
        <v>7089</v>
      </c>
    </row>
    <row r="117" spans="1:5">
      <c r="A117" s="90" t="str">
        <f>HYPERLINK("http://en.wikipedia.org/wiki/Todd_County,_Kentucky","Todd ")</f>
        <v xml:space="preserve">Todd </v>
      </c>
      <c r="B117" t="s">
        <v>787</v>
      </c>
      <c r="C117" t="s">
        <v>787</v>
      </c>
      <c r="D117" t="s">
        <v>7090</v>
      </c>
      <c r="E117" t="s">
        <v>7091</v>
      </c>
    </row>
    <row r="118" spans="1:5">
      <c r="A118" s="90" t="s">
        <v>7092</v>
      </c>
      <c r="B118" t="s">
        <v>787</v>
      </c>
      <c r="C118" t="s">
        <v>787</v>
      </c>
      <c r="D118" t="s">
        <v>7093</v>
      </c>
      <c r="E118" t="s">
        <v>7094</v>
      </c>
    </row>
    <row r="119" spans="1:5">
      <c r="A119" s="90" t="str">
        <f>HYPERLINK("http://en.wikipedia.org/wiki/Trimble_County,_Kentucky","Trimble")</f>
        <v>Trimble</v>
      </c>
      <c r="B119" t="s">
        <v>787</v>
      </c>
      <c r="C119" t="s">
        <v>787</v>
      </c>
      <c r="D119" t="s">
        <v>7095</v>
      </c>
      <c r="E119" t="s">
        <v>7096</v>
      </c>
    </row>
    <row r="120" spans="1:5">
      <c r="A120" s="90" t="s">
        <v>7097</v>
      </c>
      <c r="B120" t="s">
        <v>787</v>
      </c>
      <c r="C120" t="s">
        <v>787</v>
      </c>
      <c r="D120" t="s">
        <v>7098</v>
      </c>
      <c r="E120" t="s">
        <v>7099</v>
      </c>
    </row>
    <row r="121" spans="1:5">
      <c r="A121" s="90" t="s">
        <v>7100</v>
      </c>
      <c r="B121" t="s">
        <v>787</v>
      </c>
      <c r="C121" s="34" t="s">
        <v>7101</v>
      </c>
      <c r="D121" t="s">
        <v>7102</v>
      </c>
      <c r="E121" t="s">
        <v>7103</v>
      </c>
    </row>
    <row r="122" spans="1:5">
      <c r="A122" s="90" t="str">
        <f>HYPERLINK("http://en.wikipedia.org/wiki/Washington_County,_Kentucky","Washington ")</f>
        <v xml:space="preserve">Washington </v>
      </c>
      <c r="B122" t="s">
        <v>787</v>
      </c>
      <c r="C122" t="s">
        <v>787</v>
      </c>
      <c r="D122" t="s">
        <v>7104</v>
      </c>
      <c r="E122" t="s">
        <v>7105</v>
      </c>
    </row>
    <row r="123" spans="1:5">
      <c r="A123" s="90" t="str">
        <f>HYPERLINK("http://en.wikipedia.org/wiki/Wayne_County,_Kentucky","Wayne")</f>
        <v>Wayne</v>
      </c>
      <c r="B123" t="s">
        <v>787</v>
      </c>
      <c r="C123" t="s">
        <v>787</v>
      </c>
      <c r="D123" t="s">
        <v>7106</v>
      </c>
      <c r="E123" t="s">
        <v>7107</v>
      </c>
    </row>
    <row r="124" spans="1:5">
      <c r="A124" s="90" t="s">
        <v>7108</v>
      </c>
      <c r="B124" t="s">
        <v>787</v>
      </c>
      <c r="C124" t="s">
        <v>787</v>
      </c>
      <c r="D124" t="s">
        <v>7109</v>
      </c>
      <c r="E124" t="s">
        <v>7110</v>
      </c>
    </row>
    <row r="125" spans="1:5">
      <c r="A125" s="90" t="str">
        <f>HYPERLINK("http://en.wikipedia.org/wiki/Whitley_County,_Kentucky","Whitley")</f>
        <v>Whitley</v>
      </c>
      <c r="B125" t="s">
        <v>787</v>
      </c>
      <c r="C125" t="s">
        <v>787</v>
      </c>
      <c r="D125" t="s">
        <v>7111</v>
      </c>
      <c r="E125" t="s">
        <v>7112</v>
      </c>
    </row>
    <row r="126" spans="1:5">
      <c r="A126" s="90" t="s">
        <v>7113</v>
      </c>
      <c r="B126" t="s">
        <v>787</v>
      </c>
      <c r="C126" t="s">
        <v>787</v>
      </c>
      <c r="D126" t="s">
        <v>787</v>
      </c>
      <c r="E126" t="s">
        <v>787</v>
      </c>
    </row>
    <row r="127" spans="1:5">
      <c r="A127" s="90" t="str">
        <f>HYPERLINK("http://en.wikipedia.org/wiki/Woodford_County,_Kentucky","Woodford")</f>
        <v>Woodford</v>
      </c>
      <c r="B127" t="s">
        <v>787</v>
      </c>
      <c r="C127" t="s">
        <v>787</v>
      </c>
      <c r="D127" t="s">
        <v>7114</v>
      </c>
      <c r="E127" t="s">
        <v>7115</v>
      </c>
    </row>
    <row r="129" spans="1:4">
      <c r="A129" s="79" t="s">
        <v>333</v>
      </c>
      <c r="B129" s="79" t="s">
        <v>147</v>
      </c>
      <c r="C129" s="79" t="s">
        <v>148</v>
      </c>
      <c r="D129" s="79" t="s">
        <v>182</v>
      </c>
    </row>
    <row r="130" spans="1:4">
      <c r="A130" s="67" t="s">
        <v>7116</v>
      </c>
      <c r="B130" t="s">
        <v>7117</v>
      </c>
      <c r="C130" t="s">
        <v>7118</v>
      </c>
      <c r="D130" t="s">
        <v>7119</v>
      </c>
    </row>
    <row r="131" spans="1:4">
      <c r="A131" s="67" t="s">
        <v>7120</v>
      </c>
      <c r="B131" t="s">
        <v>7121</v>
      </c>
      <c r="C131" t="s">
        <v>7122</v>
      </c>
      <c r="D131" t="s">
        <v>7123</v>
      </c>
    </row>
    <row r="132" spans="1:4">
      <c r="A132" s="67" t="s">
        <v>7124</v>
      </c>
      <c r="B132" t="s">
        <v>787</v>
      </c>
      <c r="C132" t="s">
        <v>7125</v>
      </c>
      <c r="D132" t="s">
        <v>7126</v>
      </c>
    </row>
    <row r="133" spans="1:4">
      <c r="A133" s="67" t="s">
        <v>7127</v>
      </c>
      <c r="B133" t="s">
        <v>7128</v>
      </c>
      <c r="C133" t="s">
        <v>787</v>
      </c>
      <c r="D133" t="s">
        <v>7129</v>
      </c>
    </row>
    <row r="134" spans="1:4">
      <c r="A134" s="67" t="s">
        <v>7130</v>
      </c>
      <c r="B134" t="s">
        <v>787</v>
      </c>
      <c r="C134" t="s">
        <v>787</v>
      </c>
      <c r="D134" t="s">
        <v>7131</v>
      </c>
    </row>
    <row r="135" spans="1:4">
      <c r="A135" s="67" t="s">
        <v>7132</v>
      </c>
      <c r="B135" t="s">
        <v>7133</v>
      </c>
      <c r="C135" t="s">
        <v>7134</v>
      </c>
      <c r="D135" t="s">
        <v>7135</v>
      </c>
    </row>
    <row r="136" spans="1:4">
      <c r="A136" s="67" t="s">
        <v>7136</v>
      </c>
      <c r="B136" t="s">
        <v>787</v>
      </c>
      <c r="C136" s="34" t="s">
        <v>7137</v>
      </c>
      <c r="D136" t="s">
        <v>7138</v>
      </c>
    </row>
    <row r="137" spans="1:4">
      <c r="A137" s="67" t="s">
        <v>7139</v>
      </c>
      <c r="B137" t="s">
        <v>787</v>
      </c>
      <c r="C137" t="s">
        <v>787</v>
      </c>
      <c r="D137" t="s">
        <v>7140</v>
      </c>
    </row>
    <row r="138" spans="1:4">
      <c r="A138" s="67" t="s">
        <v>7141</v>
      </c>
      <c r="B138" t="s">
        <v>787</v>
      </c>
      <c r="C138" t="s">
        <v>787</v>
      </c>
      <c r="D138" t="s">
        <v>7142</v>
      </c>
    </row>
    <row r="139" spans="1:4">
      <c r="A139" s="67" t="s">
        <v>7143</v>
      </c>
      <c r="B139" t="s">
        <v>787</v>
      </c>
      <c r="C139" t="s">
        <v>787</v>
      </c>
      <c r="D139" t="s">
        <v>7144</v>
      </c>
    </row>
    <row r="140" spans="1:4">
      <c r="A140" s="67" t="s">
        <v>7145</v>
      </c>
      <c r="B140" t="s">
        <v>787</v>
      </c>
      <c r="C140" t="s">
        <v>787</v>
      </c>
      <c r="D140" t="s">
        <v>7146</v>
      </c>
    </row>
    <row r="141" spans="1:4">
      <c r="A141" s="67" t="s">
        <v>7147</v>
      </c>
      <c r="B141" t="s">
        <v>787</v>
      </c>
      <c r="C141" t="s">
        <v>787</v>
      </c>
      <c r="D141" s="34" t="s">
        <v>7148</v>
      </c>
    </row>
    <row r="142" spans="1:4">
      <c r="A142" s="67" t="s">
        <v>5989</v>
      </c>
      <c r="B142" t="s">
        <v>5990</v>
      </c>
      <c r="C142" t="s">
        <v>5991</v>
      </c>
      <c r="D142" t="s">
        <v>5992</v>
      </c>
    </row>
    <row r="143" spans="1:4">
      <c r="A143" s="67" t="s">
        <v>7149</v>
      </c>
      <c r="B143" t="s">
        <v>5981</v>
      </c>
      <c r="C143" t="s">
        <v>5982</v>
      </c>
      <c r="D143" s="34" t="s">
        <v>7150</v>
      </c>
    </row>
    <row r="144" spans="1:4">
      <c r="A144" s="67" t="s">
        <v>7151</v>
      </c>
      <c r="B144" t="s">
        <v>4827</v>
      </c>
      <c r="C144" t="s">
        <v>4828</v>
      </c>
      <c r="D144" t="s">
        <v>4829</v>
      </c>
    </row>
    <row r="145" spans="1:4">
      <c r="A145" s="67" t="s">
        <v>7152</v>
      </c>
      <c r="B145" t="s">
        <v>787</v>
      </c>
      <c r="C145" t="s">
        <v>787</v>
      </c>
      <c r="D145" t="s">
        <v>7153</v>
      </c>
    </row>
    <row r="147" spans="1:4">
      <c r="A147" s="79" t="s">
        <v>878</v>
      </c>
      <c r="B147" s="79" t="s">
        <v>147</v>
      </c>
      <c r="C147" s="79" t="s">
        <v>148</v>
      </c>
      <c r="D147" s="79" t="s">
        <v>182</v>
      </c>
    </row>
    <row r="148" spans="1:4">
      <c r="A148" s="67" t="s">
        <v>7154</v>
      </c>
      <c r="B148" t="s">
        <v>7155</v>
      </c>
      <c r="C148" s="34" t="s">
        <v>7156</v>
      </c>
      <c r="D148" t="s">
        <v>7157</v>
      </c>
    </row>
    <row r="149" spans="1:4">
      <c r="A149" s="67" t="s">
        <v>7158</v>
      </c>
      <c r="B149" t="s">
        <v>7159</v>
      </c>
      <c r="C149" t="s">
        <v>7160</v>
      </c>
      <c r="D149" t="s">
        <v>7161</v>
      </c>
    </row>
    <row r="150" spans="1:4">
      <c r="A150" s="67" t="s">
        <v>7162</v>
      </c>
      <c r="B150" t="s">
        <v>787</v>
      </c>
      <c r="C150" t="s">
        <v>787</v>
      </c>
      <c r="D150" t="s">
        <v>7163</v>
      </c>
    </row>
    <row r="151" spans="1:4">
      <c r="A151" s="67" t="s">
        <v>7164</v>
      </c>
      <c r="B151" t="s">
        <v>787</v>
      </c>
      <c r="C151" t="s">
        <v>787</v>
      </c>
      <c r="D151" t="s">
        <v>7165</v>
      </c>
    </row>
    <row r="152" spans="1:4">
      <c r="A152" s="67" t="s">
        <v>7166</v>
      </c>
      <c r="B152" t="s">
        <v>7167</v>
      </c>
      <c r="C152" s="34" t="s">
        <v>7168</v>
      </c>
      <c r="D152" t="s">
        <v>7169</v>
      </c>
    </row>
    <row r="154" spans="1:4">
      <c r="A154" s="79" t="s">
        <v>428</v>
      </c>
      <c r="B154" s="79" t="s">
        <v>147</v>
      </c>
      <c r="C154" s="79" t="s">
        <v>148</v>
      </c>
      <c r="D154" s="79" t="s">
        <v>182</v>
      </c>
    </row>
    <row r="155" spans="1:4">
      <c r="A155" s="97" t="s">
        <v>7170</v>
      </c>
      <c r="B155" s="97" t="s">
        <v>7171</v>
      </c>
      <c r="C155" s="97" t="s">
        <v>7172</v>
      </c>
      <c r="D155" s="97" t="s">
        <v>7173</v>
      </c>
    </row>
    <row r="156" spans="1:4">
      <c r="A156" s="97" t="s">
        <v>7174</v>
      </c>
      <c r="B156" s="97" t="s">
        <v>7175</v>
      </c>
      <c r="C156" s="97" t="s">
        <v>7176</v>
      </c>
      <c r="D156" s="97" t="s">
        <v>7177</v>
      </c>
    </row>
    <row r="157" spans="1:4">
      <c r="A157" s="97" t="s">
        <v>7178</v>
      </c>
      <c r="B157" s="97" t="s">
        <v>7179</v>
      </c>
      <c r="C157" s="97" t="s">
        <v>7180</v>
      </c>
      <c r="D157" s="97" t="s">
        <v>7181</v>
      </c>
    </row>
    <row r="158" spans="1:4">
      <c r="A158" s="97" t="s">
        <v>7182</v>
      </c>
      <c r="B158" s="97" t="s">
        <v>7183</v>
      </c>
      <c r="C158" s="97" t="s">
        <v>7184</v>
      </c>
      <c r="D158" s="97" t="s">
        <v>7185</v>
      </c>
    </row>
    <row r="159" spans="1:4">
      <c r="A159" s="97" t="s">
        <v>7186</v>
      </c>
      <c r="B159" s="97" t="s">
        <v>787</v>
      </c>
      <c r="C159" s="97" t="s">
        <v>787</v>
      </c>
      <c r="D159" s="97" t="s">
        <v>7187</v>
      </c>
    </row>
    <row r="160" spans="1:4">
      <c r="A160" s="97" t="s">
        <v>7188</v>
      </c>
      <c r="B160" s="97" t="s">
        <v>7189</v>
      </c>
      <c r="C160" s="97" t="s">
        <v>7190</v>
      </c>
      <c r="D160" s="97" t="s">
        <v>7191</v>
      </c>
    </row>
    <row r="161" spans="1:4">
      <c r="A161" s="97" t="s">
        <v>7192</v>
      </c>
      <c r="B161" s="97" t="s">
        <v>787</v>
      </c>
      <c r="C161" s="97" t="s">
        <v>787</v>
      </c>
      <c r="D161" s="97" t="s">
        <v>7193</v>
      </c>
    </row>
    <row r="162" spans="1:4">
      <c r="A162" s="97" t="s">
        <v>7194</v>
      </c>
      <c r="B162" s="97" t="s">
        <v>787</v>
      </c>
      <c r="C162" s="97" t="s">
        <v>7195</v>
      </c>
      <c r="D162" s="97" t="s">
        <v>7196</v>
      </c>
    </row>
    <row r="163" spans="1:4">
      <c r="A163" s="97" t="s">
        <v>7197</v>
      </c>
      <c r="B163" s="97" t="s">
        <v>7198</v>
      </c>
      <c r="C163" s="97" t="s">
        <v>7199</v>
      </c>
      <c r="D163" s="97" t="s">
        <v>7200</v>
      </c>
    </row>
    <row r="164" spans="1:4">
      <c r="A164" s="97" t="s">
        <v>7201</v>
      </c>
      <c r="B164" s="97" t="s">
        <v>7202</v>
      </c>
      <c r="C164" s="97" t="s">
        <v>7203</v>
      </c>
      <c r="D164" s="97" t="s">
        <v>7204</v>
      </c>
    </row>
    <row r="165" spans="1:4">
      <c r="A165" s="97" t="s">
        <v>7205</v>
      </c>
      <c r="B165" s="97" t="s">
        <v>7206</v>
      </c>
      <c r="C165" s="97" t="s">
        <v>7207</v>
      </c>
      <c r="D165" s="97" t="s">
        <v>7208</v>
      </c>
    </row>
    <row r="166" spans="1:4">
      <c r="A166" s="97" t="s">
        <v>7209</v>
      </c>
      <c r="B166" s="97" t="s">
        <v>7210</v>
      </c>
      <c r="C166" s="97" t="s">
        <v>7211</v>
      </c>
      <c r="D166" s="97" t="s">
        <v>7212</v>
      </c>
    </row>
    <row r="167" spans="1:4">
      <c r="A167" s="97" t="s">
        <v>7213</v>
      </c>
      <c r="B167" s="97" t="s">
        <v>7214</v>
      </c>
      <c r="C167" s="97" t="s">
        <v>7215</v>
      </c>
      <c r="D167" s="97" t="s">
        <v>7216</v>
      </c>
    </row>
    <row r="168" spans="1:4">
      <c r="A168" s="97" t="s">
        <v>7217</v>
      </c>
      <c r="B168" s="97" t="s">
        <v>7218</v>
      </c>
      <c r="C168" s="97" t="s">
        <v>7219</v>
      </c>
      <c r="D168" s="97" t="s">
        <v>7220</v>
      </c>
    </row>
    <row r="169" spans="1:4">
      <c r="A169" s="97"/>
      <c r="B169" s="97"/>
      <c r="C169" s="97"/>
      <c r="D169" s="97"/>
    </row>
    <row r="170" spans="1:4">
      <c r="A170" s="97"/>
      <c r="B170" s="97"/>
      <c r="C170" s="97"/>
      <c r="D170" s="97"/>
    </row>
    <row r="171" spans="1:4">
      <c r="A171" s="97"/>
      <c r="B171" s="97"/>
      <c r="C171" s="97"/>
      <c r="D171" s="97"/>
    </row>
    <row r="172" spans="1:4">
      <c r="A172" s="97"/>
      <c r="B172" s="97"/>
      <c r="C172" s="97"/>
      <c r="D172" s="97"/>
    </row>
    <row r="173" spans="1:4">
      <c r="A173" s="97"/>
      <c r="B173" s="97"/>
      <c r="C173" s="97"/>
      <c r="D173" s="97"/>
    </row>
    <row r="174" spans="1:4">
      <c r="A174" s="97"/>
      <c r="B174" s="97"/>
      <c r="C174" s="97"/>
      <c r="D174" s="9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E11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5">
      <c r="A1" s="79" t="s">
        <v>146</v>
      </c>
      <c r="B1" s="79" t="s">
        <v>147</v>
      </c>
      <c r="C1" s="79" t="s">
        <v>148</v>
      </c>
      <c r="D1" s="79" t="s">
        <v>182</v>
      </c>
      <c r="E1" s="46"/>
    </row>
    <row r="2" spans="1:5">
      <c r="A2" s="67" t="s">
        <v>7221</v>
      </c>
      <c r="D2" s="67" t="s">
        <v>7222</v>
      </c>
    </row>
    <row r="3" spans="1:5">
      <c r="A3" s="67" t="s">
        <v>7223</v>
      </c>
      <c r="B3" s="58" t="s">
        <v>7224</v>
      </c>
      <c r="C3" s="67" t="s">
        <v>7225</v>
      </c>
      <c r="D3" s="11" t="str">
        <f>HYPERLINK("http://www.gohsep.la.gov/","www.gohsep.la.gov")</f>
        <v>www.gohsep.la.gov</v>
      </c>
    </row>
    <row r="4" spans="1:5">
      <c r="A4" s="67" t="s">
        <v>7226</v>
      </c>
      <c r="D4" s="11" t="str">
        <f>HYPERLINK("http://wildlife.rescueshelter.com/Louisiana","http://wildlife.rescueshelter.com/Louisiana")</f>
        <v>http://wildlife.rescueshelter.com/Louisiana</v>
      </c>
    </row>
    <row r="6" spans="1:5">
      <c r="A6" s="79" t="s">
        <v>209</v>
      </c>
      <c r="B6" s="79" t="s">
        <v>147</v>
      </c>
      <c r="C6" s="79" t="s">
        <v>148</v>
      </c>
      <c r="D6" s="79" t="s">
        <v>182</v>
      </c>
    </row>
    <row r="7" spans="1:5">
      <c r="A7" s="67" t="s">
        <v>7227</v>
      </c>
      <c r="D7" t="s">
        <v>7228</v>
      </c>
    </row>
    <row r="8" spans="1:5">
      <c r="A8" s="67" t="s">
        <v>5743</v>
      </c>
      <c r="D8" t="s">
        <v>7229</v>
      </c>
    </row>
    <row r="9" spans="1:5">
      <c r="A9" s="67" t="s">
        <v>7230</v>
      </c>
      <c r="B9" t="s">
        <v>7231</v>
      </c>
      <c r="D9" t="s">
        <v>7232</v>
      </c>
    </row>
    <row r="10" spans="1:5">
      <c r="A10" s="67" t="s">
        <v>7233</v>
      </c>
      <c r="D10" t="s">
        <v>7234</v>
      </c>
    </row>
    <row r="11" spans="1:5">
      <c r="A11" s="67" t="s">
        <v>7235</v>
      </c>
    </row>
    <row r="12" spans="1:5">
      <c r="A12" s="67" t="s">
        <v>7236</v>
      </c>
      <c r="D12" t="s">
        <v>7237</v>
      </c>
    </row>
    <row r="13" spans="1:5">
      <c r="A13" s="67" t="s">
        <v>7238</v>
      </c>
      <c r="D13" t="s">
        <v>7239</v>
      </c>
    </row>
    <row r="14" spans="1:5">
      <c r="A14" s="67" t="s">
        <v>7240</v>
      </c>
      <c r="C14" t="s">
        <v>7241</v>
      </c>
      <c r="D14" t="s">
        <v>7242</v>
      </c>
    </row>
    <row r="15" spans="1:5">
      <c r="A15" s="67" t="s">
        <v>7243</v>
      </c>
      <c r="C15" t="s">
        <v>7241</v>
      </c>
      <c r="D15" t="s">
        <v>7242</v>
      </c>
    </row>
    <row r="16" spans="1:5">
      <c r="A16" s="67" t="s">
        <v>7244</v>
      </c>
      <c r="B16" t="s">
        <v>7245</v>
      </c>
      <c r="C16" t="s">
        <v>7246</v>
      </c>
      <c r="D16" t="s">
        <v>7247</v>
      </c>
    </row>
    <row r="17" spans="1:4">
      <c r="A17" s="67" t="s">
        <v>7248</v>
      </c>
      <c r="C17" t="s">
        <v>7249</v>
      </c>
    </row>
    <row r="18" spans="1:4">
      <c r="A18" s="67" t="s">
        <v>7250</v>
      </c>
      <c r="D18" t="s">
        <v>7251</v>
      </c>
    </row>
    <row r="19" spans="1:4">
      <c r="A19" s="67" t="s">
        <v>7252</v>
      </c>
    </row>
    <row r="20" spans="1:4">
      <c r="A20" s="67" t="s">
        <v>7253</v>
      </c>
      <c r="D20" t="s">
        <v>7254</v>
      </c>
    </row>
    <row r="21" spans="1:4">
      <c r="A21" s="67" t="s">
        <v>7255</v>
      </c>
      <c r="D21" t="s">
        <v>7256</v>
      </c>
    </row>
    <row r="22" spans="1:4">
      <c r="A22" s="67" t="s">
        <v>7257</v>
      </c>
      <c r="C22" t="s">
        <v>7258</v>
      </c>
      <c r="D22" t="s">
        <v>7259</v>
      </c>
    </row>
    <row r="23" spans="1:4">
      <c r="A23" s="67" t="s">
        <v>7260</v>
      </c>
      <c r="D23" t="s">
        <v>7261</v>
      </c>
    </row>
    <row r="24" spans="1:4">
      <c r="A24" s="67" t="s">
        <v>7262</v>
      </c>
    </row>
    <row r="25" spans="1:4">
      <c r="A25" s="67" t="s">
        <v>7263</v>
      </c>
      <c r="D25" t="s">
        <v>7264</v>
      </c>
    </row>
    <row r="26" spans="1:4">
      <c r="A26" s="67" t="s">
        <v>7265</v>
      </c>
      <c r="D26" t="s">
        <v>7266</v>
      </c>
    </row>
    <row r="27" spans="1:4">
      <c r="A27" s="67" t="s">
        <v>5441</v>
      </c>
    </row>
    <row r="28" spans="1:4">
      <c r="A28" s="67" t="s">
        <v>5806</v>
      </c>
      <c r="D28" t="s">
        <v>7267</v>
      </c>
    </row>
    <row r="29" spans="1:4">
      <c r="A29" s="67" t="s">
        <v>7268</v>
      </c>
      <c r="C29" t="s">
        <v>7269</v>
      </c>
      <c r="D29" t="s">
        <v>7270</v>
      </c>
    </row>
    <row r="30" spans="1:4">
      <c r="A30" s="67" t="s">
        <v>7271</v>
      </c>
      <c r="C30" t="s">
        <v>7272</v>
      </c>
      <c r="D30" t="s">
        <v>7273</v>
      </c>
    </row>
    <row r="31" spans="1:4">
      <c r="A31" s="67" t="s">
        <v>5466</v>
      </c>
      <c r="D31" t="s">
        <v>7274</v>
      </c>
    </row>
    <row r="32" spans="1:4">
      <c r="A32" s="67" t="s">
        <v>7275</v>
      </c>
      <c r="D32" t="s">
        <v>7276</v>
      </c>
    </row>
    <row r="33" spans="1:4">
      <c r="A33" s="67" t="s">
        <v>5187</v>
      </c>
      <c r="D33" t="s">
        <v>7277</v>
      </c>
    </row>
    <row r="34" spans="1:4">
      <c r="A34" s="67" t="s">
        <v>7278</v>
      </c>
      <c r="D34" t="s">
        <v>7279</v>
      </c>
    </row>
    <row r="35" spans="1:4">
      <c r="A35" s="67" t="s">
        <v>7280</v>
      </c>
      <c r="D35" t="s">
        <v>7281</v>
      </c>
    </row>
    <row r="36" spans="1:4">
      <c r="A36" s="67" t="s">
        <v>7282</v>
      </c>
      <c r="B36" t="s">
        <v>7283</v>
      </c>
      <c r="C36" t="s">
        <v>7284</v>
      </c>
      <c r="D36" t="s">
        <v>7285</v>
      </c>
    </row>
    <row r="37" spans="1:4">
      <c r="A37" s="67" t="s">
        <v>5206</v>
      </c>
      <c r="D37" t="s">
        <v>7286</v>
      </c>
    </row>
    <row r="38" spans="1:4">
      <c r="A38" s="67" t="s">
        <v>5498</v>
      </c>
      <c r="C38" t="s">
        <v>7287</v>
      </c>
      <c r="D38" t="s">
        <v>7288</v>
      </c>
    </row>
    <row r="39" spans="1:4">
      <c r="A39" s="67" t="s">
        <v>5209</v>
      </c>
    </row>
    <row r="40" spans="1:4">
      <c r="A40" s="67" t="s">
        <v>7289</v>
      </c>
      <c r="D40" t="s">
        <v>7290</v>
      </c>
    </row>
    <row r="41" spans="1:4">
      <c r="A41" s="67" t="s">
        <v>7291</v>
      </c>
      <c r="D41" t="s">
        <v>7292</v>
      </c>
    </row>
    <row r="42" spans="1:4">
      <c r="A42" s="67" t="s">
        <v>7293</v>
      </c>
      <c r="B42" t="s">
        <v>7294</v>
      </c>
      <c r="C42" t="s">
        <v>7295</v>
      </c>
      <c r="D42" t="s">
        <v>7296</v>
      </c>
    </row>
    <row r="43" spans="1:4">
      <c r="A43" s="67" t="s">
        <v>7297</v>
      </c>
      <c r="D43" t="s">
        <v>7298</v>
      </c>
    </row>
    <row r="44" spans="1:4">
      <c r="A44" s="67" t="s">
        <v>7299</v>
      </c>
      <c r="B44" t="s">
        <v>7300</v>
      </c>
      <c r="C44" t="s">
        <v>7301</v>
      </c>
      <c r="D44" t="s">
        <v>7302</v>
      </c>
    </row>
    <row r="45" spans="1:4">
      <c r="A45" s="67" t="s">
        <v>7303</v>
      </c>
      <c r="D45" t="s">
        <v>7304</v>
      </c>
    </row>
    <row r="46" spans="1:4">
      <c r="A46" s="67" t="s">
        <v>7305</v>
      </c>
      <c r="D46" t="s">
        <v>7306</v>
      </c>
    </row>
    <row r="47" spans="1:4">
      <c r="A47" s="67" t="s">
        <v>7307</v>
      </c>
      <c r="D47" t="s">
        <v>7308</v>
      </c>
    </row>
    <row r="48" spans="1:4">
      <c r="A48" s="67" t="s">
        <v>5545</v>
      </c>
    </row>
    <row r="49" spans="1:4">
      <c r="A49" s="67" t="s">
        <v>7309</v>
      </c>
      <c r="D49" t="s">
        <v>7310</v>
      </c>
    </row>
    <row r="50" spans="1:4">
      <c r="A50" s="67" t="s">
        <v>7311</v>
      </c>
      <c r="B50" t="s">
        <v>7312</v>
      </c>
      <c r="C50" t="s">
        <v>7313</v>
      </c>
      <c r="D50" t="s">
        <v>7314</v>
      </c>
    </row>
    <row r="51" spans="1:4">
      <c r="A51" s="67" t="s">
        <v>7315</v>
      </c>
      <c r="C51" t="s">
        <v>7316</v>
      </c>
      <c r="D51" t="s">
        <v>7317</v>
      </c>
    </row>
    <row r="52" spans="1:4">
      <c r="A52" s="67" t="s">
        <v>7318</v>
      </c>
      <c r="D52" t="s">
        <v>7319</v>
      </c>
    </row>
    <row r="53" spans="1:4">
      <c r="A53" s="67" t="s">
        <v>7320</v>
      </c>
      <c r="D53" t="s">
        <v>7321</v>
      </c>
    </row>
    <row r="54" spans="1:4">
      <c r="A54" s="67" t="s">
        <v>7322</v>
      </c>
      <c r="C54" t="s">
        <v>7323</v>
      </c>
      <c r="D54" t="s">
        <v>7324</v>
      </c>
    </row>
    <row r="55" spans="1:4">
      <c r="A55" s="67" t="s">
        <v>7325</v>
      </c>
      <c r="C55" t="s">
        <v>7326</v>
      </c>
      <c r="D55" t="s">
        <v>7327</v>
      </c>
    </row>
    <row r="56" spans="1:4">
      <c r="A56" s="67" t="s">
        <v>7328</v>
      </c>
      <c r="D56" t="s">
        <v>7329</v>
      </c>
    </row>
    <row r="57" spans="1:4">
      <c r="A57" s="67" t="s">
        <v>7330</v>
      </c>
      <c r="D57" t="s">
        <v>7331</v>
      </c>
    </row>
    <row r="58" spans="1:4">
      <c r="A58" s="67" t="s">
        <v>7332</v>
      </c>
      <c r="B58" t="s">
        <v>7333</v>
      </c>
      <c r="C58" t="s">
        <v>7334</v>
      </c>
      <c r="D58" t="s">
        <v>7335</v>
      </c>
    </row>
    <row r="59" spans="1:4">
      <c r="A59" s="67" t="s">
        <v>7336</v>
      </c>
      <c r="D59" t="s">
        <v>7337</v>
      </c>
    </row>
    <row r="60" spans="1:4">
      <c r="A60" s="67" t="s">
        <v>7338</v>
      </c>
    </row>
    <row r="61" spans="1:4">
      <c r="A61" s="67" t="s">
        <v>7339</v>
      </c>
      <c r="D61" t="s">
        <v>7340</v>
      </c>
    </row>
    <row r="62" spans="1:4">
      <c r="A62" s="67" t="s">
        <v>5564</v>
      </c>
      <c r="D62" t="s">
        <v>7341</v>
      </c>
    </row>
    <row r="63" spans="1:4">
      <c r="A63" s="67" t="s">
        <v>5568</v>
      </c>
      <c r="C63" t="s">
        <v>7342</v>
      </c>
      <c r="D63" t="s">
        <v>7343</v>
      </c>
    </row>
    <row r="64" spans="1:4">
      <c r="A64" s="67" t="s">
        <v>7344</v>
      </c>
      <c r="C64" t="s">
        <v>7345</v>
      </c>
      <c r="D64" t="s">
        <v>7346</v>
      </c>
    </row>
    <row r="65" spans="1:4">
      <c r="A65" s="67" t="s">
        <v>117</v>
      </c>
      <c r="D65" t="s">
        <v>7347</v>
      </c>
    </row>
    <row r="66" spans="1:4">
      <c r="A66" s="67" t="s">
        <v>6346</v>
      </c>
      <c r="D66" t="s">
        <v>7348</v>
      </c>
    </row>
    <row r="67" spans="1:4">
      <c r="A67" s="67" t="s">
        <v>7349</v>
      </c>
      <c r="D67" t="s">
        <v>7350</v>
      </c>
    </row>
    <row r="68" spans="1:4">
      <c r="A68" s="67" t="s">
        <v>7351</v>
      </c>
    </row>
    <row r="69" spans="1:4">
      <c r="A69" s="67" t="s">
        <v>7352</v>
      </c>
      <c r="D69" t="s">
        <v>7353</v>
      </c>
    </row>
    <row r="70" spans="1:4">
      <c r="A70" s="67" t="s">
        <v>7354</v>
      </c>
      <c r="D70" t="s">
        <v>7355</v>
      </c>
    </row>
    <row r="72" spans="1:4">
      <c r="A72" s="79" t="s">
        <v>333</v>
      </c>
      <c r="B72" s="79" t="s">
        <v>147</v>
      </c>
      <c r="C72" s="79" t="s">
        <v>148</v>
      </c>
      <c r="D72" s="79" t="s">
        <v>182</v>
      </c>
    </row>
    <row r="73" spans="1:4">
      <c r="A73" s="67" t="s">
        <v>7356</v>
      </c>
      <c r="D73" t="s">
        <v>7357</v>
      </c>
    </row>
    <row r="74" spans="1:4">
      <c r="A74" s="67" t="s">
        <v>7358</v>
      </c>
      <c r="D74" t="s">
        <v>7359</v>
      </c>
    </row>
    <row r="75" spans="1:4">
      <c r="A75" s="67" t="s">
        <v>7360</v>
      </c>
      <c r="D75" t="s">
        <v>7361</v>
      </c>
    </row>
    <row r="76" spans="1:4">
      <c r="A76" s="67" t="s">
        <v>7362</v>
      </c>
      <c r="D76" t="s">
        <v>7363</v>
      </c>
    </row>
    <row r="77" spans="1:4">
      <c r="A77" s="67" t="s">
        <v>7364</v>
      </c>
      <c r="C77" t="s">
        <v>7365</v>
      </c>
      <c r="D77" t="s">
        <v>7366</v>
      </c>
    </row>
    <row r="78" spans="1:4">
      <c r="A78" s="67" t="s">
        <v>7367</v>
      </c>
      <c r="D78" t="s">
        <v>7368</v>
      </c>
    </row>
    <row r="79" spans="1:4">
      <c r="A79" s="67" t="s">
        <v>7369</v>
      </c>
      <c r="B79" t="s">
        <v>7370</v>
      </c>
      <c r="C79" t="s">
        <v>7371</v>
      </c>
      <c r="D79" t="s">
        <v>7372</v>
      </c>
    </row>
    <row r="80" spans="1:4">
      <c r="A80" s="67" t="s">
        <v>7373</v>
      </c>
      <c r="D80" t="s">
        <v>7374</v>
      </c>
    </row>
    <row r="81" spans="1:4">
      <c r="A81" s="67" t="s">
        <v>1507</v>
      </c>
      <c r="B81" t="s">
        <v>7375</v>
      </c>
      <c r="C81" t="s">
        <v>7376</v>
      </c>
      <c r="D81" t="s">
        <v>1510</v>
      </c>
    </row>
    <row r="83" spans="1:4">
      <c r="A83" s="79" t="s">
        <v>878</v>
      </c>
      <c r="B83" s="79" t="s">
        <v>147</v>
      </c>
      <c r="C83" s="79" t="s">
        <v>148</v>
      </c>
      <c r="D83" s="79" t="s">
        <v>182</v>
      </c>
    </row>
    <row r="84" spans="1:4">
      <c r="A84" s="67" t="s">
        <v>7377</v>
      </c>
      <c r="B84" t="s">
        <v>7378</v>
      </c>
      <c r="C84" t="s">
        <v>7379</v>
      </c>
      <c r="D84" t="s">
        <v>7380</v>
      </c>
    </row>
    <row r="85" spans="1:4">
      <c r="A85" s="67" t="s">
        <v>7381</v>
      </c>
      <c r="B85" t="s">
        <v>7382</v>
      </c>
      <c r="C85" t="s">
        <v>7383</v>
      </c>
      <c r="D85" t="s">
        <v>7384</v>
      </c>
    </row>
    <row r="86" spans="1:4">
      <c r="A86" s="67" t="s">
        <v>7385</v>
      </c>
      <c r="B86" t="s">
        <v>7386</v>
      </c>
      <c r="C86" t="s">
        <v>7387</v>
      </c>
      <c r="D86" t="s">
        <v>7388</v>
      </c>
    </row>
    <row r="87" spans="1:4">
      <c r="A87" s="67" t="s">
        <v>7389</v>
      </c>
      <c r="D87" t="s">
        <v>7390</v>
      </c>
    </row>
    <row r="88" spans="1:4">
      <c r="A88" s="67" t="s">
        <v>7391</v>
      </c>
      <c r="C88" t="s">
        <v>7392</v>
      </c>
      <c r="D88" t="s">
        <v>7393</v>
      </c>
    </row>
    <row r="89" spans="1:4">
      <c r="A89" s="67" t="s">
        <v>7394</v>
      </c>
      <c r="B89" t="s">
        <v>7395</v>
      </c>
      <c r="C89" t="s">
        <v>7396</v>
      </c>
      <c r="D89" t="s">
        <v>7397</v>
      </c>
    </row>
    <row r="90" spans="1:4">
      <c r="A90" s="67" t="s">
        <v>7398</v>
      </c>
      <c r="B90" t="s">
        <v>7399</v>
      </c>
      <c r="C90" t="s">
        <v>7400</v>
      </c>
      <c r="D90" t="s">
        <v>7401</v>
      </c>
    </row>
    <row r="92" spans="1:4">
      <c r="A92" s="79" t="s">
        <v>428</v>
      </c>
      <c r="B92" s="79" t="s">
        <v>147</v>
      </c>
      <c r="C92" s="79" t="s">
        <v>148</v>
      </c>
      <c r="D92" s="79" t="s">
        <v>182</v>
      </c>
    </row>
    <row r="93" spans="1:4">
      <c r="A93" s="97" t="s">
        <v>7402</v>
      </c>
      <c r="B93" s="97" t="s">
        <v>7403</v>
      </c>
      <c r="C93" s="97" t="s">
        <v>7404</v>
      </c>
      <c r="D93" s="97" t="s">
        <v>7405</v>
      </c>
    </row>
    <row r="94" spans="1:4">
      <c r="A94" s="97" t="s">
        <v>7406</v>
      </c>
      <c r="B94" s="97" t="s">
        <v>787</v>
      </c>
      <c r="C94" s="97" t="s">
        <v>787</v>
      </c>
      <c r="D94" s="97" t="s">
        <v>7407</v>
      </c>
    </row>
    <row r="95" spans="1:4">
      <c r="A95" s="97" t="s">
        <v>7408</v>
      </c>
      <c r="B95" s="97" t="s">
        <v>7409</v>
      </c>
      <c r="C95" s="97" t="s">
        <v>7410</v>
      </c>
      <c r="D95" s="97" t="s">
        <v>7411</v>
      </c>
    </row>
    <row r="96" spans="1:4">
      <c r="A96" s="97" t="s">
        <v>7412</v>
      </c>
      <c r="B96" s="97" t="s">
        <v>7413</v>
      </c>
      <c r="C96" s="97" t="s">
        <v>7414</v>
      </c>
      <c r="D96" s="97" t="s">
        <v>7415</v>
      </c>
    </row>
    <row r="97" spans="1:4">
      <c r="A97" s="97" t="s">
        <v>7416</v>
      </c>
      <c r="B97" s="97" t="s">
        <v>7417</v>
      </c>
      <c r="C97" s="97" t="s">
        <v>7418</v>
      </c>
      <c r="D97" s="97" t="s">
        <v>7419</v>
      </c>
    </row>
    <row r="98" spans="1:4">
      <c r="A98" s="97" t="s">
        <v>7420</v>
      </c>
      <c r="B98" s="97" t="s">
        <v>787</v>
      </c>
      <c r="C98" s="97" t="s">
        <v>7421</v>
      </c>
      <c r="D98" s="97" t="s">
        <v>7422</v>
      </c>
    </row>
    <row r="99" spans="1:4">
      <c r="A99" s="97" t="s">
        <v>7423</v>
      </c>
      <c r="B99" s="97" t="s">
        <v>7424</v>
      </c>
      <c r="C99" s="97" t="s">
        <v>7425</v>
      </c>
      <c r="D99" s="97" t="s">
        <v>7426</v>
      </c>
    </row>
    <row r="100" spans="1:4">
      <c r="A100" s="97" t="s">
        <v>7427</v>
      </c>
      <c r="B100" s="97" t="s">
        <v>7428</v>
      </c>
      <c r="C100" s="97" t="s">
        <v>7429</v>
      </c>
      <c r="D100" s="97" t="s">
        <v>7430</v>
      </c>
    </row>
    <row r="101" spans="1:4">
      <c r="A101" s="97" t="s">
        <v>7431</v>
      </c>
      <c r="B101" s="97" t="s">
        <v>7432</v>
      </c>
      <c r="C101" s="97" t="s">
        <v>7433</v>
      </c>
      <c r="D101" s="97" t="s">
        <v>7434</v>
      </c>
    </row>
    <row r="102" spans="1:4">
      <c r="A102" s="97" t="s">
        <v>7435</v>
      </c>
      <c r="B102" s="97" t="s">
        <v>7436</v>
      </c>
      <c r="C102" s="97" t="s">
        <v>7437</v>
      </c>
      <c r="D102" s="97" t="s">
        <v>7438</v>
      </c>
    </row>
    <row r="103" spans="1:4">
      <c r="A103" s="97" t="s">
        <v>7439</v>
      </c>
      <c r="B103" s="97" t="s">
        <v>7440</v>
      </c>
      <c r="C103" s="97" t="s">
        <v>7441</v>
      </c>
      <c r="D103" s="97" t="s">
        <v>7442</v>
      </c>
    </row>
    <row r="104" spans="1:4">
      <c r="A104" s="97" t="s">
        <v>7443</v>
      </c>
      <c r="B104" s="97" t="s">
        <v>7444</v>
      </c>
      <c r="C104" s="97" t="s">
        <v>7445</v>
      </c>
      <c r="D104" s="97" t="s">
        <v>7446</v>
      </c>
    </row>
    <row r="105" spans="1:4">
      <c r="A105" s="97" t="s">
        <v>7447</v>
      </c>
      <c r="B105" s="97" t="s">
        <v>7448</v>
      </c>
      <c r="C105" s="97" t="s">
        <v>7449</v>
      </c>
      <c r="D105" s="97" t="s">
        <v>7450</v>
      </c>
    </row>
    <row r="106" spans="1:4">
      <c r="A106" s="97" t="s">
        <v>7451</v>
      </c>
      <c r="B106" s="97" t="s">
        <v>7452</v>
      </c>
      <c r="C106" s="97" t="s">
        <v>7453</v>
      </c>
      <c r="D106" s="97" t="s">
        <v>7454</v>
      </c>
    </row>
    <row r="107" spans="1:4">
      <c r="A107" s="97" t="s">
        <v>7455</v>
      </c>
      <c r="B107" s="97" t="s">
        <v>7456</v>
      </c>
      <c r="C107" s="97" t="s">
        <v>7457</v>
      </c>
      <c r="D107" s="97" t="s">
        <v>7458</v>
      </c>
    </row>
    <row r="108" spans="1:4">
      <c r="A108" s="97" t="s">
        <v>7459</v>
      </c>
      <c r="B108" s="97" t="s">
        <v>164</v>
      </c>
      <c r="C108" s="97" t="s">
        <v>7460</v>
      </c>
      <c r="D108" s="97" t="s">
        <v>7461</v>
      </c>
    </row>
    <row r="109" spans="1:4">
      <c r="A109" s="97" t="s">
        <v>7462</v>
      </c>
      <c r="B109" s="97" t="s">
        <v>7463</v>
      </c>
      <c r="C109" t="s">
        <v>7464</v>
      </c>
      <c r="D109" s="97" t="s">
        <v>7465</v>
      </c>
    </row>
    <row r="110" spans="1:4">
      <c r="A110" s="97"/>
      <c r="B110" s="97"/>
      <c r="C110" s="97"/>
      <c r="D110" s="97"/>
    </row>
    <row r="111" spans="1:4">
      <c r="A111" s="97"/>
      <c r="B111" s="97"/>
      <c r="C111" s="97"/>
      <c r="D111" s="97"/>
    </row>
    <row r="112" spans="1:4">
      <c r="A112" s="97"/>
      <c r="B112" s="97"/>
      <c r="C112" s="97"/>
      <c r="D112" s="9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D64"/>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7466</v>
      </c>
      <c r="B2" s="70" t="s">
        <v>7467</v>
      </c>
      <c r="C2" s="67" t="s">
        <v>7468</v>
      </c>
      <c r="D2" s="67" t="s">
        <v>7469</v>
      </c>
    </row>
    <row r="3" spans="1:4">
      <c r="A3" s="67" t="s">
        <v>7470</v>
      </c>
      <c r="B3" s="70" t="s">
        <v>7471</v>
      </c>
      <c r="C3" s="67" t="s">
        <v>7472</v>
      </c>
      <c r="D3" s="67" t="s">
        <v>7473</v>
      </c>
    </row>
    <row r="4" spans="1:4">
      <c r="A4" s="67" t="s">
        <v>7474</v>
      </c>
      <c r="D4" s="11" t="str">
        <f>HYPERLINK("http://www.maine.gov/mema/homeland/","http://www.maine.gov/mema/homeland/")</f>
        <v>http://www.maine.gov/mema/homeland/</v>
      </c>
    </row>
    <row r="5" spans="1:4">
      <c r="A5" s="67" t="s">
        <v>7475</v>
      </c>
      <c r="D5" s="11" t="str">
        <f>HYPERLINK("http://wildlife.rescueshelter.com/Maine","http://wildlife.rescueshelter.com/Maine")</f>
        <v>http://wildlife.rescueshelter.com/Maine</v>
      </c>
    </row>
    <row r="7" spans="1:4">
      <c r="A7" s="79" t="s">
        <v>209</v>
      </c>
      <c r="B7" s="79" t="s">
        <v>147</v>
      </c>
      <c r="C7" s="79" t="s">
        <v>148</v>
      </c>
      <c r="D7" s="79" t="s">
        <v>182</v>
      </c>
    </row>
    <row r="8" spans="1:4">
      <c r="A8" s="67" t="s">
        <v>7476</v>
      </c>
      <c r="D8" s="67" t="s">
        <v>7477</v>
      </c>
    </row>
    <row r="9" spans="1:4">
      <c r="A9" s="67" t="s">
        <v>7478</v>
      </c>
      <c r="D9" s="67" t="s">
        <v>7479</v>
      </c>
    </row>
    <row r="10" spans="1:4">
      <c r="A10" s="67" t="s">
        <v>5415</v>
      </c>
      <c r="B10" s="70" t="s">
        <v>7480</v>
      </c>
      <c r="C10" s="67" t="s">
        <v>7481</v>
      </c>
      <c r="D10" s="67" t="s">
        <v>7482</v>
      </c>
    </row>
    <row r="11" spans="1:4">
      <c r="A11" s="67" t="s">
        <v>5441</v>
      </c>
      <c r="D11" s="67" t="s">
        <v>7483</v>
      </c>
    </row>
    <row r="12" spans="1:4">
      <c r="A12" s="67" t="s">
        <v>5455</v>
      </c>
      <c r="D12" s="67" t="s">
        <v>7484</v>
      </c>
    </row>
    <row r="13" spans="1:4">
      <c r="A13" s="67" t="s">
        <v>7485</v>
      </c>
      <c r="D13" s="67" t="s">
        <v>7486</v>
      </c>
    </row>
    <row r="14" spans="1:4">
      <c r="A14" s="67" t="s">
        <v>5484</v>
      </c>
      <c r="D14" s="67" t="s">
        <v>7487</v>
      </c>
    </row>
    <row r="15" spans="1:4">
      <c r="A15" s="67" t="s">
        <v>5206</v>
      </c>
      <c r="D15" s="67" t="s">
        <v>7488</v>
      </c>
    </row>
    <row r="16" spans="1:4">
      <c r="A16" s="67" t="s">
        <v>7489</v>
      </c>
      <c r="D16" s="67" t="s">
        <v>7490</v>
      </c>
    </row>
    <row r="17" spans="1:4">
      <c r="A17" s="67" t="s">
        <v>7491</v>
      </c>
      <c r="D17" s="67" t="s">
        <v>7492</v>
      </c>
    </row>
    <row r="18" spans="1:4">
      <c r="A18" s="67" t="s">
        <v>7493</v>
      </c>
      <c r="D18" s="67" t="s">
        <v>7494</v>
      </c>
    </row>
    <row r="19" spans="1:4">
      <c r="A19" s="67" t="s">
        <v>7495</v>
      </c>
      <c r="D19" s="67" t="s">
        <v>7496</v>
      </c>
    </row>
    <row r="20" spans="1:4">
      <c r="A20" s="67" t="s">
        <v>7497</v>
      </c>
      <c r="D20" s="67" t="s">
        <v>7498</v>
      </c>
    </row>
    <row r="21" spans="1:4">
      <c r="A21" s="67" t="s">
        <v>7499</v>
      </c>
      <c r="D21" s="67" t="s">
        <v>7500</v>
      </c>
    </row>
    <row r="22" spans="1:4">
      <c r="A22" s="67" t="s">
        <v>117</v>
      </c>
      <c r="D22" s="67" t="s">
        <v>7501</v>
      </c>
    </row>
    <row r="23" spans="1:4">
      <c r="A23" s="67" t="s">
        <v>7502</v>
      </c>
      <c r="D23" s="67" t="s">
        <v>7503</v>
      </c>
    </row>
    <row r="25" spans="1:4">
      <c r="A25" s="79" t="s">
        <v>333</v>
      </c>
      <c r="B25" s="79" t="s">
        <v>147</v>
      </c>
      <c r="C25" s="79" t="s">
        <v>148</v>
      </c>
      <c r="D25" s="79" t="s">
        <v>182</v>
      </c>
    </row>
    <row r="26" spans="1:4">
      <c r="A26" s="67" t="s">
        <v>7504</v>
      </c>
      <c r="B26" s="70" t="s">
        <v>7505</v>
      </c>
      <c r="D26" s="67" t="s">
        <v>7506</v>
      </c>
    </row>
    <row r="27" spans="1:4">
      <c r="A27" s="67" t="s">
        <v>7507</v>
      </c>
      <c r="D27" s="67" t="s">
        <v>7508</v>
      </c>
    </row>
    <row r="28" spans="1:4">
      <c r="A28" s="67" t="s">
        <v>7509</v>
      </c>
      <c r="B28" s="70" t="s">
        <v>7510</v>
      </c>
      <c r="D28" s="67" t="s">
        <v>7511</v>
      </c>
    </row>
    <row r="29" spans="1:4">
      <c r="A29" s="67" t="s">
        <v>7512</v>
      </c>
      <c r="C29" s="67" t="s">
        <v>7513</v>
      </c>
      <c r="D29" s="67" t="s">
        <v>7514</v>
      </c>
    </row>
    <row r="30" spans="1:4">
      <c r="A30" s="67" t="s">
        <v>7515</v>
      </c>
      <c r="D30" s="67" t="s">
        <v>7516</v>
      </c>
    </row>
    <row r="31" spans="1:4">
      <c r="A31" s="67" t="s">
        <v>7517</v>
      </c>
      <c r="D31" s="67" t="s">
        <v>7518</v>
      </c>
    </row>
    <row r="32" spans="1:4">
      <c r="A32" s="67" t="s">
        <v>7519</v>
      </c>
      <c r="B32" s="70" t="s">
        <v>7520</v>
      </c>
      <c r="C32" s="67" t="s">
        <v>7521</v>
      </c>
      <c r="D32" s="67" t="s">
        <v>7522</v>
      </c>
    </row>
    <row r="33" spans="1:4">
      <c r="A33" s="67" t="s">
        <v>7523</v>
      </c>
      <c r="B33" s="70" t="s">
        <v>7524</v>
      </c>
      <c r="C33" s="67" t="s">
        <v>7525</v>
      </c>
      <c r="D33" s="67" t="s">
        <v>7526</v>
      </c>
    </row>
    <row r="34" spans="1:4">
      <c r="A34" s="67" t="s">
        <v>7527</v>
      </c>
      <c r="D34" s="67" t="s">
        <v>7528</v>
      </c>
    </row>
    <row r="35" spans="1:4">
      <c r="A35" s="67" t="s">
        <v>7529</v>
      </c>
      <c r="D35" s="67" t="s">
        <v>7530</v>
      </c>
    </row>
    <row r="37" spans="1:4">
      <c r="A37" s="79" t="s">
        <v>878</v>
      </c>
      <c r="B37" s="79" t="s">
        <v>147</v>
      </c>
      <c r="C37" s="79" t="s">
        <v>148</v>
      </c>
      <c r="D37" s="79" t="s">
        <v>182</v>
      </c>
    </row>
    <row r="38" spans="1:4">
      <c r="A38" s="67" t="s">
        <v>7531</v>
      </c>
      <c r="B38" s="70" t="s">
        <v>7532</v>
      </c>
      <c r="C38" s="67" t="s">
        <v>7533</v>
      </c>
      <c r="D38" s="67" t="s">
        <v>7534</v>
      </c>
    </row>
    <row r="39" spans="1:4">
      <c r="A39" s="67" t="s">
        <v>7535</v>
      </c>
      <c r="D39" s="67" t="s">
        <v>7536</v>
      </c>
    </row>
    <row r="40" spans="1:4">
      <c r="A40" s="67" t="s">
        <v>7537</v>
      </c>
      <c r="B40" s="70" t="s">
        <v>7538</v>
      </c>
      <c r="C40" s="67" t="s">
        <v>7539</v>
      </c>
      <c r="D40" s="67" t="s">
        <v>7540</v>
      </c>
    </row>
    <row r="41" spans="1:4">
      <c r="A41" s="67" t="s">
        <v>7541</v>
      </c>
      <c r="D41" s="67" t="s">
        <v>7542</v>
      </c>
    </row>
    <row r="42" spans="1:4">
      <c r="A42" s="67" t="s">
        <v>7543</v>
      </c>
      <c r="D42" s="67" t="s">
        <v>7544</v>
      </c>
    </row>
    <row r="44" spans="1:4">
      <c r="A44" s="79" t="s">
        <v>428</v>
      </c>
      <c r="B44" s="79" t="s">
        <v>147</v>
      </c>
      <c r="C44" s="79" t="s">
        <v>148</v>
      </c>
      <c r="D44" s="79" t="s">
        <v>182</v>
      </c>
    </row>
    <row r="45" spans="1:4">
      <c r="A45" s="97" t="s">
        <v>7545</v>
      </c>
      <c r="B45" s="97" t="s">
        <v>7546</v>
      </c>
      <c r="C45" s="97" t="s">
        <v>7547</v>
      </c>
      <c r="D45" s="97" t="s">
        <v>7548</v>
      </c>
    </row>
    <row r="46" spans="1:4">
      <c r="A46" s="97" t="s">
        <v>7549</v>
      </c>
      <c r="B46" s="97"/>
      <c r="C46" s="97" t="s">
        <v>7550</v>
      </c>
      <c r="D46" s="97" t="s">
        <v>7551</v>
      </c>
    </row>
    <row r="47" spans="1:4">
      <c r="A47" s="97" t="s">
        <v>7552</v>
      </c>
      <c r="B47" s="97"/>
      <c r="C47" s="97" t="s">
        <v>7553</v>
      </c>
      <c r="D47" s="97" t="s">
        <v>7554</v>
      </c>
    </row>
    <row r="48" spans="1:4">
      <c r="A48" s="97" t="s">
        <v>7555</v>
      </c>
      <c r="B48" s="97" t="s">
        <v>7556</v>
      </c>
      <c r="C48" t="s">
        <v>7557</v>
      </c>
      <c r="D48" s="97" t="s">
        <v>7558</v>
      </c>
    </row>
    <row r="49" spans="1:4">
      <c r="A49" s="97" t="s">
        <v>7559</v>
      </c>
      <c r="B49" s="97" t="s">
        <v>7560</v>
      </c>
      <c r="C49" s="97" t="s">
        <v>7561</v>
      </c>
      <c r="D49" s="97" t="s">
        <v>7562</v>
      </c>
    </row>
    <row r="50" spans="1:4">
      <c r="A50" s="97" t="s">
        <v>7563</v>
      </c>
      <c r="B50" s="97" t="s">
        <v>7564</v>
      </c>
      <c r="C50" s="97" t="s">
        <v>7565</v>
      </c>
      <c r="D50" s="97" t="s">
        <v>7566</v>
      </c>
    </row>
    <row r="51" spans="1:4">
      <c r="A51" s="97" t="s">
        <v>7567</v>
      </c>
      <c r="B51" s="97" t="s">
        <v>7568</v>
      </c>
      <c r="C51" s="97" t="s">
        <v>7569</v>
      </c>
      <c r="D51" s="97" t="s">
        <v>7570</v>
      </c>
    </row>
    <row r="52" spans="1:4">
      <c r="A52" s="97" t="s">
        <v>7571</v>
      </c>
      <c r="B52" s="97" t="s">
        <v>7572</v>
      </c>
      <c r="C52" t="s">
        <v>7573</v>
      </c>
      <c r="D52" s="97" t="s">
        <v>7574</v>
      </c>
    </row>
    <row r="53" spans="1:4">
      <c r="A53" s="97" t="s">
        <v>7575</v>
      </c>
      <c r="B53" s="97" t="s">
        <v>7576</v>
      </c>
      <c r="C53" s="97" t="s">
        <v>7577</v>
      </c>
      <c r="D53" s="97" t="s">
        <v>7578</v>
      </c>
    </row>
    <row r="54" spans="1:4">
      <c r="A54" s="97" t="s">
        <v>7579</v>
      </c>
      <c r="B54" s="97"/>
      <c r="C54" s="97" t="s">
        <v>7580</v>
      </c>
      <c r="D54" s="97" t="s">
        <v>7581</v>
      </c>
    </row>
    <row r="55" spans="1:4">
      <c r="A55" s="97"/>
      <c r="B55" s="97"/>
      <c r="C55" s="97"/>
      <c r="D55" s="97"/>
    </row>
    <row r="56" spans="1:4">
      <c r="A56" s="97"/>
      <c r="B56" s="97"/>
      <c r="C56" s="97"/>
      <c r="D56" s="97"/>
    </row>
    <row r="57" spans="1:4">
      <c r="A57" s="97"/>
      <c r="B57" s="97"/>
      <c r="C57" s="97"/>
      <c r="D57" s="97"/>
    </row>
    <row r="58" spans="1:4">
      <c r="A58" s="97"/>
      <c r="B58" s="97"/>
      <c r="C58" s="97"/>
      <c r="D58" s="97"/>
    </row>
    <row r="59" spans="1:4">
      <c r="A59" s="97"/>
      <c r="B59" s="97"/>
      <c r="C59" s="97"/>
      <c r="D59" s="97"/>
    </row>
    <row r="60" spans="1:4">
      <c r="A60" s="97"/>
      <c r="B60" s="97"/>
      <c r="C60" s="97"/>
      <c r="D60" s="97"/>
    </row>
    <row r="61" spans="1:4">
      <c r="A61" s="97"/>
      <c r="B61" s="97"/>
      <c r="C61" s="97"/>
      <c r="D61" s="97"/>
    </row>
    <row r="62" spans="1:4">
      <c r="A62" s="97"/>
      <c r="B62" s="97"/>
      <c r="C62" s="97"/>
      <c r="D62" s="97"/>
    </row>
    <row r="63" spans="1:4">
      <c r="A63" s="97"/>
      <c r="B63" s="97"/>
      <c r="C63" s="97"/>
      <c r="D63" s="97"/>
    </row>
    <row r="64" spans="1:4">
      <c r="A64" s="97"/>
      <c r="B64" s="97"/>
      <c r="C64" s="97"/>
      <c r="D64" s="9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F12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6" max="6" width="31.5703125" customWidth="1"/>
  </cols>
  <sheetData>
    <row r="1" spans="1:6">
      <c r="A1" s="79" t="s">
        <v>146</v>
      </c>
      <c r="B1" s="79" t="s">
        <v>147</v>
      </c>
      <c r="C1" s="79" t="s">
        <v>148</v>
      </c>
      <c r="D1" s="79" t="s">
        <v>182</v>
      </c>
      <c r="E1" s="34"/>
      <c r="F1" s="34"/>
    </row>
    <row r="2" spans="1:6">
      <c r="A2" s="67" t="s">
        <v>7582</v>
      </c>
      <c r="B2" s="70" t="s">
        <v>7583</v>
      </c>
      <c r="C2" s="11" t="str">
        <f>HYPERLINK("http://www.facebook.com/statemaryland","http://www.facebook.com/statemaryland")</f>
        <v>http://www.facebook.com/statemaryland</v>
      </c>
      <c r="D2" s="11" t="str">
        <f>HYPERLINK("http://www.maryland.gov/Pages/default.aspx","http://www.maryland.gov/Pages/default.aspx")</f>
        <v>http://www.maryland.gov/Pages/default.aspx</v>
      </c>
      <c r="E2" s="34"/>
      <c r="F2" s="34"/>
    </row>
    <row r="3" spans="1:6">
      <c r="A3" s="67" t="s">
        <v>7584</v>
      </c>
      <c r="B3" s="70" t="s">
        <v>7585</v>
      </c>
      <c r="C3" s="11" t="str">
        <f>HYPERLINK("https://www.facebook.com/MDMEMA","https://www.facebook.com/MDMEMA")</f>
        <v>https://www.facebook.com/MDMEMA</v>
      </c>
      <c r="D3" s="11" t="str">
        <f>HYPERLINK("http://mema.maryland.gov/prepared/Pages/home.aspx","http://mema.maryland.gov/prepared/Pages/home.aspx")</f>
        <v>http://mema.maryland.gov/prepared/Pages/home.aspx</v>
      </c>
      <c r="E3" s="34"/>
      <c r="F3" s="34"/>
    </row>
    <row r="4" spans="1:6">
      <c r="A4" s="67" t="s">
        <v>7586</v>
      </c>
      <c r="B4" s="34"/>
      <c r="C4" s="34"/>
      <c r="D4" s="11" t="str">
        <f>HYPERLINK("http://www.gov.state.md.us/gohs/index.html","http://www.gov.state.md.us/gohs/index.html")</f>
        <v>http://www.gov.state.md.us/gohs/index.html</v>
      </c>
      <c r="E4" s="34"/>
      <c r="F4" s="34"/>
    </row>
    <row r="5" spans="1:6">
      <c r="A5" s="67" t="s">
        <v>7587</v>
      </c>
      <c r="B5" s="34"/>
      <c r="C5" s="34"/>
      <c r="D5" s="11" t="str">
        <f>HYPERLINK("http://wildlife.rescueshelter.com/Maryland","http://wildlife.rescueshelter.com/Maryland")</f>
        <v>http://wildlife.rescueshelter.com/Maryland</v>
      </c>
      <c r="E5" s="34"/>
      <c r="F5" s="34"/>
    </row>
    <row r="6" spans="1:6" ht="15" customHeight="1">
      <c r="A6" s="34"/>
      <c r="B6" s="34"/>
      <c r="C6" s="34"/>
      <c r="D6" s="34"/>
      <c r="E6" s="34"/>
      <c r="F6" s="34"/>
    </row>
    <row r="7" spans="1:6">
      <c r="A7" s="79" t="s">
        <v>181</v>
      </c>
      <c r="B7" s="79" t="s">
        <v>147</v>
      </c>
      <c r="C7" s="79" t="s">
        <v>148</v>
      </c>
      <c r="D7" s="79" t="s">
        <v>182</v>
      </c>
      <c r="E7" s="79" t="s">
        <v>184</v>
      </c>
      <c r="F7" s="34"/>
    </row>
    <row r="8" spans="1:6" ht="15" customHeight="1">
      <c r="A8" s="34" t="s">
        <v>7588</v>
      </c>
      <c r="B8" s="34" t="s">
        <v>7589</v>
      </c>
      <c r="C8" s="34" t="s">
        <v>7590</v>
      </c>
      <c r="D8" s="34" t="s">
        <v>7591</v>
      </c>
      <c r="E8" s="34" t="s">
        <v>7588</v>
      </c>
      <c r="F8" s="34"/>
    </row>
    <row r="9" spans="1:6" ht="15" customHeight="1">
      <c r="A9" s="34" t="s">
        <v>7592</v>
      </c>
      <c r="B9" s="34" t="s">
        <v>7593</v>
      </c>
      <c r="C9" s="34" t="s">
        <v>7594</v>
      </c>
      <c r="D9" s="34" t="s">
        <v>7595</v>
      </c>
      <c r="E9" s="34" t="s">
        <v>7596</v>
      </c>
      <c r="F9" s="34" t="s">
        <v>7597</v>
      </c>
    </row>
    <row r="10" spans="1:6" ht="15" customHeight="1">
      <c r="A10" s="34" t="s">
        <v>7598</v>
      </c>
      <c r="B10" s="34" t="s">
        <v>7599</v>
      </c>
      <c r="C10" s="34" t="s">
        <v>7600</v>
      </c>
      <c r="D10" s="34" t="s">
        <v>7601</v>
      </c>
      <c r="E10" s="34" t="s">
        <v>516</v>
      </c>
      <c r="F10" s="34" t="s">
        <v>7597</v>
      </c>
    </row>
    <row r="11" spans="1:6" ht="15" customHeight="1">
      <c r="A11" s="34" t="s">
        <v>7602</v>
      </c>
      <c r="B11" s="34" t="s">
        <v>7599</v>
      </c>
      <c r="C11" s="34" t="s">
        <v>7600</v>
      </c>
      <c r="D11" s="34" t="s">
        <v>7601</v>
      </c>
      <c r="E11" s="34" t="s">
        <v>516</v>
      </c>
      <c r="F11" s="34" t="s">
        <v>7597</v>
      </c>
    </row>
    <row r="12" spans="1:6" ht="15" customHeight="1">
      <c r="A12" s="34" t="s">
        <v>7603</v>
      </c>
      <c r="B12" s="34" t="s">
        <v>7604</v>
      </c>
      <c r="C12" s="34" t="s">
        <v>7605</v>
      </c>
      <c r="D12" s="34" t="s">
        <v>7606</v>
      </c>
      <c r="E12" s="34" t="s">
        <v>7607</v>
      </c>
      <c r="F12" s="34" t="s">
        <v>7597</v>
      </c>
    </row>
    <row r="13" spans="1:6" ht="15" customHeight="1">
      <c r="A13" s="34" t="s">
        <v>7608</v>
      </c>
      <c r="B13" s="34" t="s">
        <v>7609</v>
      </c>
      <c r="C13" s="34"/>
      <c r="D13" s="34"/>
      <c r="E13" s="34"/>
      <c r="F13" s="34"/>
    </row>
    <row r="14" spans="1:6" ht="15" customHeight="1">
      <c r="A14" s="34"/>
      <c r="B14" s="34"/>
      <c r="C14" s="34"/>
      <c r="D14" s="34"/>
      <c r="E14" s="34"/>
      <c r="F14" s="34"/>
    </row>
    <row r="15" spans="1:6">
      <c r="A15" s="79" t="s">
        <v>209</v>
      </c>
      <c r="B15" s="79" t="s">
        <v>147</v>
      </c>
      <c r="C15" s="79" t="s">
        <v>148</v>
      </c>
      <c r="D15" s="79" t="s">
        <v>182</v>
      </c>
      <c r="E15" s="34"/>
      <c r="F15" s="34"/>
    </row>
    <row r="16" spans="1:6">
      <c r="A16" s="67" t="s">
        <v>7610</v>
      </c>
      <c r="B16" s="34"/>
      <c r="C16" s="34"/>
      <c r="D16" s="11" t="str">
        <f>HYPERLINK("http://gov.allconet.org/DES/index.htm","http://gov.allconet.org/DES/index.htm")</f>
        <v>http://gov.allconet.org/DES/index.htm</v>
      </c>
      <c r="E16" s="34"/>
      <c r="F16" s="34"/>
    </row>
    <row r="17" spans="1:6">
      <c r="A17" s="67" t="s">
        <v>7611</v>
      </c>
      <c r="B17" s="70" t="s">
        <v>7612</v>
      </c>
      <c r="C17" s="67" t="s">
        <v>7613</v>
      </c>
      <c r="D17" s="67" t="s">
        <v>7614</v>
      </c>
      <c r="E17" s="34"/>
      <c r="F17" s="34"/>
    </row>
    <row r="18" spans="1:6">
      <c r="A18" s="67" t="s">
        <v>7588</v>
      </c>
      <c r="B18" s="70" t="s">
        <v>7615</v>
      </c>
      <c r="C18" s="11" t="str">
        <f>HYPERLINK("http://www.facebook.com/Baltimorecounty?v=wall","http://www.facebook.com/Baltimorecounty?v=wall")</f>
        <v>http://www.facebook.com/Baltimorecounty?v=wall</v>
      </c>
      <c r="D18" s="11" t="str">
        <f>HYPERLINK("http://www.baltimorecountymd.gov/Agencies/emergency_prep/index.html","http://www.baltimorecountymd.gov/Agencies/emergency_prep/index.html")</f>
        <v>http://www.baltimorecountymd.gov/Agencies/emergency_prep/index.html</v>
      </c>
      <c r="E18" s="34"/>
      <c r="F18" s="34"/>
    </row>
    <row r="19" spans="1:6">
      <c r="A19" s="67" t="s">
        <v>7616</v>
      </c>
      <c r="B19" s="70" t="s">
        <v>7617</v>
      </c>
      <c r="C19" s="11" t="str">
        <f>HYPERLINK("http://www.facebook.com/pages/Baltimore-City-Mayors-Office-of-Emergency-Management/107671908760","http://www.facebook.com/pages/Baltimore-City-Mayors-Office-of-Emergency-Management/107671908760")</f>
        <v>http://www.facebook.com/pages/Baltimore-City-Mayors-Office-of-Emergency-Management/107671908760</v>
      </c>
      <c r="D19" s="67" t="s">
        <v>7618</v>
      </c>
      <c r="E19" s="34"/>
      <c r="F19" s="34"/>
    </row>
    <row r="20" spans="1:6">
      <c r="A20" s="67" t="s">
        <v>7619</v>
      </c>
      <c r="B20" s="34"/>
      <c r="C20" s="34"/>
      <c r="D20" s="67" t="s">
        <v>7620</v>
      </c>
      <c r="E20" s="34"/>
      <c r="F20" s="34"/>
    </row>
    <row r="21" spans="1:6">
      <c r="A21" s="67" t="s">
        <v>7621</v>
      </c>
      <c r="B21" s="70" t="s">
        <v>7622</v>
      </c>
      <c r="C21" s="67" t="s">
        <v>7623</v>
      </c>
      <c r="D21" s="67" t="s">
        <v>7624</v>
      </c>
      <c r="E21" s="34"/>
      <c r="F21" s="34"/>
    </row>
    <row r="22" spans="1:6">
      <c r="A22" s="67" t="s">
        <v>7625</v>
      </c>
      <c r="B22" s="34"/>
      <c r="C22" s="34"/>
      <c r="D22" s="67" t="s">
        <v>7626</v>
      </c>
      <c r="E22" s="34"/>
      <c r="F22" s="34"/>
    </row>
    <row r="23" spans="1:6">
      <c r="A23" s="67" t="s">
        <v>7627</v>
      </c>
      <c r="B23" s="70" t="s">
        <v>7628</v>
      </c>
      <c r="C23" s="67" t="s">
        <v>7629</v>
      </c>
      <c r="D23" s="67" t="s">
        <v>7630</v>
      </c>
      <c r="E23" s="34"/>
      <c r="F23" s="34"/>
    </row>
    <row r="24" spans="1:6">
      <c r="A24" s="67" t="s">
        <v>7607</v>
      </c>
      <c r="B24" s="34"/>
      <c r="C24" s="67" t="s">
        <v>7631</v>
      </c>
      <c r="D24" s="67" t="s">
        <v>7632</v>
      </c>
      <c r="E24" s="34"/>
      <c r="F24" s="34"/>
    </row>
    <row r="25" spans="1:6">
      <c r="A25" s="67" t="s">
        <v>7633</v>
      </c>
      <c r="B25" s="34"/>
      <c r="C25" s="34"/>
      <c r="D25" s="67" t="s">
        <v>7634</v>
      </c>
      <c r="E25" s="34"/>
      <c r="F25" s="34"/>
    </row>
    <row r="26" spans="1:6">
      <c r="A26" s="67" t="s">
        <v>7635</v>
      </c>
      <c r="B26" s="70" t="s">
        <v>7636</v>
      </c>
      <c r="C26" s="67" t="s">
        <v>7637</v>
      </c>
      <c r="D26" s="67" t="s">
        <v>7638</v>
      </c>
      <c r="E26" s="34"/>
      <c r="F26" s="34"/>
    </row>
    <row r="27" spans="1:6">
      <c r="A27" s="67" t="s">
        <v>7639</v>
      </c>
      <c r="B27" s="34"/>
      <c r="C27" s="34"/>
      <c r="D27" s="67" t="s">
        <v>7640</v>
      </c>
      <c r="E27" s="34"/>
      <c r="F27" s="34"/>
    </row>
    <row r="28" spans="1:6">
      <c r="A28" s="67" t="s">
        <v>7641</v>
      </c>
      <c r="B28" s="67" t="s">
        <v>7642</v>
      </c>
      <c r="C28" s="67" t="s">
        <v>7643</v>
      </c>
      <c r="D28" s="67" t="s">
        <v>7644</v>
      </c>
      <c r="E28" s="34"/>
      <c r="F28" s="34"/>
    </row>
    <row r="29" spans="1:6">
      <c r="A29" s="67" t="s">
        <v>7596</v>
      </c>
      <c r="B29" s="70" t="s">
        <v>7593</v>
      </c>
      <c r="C29" s="11" t="str">
        <f>HYPERLINK("http://www.facebook.com/hocogov","http://www.facebook.com/hocogov")</f>
        <v>http://www.facebook.com/hocogov</v>
      </c>
      <c r="D29" s="11" t="str">
        <f>HYPERLINK("http://www.co.ho.md.us/departments.aspx?ID=6442464865","http://www.co.ho.md.us/departments.aspx?ID=6442464865")</f>
        <v>http://www.co.ho.md.us/departments.aspx?ID=6442464865</v>
      </c>
      <c r="E29" s="34"/>
      <c r="F29" s="34"/>
    </row>
    <row r="30" spans="1:6">
      <c r="A30" s="67" t="s">
        <v>3743</v>
      </c>
      <c r="B30" s="34"/>
      <c r="C30" s="11" t="str">
        <f>HYPERLINK("http://www.facebook.com/KentCoMDOES","http://www.facebook.com/KentCoMDOES")</f>
        <v>http://www.facebook.com/KentCoMDOES</v>
      </c>
      <c r="D30" s="67" t="s">
        <v>7645</v>
      </c>
      <c r="E30" s="34"/>
      <c r="F30" s="34"/>
    </row>
    <row r="31" spans="1:6">
      <c r="A31" s="67" t="s">
        <v>516</v>
      </c>
      <c r="B31" s="70" t="s">
        <v>7646</v>
      </c>
      <c r="C31" s="11" t="str">
        <f>HYPERLINK("http://www.facebook.com/pages/Montgomery-County-MD-Office-of-Emergency-Management-Homeland-Security/106493569384317","http://www.facebook.com/pages/Montgomery-County-MD-Office-of-Emergency-Management-Homeland-Security/106493569384317")</f>
        <v>http://www.facebook.com/pages/Montgomery-County-MD-Office-of-Emergency-Management-Homeland-Security/106493569384317</v>
      </c>
      <c r="D31" s="11" t="str">
        <f>HYPERLINK("http://www6.montgomerycountymd.gov/oemtmpl.asp?url=/content/homelandsecurity/index.asp","http://www6.montgomerycountymd.gov/oemtmpl.asp?url=/content/homelandsecurity/index.asp")</f>
        <v>http://www6.montgomerycountymd.gov/oemtmpl.asp?url=/content/homelandsecurity/index.asp</v>
      </c>
      <c r="E31" s="34" t="s">
        <v>7647</v>
      </c>
      <c r="F31" s="34"/>
    </row>
    <row r="32" spans="1:6">
      <c r="A32" s="67" t="s">
        <v>7648</v>
      </c>
      <c r="B32" s="70" t="s">
        <v>7649</v>
      </c>
      <c r="C32" s="67" t="s">
        <v>7650</v>
      </c>
      <c r="D32" s="67" t="s">
        <v>7651</v>
      </c>
      <c r="E32" s="34"/>
      <c r="F32" s="34"/>
    </row>
    <row r="33" spans="1:6">
      <c r="A33" s="67" t="s">
        <v>7652</v>
      </c>
      <c r="B33" s="34"/>
      <c r="C33" s="67" t="s">
        <v>7653</v>
      </c>
      <c r="D33" s="67" t="s">
        <v>7654</v>
      </c>
      <c r="E33" s="34"/>
      <c r="F33" s="34"/>
    </row>
    <row r="34" spans="1:6">
      <c r="A34" s="67" t="s">
        <v>7655</v>
      </c>
      <c r="B34" s="34"/>
      <c r="C34" s="67" t="s">
        <v>7656</v>
      </c>
      <c r="D34" s="67" t="s">
        <v>7657</v>
      </c>
      <c r="E34" s="34"/>
      <c r="F34" s="34"/>
    </row>
    <row r="35" spans="1:6">
      <c r="A35" s="67" t="s">
        <v>7658</v>
      </c>
      <c r="B35" s="34"/>
      <c r="C35" s="34"/>
      <c r="D35" s="67" t="s">
        <v>7659</v>
      </c>
      <c r="E35" s="34"/>
      <c r="F35" s="34"/>
    </row>
    <row r="36" spans="1:6">
      <c r="A36" s="67" t="s">
        <v>7660</v>
      </c>
      <c r="B36" s="34"/>
      <c r="C36" s="34"/>
      <c r="D36" s="67" t="s">
        <v>7661</v>
      </c>
      <c r="E36" s="34"/>
      <c r="F36" s="34"/>
    </row>
    <row r="37" spans="1:6">
      <c r="A37" s="67" t="s">
        <v>330</v>
      </c>
      <c r="B37" s="34"/>
      <c r="C37" s="67" t="s">
        <v>7662</v>
      </c>
      <c r="D37" s="67" t="s">
        <v>7663</v>
      </c>
      <c r="E37" s="34"/>
      <c r="F37" s="34"/>
    </row>
    <row r="38" spans="1:6">
      <c r="A38" s="67" t="s">
        <v>7664</v>
      </c>
      <c r="B38" s="70" t="s">
        <v>7665</v>
      </c>
      <c r="C38" s="67" t="s">
        <v>7666</v>
      </c>
      <c r="D38" s="67" t="s">
        <v>7667</v>
      </c>
      <c r="E38" s="34"/>
      <c r="F38" s="34"/>
    </row>
    <row r="39" spans="1:6">
      <c r="A39" s="67" t="s">
        <v>7668</v>
      </c>
      <c r="B39" s="70" t="s">
        <v>7669</v>
      </c>
      <c r="C39" s="34"/>
      <c r="D39" s="67" t="s">
        <v>7670</v>
      </c>
      <c r="E39" s="34"/>
      <c r="F39" s="34"/>
    </row>
    <row r="40" spans="1:6" ht="15" customHeight="1">
      <c r="A40" s="34"/>
      <c r="B40" s="34"/>
      <c r="C40" s="34"/>
      <c r="D40" s="34"/>
      <c r="E40" s="34"/>
      <c r="F40" s="34"/>
    </row>
    <row r="41" spans="1:6">
      <c r="A41" s="79" t="s">
        <v>333</v>
      </c>
      <c r="B41" s="79" t="s">
        <v>147</v>
      </c>
      <c r="C41" s="79" t="s">
        <v>148</v>
      </c>
      <c r="D41" s="79" t="s">
        <v>182</v>
      </c>
      <c r="E41" s="34"/>
      <c r="F41" s="34"/>
    </row>
    <row r="42" spans="1:6">
      <c r="A42" s="67" t="s">
        <v>7671</v>
      </c>
      <c r="B42" s="70" t="s">
        <v>3895</v>
      </c>
      <c r="C42" s="67" t="s">
        <v>3896</v>
      </c>
      <c r="D42" s="67" t="s">
        <v>3897</v>
      </c>
      <c r="E42" s="34"/>
      <c r="F42" s="34"/>
    </row>
    <row r="43" spans="1:6">
      <c r="A43" s="67" t="s">
        <v>7672</v>
      </c>
      <c r="B43" s="70" t="s">
        <v>7673</v>
      </c>
      <c r="C43" s="67" t="s">
        <v>7674</v>
      </c>
      <c r="D43" s="67" t="s">
        <v>7675</v>
      </c>
      <c r="E43" s="34"/>
      <c r="F43" s="34"/>
    </row>
    <row r="44" spans="1:6">
      <c r="A44" s="67" t="s">
        <v>3794</v>
      </c>
      <c r="B44" s="34"/>
      <c r="C44" s="34"/>
      <c r="D44" s="67" t="s">
        <v>7676</v>
      </c>
      <c r="E44" s="34"/>
      <c r="F44" s="34"/>
    </row>
    <row r="45" spans="1:6">
      <c r="A45" s="67" t="s">
        <v>7677</v>
      </c>
      <c r="B45" s="34"/>
      <c r="C45" s="34"/>
      <c r="D45" s="67" t="s">
        <v>7678</v>
      </c>
      <c r="E45" s="34"/>
      <c r="F45" s="34"/>
    </row>
    <row r="46" spans="1:6">
      <c r="A46" s="67" t="s">
        <v>7679</v>
      </c>
      <c r="B46" s="70" t="s">
        <v>7680</v>
      </c>
      <c r="C46" s="67" t="s">
        <v>7681</v>
      </c>
      <c r="D46" s="67" t="s">
        <v>7682</v>
      </c>
      <c r="E46" s="34"/>
      <c r="F46" s="34"/>
    </row>
    <row r="47" spans="1:6">
      <c r="A47" s="67" t="s">
        <v>7683</v>
      </c>
      <c r="B47" s="34"/>
      <c r="C47" s="34"/>
      <c r="D47" s="67" t="s">
        <v>7684</v>
      </c>
      <c r="E47" s="34"/>
      <c r="F47" s="34"/>
    </row>
    <row r="48" spans="1:6">
      <c r="A48" s="67" t="s">
        <v>7685</v>
      </c>
      <c r="B48" s="67" t="s">
        <v>7686</v>
      </c>
      <c r="C48" s="67" t="s">
        <v>7687</v>
      </c>
      <c r="D48" s="67" t="s">
        <v>7688</v>
      </c>
      <c r="E48" s="34"/>
      <c r="F48" s="34"/>
    </row>
    <row r="49" spans="1:6" ht="15" customHeight="1">
      <c r="A49" s="34"/>
      <c r="B49" s="34"/>
      <c r="C49" s="34"/>
      <c r="D49" s="34"/>
      <c r="E49" s="34"/>
      <c r="F49" s="34"/>
    </row>
    <row r="50" spans="1:6">
      <c r="A50" s="79" t="s">
        <v>878</v>
      </c>
      <c r="B50" s="79" t="s">
        <v>147</v>
      </c>
      <c r="C50" s="79" t="s">
        <v>148</v>
      </c>
      <c r="D50" s="79" t="s">
        <v>182</v>
      </c>
      <c r="E50" s="34"/>
      <c r="F50" s="34"/>
    </row>
    <row r="51" spans="1:6">
      <c r="A51" s="67" t="s">
        <v>7689</v>
      </c>
      <c r="B51" s="70" t="s">
        <v>3922</v>
      </c>
      <c r="C51" s="67" t="s">
        <v>7690</v>
      </c>
      <c r="D51" s="67" t="s">
        <v>3924</v>
      </c>
      <c r="E51" s="34"/>
      <c r="F51" s="34"/>
    </row>
    <row r="52" spans="1:6">
      <c r="A52" s="67" t="s">
        <v>3919</v>
      </c>
      <c r="B52" s="70" t="s">
        <v>3917</v>
      </c>
      <c r="C52" s="34"/>
      <c r="D52" s="67" t="s">
        <v>3920</v>
      </c>
      <c r="E52" s="34"/>
      <c r="F52" s="34"/>
    </row>
    <row r="53" spans="1:6">
      <c r="A53" s="67" t="s">
        <v>7691</v>
      </c>
      <c r="B53" s="70" t="s">
        <v>3901</v>
      </c>
      <c r="C53" s="67" t="s">
        <v>3902</v>
      </c>
      <c r="D53" s="67" t="s">
        <v>3903</v>
      </c>
      <c r="E53" s="34"/>
      <c r="F53" s="34"/>
    </row>
    <row r="54" spans="1:6">
      <c r="A54" s="67" t="s">
        <v>3904</v>
      </c>
      <c r="B54" s="70" t="s">
        <v>3905</v>
      </c>
      <c r="C54" s="67" t="s">
        <v>3906</v>
      </c>
      <c r="D54" s="67" t="s">
        <v>3907</v>
      </c>
      <c r="E54" s="34"/>
      <c r="F54" s="34"/>
    </row>
    <row r="55" spans="1:6">
      <c r="A55" s="67" t="s">
        <v>7692</v>
      </c>
      <c r="B55" s="70" t="s">
        <v>3913</v>
      </c>
      <c r="C55" s="67" t="s">
        <v>3914</v>
      </c>
      <c r="D55" s="67" t="s">
        <v>3915</v>
      </c>
      <c r="E55" s="34"/>
      <c r="F55" s="34"/>
    </row>
    <row r="56" spans="1:6" ht="15" customHeight="1">
      <c r="A56" s="34"/>
      <c r="B56" s="34"/>
      <c r="C56" s="34"/>
      <c r="D56" s="34"/>
      <c r="E56" s="34"/>
      <c r="F56" s="34"/>
    </row>
    <row r="57" spans="1:6">
      <c r="A57" s="79" t="s">
        <v>388</v>
      </c>
      <c r="B57" s="79" t="s">
        <v>147</v>
      </c>
      <c r="C57" s="79" t="s">
        <v>148</v>
      </c>
      <c r="D57" s="79" t="s">
        <v>182</v>
      </c>
      <c r="E57" s="79" t="s">
        <v>490</v>
      </c>
      <c r="F57" s="34"/>
    </row>
    <row r="58" spans="1:6" ht="15" customHeight="1">
      <c r="A58" s="34" t="s">
        <v>7693</v>
      </c>
      <c r="B58" s="34" t="s">
        <v>787</v>
      </c>
      <c r="C58" s="34" t="s">
        <v>7694</v>
      </c>
      <c r="D58" s="34" t="s">
        <v>7695</v>
      </c>
      <c r="E58" s="34" t="s">
        <v>7696</v>
      </c>
      <c r="F58" s="34"/>
    </row>
    <row r="59" spans="1:6" ht="15" customHeight="1">
      <c r="A59" s="34" t="s">
        <v>7697</v>
      </c>
      <c r="B59" s="34" t="s">
        <v>7698</v>
      </c>
      <c r="C59" s="34"/>
      <c r="D59" s="34" t="s">
        <v>7699</v>
      </c>
      <c r="E59" s="34" t="s">
        <v>7588</v>
      </c>
      <c r="F59" s="34"/>
    </row>
    <row r="60" spans="1:6" ht="15" customHeight="1">
      <c r="A60" s="34" t="s">
        <v>7700</v>
      </c>
      <c r="B60" s="34" t="s">
        <v>787</v>
      </c>
      <c r="C60" s="34" t="s">
        <v>7701</v>
      </c>
      <c r="D60" s="34" t="s">
        <v>7702</v>
      </c>
      <c r="E60" s="34" t="s">
        <v>7703</v>
      </c>
      <c r="F60" s="34"/>
    </row>
    <row r="61" spans="1:6" ht="15" customHeight="1">
      <c r="A61" s="34" t="s">
        <v>7704</v>
      </c>
      <c r="B61" s="34" t="s">
        <v>7705</v>
      </c>
      <c r="C61" s="34" t="s">
        <v>7706</v>
      </c>
      <c r="D61" s="34" t="s">
        <v>7707</v>
      </c>
      <c r="E61" s="34" t="s">
        <v>7708</v>
      </c>
      <c r="F61" s="34"/>
    </row>
    <row r="62" spans="1:6" ht="15" customHeight="1">
      <c r="A62" s="34" t="s">
        <v>7709</v>
      </c>
      <c r="B62" s="34" t="s">
        <v>787</v>
      </c>
      <c r="C62" s="34" t="s">
        <v>787</v>
      </c>
      <c r="D62" s="34" t="s">
        <v>787</v>
      </c>
      <c r="E62" s="34" t="s">
        <v>7710</v>
      </c>
      <c r="F62" s="34"/>
    </row>
    <row r="63" spans="1:6" ht="15" customHeight="1">
      <c r="A63" s="34" t="s">
        <v>7711</v>
      </c>
      <c r="B63" s="34" t="s">
        <v>787</v>
      </c>
      <c r="C63" s="34" t="s">
        <v>787</v>
      </c>
      <c r="D63" s="34" t="s">
        <v>787</v>
      </c>
      <c r="E63" s="34" t="s">
        <v>7712</v>
      </c>
      <c r="F63" s="34"/>
    </row>
    <row r="64" spans="1:6" ht="15" customHeight="1">
      <c r="A64" s="34" t="s">
        <v>7713</v>
      </c>
      <c r="B64" s="34" t="s">
        <v>787</v>
      </c>
      <c r="C64" s="34" t="s">
        <v>7714</v>
      </c>
      <c r="D64" s="34" t="s">
        <v>7715</v>
      </c>
      <c r="E64" s="34" t="s">
        <v>7716</v>
      </c>
      <c r="F64" s="34"/>
    </row>
    <row r="65" spans="1:6" ht="15" customHeight="1">
      <c r="A65" s="34"/>
      <c r="B65" s="34"/>
      <c r="C65" s="34"/>
      <c r="D65" s="34"/>
      <c r="E65" s="34"/>
      <c r="F65" s="34"/>
    </row>
    <row r="66" spans="1:6">
      <c r="A66" s="79" t="s">
        <v>428</v>
      </c>
      <c r="B66" s="79" t="s">
        <v>147</v>
      </c>
      <c r="C66" s="79" t="s">
        <v>148</v>
      </c>
      <c r="D66" s="79" t="s">
        <v>182</v>
      </c>
      <c r="E66" s="34"/>
      <c r="F66" s="34"/>
    </row>
    <row r="67" spans="1:6">
      <c r="A67" s="67" t="s">
        <v>3931</v>
      </c>
      <c r="B67" s="67" t="s">
        <v>3932</v>
      </c>
      <c r="C67" s="67" t="s">
        <v>3933</v>
      </c>
      <c r="D67" s="67" t="s">
        <v>3934</v>
      </c>
      <c r="E67" s="34"/>
      <c r="F67" s="34"/>
    </row>
    <row r="68" spans="1:6">
      <c r="A68" s="67" t="s">
        <v>3935</v>
      </c>
      <c r="B68" s="70" t="s">
        <v>3936</v>
      </c>
      <c r="C68" s="67" t="s">
        <v>3937</v>
      </c>
      <c r="D68" s="67" t="s">
        <v>3938</v>
      </c>
      <c r="E68" s="34"/>
      <c r="F68" s="34"/>
    </row>
    <row r="69" spans="1:6">
      <c r="A69" s="67" t="s">
        <v>3939</v>
      </c>
      <c r="B69" s="70" t="s">
        <v>3940</v>
      </c>
      <c r="C69" s="67" t="s">
        <v>3941</v>
      </c>
      <c r="D69" s="67" t="s">
        <v>3942</v>
      </c>
      <c r="E69" s="34"/>
      <c r="F69" s="34"/>
    </row>
    <row r="70" spans="1:6">
      <c r="A70" s="67" t="s">
        <v>3943</v>
      </c>
      <c r="B70" s="70" t="s">
        <v>3944</v>
      </c>
      <c r="C70" s="67" t="s">
        <v>3945</v>
      </c>
      <c r="D70" s="67" t="s">
        <v>3946</v>
      </c>
      <c r="E70" s="34"/>
      <c r="F70" s="34"/>
    </row>
    <row r="71" spans="1:6">
      <c r="A71" s="67" t="s">
        <v>3947</v>
      </c>
      <c r="B71" s="70" t="s">
        <v>3948</v>
      </c>
      <c r="C71" s="67" t="s">
        <v>3949</v>
      </c>
      <c r="D71" s="67" t="s">
        <v>3950</v>
      </c>
      <c r="E71" s="34"/>
      <c r="F71" s="34"/>
    </row>
    <row r="72" spans="1:6">
      <c r="A72" s="67" t="s">
        <v>3951</v>
      </c>
      <c r="B72" s="70" t="s">
        <v>3952</v>
      </c>
      <c r="C72" s="67" t="s">
        <v>3953</v>
      </c>
      <c r="D72" s="67" t="s">
        <v>3954</v>
      </c>
      <c r="E72" s="34"/>
      <c r="F72" s="34"/>
    </row>
    <row r="73" spans="1:6">
      <c r="A73" s="67" t="s">
        <v>7717</v>
      </c>
      <c r="B73" s="70" t="s">
        <v>7718</v>
      </c>
      <c r="C73" s="67" t="s">
        <v>7719</v>
      </c>
      <c r="D73" s="67" t="s">
        <v>7720</v>
      </c>
      <c r="E73" s="34"/>
      <c r="F73" s="34"/>
    </row>
    <row r="74" spans="1:6">
      <c r="A74" s="67" t="s">
        <v>7721</v>
      </c>
      <c r="B74" s="70" t="s">
        <v>7722</v>
      </c>
      <c r="C74" s="67" t="s">
        <v>7723</v>
      </c>
      <c r="D74" s="67" t="s">
        <v>7724</v>
      </c>
      <c r="E74" s="34"/>
      <c r="F74" s="34"/>
    </row>
    <row r="75" spans="1:6">
      <c r="A75" s="67" t="s">
        <v>7725</v>
      </c>
      <c r="B75" s="34"/>
      <c r="C75" s="34"/>
      <c r="D75" s="67" t="s">
        <v>7726</v>
      </c>
      <c r="E75" s="34"/>
      <c r="F75" s="34"/>
    </row>
    <row r="76" spans="1:6">
      <c r="A76" s="67" t="s">
        <v>7727</v>
      </c>
      <c r="B76" s="70" t="s">
        <v>7728</v>
      </c>
      <c r="C76" s="67" t="s">
        <v>7729</v>
      </c>
      <c r="D76" s="67" t="s">
        <v>7730</v>
      </c>
      <c r="E76" s="34"/>
      <c r="F76" s="34"/>
    </row>
    <row r="77" spans="1:6">
      <c r="A77" s="67"/>
      <c r="B77" s="70"/>
      <c r="C77" s="67"/>
      <c r="D77" s="67"/>
      <c r="E77" s="34"/>
      <c r="F77" s="34"/>
    </row>
    <row r="78" spans="1:6">
      <c r="A78" s="79" t="s">
        <v>1593</v>
      </c>
      <c r="B78" s="79" t="s">
        <v>147</v>
      </c>
      <c r="C78" s="79" t="s">
        <v>148</v>
      </c>
      <c r="D78" s="79" t="s">
        <v>182</v>
      </c>
      <c r="E78" s="79" t="s">
        <v>490</v>
      </c>
      <c r="F78" s="34"/>
    </row>
    <row r="79" spans="1:6">
      <c r="A79" s="67" t="s">
        <v>7731</v>
      </c>
      <c r="B79" s="34" t="s">
        <v>7732</v>
      </c>
      <c r="C79" s="67"/>
      <c r="D79" s="67"/>
      <c r="E79" s="67"/>
      <c r="F79" s="34"/>
    </row>
    <row r="80" spans="1:6">
      <c r="A80" s="67" t="s">
        <v>7733</v>
      </c>
      <c r="B80" s="34" t="s">
        <v>7734</v>
      </c>
      <c r="C80" s="67" t="s">
        <v>7735</v>
      </c>
      <c r="D80" s="67" t="s">
        <v>7736</v>
      </c>
      <c r="E80" s="70" t="s">
        <v>7737</v>
      </c>
      <c r="F80" s="34"/>
    </row>
    <row r="81" spans="1:6">
      <c r="A81" s="67" t="s">
        <v>7738</v>
      </c>
      <c r="B81" s="34" t="s">
        <v>7739</v>
      </c>
      <c r="C81" s="67" t="s">
        <v>7740</v>
      </c>
      <c r="D81" s="67" t="s">
        <v>7741</v>
      </c>
      <c r="E81" s="70" t="s">
        <v>7588</v>
      </c>
      <c r="F81" s="34"/>
    </row>
    <row r="82" spans="1:6">
      <c r="A82" s="67" t="s">
        <v>7742</v>
      </c>
      <c r="B82" s="34" t="s">
        <v>7743</v>
      </c>
      <c r="C82" s="67" t="s">
        <v>7744</v>
      </c>
      <c r="D82" s="67" t="s">
        <v>7745</v>
      </c>
      <c r="E82" s="70" t="s">
        <v>7746</v>
      </c>
      <c r="F82" s="34"/>
    </row>
    <row r="83" spans="1:6">
      <c r="A83" s="67" t="s">
        <v>7747</v>
      </c>
      <c r="B83" s="34" t="s">
        <v>7748</v>
      </c>
      <c r="C83" s="67" t="s">
        <v>7749</v>
      </c>
      <c r="D83" s="67" t="s">
        <v>7750</v>
      </c>
      <c r="E83" s="70" t="s">
        <v>7588</v>
      </c>
      <c r="F83" s="34"/>
    </row>
    <row r="84" spans="1:6">
      <c r="A84" s="67" t="s">
        <v>7751</v>
      </c>
      <c r="B84" s="34" t="s">
        <v>7752</v>
      </c>
      <c r="C84" s="67" t="s">
        <v>7753</v>
      </c>
      <c r="D84" s="67" t="s">
        <v>7754</v>
      </c>
      <c r="E84" s="70" t="s">
        <v>7755</v>
      </c>
      <c r="F84" s="34"/>
    </row>
    <row r="85" spans="1:6">
      <c r="A85" s="67" t="s">
        <v>7756</v>
      </c>
      <c r="B85" s="34" t="s">
        <v>7757</v>
      </c>
      <c r="C85" s="67" t="s">
        <v>7758</v>
      </c>
      <c r="D85" s="67" t="s">
        <v>7759</v>
      </c>
      <c r="E85" s="70" t="s">
        <v>7760</v>
      </c>
      <c r="F85" s="34"/>
    </row>
    <row r="86" spans="1:6">
      <c r="A86" s="67" t="s">
        <v>7761</v>
      </c>
      <c r="B86" s="34" t="s">
        <v>7762</v>
      </c>
      <c r="C86" s="67" t="s">
        <v>7763</v>
      </c>
      <c r="D86" s="67" t="s">
        <v>7764</v>
      </c>
      <c r="E86" s="70" t="s">
        <v>7765</v>
      </c>
      <c r="F86" s="34"/>
    </row>
    <row r="87" spans="1:6">
      <c r="A87" s="67" t="s">
        <v>7766</v>
      </c>
      <c r="B87" s="34" t="s">
        <v>7767</v>
      </c>
      <c r="C87" s="67" t="s">
        <v>7768</v>
      </c>
      <c r="D87" s="67" t="s">
        <v>7769</v>
      </c>
      <c r="E87" s="70" t="s">
        <v>7696</v>
      </c>
      <c r="F87" s="34"/>
    </row>
    <row r="88" spans="1:6">
      <c r="A88" s="67" t="s">
        <v>7770</v>
      </c>
      <c r="B88" s="34" t="s">
        <v>7771</v>
      </c>
      <c r="C88" s="67" t="s">
        <v>7772</v>
      </c>
      <c r="D88" s="67" t="s">
        <v>7773</v>
      </c>
      <c r="E88" s="70" t="s">
        <v>7588</v>
      </c>
      <c r="F88" s="34"/>
    </row>
    <row r="89" spans="1:6">
      <c r="A89" s="67" t="s">
        <v>7774</v>
      </c>
      <c r="B89" s="34" t="s">
        <v>7775</v>
      </c>
      <c r="C89" s="67" t="s">
        <v>7776</v>
      </c>
      <c r="D89" s="67" t="s">
        <v>7777</v>
      </c>
      <c r="E89" s="70" t="s">
        <v>7588</v>
      </c>
      <c r="F89" s="34"/>
    </row>
    <row r="90" spans="1:6">
      <c r="A90" s="67" t="s">
        <v>7778</v>
      </c>
      <c r="B90" s="34" t="s">
        <v>7779</v>
      </c>
      <c r="C90" s="67" t="s">
        <v>7780</v>
      </c>
      <c r="D90" s="67" t="s">
        <v>7781</v>
      </c>
      <c r="E90" s="70" t="s">
        <v>7782</v>
      </c>
      <c r="F90" s="34"/>
    </row>
    <row r="91" spans="1:6">
      <c r="A91" s="67" t="s">
        <v>7783</v>
      </c>
      <c r="B91" s="34" t="s">
        <v>7784</v>
      </c>
      <c r="C91" s="67" t="s">
        <v>7785</v>
      </c>
      <c r="D91" s="67" t="s">
        <v>7786</v>
      </c>
      <c r="E91" s="70" t="s">
        <v>7787</v>
      </c>
      <c r="F91" s="34"/>
    </row>
    <row r="92" spans="1:6">
      <c r="A92" s="67" t="s">
        <v>7788</v>
      </c>
      <c r="B92" s="34" t="s">
        <v>7789</v>
      </c>
      <c r="C92" s="67" t="s">
        <v>7790</v>
      </c>
      <c r="D92" s="67" t="s">
        <v>7791</v>
      </c>
      <c r="E92" s="70" t="s">
        <v>7792</v>
      </c>
      <c r="F92" s="34"/>
    </row>
    <row r="93" spans="1:6">
      <c r="A93" s="67" t="s">
        <v>7793</v>
      </c>
      <c r="B93" s="34" t="s">
        <v>7794</v>
      </c>
      <c r="C93" s="67" t="s">
        <v>7795</v>
      </c>
      <c r="D93" s="67" t="s">
        <v>7796</v>
      </c>
      <c r="E93" s="70" t="s">
        <v>6899</v>
      </c>
      <c r="F93" s="34"/>
    </row>
    <row r="94" spans="1:6">
      <c r="A94" s="67" t="s">
        <v>7797</v>
      </c>
      <c r="B94" s="34" t="s">
        <v>7798</v>
      </c>
      <c r="C94" s="67" t="s">
        <v>7799</v>
      </c>
      <c r="D94" s="67" t="s">
        <v>7800</v>
      </c>
      <c r="E94" s="70" t="s">
        <v>7801</v>
      </c>
      <c r="F94" s="34"/>
    </row>
    <row r="95" spans="1:6">
      <c r="A95" s="67" t="s">
        <v>7802</v>
      </c>
      <c r="B95" s="34" t="s">
        <v>7803</v>
      </c>
      <c r="C95" s="67" t="s">
        <v>7804</v>
      </c>
      <c r="D95" s="67" t="s">
        <v>7805</v>
      </c>
      <c r="E95" s="70" t="s">
        <v>7588</v>
      </c>
      <c r="F95" s="34"/>
    </row>
    <row r="96" spans="1:6">
      <c r="A96" s="67" t="s">
        <v>7806</v>
      </c>
      <c r="B96" s="34" t="s">
        <v>7807</v>
      </c>
      <c r="C96" s="67" t="s">
        <v>7808</v>
      </c>
      <c r="D96" s="67" t="s">
        <v>7809</v>
      </c>
      <c r="E96" s="70" t="s">
        <v>7810</v>
      </c>
      <c r="F96" s="34"/>
    </row>
    <row r="97" spans="1:6">
      <c r="A97" s="67" t="s">
        <v>7811</v>
      </c>
      <c r="B97" s="67" t="s">
        <v>7812</v>
      </c>
      <c r="C97" t="s">
        <v>7813</v>
      </c>
      <c r="D97" s="67" t="s">
        <v>7814</v>
      </c>
      <c r="E97" s="70" t="s">
        <v>7815</v>
      </c>
      <c r="F97" s="34"/>
    </row>
    <row r="98" spans="1:6">
      <c r="A98" s="67" t="s">
        <v>7816</v>
      </c>
      <c r="B98" s="34" t="s">
        <v>7817</v>
      </c>
      <c r="C98" s="67" t="s">
        <v>7818</v>
      </c>
      <c r="D98" s="67" t="s">
        <v>7819</v>
      </c>
      <c r="E98" s="70" t="s">
        <v>7820</v>
      </c>
      <c r="F98" s="34"/>
    </row>
    <row r="99" spans="1:6">
      <c r="A99" s="67" t="s">
        <v>7821</v>
      </c>
      <c r="B99" s="34" t="s">
        <v>7822</v>
      </c>
      <c r="C99" s="67" t="s">
        <v>7823</v>
      </c>
      <c r="D99" s="67" t="s">
        <v>7824</v>
      </c>
      <c r="E99" s="70" t="s">
        <v>7825</v>
      </c>
      <c r="F99" s="34"/>
    </row>
    <row r="100" spans="1:6">
      <c r="A100" s="67" t="s">
        <v>7826</v>
      </c>
      <c r="B100" s="34" t="s">
        <v>7827</v>
      </c>
      <c r="C100" s="67" t="s">
        <v>7828</v>
      </c>
      <c r="D100" s="67" t="s">
        <v>7829</v>
      </c>
      <c r="E100" s="70" t="s">
        <v>7830</v>
      </c>
      <c r="F100" s="34"/>
    </row>
    <row r="101" spans="1:6">
      <c r="A101" s="67" t="s">
        <v>7831</v>
      </c>
      <c r="B101" s="34" t="s">
        <v>7832</v>
      </c>
      <c r="C101" s="67" t="s">
        <v>7833</v>
      </c>
      <c r="D101" s="67" t="s">
        <v>7834</v>
      </c>
      <c r="E101" s="70" t="s">
        <v>7635</v>
      </c>
      <c r="F101" s="34"/>
    </row>
    <row r="102" spans="1:6">
      <c r="A102" s="67" t="s">
        <v>7835</v>
      </c>
      <c r="B102" s="34" t="s">
        <v>7836</v>
      </c>
      <c r="C102" s="67" t="s">
        <v>7837</v>
      </c>
      <c r="D102" s="67" t="s">
        <v>7838</v>
      </c>
      <c r="E102" s="70" t="s">
        <v>7839</v>
      </c>
      <c r="F102" s="34"/>
    </row>
    <row r="103" spans="1:6">
      <c r="A103" s="67" t="s">
        <v>7840</v>
      </c>
      <c r="B103" s="34" t="s">
        <v>7841</v>
      </c>
      <c r="C103" s="67" t="s">
        <v>7842</v>
      </c>
      <c r="D103" s="67" t="s">
        <v>7843</v>
      </c>
      <c r="E103" s="70" t="s">
        <v>7844</v>
      </c>
      <c r="F103" s="34"/>
    </row>
    <row r="104" spans="1:6">
      <c r="A104" s="67" t="s">
        <v>7845</v>
      </c>
      <c r="B104" s="34" t="s">
        <v>7846</v>
      </c>
      <c r="C104" s="67" t="s">
        <v>7847</v>
      </c>
      <c r="D104" s="67" t="s">
        <v>7848</v>
      </c>
      <c r="E104" s="70" t="s">
        <v>7849</v>
      </c>
      <c r="F104" s="34"/>
    </row>
    <row r="105" spans="1:6">
      <c r="A105" s="67" t="s">
        <v>7850</v>
      </c>
      <c r="B105" s="34" t="s">
        <v>7851</v>
      </c>
      <c r="C105" s="67" t="s">
        <v>7852</v>
      </c>
      <c r="D105" s="67" t="s">
        <v>7853</v>
      </c>
      <c r="E105" s="70" t="s">
        <v>7592</v>
      </c>
      <c r="F105" s="34"/>
    </row>
    <row r="106" spans="1:6">
      <c r="A106" s="67" t="s">
        <v>7854</v>
      </c>
      <c r="B106" s="34" t="s">
        <v>7855</v>
      </c>
      <c r="C106" s="67" t="s">
        <v>7856</v>
      </c>
      <c r="D106" s="67" t="s">
        <v>7857</v>
      </c>
      <c r="E106" s="70" t="s">
        <v>7858</v>
      </c>
      <c r="F106" s="34"/>
    </row>
    <row r="107" spans="1:6">
      <c r="A107" s="67" t="s">
        <v>7859</v>
      </c>
      <c r="B107" s="34" t="s">
        <v>7860</v>
      </c>
      <c r="C107" s="67" t="s">
        <v>7861</v>
      </c>
      <c r="D107" s="67" t="s">
        <v>7862</v>
      </c>
      <c r="E107" s="70" t="s">
        <v>7863</v>
      </c>
      <c r="F107" s="34"/>
    </row>
    <row r="108" spans="1:6">
      <c r="A108" s="67" t="s">
        <v>7864</v>
      </c>
      <c r="B108" s="34" t="s">
        <v>787</v>
      </c>
      <c r="C108" s="67" t="s">
        <v>7865</v>
      </c>
      <c r="D108" s="67" t="s">
        <v>7866</v>
      </c>
      <c r="E108" s="70" t="s">
        <v>7755</v>
      </c>
      <c r="F108" s="34"/>
    </row>
    <row r="109" spans="1:6">
      <c r="A109" s="67" t="s">
        <v>7867</v>
      </c>
      <c r="B109" s="34" t="s">
        <v>7868</v>
      </c>
      <c r="C109" s="67" t="s">
        <v>7869</v>
      </c>
      <c r="D109" s="67" t="s">
        <v>7870</v>
      </c>
      <c r="E109" s="34" t="s">
        <v>6991</v>
      </c>
      <c r="F109" s="34"/>
    </row>
    <row r="110" spans="1:6">
      <c r="A110" s="67" t="s">
        <v>7871</v>
      </c>
      <c r="B110" s="34" t="s">
        <v>7872</v>
      </c>
      <c r="C110" s="67" t="s">
        <v>7873</v>
      </c>
      <c r="D110" s="67" t="s">
        <v>7874</v>
      </c>
      <c r="E110" s="34" t="s">
        <v>7765</v>
      </c>
      <c r="F110" s="34"/>
    </row>
    <row r="111" spans="1:6">
      <c r="A111" s="67" t="s">
        <v>7875</v>
      </c>
      <c r="B111" s="34" t="s">
        <v>7876</v>
      </c>
      <c r="C111" s="67" t="s">
        <v>7877</v>
      </c>
      <c r="D111" s="67" t="s">
        <v>7878</v>
      </c>
      <c r="E111" s="34" t="s">
        <v>7635</v>
      </c>
      <c r="F111" s="34"/>
    </row>
    <row r="112" spans="1:6">
      <c r="A112" s="67" t="s">
        <v>7879</v>
      </c>
      <c r="B112" s="34" t="s">
        <v>7880</v>
      </c>
      <c r="C112" s="67" t="s">
        <v>7881</v>
      </c>
      <c r="D112" s="67" t="s">
        <v>7882</v>
      </c>
      <c r="E112" s="34" t="s">
        <v>7588</v>
      </c>
      <c r="F112" s="34"/>
    </row>
    <row r="113" spans="1:6">
      <c r="A113" s="67" t="s">
        <v>7883</v>
      </c>
      <c r="B113" s="34" t="s">
        <v>7884</v>
      </c>
      <c r="C113" s="67" t="s">
        <v>7885</v>
      </c>
      <c r="D113" s="67" t="s">
        <v>7886</v>
      </c>
      <c r="E113" s="34" t="s">
        <v>7588</v>
      </c>
      <c r="F113" s="34"/>
    </row>
    <row r="114" spans="1:6">
      <c r="A114" s="67" t="s">
        <v>7887</v>
      </c>
      <c r="B114" s="34" t="s">
        <v>7888</v>
      </c>
      <c r="C114" s="67" t="s">
        <v>7889</v>
      </c>
      <c r="D114" s="67" t="s">
        <v>7890</v>
      </c>
      <c r="E114" s="34" t="s">
        <v>7588</v>
      </c>
      <c r="F114" s="34"/>
    </row>
    <row r="115" spans="1:6">
      <c r="A115" s="67" t="s">
        <v>7891</v>
      </c>
      <c r="B115" s="34" t="s">
        <v>7892</v>
      </c>
      <c r="C115" s="67" t="s">
        <v>7893</v>
      </c>
      <c r="D115" s="67" t="s">
        <v>7894</v>
      </c>
      <c r="E115" s="34" t="s">
        <v>6991</v>
      </c>
      <c r="F115" s="34"/>
    </row>
    <row r="116" spans="1:6">
      <c r="A116" s="67" t="s">
        <v>7895</v>
      </c>
      <c r="B116" s="34" t="s">
        <v>7896</v>
      </c>
      <c r="C116" s="34" t="s">
        <v>7897</v>
      </c>
      <c r="D116" s="67" t="s">
        <v>7898</v>
      </c>
      <c r="E116" s="34" t="s">
        <v>7810</v>
      </c>
      <c r="F116" s="34"/>
    </row>
    <row r="117" spans="1:6">
      <c r="A117" s="67" t="s">
        <v>7899</v>
      </c>
      <c r="B117" s="34" t="s">
        <v>7900</v>
      </c>
      <c r="C117" s="67" t="s">
        <v>7901</v>
      </c>
      <c r="D117" s="67" t="s">
        <v>7902</v>
      </c>
      <c r="E117" s="34" t="s">
        <v>7903</v>
      </c>
      <c r="F117" s="34"/>
    </row>
    <row r="118" spans="1:6">
      <c r="A118" s="67" t="s">
        <v>7904</v>
      </c>
      <c r="B118" s="34" t="s">
        <v>7905</v>
      </c>
      <c r="C118" s="67" t="s">
        <v>7906</v>
      </c>
      <c r="D118" s="67" t="s">
        <v>7907</v>
      </c>
      <c r="E118" s="34" t="s">
        <v>7602</v>
      </c>
      <c r="F118" s="34"/>
    </row>
    <row r="119" spans="1:6">
      <c r="A119" s="67" t="s">
        <v>7908</v>
      </c>
      <c r="B119" s="34" t="s">
        <v>7909</v>
      </c>
      <c r="C119" s="67" t="s">
        <v>7910</v>
      </c>
      <c r="D119" s="67" t="s">
        <v>7911</v>
      </c>
      <c r="E119" s="34" t="s">
        <v>7588</v>
      </c>
      <c r="F119" s="34"/>
    </row>
    <row r="120" spans="1:6">
      <c r="A120" s="67" t="s">
        <v>7912</v>
      </c>
      <c r="B120" s="34" t="s">
        <v>7913</v>
      </c>
      <c r="C120" s="67" t="s">
        <v>7914</v>
      </c>
      <c r="D120" s="67" t="s">
        <v>7915</v>
      </c>
      <c r="E120" s="34" t="s">
        <v>7696</v>
      </c>
      <c r="F120" s="34"/>
    </row>
    <row r="121" spans="1:6">
      <c r="A121" s="67" t="s">
        <v>7916</v>
      </c>
      <c r="B121" s="34" t="s">
        <v>7917</v>
      </c>
      <c r="C121" s="67" t="s">
        <v>7918</v>
      </c>
      <c r="D121" s="67" t="s">
        <v>7919</v>
      </c>
      <c r="E121" s="34" t="s">
        <v>7920</v>
      </c>
      <c r="F121" s="34"/>
    </row>
    <row r="122" spans="1:6">
      <c r="A122" s="67" t="s">
        <v>7921</v>
      </c>
      <c r="B122" s="34" t="s">
        <v>787</v>
      </c>
      <c r="C122" s="34" t="s">
        <v>787</v>
      </c>
      <c r="D122" s="67" t="s">
        <v>7922</v>
      </c>
      <c r="E122" s="34" t="s">
        <v>7588</v>
      </c>
      <c r="F122" s="34"/>
    </row>
    <row r="123" spans="1:6">
      <c r="A123" s="67" t="s">
        <v>7923</v>
      </c>
      <c r="B123" s="34" t="s">
        <v>7924</v>
      </c>
      <c r="C123" s="67" t="s">
        <v>7925</v>
      </c>
      <c r="D123" s="67" t="s">
        <v>7926</v>
      </c>
      <c r="E123" s="34" t="s">
        <v>7927</v>
      </c>
      <c r="F123" s="34"/>
    </row>
    <row r="124" spans="1:6">
      <c r="A124" s="67" t="s">
        <v>7928</v>
      </c>
      <c r="B124" s="34" t="s">
        <v>7929</v>
      </c>
      <c r="C124" s="67" t="s">
        <v>7930</v>
      </c>
      <c r="D124" s="67" t="s">
        <v>7931</v>
      </c>
      <c r="E124" s="34" t="s">
        <v>7932</v>
      </c>
      <c r="F124" s="34"/>
    </row>
    <row r="125" spans="1:6">
      <c r="A125" s="67" t="s">
        <v>7933</v>
      </c>
      <c r="B125" s="34" t="s">
        <v>787</v>
      </c>
      <c r="C125" s="34" t="s">
        <v>787</v>
      </c>
      <c r="D125" s="67" t="s">
        <v>7934</v>
      </c>
      <c r="E125" s="34" t="s">
        <v>7935</v>
      </c>
      <c r="F125" s="34"/>
    </row>
    <row r="126" spans="1:6">
      <c r="A126" s="67" t="s">
        <v>7936</v>
      </c>
      <c r="B126" s="34" t="s">
        <v>787</v>
      </c>
      <c r="C126" s="34" t="s">
        <v>787</v>
      </c>
      <c r="D126" s="34" t="s">
        <v>787</v>
      </c>
      <c r="E126" s="34" t="s">
        <v>7588</v>
      </c>
      <c r="F126" s="34"/>
    </row>
    <row r="127" spans="1:6">
      <c r="A127" s="67" t="s">
        <v>7937</v>
      </c>
      <c r="B127" s="34" t="s">
        <v>787</v>
      </c>
      <c r="C127" s="34" t="s">
        <v>787</v>
      </c>
      <c r="D127" s="67" t="s">
        <v>7938</v>
      </c>
      <c r="E127" s="34" t="s">
        <v>7588</v>
      </c>
      <c r="F127" s="34"/>
    </row>
    <row r="128" spans="1:6">
      <c r="A128" s="67"/>
      <c r="B128" s="34"/>
      <c r="C128" s="67"/>
      <c r="D128" s="67"/>
      <c r="E128" s="70"/>
      <c r="F128"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D60"/>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7939</v>
      </c>
      <c r="B2" s="70" t="s">
        <v>7940</v>
      </c>
      <c r="D2" s="67" t="s">
        <v>7941</v>
      </c>
    </row>
    <row r="3" spans="1:4">
      <c r="A3" s="67" t="s">
        <v>7942</v>
      </c>
      <c r="B3" s="70" t="s">
        <v>7943</v>
      </c>
      <c r="C3" s="67" t="s">
        <v>7944</v>
      </c>
      <c r="D3" s="67" t="s">
        <v>7945</v>
      </c>
    </row>
    <row r="4" spans="1:4">
      <c r="A4" s="67" t="s">
        <v>7946</v>
      </c>
      <c r="D4" s="11" t="str">
        <f>HYPERLINK("http://www.mass.gov/eopss/","http://www.mass.gov/eopss/")</f>
        <v>http://www.mass.gov/eopss/</v>
      </c>
    </row>
    <row r="5" spans="1:4">
      <c r="A5" s="67" t="s">
        <v>7947</v>
      </c>
      <c r="D5" s="11" t="str">
        <f>HYPERLINK("http://wildlife.rescueshelter.com/Massachusetts","http://wildlife.rescueshelter.com/Massachusetts")</f>
        <v>http://wildlife.rescueshelter.com/Massachusetts</v>
      </c>
    </row>
    <row r="7" spans="1:4">
      <c r="A7" s="79" t="s">
        <v>209</v>
      </c>
      <c r="B7" s="79" t="s">
        <v>147</v>
      </c>
      <c r="C7" s="79" t="s">
        <v>148</v>
      </c>
      <c r="D7" s="79" t="s">
        <v>182</v>
      </c>
    </row>
    <row r="8" spans="1:4">
      <c r="A8" s="67" t="s">
        <v>7948</v>
      </c>
      <c r="D8" s="67" t="s">
        <v>7949</v>
      </c>
    </row>
    <row r="9" spans="1:4">
      <c r="A9" s="67" t="s">
        <v>7950</v>
      </c>
      <c r="B9" s="70" t="s">
        <v>7951</v>
      </c>
      <c r="C9" s="67" t="s">
        <v>7952</v>
      </c>
      <c r="D9" s="67" t="s">
        <v>7953</v>
      </c>
    </row>
    <row r="10" spans="1:4">
      <c r="A10" s="67" t="s">
        <v>7954</v>
      </c>
      <c r="D10" s="67" t="s">
        <v>7955</v>
      </c>
    </row>
    <row r="11" spans="1:4">
      <c r="A11" s="67" t="s">
        <v>7956</v>
      </c>
      <c r="D11" s="67" t="s">
        <v>7957</v>
      </c>
    </row>
    <row r="12" spans="1:4">
      <c r="A12" s="67" t="s">
        <v>7958</v>
      </c>
      <c r="D12" s="67" t="s">
        <v>7959</v>
      </c>
    </row>
    <row r="13" spans="1:4">
      <c r="A13" s="67" t="s">
        <v>5441</v>
      </c>
      <c r="D13" s="67" t="s">
        <v>7960</v>
      </c>
    </row>
    <row r="14" spans="1:4">
      <c r="A14" s="67" t="s">
        <v>7961</v>
      </c>
      <c r="C14" s="67" t="s">
        <v>7962</v>
      </c>
      <c r="D14" s="67" t="s">
        <v>7963</v>
      </c>
    </row>
    <row r="15" spans="1:4">
      <c r="A15" s="67" t="s">
        <v>7964</v>
      </c>
      <c r="B15" s="70" t="s">
        <v>7965</v>
      </c>
      <c r="C15" s="67" t="s">
        <v>7966</v>
      </c>
      <c r="D15" s="67" t="s">
        <v>7967</v>
      </c>
    </row>
    <row r="16" spans="1:4">
      <c r="A16" s="67" t="s">
        <v>7968</v>
      </c>
      <c r="B16" s="70" t="s">
        <v>7969</v>
      </c>
      <c r="D16" s="67" t="s">
        <v>7970</v>
      </c>
    </row>
    <row r="17" spans="1:4">
      <c r="A17" s="67" t="s">
        <v>7971</v>
      </c>
      <c r="D17" s="67" t="s">
        <v>7972</v>
      </c>
    </row>
    <row r="18" spans="1:4">
      <c r="A18" s="67" t="s">
        <v>7973</v>
      </c>
      <c r="D18" s="67" t="s">
        <v>7974</v>
      </c>
    </row>
    <row r="19" spans="1:4">
      <c r="A19" s="67" t="s">
        <v>6283</v>
      </c>
      <c r="D19" s="67" t="s">
        <v>7975</v>
      </c>
    </row>
    <row r="20" spans="1:4">
      <c r="A20" s="67" t="s">
        <v>7976</v>
      </c>
      <c r="D20" s="67" t="s">
        <v>7977</v>
      </c>
    </row>
    <row r="21" spans="1:4">
      <c r="A21" s="67" t="s">
        <v>7978</v>
      </c>
      <c r="B21" s="70" t="s">
        <v>7979</v>
      </c>
      <c r="C21" s="67" t="s">
        <v>7980</v>
      </c>
      <c r="D21" s="67" t="s">
        <v>7981</v>
      </c>
    </row>
    <row r="23" spans="1:4">
      <c r="A23" s="79" t="s">
        <v>333</v>
      </c>
      <c r="B23" s="79" t="s">
        <v>147</v>
      </c>
      <c r="C23" s="79" t="s">
        <v>148</v>
      </c>
      <c r="D23" s="79" t="s">
        <v>182</v>
      </c>
    </row>
    <row r="24" spans="1:4">
      <c r="A24" s="67" t="s">
        <v>7982</v>
      </c>
      <c r="B24" s="67"/>
      <c r="D24" s="67" t="s">
        <v>7983</v>
      </c>
    </row>
    <row r="25" spans="1:4">
      <c r="A25" s="67" t="s">
        <v>7984</v>
      </c>
      <c r="B25" s="67" t="s">
        <v>7985</v>
      </c>
      <c r="C25" s="67" t="s">
        <v>7986</v>
      </c>
      <c r="D25" s="67" t="s">
        <v>7987</v>
      </c>
    </row>
    <row r="26" spans="1:4">
      <c r="A26" s="67" t="s">
        <v>7988</v>
      </c>
      <c r="B26" s="67" t="s">
        <v>3383</v>
      </c>
      <c r="C26" s="67" t="s">
        <v>3384</v>
      </c>
      <c r="D26" s="67" t="s">
        <v>3385</v>
      </c>
    </row>
    <row r="27" spans="1:4">
      <c r="A27" s="67" t="s">
        <v>7989</v>
      </c>
      <c r="B27" s="67" t="s">
        <v>7990</v>
      </c>
      <c r="C27" s="67" t="s">
        <v>7991</v>
      </c>
      <c r="D27" s="67" t="s">
        <v>7992</v>
      </c>
    </row>
    <row r="28" spans="1:4">
      <c r="A28" s="67" t="s">
        <v>7993</v>
      </c>
      <c r="B28" s="67"/>
      <c r="D28" s="67" t="s">
        <v>7994</v>
      </c>
    </row>
    <row r="29" spans="1:4">
      <c r="A29" s="67" t="s">
        <v>7995</v>
      </c>
      <c r="B29" s="67"/>
      <c r="D29" s="67" t="s">
        <v>7996</v>
      </c>
    </row>
    <row r="30" spans="1:4">
      <c r="A30" s="67" t="s">
        <v>7997</v>
      </c>
      <c r="B30" s="67"/>
      <c r="D30" s="67" t="s">
        <v>7998</v>
      </c>
    </row>
    <row r="31" spans="1:4">
      <c r="A31" s="67" t="s">
        <v>7999</v>
      </c>
      <c r="B31" s="67" t="s">
        <v>8000</v>
      </c>
      <c r="D31" s="67" t="s">
        <v>8001</v>
      </c>
    </row>
    <row r="32" spans="1:4">
      <c r="A32" s="67" t="s">
        <v>8002</v>
      </c>
      <c r="B32" s="67"/>
      <c r="D32" s="67" t="s">
        <v>8003</v>
      </c>
    </row>
    <row r="34" spans="1:4">
      <c r="A34" s="79" t="s">
        <v>878</v>
      </c>
      <c r="B34" s="79" t="s">
        <v>147</v>
      </c>
      <c r="C34" s="79" t="s">
        <v>148</v>
      </c>
      <c r="D34" s="79" t="s">
        <v>182</v>
      </c>
    </row>
    <row r="35" spans="1:4">
      <c r="A35" s="67" t="s">
        <v>8004</v>
      </c>
      <c r="D35" s="67" t="s">
        <v>8005</v>
      </c>
    </row>
    <row r="36" spans="1:4">
      <c r="A36" s="67" t="s">
        <v>8006</v>
      </c>
      <c r="C36" s="67" t="s">
        <v>8007</v>
      </c>
      <c r="D36" s="67" t="s">
        <v>8008</v>
      </c>
    </row>
    <row r="37" spans="1:4">
      <c r="A37" s="67" t="s">
        <v>8009</v>
      </c>
      <c r="D37" s="67" t="s">
        <v>8010</v>
      </c>
    </row>
    <row r="38" spans="1:4">
      <c r="A38" s="67" t="s">
        <v>8011</v>
      </c>
      <c r="D38" s="67" t="s">
        <v>8012</v>
      </c>
    </row>
    <row r="39" spans="1:4">
      <c r="A39" s="67" t="s">
        <v>8013</v>
      </c>
      <c r="D39" s="67" t="s">
        <v>8014</v>
      </c>
    </row>
    <row r="40" spans="1:4">
      <c r="A40" s="67" t="s">
        <v>8015</v>
      </c>
      <c r="B40" s="70" t="s">
        <v>8016</v>
      </c>
      <c r="C40" s="67" t="s">
        <v>8017</v>
      </c>
      <c r="D40" s="67" t="s">
        <v>8018</v>
      </c>
    </row>
    <row r="41" spans="1:4">
      <c r="A41" s="67" t="s">
        <v>8019</v>
      </c>
      <c r="D41" s="67" t="s">
        <v>8020</v>
      </c>
    </row>
    <row r="43" spans="1:4">
      <c r="A43" s="79" t="s">
        <v>428</v>
      </c>
      <c r="B43" s="79" t="s">
        <v>147</v>
      </c>
      <c r="C43" s="79" t="s">
        <v>148</v>
      </c>
      <c r="D43" s="79" t="s">
        <v>182</v>
      </c>
    </row>
    <row r="44" spans="1:4">
      <c r="A44" s="67" t="s">
        <v>8021</v>
      </c>
      <c r="B44" s="70" t="s">
        <v>8022</v>
      </c>
      <c r="C44" s="67" t="s">
        <v>8023</v>
      </c>
      <c r="D44" s="67" t="s">
        <v>8024</v>
      </c>
    </row>
    <row r="45" spans="1:4">
      <c r="A45" s="67" t="s">
        <v>8025</v>
      </c>
      <c r="B45" s="70" t="s">
        <v>8022</v>
      </c>
      <c r="C45" s="67" t="s">
        <v>8023</v>
      </c>
      <c r="D45" s="67" t="s">
        <v>8024</v>
      </c>
    </row>
    <row r="46" spans="1:4">
      <c r="A46" s="67" t="s">
        <v>8026</v>
      </c>
      <c r="D46" s="67" t="s">
        <v>8027</v>
      </c>
    </row>
    <row r="47" spans="1:4">
      <c r="A47" s="67" t="s">
        <v>8028</v>
      </c>
      <c r="B47" s="70" t="s">
        <v>8029</v>
      </c>
      <c r="C47" s="67" t="s">
        <v>8030</v>
      </c>
      <c r="D47" s="67" t="s">
        <v>8031</v>
      </c>
    </row>
    <row r="48" spans="1:4">
      <c r="A48" s="67" t="s">
        <v>8032</v>
      </c>
      <c r="B48" s="70" t="s">
        <v>8033</v>
      </c>
      <c r="C48" s="67" t="s">
        <v>8034</v>
      </c>
      <c r="D48" s="67" t="s">
        <v>8035</v>
      </c>
    </row>
    <row r="49" spans="1:4">
      <c r="A49" s="67" t="s">
        <v>8036</v>
      </c>
      <c r="B49" s="70" t="s">
        <v>8037</v>
      </c>
      <c r="C49" s="67" t="s">
        <v>8038</v>
      </c>
      <c r="D49" s="67" t="s">
        <v>8039</v>
      </c>
    </row>
    <row r="50" spans="1:4">
      <c r="A50" s="67" t="s">
        <v>8040</v>
      </c>
      <c r="B50" s="70" t="s">
        <v>8041</v>
      </c>
      <c r="C50" s="67" t="s">
        <v>8042</v>
      </c>
      <c r="D50" s="67" t="s">
        <v>8043</v>
      </c>
    </row>
    <row r="51" spans="1:4">
      <c r="A51" s="67" t="s">
        <v>8044</v>
      </c>
      <c r="B51" s="70" t="s">
        <v>8045</v>
      </c>
      <c r="C51" s="67" t="s">
        <v>8046</v>
      </c>
      <c r="D51" s="67" t="s">
        <v>8047</v>
      </c>
    </row>
    <row r="52" spans="1:4">
      <c r="A52" s="67" t="s">
        <v>8048</v>
      </c>
      <c r="B52" s="70" t="s">
        <v>8049</v>
      </c>
      <c r="C52" s="67" t="s">
        <v>8050</v>
      </c>
      <c r="D52" s="67" t="s">
        <v>8051</v>
      </c>
    </row>
    <row r="53" spans="1:4">
      <c r="A53" s="67" t="s">
        <v>8052</v>
      </c>
      <c r="B53" s="70" t="s">
        <v>8053</v>
      </c>
      <c r="C53" s="67" t="s">
        <v>8054</v>
      </c>
      <c r="D53" s="67" t="s">
        <v>8055</v>
      </c>
    </row>
    <row r="54" spans="1:4">
      <c r="A54" s="67" t="s">
        <v>8056</v>
      </c>
      <c r="B54" s="70" t="s">
        <v>8057</v>
      </c>
      <c r="C54" s="67" t="s">
        <v>8058</v>
      </c>
      <c r="D54" s="67" t="s">
        <v>8059</v>
      </c>
    </row>
    <row r="55" spans="1:4">
      <c r="A55" s="67" t="s">
        <v>8060</v>
      </c>
      <c r="B55" s="70" t="s">
        <v>8061</v>
      </c>
      <c r="C55" s="67" t="s">
        <v>8062</v>
      </c>
      <c r="D55" s="67" t="s">
        <v>8063</v>
      </c>
    </row>
    <row r="56" spans="1:4">
      <c r="A56" s="67" t="s">
        <v>8064</v>
      </c>
      <c r="B56" s="70" t="s">
        <v>8065</v>
      </c>
      <c r="C56" s="67" t="s">
        <v>8066</v>
      </c>
      <c r="D56" s="67" t="s">
        <v>8067</v>
      </c>
    </row>
    <row r="57" spans="1:4">
      <c r="A57" s="67" t="s">
        <v>8068</v>
      </c>
      <c r="D57" s="67" t="s">
        <v>8069</v>
      </c>
    </row>
    <row r="58" spans="1:4">
      <c r="A58" s="67" t="s">
        <v>8070</v>
      </c>
      <c r="C58" s="67" t="s">
        <v>8071</v>
      </c>
      <c r="D58" s="67" t="s">
        <v>8072</v>
      </c>
    </row>
    <row r="59" spans="1:4">
      <c r="A59" s="67" t="s">
        <v>8073</v>
      </c>
      <c r="B59" s="70" t="s">
        <v>8074</v>
      </c>
      <c r="C59" s="67" t="s">
        <v>8075</v>
      </c>
      <c r="D59" s="67" t="s">
        <v>8076</v>
      </c>
    </row>
    <row r="60" spans="1:4">
      <c r="A60" s="67" t="s">
        <v>8077</v>
      </c>
      <c r="B60" s="70" t="s">
        <v>8078</v>
      </c>
      <c r="C60" s="67" t="s">
        <v>8079</v>
      </c>
      <c r="D60" s="67" t="s">
        <v>8080</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E1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5">
      <c r="A1" s="79" t="s">
        <v>146</v>
      </c>
      <c r="B1" s="79" t="s">
        <v>147</v>
      </c>
      <c r="C1" s="79" t="s">
        <v>148</v>
      </c>
      <c r="D1" s="79" t="s">
        <v>182</v>
      </c>
    </row>
    <row r="2" spans="1:5">
      <c r="A2" s="67" t="s">
        <v>8081</v>
      </c>
      <c r="B2" s="70" t="s">
        <v>8082</v>
      </c>
      <c r="C2" s="11" t="str">
        <f>HYPERLINK("https://www.facebook.com/Migovernment","https://www.facebook.com/Migovernment")</f>
        <v>https://www.facebook.com/Migovernment</v>
      </c>
      <c r="D2" s="67" t="s">
        <v>8083</v>
      </c>
    </row>
    <row r="3" spans="1:5">
      <c r="A3" s="67" t="s">
        <v>8084</v>
      </c>
      <c r="B3" s="70" t="s">
        <v>8085</v>
      </c>
      <c r="D3" s="11" t="str">
        <f>HYPERLINK("http://www.michigan.gov/homeland/","www.michigan.gov/homeland/")</f>
        <v>www.michigan.gov/homeland/</v>
      </c>
    </row>
    <row r="4" spans="1:5">
      <c r="A4" s="67" t="s">
        <v>8086</v>
      </c>
      <c r="D4" s="11" t="str">
        <f>HYPERLINK("http://wildlife.rescueshelter.com/Michigan","http://wildlife.rescueshelter.com/Michigan")</f>
        <v>http://wildlife.rescueshelter.com/Michigan</v>
      </c>
    </row>
    <row r="6" spans="1:5">
      <c r="A6" s="79" t="s">
        <v>990</v>
      </c>
      <c r="B6" s="79" t="s">
        <v>147</v>
      </c>
      <c r="C6" s="79" t="s">
        <v>148</v>
      </c>
      <c r="D6" s="79" t="s">
        <v>182</v>
      </c>
      <c r="E6" s="79" t="s">
        <v>490</v>
      </c>
    </row>
    <row r="14" spans="1:5">
      <c r="A14" s="79" t="s">
        <v>209</v>
      </c>
      <c r="B14" s="79" t="s">
        <v>147</v>
      </c>
      <c r="C14" s="79" t="s">
        <v>148</v>
      </c>
      <c r="D14" s="79" t="s">
        <v>182</v>
      </c>
    </row>
    <row r="15" spans="1:5">
      <c r="A15" s="67" t="s">
        <v>8087</v>
      </c>
    </row>
    <row r="16" spans="1:5">
      <c r="A16" s="67" t="s">
        <v>8088</v>
      </c>
    </row>
    <row r="17" spans="1:1">
      <c r="A17" s="67" t="s">
        <v>8089</v>
      </c>
    </row>
    <row r="18" spans="1:1">
      <c r="A18" s="67" t="s">
        <v>8090</v>
      </c>
    </row>
    <row r="19" spans="1:1">
      <c r="A19" s="67" t="s">
        <v>8091</v>
      </c>
    </row>
    <row r="20" spans="1:1">
      <c r="A20" s="67" t="s">
        <v>8092</v>
      </c>
    </row>
    <row r="21" spans="1:1">
      <c r="A21" s="67" t="s">
        <v>8093</v>
      </c>
    </row>
    <row r="22" spans="1:1">
      <c r="A22" s="67" t="s">
        <v>8094</v>
      </c>
    </row>
    <row r="23" spans="1:1">
      <c r="A23" s="67" t="s">
        <v>8095</v>
      </c>
    </row>
    <row r="24" spans="1:1">
      <c r="A24" s="67" t="s">
        <v>8096</v>
      </c>
    </row>
    <row r="25" spans="1:1">
      <c r="A25" s="67" t="s">
        <v>8097</v>
      </c>
    </row>
    <row r="26" spans="1:1">
      <c r="A26" s="67" t="s">
        <v>8098</v>
      </c>
    </row>
    <row r="27" spans="1:1">
      <c r="A27" s="67" t="s">
        <v>5389</v>
      </c>
    </row>
    <row r="28" spans="1:1">
      <c r="A28" s="67" t="s">
        <v>5393</v>
      </c>
    </row>
    <row r="29" spans="1:1">
      <c r="A29" s="67" t="s">
        <v>8099</v>
      </c>
    </row>
    <row r="30" spans="1:1">
      <c r="A30" s="67" t="s">
        <v>8100</v>
      </c>
    </row>
    <row r="31" spans="1:1">
      <c r="A31" s="67" t="s">
        <v>8101</v>
      </c>
    </row>
    <row r="32" spans="1:1">
      <c r="A32" s="67" t="s">
        <v>8102</v>
      </c>
    </row>
    <row r="33" spans="1:1">
      <c r="A33" s="32" t="s">
        <v>5405</v>
      </c>
    </row>
    <row r="34" spans="1:1">
      <c r="A34" s="67" t="s">
        <v>5413</v>
      </c>
    </row>
    <row r="35" spans="1:1">
      <c r="A35" s="67" t="s">
        <v>8103</v>
      </c>
    </row>
    <row r="36" spans="1:1">
      <c r="A36" s="67" t="s">
        <v>6168</v>
      </c>
    </row>
    <row r="37" spans="1:1">
      <c r="A37" s="67" t="s">
        <v>8104</v>
      </c>
    </row>
    <row r="38" spans="1:1">
      <c r="A38" s="67" t="s">
        <v>6176</v>
      </c>
    </row>
    <row r="39" spans="1:1">
      <c r="A39" s="32" t="s">
        <v>8105</v>
      </c>
    </row>
    <row r="40" spans="1:1">
      <c r="A40" s="67" t="s">
        <v>8106</v>
      </c>
    </row>
    <row r="41" spans="1:1">
      <c r="A41" s="67" t="s">
        <v>8107</v>
      </c>
    </row>
    <row r="42" spans="1:1">
      <c r="A42" s="32" t="s">
        <v>8108</v>
      </c>
    </row>
    <row r="43" spans="1:1">
      <c r="A43" s="67" t="s">
        <v>8109</v>
      </c>
    </row>
    <row r="44" spans="1:1">
      <c r="A44" s="67" t="s">
        <v>8110</v>
      </c>
    </row>
    <row r="45" spans="1:1">
      <c r="A45" s="67" t="s">
        <v>8111</v>
      </c>
    </row>
    <row r="46" spans="1:1">
      <c r="A46" s="67" t="s">
        <v>8112</v>
      </c>
    </row>
    <row r="47" spans="1:1">
      <c r="A47" s="67" t="s">
        <v>8113</v>
      </c>
    </row>
    <row r="48" spans="1:1">
      <c r="A48" s="67" t="s">
        <v>8114</v>
      </c>
    </row>
    <row r="49" spans="1:1">
      <c r="A49" s="67" t="s">
        <v>8115</v>
      </c>
    </row>
    <row r="50" spans="1:1">
      <c r="A50" s="67" t="s">
        <v>8116</v>
      </c>
    </row>
    <row r="51" spans="1:1">
      <c r="A51" s="67" t="s">
        <v>8117</v>
      </c>
    </row>
    <row r="52" spans="1:1">
      <c r="A52" s="67" t="s">
        <v>5466</v>
      </c>
    </row>
    <row r="53" spans="1:1">
      <c r="A53" s="67" t="s">
        <v>8118</v>
      </c>
    </row>
    <row r="54" spans="1:1">
      <c r="A54" s="67" t="s">
        <v>8119</v>
      </c>
    </row>
    <row r="55" spans="1:1">
      <c r="A55" s="67" t="s">
        <v>8120</v>
      </c>
    </row>
    <row r="56" spans="1:1">
      <c r="A56" s="67" t="s">
        <v>8121</v>
      </c>
    </row>
    <row r="57" spans="1:1">
      <c r="A57" s="67" t="s">
        <v>5486</v>
      </c>
    </row>
    <row r="58" spans="1:1">
      <c r="A58" s="67" t="s">
        <v>8122</v>
      </c>
    </row>
    <row r="59" spans="1:1">
      <c r="A59" s="67" t="s">
        <v>8123</v>
      </c>
    </row>
    <row r="60" spans="1:1">
      <c r="A60" s="67" t="s">
        <v>8124</v>
      </c>
    </row>
    <row r="61" spans="1:1">
      <c r="A61" s="67" t="s">
        <v>5498</v>
      </c>
    </row>
    <row r="62" spans="1:1">
      <c r="A62" s="67" t="s">
        <v>8125</v>
      </c>
    </row>
    <row r="63" spans="1:1">
      <c r="A63" s="67" t="s">
        <v>8126</v>
      </c>
    </row>
    <row r="64" spans="1:1">
      <c r="A64" s="67" t="s">
        <v>8127</v>
      </c>
    </row>
    <row r="65" spans="1:1">
      <c r="A65" s="67" t="s">
        <v>8128</v>
      </c>
    </row>
    <row r="66" spans="1:1">
      <c r="A66" s="67" t="s">
        <v>8129</v>
      </c>
    </row>
    <row r="67" spans="1:1">
      <c r="A67" s="67" t="s">
        <v>5511</v>
      </c>
    </row>
    <row r="68" spans="1:1">
      <c r="A68" s="67" t="s">
        <v>8130</v>
      </c>
    </row>
    <row r="69" spans="1:1">
      <c r="A69" s="67" t="s">
        <v>8131</v>
      </c>
    </row>
    <row r="70" spans="1:1">
      <c r="A70" s="67" t="s">
        <v>8132</v>
      </c>
    </row>
    <row r="71" spans="1:1">
      <c r="A71" s="67" t="s">
        <v>8133</v>
      </c>
    </row>
    <row r="72" spans="1:1">
      <c r="A72" s="67" t="s">
        <v>5524</v>
      </c>
    </row>
    <row r="73" spans="1:1">
      <c r="A73" s="67" t="s">
        <v>8134</v>
      </c>
    </row>
    <row r="74" spans="1:1">
      <c r="A74" s="67" t="s">
        <v>8135</v>
      </c>
    </row>
    <row r="75" spans="1:1">
      <c r="A75" s="67" t="s">
        <v>8136</v>
      </c>
    </row>
    <row r="76" spans="1:1">
      <c r="A76" s="67" t="s">
        <v>8137</v>
      </c>
    </row>
    <row r="77" spans="1:1">
      <c r="A77" s="67" t="s">
        <v>8138</v>
      </c>
    </row>
    <row r="78" spans="1:1">
      <c r="A78" s="67" t="s">
        <v>8139</v>
      </c>
    </row>
    <row r="79" spans="1:1">
      <c r="A79" s="67" t="s">
        <v>8140</v>
      </c>
    </row>
    <row r="80" spans="1:1">
      <c r="A80" s="67" t="s">
        <v>8141</v>
      </c>
    </row>
    <row r="81" spans="1:1">
      <c r="A81" s="67" t="s">
        <v>6275</v>
      </c>
    </row>
    <row r="82" spans="1:1">
      <c r="A82" s="67" t="s">
        <v>8142</v>
      </c>
    </row>
    <row r="83" spans="1:1">
      <c r="A83" s="67" t="s">
        <v>8143</v>
      </c>
    </row>
    <row r="84" spans="1:1">
      <c r="A84" s="67" t="s">
        <v>6640</v>
      </c>
    </row>
    <row r="85" spans="1:1">
      <c r="A85" s="67" t="s">
        <v>8144</v>
      </c>
    </row>
    <row r="86" spans="1:1">
      <c r="A86" s="67" t="s">
        <v>8145</v>
      </c>
    </row>
    <row r="87" spans="1:1">
      <c r="A87" s="67" t="s">
        <v>8146</v>
      </c>
    </row>
    <row r="88" spans="1:1">
      <c r="A88" s="67" t="s">
        <v>8147</v>
      </c>
    </row>
    <row r="89" spans="1:1">
      <c r="A89" s="67" t="s">
        <v>8148</v>
      </c>
    </row>
    <row r="90" spans="1:1">
      <c r="A90" s="67" t="s">
        <v>8149</v>
      </c>
    </row>
    <row r="91" spans="1:1">
      <c r="A91" s="67" t="s">
        <v>5556</v>
      </c>
    </row>
    <row r="92" spans="1:1">
      <c r="A92" s="67" t="s">
        <v>5922</v>
      </c>
    </row>
    <row r="93" spans="1:1">
      <c r="A93" s="67" t="s">
        <v>8150</v>
      </c>
    </row>
    <row r="94" spans="1:1">
      <c r="A94" s="67" t="s">
        <v>6334</v>
      </c>
    </row>
    <row r="95" spans="1:1">
      <c r="A95" s="67" t="s">
        <v>8151</v>
      </c>
    </row>
    <row r="96" spans="1:1">
      <c r="A96" s="67" t="s">
        <v>5573</v>
      </c>
    </row>
    <row r="97" spans="1:4">
      <c r="A97" s="67" t="s">
        <v>8152</v>
      </c>
    </row>
    <row r="99" spans="1:4">
      <c r="A99" s="79" t="s">
        <v>333</v>
      </c>
      <c r="B99" s="79" t="s">
        <v>147</v>
      </c>
      <c r="C99" s="79" t="s">
        <v>148</v>
      </c>
      <c r="D99" s="79" t="s">
        <v>182</v>
      </c>
    </row>
    <row r="100" spans="1:4">
      <c r="A100" s="67" t="s">
        <v>8153</v>
      </c>
    </row>
    <row r="101" spans="1:4">
      <c r="A101" s="67" t="s">
        <v>8154</v>
      </c>
    </row>
    <row r="102" spans="1:4">
      <c r="A102" s="67" t="s">
        <v>8155</v>
      </c>
    </row>
    <row r="103" spans="1:4">
      <c r="A103" s="67" t="s">
        <v>8156</v>
      </c>
    </row>
    <row r="104" spans="1:4">
      <c r="A104" s="67" t="s">
        <v>8157</v>
      </c>
    </row>
    <row r="105" spans="1:4">
      <c r="A105" s="67" t="s">
        <v>8158</v>
      </c>
    </row>
    <row r="106" spans="1:4">
      <c r="A106" s="67" t="s">
        <v>8159</v>
      </c>
    </row>
    <row r="107" spans="1:4">
      <c r="A107" s="67" t="s">
        <v>8160</v>
      </c>
    </row>
    <row r="108" spans="1:4">
      <c r="A108" s="67" t="s">
        <v>8161</v>
      </c>
    </row>
    <row r="109" spans="1:4">
      <c r="A109" s="67" t="s">
        <v>8162</v>
      </c>
    </row>
    <row r="110" spans="1:4">
      <c r="A110" s="67" t="s">
        <v>8163</v>
      </c>
    </row>
    <row r="111" spans="1:4">
      <c r="A111" s="67" t="s">
        <v>8164</v>
      </c>
    </row>
    <row r="112" spans="1:4">
      <c r="A112" s="67" t="s">
        <v>5989</v>
      </c>
    </row>
    <row r="113" spans="1:4">
      <c r="A113" s="67" t="s">
        <v>8165</v>
      </c>
    </row>
    <row r="114" spans="1:4">
      <c r="A114" s="67" t="s">
        <v>8166</v>
      </c>
    </row>
    <row r="115" spans="1:4">
      <c r="A115" s="67" t="s">
        <v>8167</v>
      </c>
    </row>
    <row r="116" spans="1:4">
      <c r="A116" s="67" t="s">
        <v>8168</v>
      </c>
    </row>
    <row r="118" spans="1:4">
      <c r="A118" s="79" t="s">
        <v>878</v>
      </c>
      <c r="B118" s="79" t="s">
        <v>147</v>
      </c>
      <c r="C118" s="79" t="s">
        <v>148</v>
      </c>
      <c r="D118" s="79" t="s">
        <v>182</v>
      </c>
    </row>
    <row r="119" spans="1:4">
      <c r="A119" s="67" t="s">
        <v>8169</v>
      </c>
      <c r="B119" t="s">
        <v>787</v>
      </c>
      <c r="C119" t="s">
        <v>8170</v>
      </c>
      <c r="D119" s="34" t="s">
        <v>8171</v>
      </c>
    </row>
    <row r="120" spans="1:4">
      <c r="A120" s="67" t="s">
        <v>8172</v>
      </c>
      <c r="B120" t="s">
        <v>8173</v>
      </c>
      <c r="C120" t="s">
        <v>8174</v>
      </c>
      <c r="D120" t="s">
        <v>8175</v>
      </c>
    </row>
    <row r="121" spans="1:4">
      <c r="A121" s="67" t="s">
        <v>8176</v>
      </c>
      <c r="B121" t="s">
        <v>8177</v>
      </c>
      <c r="C121" t="s">
        <v>8178</v>
      </c>
      <c r="D121" t="s">
        <v>8179</v>
      </c>
    </row>
    <row r="122" spans="1:4">
      <c r="A122" s="67" t="s">
        <v>8180</v>
      </c>
      <c r="B122" t="s">
        <v>787</v>
      </c>
      <c r="C122" t="s">
        <v>8181</v>
      </c>
      <c r="D122" t="s">
        <v>8182</v>
      </c>
    </row>
    <row r="123" spans="1:4">
      <c r="A123" s="67" t="s">
        <v>8183</v>
      </c>
      <c r="B123" t="s">
        <v>787</v>
      </c>
      <c r="C123" t="s">
        <v>787</v>
      </c>
      <c r="D123" t="s">
        <v>8184</v>
      </c>
    </row>
    <row r="124" spans="1:4">
      <c r="A124" s="67" t="s">
        <v>8185</v>
      </c>
      <c r="B124" t="s">
        <v>8186</v>
      </c>
      <c r="C124" t="s">
        <v>8187</v>
      </c>
      <c r="D124" t="s">
        <v>8188</v>
      </c>
    </row>
    <row r="125" spans="1:4">
      <c r="A125" s="67" t="s">
        <v>8189</v>
      </c>
      <c r="B125" t="s">
        <v>787</v>
      </c>
      <c r="C125" t="s">
        <v>8190</v>
      </c>
      <c r="D125" t="s">
        <v>8191</v>
      </c>
    </row>
    <row r="126" spans="1:4">
      <c r="A126" s="67" t="s">
        <v>8192</v>
      </c>
      <c r="B126" t="s">
        <v>787</v>
      </c>
      <c r="C126" t="s">
        <v>787</v>
      </c>
      <c r="D126" t="s">
        <v>8193</v>
      </c>
    </row>
    <row r="127" spans="1:4">
      <c r="A127" s="67" t="s">
        <v>8194</v>
      </c>
      <c r="B127" t="s">
        <v>787</v>
      </c>
      <c r="C127" t="s">
        <v>8195</v>
      </c>
      <c r="D127" t="s">
        <v>8196</v>
      </c>
    </row>
    <row r="128" spans="1:4">
      <c r="A128" s="67" t="s">
        <v>8197</v>
      </c>
      <c r="B128" t="s">
        <v>787</v>
      </c>
      <c r="C128" t="s">
        <v>787</v>
      </c>
      <c r="D128" t="s">
        <v>8198</v>
      </c>
    </row>
    <row r="129" spans="1:4">
      <c r="A129" s="67" t="s">
        <v>8199</v>
      </c>
      <c r="B129" t="s">
        <v>787</v>
      </c>
      <c r="C129" t="s">
        <v>787</v>
      </c>
      <c r="D129" t="s">
        <v>8200</v>
      </c>
    </row>
    <row r="130" spans="1:4">
      <c r="A130" s="67" t="s">
        <v>8201</v>
      </c>
      <c r="B130" t="s">
        <v>787</v>
      </c>
      <c r="C130" t="s">
        <v>787</v>
      </c>
      <c r="D130" t="s">
        <v>8202</v>
      </c>
    </row>
    <row r="131" spans="1:4">
      <c r="A131" s="67" t="s">
        <v>8203</v>
      </c>
      <c r="B131" t="s">
        <v>787</v>
      </c>
      <c r="C131" t="s">
        <v>787</v>
      </c>
      <c r="D131" t="s">
        <v>8204</v>
      </c>
    </row>
    <row r="133" spans="1:4">
      <c r="A133" s="79" t="s">
        <v>428</v>
      </c>
      <c r="B133" s="79" t="s">
        <v>147</v>
      </c>
      <c r="C133" s="79" t="s">
        <v>148</v>
      </c>
      <c r="D133"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D13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8205</v>
      </c>
      <c r="B2" s="58" t="s">
        <v>8206</v>
      </c>
      <c r="C2" s="67" t="s">
        <v>8207</v>
      </c>
      <c r="D2" s="67" t="s">
        <v>8208</v>
      </c>
    </row>
    <row r="3" spans="1:4">
      <c r="A3" s="67" t="s">
        <v>8209</v>
      </c>
      <c r="B3" s="67" t="str">
        <f>HYPERLINK("https://twitter.com/MnDPS_HSEM","@MnDPS_HSEM")</f>
        <v>@MnDPS_HSEM</v>
      </c>
      <c r="C3" s="67" t="s">
        <v>8210</v>
      </c>
      <c r="D3" s="11" t="str">
        <f>HYPERLINK("https://dps.mn.gov/divisions/hsem/Pages/default.aspx","https://dps.mn.gov/divisions/hsem/Pages/default.aspx")</f>
        <v>https://dps.mn.gov/divisions/hsem/Pages/default.aspx</v>
      </c>
    </row>
    <row r="4" spans="1:4">
      <c r="A4" s="67" t="s">
        <v>8211</v>
      </c>
      <c r="D4" s="11" t="str">
        <f>HYPERLINK("http://wildlife.rescueshelter.com/Minnesota","http://wildlife.rescueshelter.com/Minnesota")</f>
        <v>http://wildlife.rescueshelter.com/Minnesota</v>
      </c>
    </row>
    <row r="6" spans="1:4">
      <c r="A6" s="79" t="s">
        <v>209</v>
      </c>
      <c r="B6" s="79" t="s">
        <v>147</v>
      </c>
      <c r="C6" s="79" t="s">
        <v>148</v>
      </c>
      <c r="D6" s="79" t="s">
        <v>182</v>
      </c>
    </row>
    <row r="7" spans="1:4">
      <c r="A7" s="67" t="s">
        <v>8212</v>
      </c>
    </row>
    <row r="8" spans="1:4">
      <c r="A8" s="67" t="s">
        <v>8213</v>
      </c>
    </row>
    <row r="9" spans="1:4">
      <c r="A9" s="67" t="s">
        <v>8214</v>
      </c>
    </row>
    <row r="10" spans="1:4">
      <c r="A10" s="67" t="s">
        <v>8215</v>
      </c>
    </row>
    <row r="11" spans="1:4">
      <c r="A11" s="67" t="s">
        <v>5752</v>
      </c>
    </row>
    <row r="12" spans="1:4">
      <c r="A12" s="67" t="s">
        <v>8216</v>
      </c>
    </row>
    <row r="13" spans="1:4">
      <c r="A13" s="67" t="s">
        <v>8217</v>
      </c>
    </row>
    <row r="14" spans="1:4">
      <c r="A14" s="67" t="s">
        <v>5385</v>
      </c>
    </row>
    <row r="15" spans="1:4">
      <c r="A15" s="67" t="s">
        <v>8218</v>
      </c>
    </row>
    <row r="16" spans="1:4">
      <c r="A16" s="67" t="s">
        <v>8219</v>
      </c>
    </row>
    <row r="17" spans="1:1">
      <c r="A17" s="67" t="s">
        <v>5393</v>
      </c>
    </row>
    <row r="18" spans="1:1">
      <c r="A18" s="67" t="s">
        <v>8101</v>
      </c>
    </row>
    <row r="19" spans="1:1">
      <c r="A19" s="67" t="s">
        <v>8220</v>
      </c>
    </row>
    <row r="20" spans="1:1">
      <c r="A20" s="67" t="s">
        <v>5403</v>
      </c>
    </row>
    <row r="21" spans="1:1">
      <c r="A21" s="67" t="s">
        <v>8221</v>
      </c>
    </row>
    <row r="22" spans="1:1">
      <c r="A22" s="67" t="s">
        <v>5410</v>
      </c>
    </row>
    <row r="23" spans="1:1">
      <c r="A23" s="67" t="s">
        <v>8222</v>
      </c>
    </row>
    <row r="24" spans="1:1">
      <c r="A24" s="67" t="s">
        <v>8223</v>
      </c>
    </row>
    <row r="25" spans="1:1">
      <c r="A25" s="67" t="s">
        <v>8224</v>
      </c>
    </row>
    <row r="26" spans="1:1">
      <c r="A26" s="67" t="s">
        <v>8225</v>
      </c>
    </row>
    <row r="27" spans="1:1">
      <c r="A27" s="67" t="s">
        <v>5422</v>
      </c>
    </row>
    <row r="28" spans="1:1">
      <c r="A28" s="67" t="s">
        <v>8226</v>
      </c>
    </row>
    <row r="29" spans="1:1">
      <c r="A29" s="67" t="s">
        <v>8227</v>
      </c>
    </row>
    <row r="30" spans="1:1">
      <c r="A30" s="67" t="s">
        <v>8228</v>
      </c>
    </row>
    <row r="31" spans="1:1">
      <c r="A31" s="67" t="s">
        <v>8229</v>
      </c>
    </row>
    <row r="32" spans="1:1">
      <c r="A32" s="67" t="s">
        <v>5806</v>
      </c>
    </row>
    <row r="33" spans="1:1">
      <c r="A33" s="67" t="s">
        <v>8230</v>
      </c>
    </row>
    <row r="34" spans="1:1">
      <c r="A34" s="67" t="s">
        <v>8231</v>
      </c>
    </row>
    <row r="35" spans="1:1">
      <c r="A35" s="67" t="s">
        <v>8232</v>
      </c>
    </row>
    <row r="36" spans="1:1">
      <c r="A36" s="67" t="s">
        <v>8233</v>
      </c>
    </row>
    <row r="37" spans="1:1">
      <c r="A37" s="67" t="s">
        <v>8234</v>
      </c>
    </row>
    <row r="38" spans="1:1">
      <c r="A38" s="67" t="s">
        <v>5466</v>
      </c>
    </row>
    <row r="39" spans="1:1">
      <c r="A39" s="67" t="s">
        <v>8235</v>
      </c>
    </row>
    <row r="40" spans="1:1">
      <c r="A40" s="67" t="s">
        <v>8236</v>
      </c>
    </row>
    <row r="41" spans="1:1">
      <c r="A41" s="67" t="s">
        <v>8237</v>
      </c>
    </row>
    <row r="42" spans="1:1">
      <c r="A42" s="67" t="s">
        <v>8238</v>
      </c>
    </row>
    <row r="43" spans="1:1">
      <c r="A43" s="67" t="s">
        <v>8239</v>
      </c>
    </row>
    <row r="44" spans="1:1">
      <c r="A44" s="67" t="s">
        <v>5486</v>
      </c>
    </row>
    <row r="45" spans="1:1">
      <c r="A45" s="67" t="s">
        <v>8240</v>
      </c>
    </row>
    <row r="46" spans="1:1">
      <c r="A46" s="67" t="s">
        <v>8241</v>
      </c>
    </row>
    <row r="47" spans="1:1">
      <c r="A47" s="67" t="s">
        <v>5206</v>
      </c>
    </row>
    <row r="48" spans="1:1">
      <c r="A48" s="67" t="s">
        <v>6244</v>
      </c>
    </row>
    <row r="49" spans="1:1">
      <c r="A49" s="67" t="s">
        <v>8242</v>
      </c>
    </row>
    <row r="50" spans="1:1">
      <c r="A50" s="67" t="s">
        <v>5509</v>
      </c>
    </row>
    <row r="51" spans="1:1">
      <c r="A51" s="67" t="s">
        <v>5869</v>
      </c>
    </row>
    <row r="52" spans="1:1">
      <c r="A52" s="67" t="s">
        <v>8243</v>
      </c>
    </row>
    <row r="53" spans="1:1">
      <c r="A53" s="67" t="s">
        <v>8244</v>
      </c>
    </row>
    <row r="54" spans="1:1">
      <c r="A54" s="67" t="s">
        <v>8245</v>
      </c>
    </row>
    <row r="55" spans="1:1">
      <c r="A55" s="67" t="s">
        <v>8246</v>
      </c>
    </row>
    <row r="56" spans="1:1">
      <c r="A56" s="67" t="s">
        <v>8247</v>
      </c>
    </row>
    <row r="57" spans="1:1">
      <c r="A57" s="67" t="s">
        <v>8248</v>
      </c>
    </row>
    <row r="58" spans="1:1">
      <c r="A58" s="67" t="s">
        <v>8249</v>
      </c>
    </row>
    <row r="59" spans="1:1">
      <c r="A59" s="67" t="s">
        <v>8250</v>
      </c>
    </row>
    <row r="60" spans="1:1">
      <c r="A60" s="67" t="s">
        <v>8251</v>
      </c>
    </row>
    <row r="61" spans="1:1">
      <c r="A61" s="67" t="s">
        <v>8252</v>
      </c>
    </row>
    <row r="62" spans="1:1">
      <c r="A62" s="67" t="s">
        <v>8253</v>
      </c>
    </row>
    <row r="63" spans="1:1">
      <c r="A63" s="67" t="s">
        <v>8254</v>
      </c>
    </row>
    <row r="64" spans="1:1">
      <c r="A64" s="67" t="s">
        <v>8255</v>
      </c>
    </row>
    <row r="65" spans="1:1">
      <c r="A65" s="67" t="s">
        <v>8256</v>
      </c>
    </row>
    <row r="66" spans="1:1">
      <c r="A66" s="67" t="s">
        <v>6290</v>
      </c>
    </row>
    <row r="67" spans="1:1">
      <c r="A67" s="67" t="s">
        <v>5538</v>
      </c>
    </row>
    <row r="68" spans="1:1">
      <c r="A68" s="67" t="s">
        <v>8257</v>
      </c>
    </row>
    <row r="69" spans="1:1">
      <c r="A69" s="67" t="s">
        <v>8258</v>
      </c>
    </row>
    <row r="70" spans="1:1">
      <c r="A70" s="67" t="s">
        <v>8259</v>
      </c>
    </row>
    <row r="71" spans="1:1">
      <c r="A71" s="67" t="s">
        <v>8260</v>
      </c>
    </row>
    <row r="72" spans="1:1">
      <c r="A72" s="67" t="s">
        <v>6659</v>
      </c>
    </row>
    <row r="73" spans="1:1">
      <c r="A73" s="67" t="s">
        <v>8261</v>
      </c>
    </row>
    <row r="74" spans="1:1">
      <c r="A74" s="67" t="s">
        <v>8262</v>
      </c>
    </row>
    <row r="75" spans="1:1">
      <c r="A75" s="67" t="s">
        <v>5553</v>
      </c>
    </row>
    <row r="76" spans="1:1">
      <c r="A76" s="67" t="s">
        <v>8263</v>
      </c>
    </row>
    <row r="77" spans="1:1">
      <c r="A77" s="67" t="s">
        <v>8264</v>
      </c>
    </row>
    <row r="78" spans="1:1">
      <c r="A78" s="67" t="s">
        <v>8265</v>
      </c>
    </row>
    <row r="79" spans="1:1">
      <c r="A79" s="67" t="s">
        <v>8266</v>
      </c>
    </row>
    <row r="80" spans="1:1">
      <c r="A80" s="67" t="s">
        <v>8267</v>
      </c>
    </row>
    <row r="81" spans="1:1">
      <c r="A81" s="67" t="s">
        <v>6696</v>
      </c>
    </row>
    <row r="82" spans="1:1">
      <c r="A82" s="67" t="s">
        <v>8268</v>
      </c>
    </row>
    <row r="83" spans="1:1">
      <c r="A83" s="67" t="s">
        <v>8269</v>
      </c>
    </row>
    <row r="84" spans="1:1">
      <c r="A84" s="67" t="s">
        <v>8270</v>
      </c>
    </row>
    <row r="85" spans="1:1">
      <c r="A85" s="67" t="s">
        <v>8271</v>
      </c>
    </row>
    <row r="86" spans="1:1">
      <c r="A86" s="67" t="s">
        <v>8272</v>
      </c>
    </row>
    <row r="87" spans="1:1">
      <c r="A87" s="67" t="s">
        <v>8273</v>
      </c>
    </row>
    <row r="88" spans="1:1">
      <c r="A88" s="67" t="s">
        <v>117</v>
      </c>
    </row>
    <row r="89" spans="1:1">
      <c r="A89" s="67" t="s">
        <v>8274</v>
      </c>
    </row>
    <row r="90" spans="1:1">
      <c r="A90" s="67" t="s">
        <v>8275</v>
      </c>
    </row>
    <row r="91" spans="1:1">
      <c r="A91" s="67" t="s">
        <v>8276</v>
      </c>
    </row>
    <row r="92" spans="1:1">
      <c r="A92" s="67" t="s">
        <v>6362</v>
      </c>
    </row>
    <row r="93" spans="1:1">
      <c r="A93" s="67" t="s">
        <v>8277</v>
      </c>
    </row>
    <row r="95" spans="1:1">
      <c r="A95" s="79" t="s">
        <v>333</v>
      </c>
    </row>
    <row r="96" spans="1:1">
      <c r="A96" s="67" t="s">
        <v>3068</v>
      </c>
    </row>
    <row r="97" spans="1:1">
      <c r="A97" s="67" t="s">
        <v>8278</v>
      </c>
    </row>
    <row r="98" spans="1:1">
      <c r="A98" s="67" t="s">
        <v>8279</v>
      </c>
    </row>
    <row r="99" spans="1:1">
      <c r="A99" s="67" t="s">
        <v>8280</v>
      </c>
    </row>
    <row r="100" spans="1:1">
      <c r="A100" s="67" t="s">
        <v>8281</v>
      </c>
    </row>
    <row r="101" spans="1:1">
      <c r="A101" s="67" t="s">
        <v>8282</v>
      </c>
    </row>
    <row r="102" spans="1:1">
      <c r="A102" s="67" t="s">
        <v>8283</v>
      </c>
    </row>
    <row r="103" spans="1:1">
      <c r="A103" s="67" t="s">
        <v>8284</v>
      </c>
    </row>
    <row r="104" spans="1:1">
      <c r="A104" s="67" t="s">
        <v>8285</v>
      </c>
    </row>
    <row r="105" spans="1:1">
      <c r="A105" s="67" t="s">
        <v>8286</v>
      </c>
    </row>
    <row r="106" spans="1:1">
      <c r="A106" s="67" t="s">
        <v>8287</v>
      </c>
    </row>
    <row r="107" spans="1:1">
      <c r="A107" s="67" t="s">
        <v>8288</v>
      </c>
    </row>
    <row r="108" spans="1:1">
      <c r="A108" s="67" t="s">
        <v>8289</v>
      </c>
    </row>
    <row r="109" spans="1:1">
      <c r="A109" s="67" t="s">
        <v>8290</v>
      </c>
    </row>
    <row r="110" spans="1:1">
      <c r="A110" s="67" t="s">
        <v>8291</v>
      </c>
    </row>
    <row r="111" spans="1:1">
      <c r="A111" s="67" t="s">
        <v>8292</v>
      </c>
    </row>
    <row r="112" spans="1:1">
      <c r="A112" s="67" t="s">
        <v>8293</v>
      </c>
    </row>
    <row r="113" spans="1:1">
      <c r="A113" s="67" t="s">
        <v>8294</v>
      </c>
    </row>
    <row r="114" spans="1:1">
      <c r="A114" s="67" t="s">
        <v>8295</v>
      </c>
    </row>
    <row r="115" spans="1:1">
      <c r="A115" s="67" t="s">
        <v>8296</v>
      </c>
    </row>
    <row r="116" spans="1:1">
      <c r="A116" s="67" t="s">
        <v>8297</v>
      </c>
    </row>
    <row r="117" spans="1:1">
      <c r="A117" s="67" t="s">
        <v>8298</v>
      </c>
    </row>
    <row r="118" spans="1:1">
      <c r="A118" s="67" t="s">
        <v>8299</v>
      </c>
    </row>
    <row r="119" spans="1:1">
      <c r="A119" s="67" t="s">
        <v>8300</v>
      </c>
    </row>
    <row r="120" spans="1:1">
      <c r="A120" s="67" t="s">
        <v>8301</v>
      </c>
    </row>
    <row r="121" spans="1:1">
      <c r="A121" s="67" t="s">
        <v>8302</v>
      </c>
    </row>
    <row r="122" spans="1:1">
      <c r="A122" s="67" t="s">
        <v>8303</v>
      </c>
    </row>
    <row r="123" spans="1:1">
      <c r="A123" s="67" t="s">
        <v>8304</v>
      </c>
    </row>
    <row r="124" spans="1:1">
      <c r="A124" s="67" t="s">
        <v>8305</v>
      </c>
    </row>
    <row r="125" spans="1:1">
      <c r="A125" s="67" t="s">
        <v>8306</v>
      </c>
    </row>
    <row r="126" spans="1:1">
      <c r="A126" s="67" t="s">
        <v>8307</v>
      </c>
    </row>
    <row r="127" spans="1:1">
      <c r="A127" s="67" t="s">
        <v>8308</v>
      </c>
    </row>
    <row r="129" spans="1:4">
      <c r="A129" s="79" t="s">
        <v>878</v>
      </c>
    </row>
    <row r="130" spans="1:4">
      <c r="A130" s="67" t="s">
        <v>8309</v>
      </c>
      <c r="D130" s="67" t="s">
        <v>8310</v>
      </c>
    </row>
    <row r="131" spans="1:4">
      <c r="A131" s="67" t="s">
        <v>8311</v>
      </c>
      <c r="D131" s="67" t="s">
        <v>8312</v>
      </c>
    </row>
    <row r="132" spans="1:4">
      <c r="A132" s="67" t="s">
        <v>8313</v>
      </c>
      <c r="C132" s="67" t="s">
        <v>8314</v>
      </c>
      <c r="D132" s="67" t="s">
        <v>8315</v>
      </c>
    </row>
    <row r="133" spans="1:4">
      <c r="A133" s="67" t="s">
        <v>8316</v>
      </c>
      <c r="D133" s="67" t="s">
        <v>8317</v>
      </c>
    </row>
    <row r="134" spans="1:4">
      <c r="A134" s="67" t="s">
        <v>8318</v>
      </c>
      <c r="B134" s="58" t="s">
        <v>8319</v>
      </c>
      <c r="C134" s="67" t="s">
        <v>8320</v>
      </c>
      <c r="D134" s="67" t="s">
        <v>8321</v>
      </c>
    </row>
    <row r="135" spans="1:4">
      <c r="A135" s="67" t="s">
        <v>8322</v>
      </c>
      <c r="C135" s="67" t="s">
        <v>8323</v>
      </c>
      <c r="D135" s="11" t="str">
        <f>HYPERLINK("http://www.rochesterintlairport.com/","http://www.rochesterintlairport.com/")</f>
        <v>http://www.rochesterintlairport.com/</v>
      </c>
    </row>
    <row r="136" spans="1:4">
      <c r="A136" s="67" t="s">
        <v>8324</v>
      </c>
      <c r="D136" s="67" t="s">
        <v>8325</v>
      </c>
    </row>
    <row r="138" spans="1:4">
      <c r="A138"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F110"/>
  <sheetViews>
    <sheetView workbookViewId="0"/>
  </sheetViews>
  <sheetFormatPr defaultColWidth="9.140625" defaultRowHeight="15" customHeight="1"/>
  <cols>
    <col min="1" max="1" width="26.7109375" customWidth="1"/>
    <col min="2" max="2" width="17.85546875" customWidth="1"/>
    <col min="3" max="3" width="14" customWidth="1"/>
    <col min="4" max="5" width="21.28515625" customWidth="1"/>
  </cols>
  <sheetData>
    <row r="1" spans="1:6">
      <c r="A1" s="79" t="s">
        <v>146</v>
      </c>
      <c r="B1" s="79" t="s">
        <v>147</v>
      </c>
      <c r="C1" s="79" t="s">
        <v>148</v>
      </c>
      <c r="D1" s="79" t="s">
        <v>182</v>
      </c>
      <c r="E1" s="34"/>
      <c r="F1" s="34"/>
    </row>
    <row r="2" spans="1:6">
      <c r="A2" s="67" t="s">
        <v>8326</v>
      </c>
      <c r="B2" s="70" t="s">
        <v>8327</v>
      </c>
      <c r="C2" s="67" t="s">
        <v>8328</v>
      </c>
      <c r="D2" s="67" t="s">
        <v>8329</v>
      </c>
      <c r="E2" s="34"/>
      <c r="F2" s="34"/>
    </row>
    <row r="3" spans="1:6">
      <c r="A3" s="67" t="s">
        <v>8330</v>
      </c>
      <c r="B3" s="34"/>
      <c r="C3" s="34"/>
      <c r="D3" s="11" t="s">
        <v>8331</v>
      </c>
      <c r="E3" s="34"/>
      <c r="F3" s="34"/>
    </row>
    <row r="4" spans="1:6">
      <c r="A4" s="67" t="s">
        <v>8332</v>
      </c>
      <c r="B4" s="34"/>
      <c r="C4" s="34"/>
      <c r="D4" s="11" t="s">
        <v>8333</v>
      </c>
      <c r="E4" s="34"/>
      <c r="F4" s="34"/>
    </row>
    <row r="5" spans="1:6" ht="15" customHeight="1">
      <c r="A5" s="34" t="s">
        <v>8334</v>
      </c>
      <c r="B5" s="34"/>
      <c r="C5" s="34"/>
      <c r="D5" s="34" t="s">
        <v>8335</v>
      </c>
      <c r="E5" s="34"/>
      <c r="F5" s="34"/>
    </row>
    <row r="6" spans="1:6" ht="15" customHeight="1">
      <c r="A6" s="34" t="s">
        <v>8336</v>
      </c>
      <c r="B6" s="34" t="s">
        <v>8337</v>
      </c>
      <c r="C6" s="34" t="s">
        <v>8338</v>
      </c>
      <c r="D6" s="34" t="s">
        <v>8339</v>
      </c>
      <c r="E6" s="34"/>
      <c r="F6" s="34"/>
    </row>
    <row r="7" spans="1:6">
      <c r="A7" s="79" t="s">
        <v>209</v>
      </c>
      <c r="B7" s="79" t="s">
        <v>147</v>
      </c>
      <c r="C7" s="79" t="s">
        <v>148</v>
      </c>
      <c r="D7" s="79" t="s">
        <v>182</v>
      </c>
      <c r="E7" s="34"/>
      <c r="F7" s="34"/>
    </row>
    <row r="8" spans="1:6">
      <c r="A8" s="74" t="s">
        <v>8340</v>
      </c>
      <c r="B8" s="96"/>
      <c r="C8" s="96"/>
      <c r="D8" s="74" t="s">
        <v>8341</v>
      </c>
      <c r="E8" s="96"/>
      <c r="F8" s="96"/>
    </row>
    <row r="9" spans="1:6">
      <c r="A9" s="67" t="s">
        <v>5376</v>
      </c>
      <c r="B9" s="34"/>
      <c r="C9" s="34"/>
      <c r="D9" s="67" t="s">
        <v>8342</v>
      </c>
      <c r="E9" s="34" t="s">
        <v>8343</v>
      </c>
      <c r="F9" s="34"/>
    </row>
    <row r="10" spans="1:6">
      <c r="A10" s="67" t="s">
        <v>8344</v>
      </c>
      <c r="B10" s="34"/>
      <c r="C10" s="34"/>
      <c r="D10" s="67" t="s">
        <v>8345</v>
      </c>
      <c r="E10" s="34" t="s">
        <v>8346</v>
      </c>
      <c r="F10" s="34"/>
    </row>
    <row r="11" spans="1:6">
      <c r="A11" s="67" t="s">
        <v>8347</v>
      </c>
      <c r="B11" s="34"/>
      <c r="C11" s="34"/>
      <c r="D11" s="67" t="s">
        <v>8348</v>
      </c>
      <c r="E11" s="34" t="s">
        <v>8349</v>
      </c>
      <c r="F11" s="34"/>
    </row>
    <row r="12" spans="1:6">
      <c r="A12" s="67" t="s">
        <v>8350</v>
      </c>
      <c r="B12" s="34"/>
      <c r="C12" s="34"/>
      <c r="D12" s="34" t="s">
        <v>8351</v>
      </c>
      <c r="E12" s="34" t="s">
        <v>8352</v>
      </c>
      <c r="F12" s="34"/>
    </row>
    <row r="13" spans="1:6">
      <c r="A13" s="67" t="s">
        <v>5752</v>
      </c>
      <c r="B13" s="34"/>
      <c r="C13" s="34"/>
      <c r="D13" s="34" t="s">
        <v>8353</v>
      </c>
      <c r="E13" s="34" t="s">
        <v>8354</v>
      </c>
      <c r="F13" s="34"/>
    </row>
    <row r="14" spans="1:6">
      <c r="A14" s="67" t="s">
        <v>8355</v>
      </c>
      <c r="B14" s="34"/>
      <c r="C14" s="34"/>
      <c r="D14" s="67" t="s">
        <v>8356</v>
      </c>
      <c r="E14" s="34" t="s">
        <v>8357</v>
      </c>
      <c r="F14" s="34"/>
    </row>
    <row r="15" spans="1:6">
      <c r="A15" s="67" t="s">
        <v>5389</v>
      </c>
      <c r="B15" s="34"/>
      <c r="C15" s="34"/>
      <c r="D15" s="34"/>
      <c r="E15" s="34" t="s">
        <v>8358</v>
      </c>
      <c r="F15" s="34"/>
    </row>
    <row r="16" spans="1:6">
      <c r="A16" s="67" t="s">
        <v>5391</v>
      </c>
      <c r="B16" s="34"/>
      <c r="C16" s="34" t="s">
        <v>8359</v>
      </c>
      <c r="D16" s="67" t="s">
        <v>8360</v>
      </c>
      <c r="E16" s="34" t="s">
        <v>8361</v>
      </c>
      <c r="F16" s="34"/>
    </row>
    <row r="17" spans="1:6">
      <c r="A17" s="67" t="s">
        <v>6141</v>
      </c>
      <c r="B17" s="34"/>
      <c r="C17" s="34"/>
      <c r="D17" s="34" t="s">
        <v>8362</v>
      </c>
      <c r="E17" s="34" t="s">
        <v>8363</v>
      </c>
      <c r="F17" s="34"/>
    </row>
    <row r="18" spans="1:6">
      <c r="A18" s="67" t="s">
        <v>8364</v>
      </c>
      <c r="B18" s="34"/>
      <c r="C18" s="67" t="s">
        <v>8365</v>
      </c>
      <c r="D18" s="67" t="s">
        <v>8366</v>
      </c>
      <c r="E18" s="34" t="s">
        <v>8367</v>
      </c>
      <c r="F18" s="34"/>
    </row>
    <row r="19" spans="1:6">
      <c r="A19" s="67" t="s">
        <v>7253</v>
      </c>
      <c r="B19" s="34"/>
      <c r="C19" s="34"/>
      <c r="D19" s="34"/>
      <c r="E19" s="34" t="s">
        <v>8368</v>
      </c>
      <c r="F19" s="34"/>
    </row>
    <row r="20" spans="1:6">
      <c r="A20" s="67" t="s">
        <v>6144</v>
      </c>
      <c r="B20" s="34"/>
      <c r="C20" s="34"/>
      <c r="D20" s="67" t="s">
        <v>8369</v>
      </c>
      <c r="E20" s="34" t="s">
        <v>8370</v>
      </c>
      <c r="F20" s="34"/>
    </row>
    <row r="21" spans="1:6">
      <c r="A21" s="67" t="s">
        <v>5403</v>
      </c>
      <c r="B21" s="34"/>
      <c r="C21" s="34"/>
      <c r="D21" s="67" t="s">
        <v>8371</v>
      </c>
      <c r="E21" s="34" t="s">
        <v>8372</v>
      </c>
      <c r="F21" s="34"/>
    </row>
    <row r="22" spans="1:6">
      <c r="A22" s="67" t="s">
        <v>8373</v>
      </c>
      <c r="B22" s="34"/>
      <c r="C22" s="34"/>
      <c r="D22" s="67" t="s">
        <v>8374</v>
      </c>
      <c r="E22" s="34"/>
      <c r="F22" s="34"/>
    </row>
    <row r="23" spans="1:6">
      <c r="A23" s="67" t="s">
        <v>8375</v>
      </c>
      <c r="B23" s="34"/>
      <c r="C23" s="34"/>
      <c r="D23" s="67" t="s">
        <v>8376</v>
      </c>
      <c r="E23" s="34"/>
      <c r="F23" s="34"/>
    </row>
    <row r="24" spans="1:6">
      <c r="A24" s="67" t="s">
        <v>8377</v>
      </c>
      <c r="B24" s="34"/>
      <c r="C24" s="34"/>
      <c r="D24" s="34" t="s">
        <v>8378</v>
      </c>
      <c r="E24" s="34"/>
      <c r="F24" s="34"/>
    </row>
    <row r="25" spans="1:6">
      <c r="A25" s="67" t="s">
        <v>8379</v>
      </c>
      <c r="B25" s="34" t="s">
        <v>8380</v>
      </c>
      <c r="C25" s="34" t="s">
        <v>8381</v>
      </c>
      <c r="D25" s="67" t="s">
        <v>8382</v>
      </c>
      <c r="E25" s="34"/>
      <c r="F25" s="34"/>
    </row>
    <row r="26" spans="1:6">
      <c r="A26" s="67" t="s">
        <v>8383</v>
      </c>
      <c r="B26" s="34" t="s">
        <v>8384</v>
      </c>
      <c r="C26" s="34"/>
      <c r="D26" s="67" t="s">
        <v>8385</v>
      </c>
      <c r="E26" s="34"/>
      <c r="F26" s="34"/>
    </row>
    <row r="27" spans="1:6">
      <c r="A27" s="67" t="s">
        <v>5441</v>
      </c>
      <c r="B27" s="34"/>
      <c r="C27" s="34" t="s">
        <v>8386</v>
      </c>
      <c r="D27" s="34"/>
      <c r="E27" s="34"/>
      <c r="F27" s="34"/>
    </row>
    <row r="28" spans="1:6">
      <c r="A28" s="67" t="s">
        <v>8387</v>
      </c>
      <c r="B28" s="34"/>
      <c r="C28" s="34"/>
      <c r="D28" s="34"/>
      <c r="E28" s="34"/>
      <c r="F28" s="34"/>
    </row>
    <row r="29" spans="1:6">
      <c r="A29" s="67" t="s">
        <v>5449</v>
      </c>
      <c r="B29" s="34"/>
      <c r="C29" s="34"/>
      <c r="D29" s="34"/>
      <c r="E29" s="34"/>
      <c r="F29" s="34"/>
    </row>
    <row r="30" spans="1:6">
      <c r="A30" s="67" t="s">
        <v>8388</v>
      </c>
      <c r="B30" s="34"/>
      <c r="C30" s="34"/>
      <c r="D30" s="34" t="s">
        <v>8389</v>
      </c>
      <c r="E30" s="34"/>
      <c r="F30" s="34"/>
    </row>
    <row r="31" spans="1:6">
      <c r="A31" s="67" t="s">
        <v>5455</v>
      </c>
      <c r="B31" s="34"/>
      <c r="C31" s="34"/>
      <c r="D31" s="67" t="s">
        <v>8390</v>
      </c>
      <c r="E31" s="34"/>
      <c r="F31" s="34"/>
    </row>
    <row r="32" spans="1:6">
      <c r="A32" s="67" t="s">
        <v>6202</v>
      </c>
      <c r="B32" s="70" t="s">
        <v>8391</v>
      </c>
      <c r="C32" s="34"/>
      <c r="D32" s="67" t="s">
        <v>8392</v>
      </c>
      <c r="E32" s="34"/>
      <c r="F32" s="34"/>
    </row>
    <row r="33" spans="1:6">
      <c r="A33" s="67" t="s">
        <v>8393</v>
      </c>
      <c r="B33" s="34"/>
      <c r="C33" s="34"/>
      <c r="D33" s="67" t="s">
        <v>8394</v>
      </c>
      <c r="E33" s="34"/>
      <c r="F33" s="34"/>
    </row>
    <row r="34" spans="1:6">
      <c r="A34" s="67" t="s">
        <v>8395</v>
      </c>
      <c r="B34" s="97"/>
      <c r="C34" s="97"/>
      <c r="D34" s="97" t="s">
        <v>8396</v>
      </c>
      <c r="E34" s="34"/>
      <c r="F34" s="34"/>
    </row>
    <row r="35" spans="1:6">
      <c r="A35" s="67" t="s">
        <v>8397</v>
      </c>
      <c r="B35" s="34"/>
      <c r="C35" s="34"/>
      <c r="D35" s="34"/>
      <c r="E35" s="34"/>
      <c r="F35" s="34"/>
    </row>
    <row r="36" spans="1:6">
      <c r="A36" s="67" t="s">
        <v>8398</v>
      </c>
      <c r="B36" s="34"/>
      <c r="C36" s="34"/>
      <c r="D36" s="34"/>
      <c r="E36" s="34"/>
      <c r="F36" s="34"/>
    </row>
    <row r="37" spans="1:6">
      <c r="A37" s="67" t="s">
        <v>8399</v>
      </c>
      <c r="B37" s="34"/>
      <c r="C37" s="34"/>
      <c r="D37" s="34"/>
      <c r="E37" s="34"/>
      <c r="F37" s="34"/>
    </row>
    <row r="38" spans="1:6">
      <c r="A38" s="67" t="s">
        <v>5466</v>
      </c>
      <c r="B38" s="34" t="s">
        <v>8400</v>
      </c>
      <c r="C38" s="34"/>
      <c r="D38" s="34" t="s">
        <v>8401</v>
      </c>
      <c r="E38" s="34"/>
      <c r="F38" s="34"/>
    </row>
    <row r="39" spans="1:6">
      <c r="A39" s="67" t="s">
        <v>8402</v>
      </c>
      <c r="B39" s="34"/>
      <c r="C39" s="34" t="s">
        <v>8403</v>
      </c>
      <c r="D39" s="34" t="s">
        <v>8404</v>
      </c>
      <c r="E39" s="34"/>
      <c r="F39" s="34"/>
    </row>
    <row r="40" spans="1:6">
      <c r="A40" s="67" t="s">
        <v>5187</v>
      </c>
      <c r="B40" s="34"/>
      <c r="C40" s="34"/>
      <c r="D40" s="34"/>
      <c r="E40" s="34"/>
      <c r="F40" s="34"/>
    </row>
    <row r="41" spans="1:6">
      <c r="A41" s="67" t="s">
        <v>8405</v>
      </c>
      <c r="B41" s="34"/>
      <c r="C41" s="34"/>
      <c r="D41" s="34" t="s">
        <v>8406</v>
      </c>
      <c r="E41" s="34"/>
      <c r="F41" s="34"/>
    </row>
    <row r="42" spans="1:6">
      <c r="A42" s="67" t="s">
        <v>6225</v>
      </c>
      <c r="B42" s="34" t="s">
        <v>8407</v>
      </c>
      <c r="C42" s="34"/>
      <c r="D42" s="34" t="s">
        <v>8408</v>
      </c>
      <c r="E42" s="34"/>
      <c r="F42" s="34"/>
    </row>
    <row r="43" spans="1:6">
      <c r="A43" s="67" t="s">
        <v>8409</v>
      </c>
      <c r="B43" s="34"/>
      <c r="C43" s="34"/>
      <c r="D43" s="34" t="s">
        <v>8410</v>
      </c>
      <c r="E43" s="34"/>
      <c r="F43" s="34"/>
    </row>
    <row r="44" spans="1:6">
      <c r="A44" s="67" t="s">
        <v>7280</v>
      </c>
      <c r="B44" s="34"/>
      <c r="C44" s="34"/>
      <c r="D44" s="34" t="s">
        <v>8411</v>
      </c>
      <c r="E44" s="34"/>
      <c r="F44" s="34"/>
    </row>
    <row r="45" spans="1:6">
      <c r="A45" s="67" t="s">
        <v>8412</v>
      </c>
      <c r="B45" s="34"/>
      <c r="C45" s="34" t="s">
        <v>8413</v>
      </c>
      <c r="D45" s="34" t="s">
        <v>8414</v>
      </c>
      <c r="E45" s="34"/>
      <c r="F45" s="34"/>
    </row>
    <row r="46" spans="1:6">
      <c r="A46" s="67" t="s">
        <v>8415</v>
      </c>
      <c r="B46" s="34"/>
      <c r="C46" s="34"/>
      <c r="D46" s="34" t="s">
        <v>8416</v>
      </c>
      <c r="E46" s="34"/>
      <c r="F46" s="34"/>
    </row>
    <row r="47" spans="1:6">
      <c r="A47" s="67" t="s">
        <v>5494</v>
      </c>
      <c r="B47" s="34"/>
      <c r="C47" s="34"/>
      <c r="D47" s="34" t="s">
        <v>8417</v>
      </c>
      <c r="E47" s="34"/>
      <c r="F47" s="34"/>
    </row>
    <row r="48" spans="1:6">
      <c r="A48" s="67" t="s">
        <v>8418</v>
      </c>
      <c r="B48" s="34"/>
      <c r="C48" s="34"/>
      <c r="D48" s="34" t="s">
        <v>8419</v>
      </c>
      <c r="E48" s="34"/>
      <c r="F48" s="34"/>
    </row>
    <row r="49" spans="1:6">
      <c r="A49" s="67" t="s">
        <v>5496</v>
      </c>
      <c r="B49" s="34" t="s">
        <v>8420</v>
      </c>
      <c r="C49" s="34" t="s">
        <v>8421</v>
      </c>
      <c r="D49" s="34" t="s">
        <v>8422</v>
      </c>
      <c r="E49" s="34"/>
      <c r="F49" s="34"/>
    </row>
    <row r="50" spans="1:6">
      <c r="A50" s="67" t="s">
        <v>8423</v>
      </c>
      <c r="B50" s="34"/>
      <c r="C50" s="34"/>
      <c r="D50" s="34" t="s">
        <v>8424</v>
      </c>
      <c r="E50" s="34"/>
      <c r="F50" s="34"/>
    </row>
    <row r="51" spans="1:6">
      <c r="A51" s="67" t="s">
        <v>8425</v>
      </c>
      <c r="B51" s="34" t="s">
        <v>8426</v>
      </c>
      <c r="C51" s="34" t="s">
        <v>8427</v>
      </c>
      <c r="D51" s="34" t="s">
        <v>8428</v>
      </c>
      <c r="E51" s="34"/>
      <c r="F51" s="34"/>
    </row>
    <row r="52" spans="1:6">
      <c r="A52" s="67" t="s">
        <v>8429</v>
      </c>
      <c r="B52" s="34"/>
      <c r="C52" s="34" t="s">
        <v>8430</v>
      </c>
      <c r="D52" s="34" t="s">
        <v>8431</v>
      </c>
      <c r="E52" s="34"/>
      <c r="F52" s="34"/>
    </row>
    <row r="53" spans="1:6">
      <c r="A53" s="67" t="s">
        <v>8432</v>
      </c>
      <c r="B53" s="34"/>
      <c r="C53" s="34" t="s">
        <v>8433</v>
      </c>
      <c r="D53" s="34" t="s">
        <v>8434</v>
      </c>
      <c r="E53" s="34"/>
      <c r="F53" s="34"/>
    </row>
    <row r="54" spans="1:6">
      <c r="A54" s="67" t="s">
        <v>5209</v>
      </c>
      <c r="B54" s="34"/>
      <c r="C54" s="34"/>
      <c r="D54" s="34"/>
      <c r="E54" s="34"/>
      <c r="F54" s="34"/>
    </row>
    <row r="55" spans="1:6">
      <c r="A55" s="67" t="s">
        <v>5507</v>
      </c>
      <c r="B55" s="34"/>
      <c r="C55" s="34"/>
      <c r="D55" s="34" t="s">
        <v>8435</v>
      </c>
      <c r="E55" s="34"/>
      <c r="F55" s="34"/>
    </row>
    <row r="56" spans="1:6">
      <c r="A56" s="67" t="s">
        <v>5509</v>
      </c>
      <c r="B56" s="34"/>
      <c r="C56" s="34"/>
      <c r="D56" s="34"/>
      <c r="E56" s="34"/>
      <c r="F56" s="34"/>
    </row>
    <row r="57" spans="1:6">
      <c r="A57" s="67" t="s">
        <v>5524</v>
      </c>
      <c r="B57" s="34"/>
      <c r="C57" s="34"/>
      <c r="D57" s="34"/>
      <c r="E57" s="34"/>
      <c r="F57" s="34"/>
    </row>
    <row r="58" spans="1:6">
      <c r="A58" s="67" t="s">
        <v>5526</v>
      </c>
      <c r="B58" s="34"/>
      <c r="C58" s="34"/>
      <c r="D58" s="34"/>
      <c r="E58" s="34"/>
      <c r="F58" s="34"/>
    </row>
    <row r="59" spans="1:6">
      <c r="A59" s="67" t="s">
        <v>8436</v>
      </c>
      <c r="B59" s="34"/>
      <c r="C59" s="34"/>
      <c r="D59" s="34"/>
      <c r="E59" s="34"/>
      <c r="F59" s="34"/>
    </row>
    <row r="60" spans="1:6">
      <c r="A60" s="67" t="s">
        <v>5879</v>
      </c>
      <c r="B60" s="34"/>
      <c r="C60" s="34"/>
      <c r="D60" s="34"/>
      <c r="E60" s="34"/>
      <c r="F60" s="34"/>
    </row>
    <row r="61" spans="1:6">
      <c r="A61" s="67" t="s">
        <v>8437</v>
      </c>
      <c r="B61" s="34"/>
      <c r="C61" s="34"/>
      <c r="D61" s="34"/>
      <c r="E61" s="34"/>
      <c r="F61" s="34"/>
    </row>
    <row r="62" spans="1:6">
      <c r="A62" s="67" t="s">
        <v>8438</v>
      </c>
      <c r="B62" s="34"/>
      <c r="C62" s="34"/>
      <c r="D62" s="34"/>
      <c r="E62" s="34"/>
      <c r="F62" s="34"/>
    </row>
    <row r="63" spans="1:6">
      <c r="A63" s="67" t="s">
        <v>8439</v>
      </c>
      <c r="B63" s="34"/>
      <c r="C63" s="34"/>
      <c r="D63" s="34"/>
      <c r="E63" s="34"/>
      <c r="F63" s="34"/>
    </row>
    <row r="64" spans="1:6">
      <c r="A64" s="67" t="s">
        <v>8440</v>
      </c>
      <c r="B64" s="34"/>
      <c r="C64" s="34"/>
      <c r="D64" s="34"/>
      <c r="E64" s="34"/>
      <c r="F64" s="34"/>
    </row>
    <row r="65" spans="1:6">
      <c r="A65" s="67" t="s">
        <v>5533</v>
      </c>
      <c r="B65" s="34"/>
      <c r="C65" s="34"/>
      <c r="D65" s="34"/>
      <c r="E65" s="34"/>
      <c r="F65" s="34"/>
    </row>
    <row r="66" spans="1:6">
      <c r="A66" s="67" t="s">
        <v>5536</v>
      </c>
      <c r="B66" s="34"/>
      <c r="C66" s="34"/>
      <c r="D66" s="34"/>
      <c r="E66" s="34"/>
      <c r="F66" s="34"/>
    </row>
    <row r="67" spans="1:6">
      <c r="A67" s="67" t="s">
        <v>8441</v>
      </c>
      <c r="B67" s="34"/>
      <c r="C67" s="34"/>
      <c r="D67" s="34"/>
      <c r="E67" s="34"/>
      <c r="F67" s="34"/>
    </row>
    <row r="68" spans="1:6">
      <c r="A68" s="67" t="s">
        <v>8442</v>
      </c>
      <c r="B68" s="34"/>
      <c r="C68" s="34"/>
      <c r="D68" s="34"/>
      <c r="E68" s="34"/>
      <c r="F68" s="34"/>
    </row>
    <row r="69" spans="1:6">
      <c r="A69" s="67" t="s">
        <v>8443</v>
      </c>
      <c r="B69" s="34"/>
      <c r="C69" s="34"/>
      <c r="D69" s="34"/>
      <c r="E69" s="34"/>
      <c r="F69" s="34"/>
    </row>
    <row r="70" spans="1:6">
      <c r="A70" s="67" t="s">
        <v>8444</v>
      </c>
      <c r="B70" s="34"/>
      <c r="C70" s="34"/>
      <c r="D70" s="34"/>
      <c r="E70" s="34"/>
      <c r="F70" s="34"/>
    </row>
    <row r="71" spans="1:6">
      <c r="A71" s="67" t="s">
        <v>5553</v>
      </c>
      <c r="B71" s="34"/>
      <c r="C71" s="34"/>
      <c r="D71" s="34"/>
      <c r="E71" s="34"/>
      <c r="F71" s="34"/>
    </row>
    <row r="72" spans="1:6">
      <c r="A72" s="67" t="s">
        <v>8445</v>
      </c>
      <c r="B72" s="34"/>
      <c r="C72" s="34"/>
      <c r="D72" s="34"/>
      <c r="E72" s="34"/>
      <c r="F72" s="34"/>
    </row>
    <row r="73" spans="1:6">
      <c r="A73" s="67" t="s">
        <v>8446</v>
      </c>
      <c r="B73" s="34"/>
      <c r="C73" s="34"/>
      <c r="D73" s="34"/>
      <c r="E73" s="34"/>
      <c r="F73" s="34"/>
    </row>
    <row r="74" spans="1:6">
      <c r="A74" s="67" t="s">
        <v>6689</v>
      </c>
      <c r="B74" s="34"/>
      <c r="C74" s="34"/>
      <c r="D74" s="34"/>
      <c r="E74" s="34"/>
      <c r="F74" s="34"/>
    </row>
    <row r="75" spans="1:6">
      <c r="A75" s="67" t="s">
        <v>8447</v>
      </c>
      <c r="B75" s="34"/>
      <c r="C75" s="34"/>
      <c r="D75" s="34"/>
      <c r="E75" s="34"/>
      <c r="F75" s="34"/>
    </row>
    <row r="76" spans="1:6">
      <c r="A76" s="67" t="s">
        <v>8448</v>
      </c>
      <c r="B76" s="34"/>
      <c r="C76" s="34"/>
      <c r="D76" s="34"/>
      <c r="E76" s="34"/>
      <c r="F76" s="34"/>
    </row>
    <row r="77" spans="1:6">
      <c r="A77" s="67" t="s">
        <v>8449</v>
      </c>
      <c r="B77" s="34"/>
      <c r="C77" s="34"/>
      <c r="D77" s="34"/>
      <c r="E77" s="34"/>
      <c r="F77" s="34"/>
    </row>
    <row r="78" spans="1:6">
      <c r="A78" s="67" t="s">
        <v>8450</v>
      </c>
      <c r="B78" s="34"/>
      <c r="C78" s="34"/>
      <c r="D78" s="34"/>
      <c r="E78" s="34"/>
      <c r="F78" s="34"/>
    </row>
    <row r="79" spans="1:6">
      <c r="A79" s="67" t="s">
        <v>8451</v>
      </c>
      <c r="B79" s="34"/>
      <c r="C79" s="34"/>
      <c r="D79" s="34"/>
      <c r="E79" s="34"/>
      <c r="F79" s="34"/>
    </row>
    <row r="80" spans="1:6">
      <c r="A80" s="67" t="s">
        <v>8452</v>
      </c>
      <c r="B80" s="34"/>
      <c r="C80" s="34"/>
      <c r="D80" s="34"/>
      <c r="E80" s="34"/>
      <c r="F80" s="34"/>
    </row>
    <row r="81" spans="1:6">
      <c r="A81" s="67" t="s">
        <v>8453</v>
      </c>
      <c r="B81" s="34"/>
      <c r="C81" s="34"/>
      <c r="D81" s="34"/>
      <c r="E81" s="34"/>
      <c r="F81" s="34"/>
    </row>
    <row r="82" spans="1:6">
      <c r="A82" s="67" t="s">
        <v>5564</v>
      </c>
      <c r="B82" s="34"/>
      <c r="C82" s="34"/>
      <c r="D82" s="34"/>
      <c r="E82" s="34"/>
      <c r="F82" s="34"/>
    </row>
    <row r="83" spans="1:6">
      <c r="A83" s="67" t="s">
        <v>8454</v>
      </c>
      <c r="B83" s="34"/>
      <c r="C83" s="34"/>
      <c r="D83" s="34"/>
      <c r="E83" s="34"/>
      <c r="F83" s="34"/>
    </row>
    <row r="84" spans="1:6">
      <c r="A84" s="67" t="s">
        <v>5571</v>
      </c>
      <c r="B84" s="34"/>
      <c r="C84" s="34"/>
      <c r="D84" s="34"/>
      <c r="E84" s="34"/>
      <c r="F84" s="34"/>
    </row>
    <row r="85" spans="1:6">
      <c r="A85" s="67" t="s">
        <v>117</v>
      </c>
      <c r="B85" s="34"/>
      <c r="C85" s="34"/>
      <c r="D85" s="34"/>
      <c r="E85" s="34"/>
      <c r="F85" s="34"/>
    </row>
    <row r="86" spans="1:6">
      <c r="A86" s="67" t="s">
        <v>5573</v>
      </c>
      <c r="B86" s="34"/>
      <c r="C86" s="34"/>
      <c r="D86" s="34"/>
      <c r="E86" s="34"/>
      <c r="F86" s="34"/>
    </row>
    <row r="87" spans="1:6">
      <c r="A87" s="67" t="s">
        <v>6346</v>
      </c>
      <c r="B87" s="34"/>
      <c r="C87" s="34"/>
      <c r="D87" s="34"/>
      <c r="E87" s="34"/>
      <c r="F87" s="34"/>
    </row>
    <row r="88" spans="1:6">
      <c r="A88" s="67" t="s">
        <v>8455</v>
      </c>
      <c r="B88" s="34"/>
      <c r="C88" s="34"/>
      <c r="D88" s="34"/>
      <c r="E88" s="34"/>
      <c r="F88" s="34"/>
    </row>
    <row r="89" spans="1:6">
      <c r="A89" s="67" t="s">
        <v>8456</v>
      </c>
      <c r="B89" s="34"/>
      <c r="C89" s="34"/>
      <c r="D89" s="34"/>
      <c r="E89" s="34"/>
      <c r="F89" s="34"/>
    </row>
    <row r="90" spans="1:6">
      <c r="A90" s="67" t="s">
        <v>8457</v>
      </c>
      <c r="B90" s="34"/>
      <c r="C90" s="34"/>
      <c r="D90" s="34"/>
      <c r="E90" s="34"/>
      <c r="F90" s="34"/>
    </row>
    <row r="91" spans="1:6">
      <c r="A91" s="67" t="s">
        <v>8458</v>
      </c>
      <c r="B91" s="70" t="s">
        <v>8459</v>
      </c>
      <c r="C91" s="34"/>
      <c r="D91" s="67" t="s">
        <v>8460</v>
      </c>
      <c r="E91" s="34"/>
      <c r="F91" s="34"/>
    </row>
    <row r="92" spans="1:6" ht="15" customHeight="1">
      <c r="A92" s="34"/>
      <c r="B92" s="34"/>
      <c r="C92" s="34"/>
      <c r="D92" s="34"/>
      <c r="E92" s="34"/>
      <c r="F92" s="34"/>
    </row>
    <row r="93" spans="1:6">
      <c r="A93" s="79" t="s">
        <v>333</v>
      </c>
      <c r="B93" s="34"/>
      <c r="C93" s="34"/>
      <c r="D93" s="34"/>
      <c r="E93" s="34"/>
      <c r="F93" s="34"/>
    </row>
    <row r="94" spans="1:6">
      <c r="A94" s="67" t="s">
        <v>8461</v>
      </c>
      <c r="B94" s="34"/>
      <c r="C94" s="34"/>
      <c r="D94" s="34"/>
      <c r="E94" s="34"/>
      <c r="F94" s="34"/>
    </row>
    <row r="95" spans="1:6">
      <c r="A95" s="67" t="s">
        <v>1507</v>
      </c>
      <c r="B95" s="34"/>
      <c r="C95" s="34"/>
      <c r="D95" s="34"/>
      <c r="E95" s="34"/>
      <c r="F95" s="34"/>
    </row>
    <row r="96" spans="1:6">
      <c r="A96" s="67" t="s">
        <v>8462</v>
      </c>
      <c r="B96" s="34"/>
      <c r="C96" s="34"/>
      <c r="D96" s="34"/>
      <c r="E96" s="34"/>
      <c r="F96" s="34"/>
    </row>
    <row r="97" spans="1:6">
      <c r="A97" s="67" t="s">
        <v>8463</v>
      </c>
      <c r="B97" s="34"/>
      <c r="C97" s="34"/>
      <c r="D97" s="34"/>
      <c r="E97" s="34"/>
      <c r="F97" s="34"/>
    </row>
    <row r="98" spans="1:6">
      <c r="A98" s="67" t="s">
        <v>8464</v>
      </c>
      <c r="B98" s="34"/>
      <c r="C98" s="34"/>
      <c r="D98" s="34"/>
      <c r="E98" s="34"/>
      <c r="F98" s="34"/>
    </row>
    <row r="99" spans="1:6">
      <c r="A99" s="67" t="s">
        <v>7151</v>
      </c>
      <c r="B99" s="34"/>
      <c r="C99" s="34"/>
      <c r="D99" s="34"/>
      <c r="E99" s="34"/>
      <c r="F99" s="34"/>
    </row>
    <row r="100" spans="1:6" ht="15" customHeight="1">
      <c r="A100" s="34"/>
      <c r="B100" s="34"/>
      <c r="C100" s="34"/>
      <c r="D100" s="34"/>
      <c r="E100" s="34"/>
      <c r="F100" s="34"/>
    </row>
    <row r="101" spans="1:6">
      <c r="A101" s="79" t="s">
        <v>878</v>
      </c>
      <c r="B101" s="34"/>
      <c r="C101" s="34"/>
      <c r="D101" s="34"/>
      <c r="E101" s="34"/>
      <c r="F101" s="34"/>
    </row>
    <row r="102" spans="1:6">
      <c r="A102" s="67" t="s">
        <v>8465</v>
      </c>
      <c r="B102" s="34"/>
      <c r="C102" s="34"/>
      <c r="D102" s="34"/>
      <c r="E102" s="34"/>
      <c r="F102" s="34"/>
    </row>
    <row r="103" spans="1:6">
      <c r="A103" s="67" t="s">
        <v>8466</v>
      </c>
      <c r="B103" s="34"/>
      <c r="C103" s="34"/>
      <c r="D103" s="34"/>
      <c r="E103" s="34"/>
      <c r="F103" s="34"/>
    </row>
    <row r="104" spans="1:6">
      <c r="A104" s="67" t="s">
        <v>8467</v>
      </c>
      <c r="B104" s="34"/>
      <c r="C104" s="34"/>
      <c r="D104" s="34"/>
      <c r="E104" s="34"/>
      <c r="F104" s="34"/>
    </row>
    <row r="105" spans="1:6">
      <c r="A105" s="67" t="s">
        <v>8468</v>
      </c>
      <c r="B105" s="34"/>
      <c r="C105" s="34"/>
      <c r="D105" s="34"/>
      <c r="E105" s="34"/>
      <c r="F105" s="34"/>
    </row>
    <row r="106" spans="1:6">
      <c r="A106" s="67" t="s">
        <v>8469</v>
      </c>
      <c r="B106" s="34"/>
      <c r="C106" s="34"/>
      <c r="D106" s="34"/>
      <c r="E106" s="34"/>
      <c r="F106" s="34"/>
    </row>
    <row r="107" spans="1:6">
      <c r="A107" s="67" t="s">
        <v>8470</v>
      </c>
      <c r="B107" s="34"/>
      <c r="C107" s="34"/>
      <c r="D107" s="34"/>
      <c r="E107" s="34"/>
      <c r="F107" s="34"/>
    </row>
    <row r="108" spans="1:6">
      <c r="A108" s="67" t="s">
        <v>8471</v>
      </c>
      <c r="B108" s="34"/>
      <c r="C108" s="34"/>
      <c r="D108" s="34"/>
      <c r="E108" s="34"/>
      <c r="F108" s="34"/>
    </row>
    <row r="109" spans="1:6" ht="15" customHeight="1">
      <c r="A109" s="34"/>
      <c r="B109" s="34"/>
      <c r="C109" s="34"/>
      <c r="D109" s="34"/>
      <c r="E109" s="34"/>
      <c r="F109" s="34"/>
    </row>
    <row r="110" spans="1:6">
      <c r="A110" s="79" t="s">
        <v>428</v>
      </c>
      <c r="B110" s="34"/>
      <c r="C110" s="34"/>
      <c r="D110" s="34"/>
      <c r="E110" s="34"/>
      <c r="F110"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61"/>
  <sheetViews>
    <sheetView workbookViewId="0"/>
  </sheetViews>
  <sheetFormatPr defaultColWidth="9.140625" defaultRowHeight="15" customHeight="1"/>
  <cols>
    <col min="2" max="2" width="13" customWidth="1"/>
  </cols>
  <sheetData>
    <row r="1" spans="1:3">
      <c r="A1" s="67" t="s">
        <v>20</v>
      </c>
      <c r="B1" s="67" t="s">
        <v>21</v>
      </c>
      <c r="C1" s="67" t="s">
        <v>22</v>
      </c>
    </row>
    <row r="2" spans="1:3">
      <c r="A2" s="67" t="s">
        <v>23</v>
      </c>
      <c r="B2" s="67" t="s">
        <v>24</v>
      </c>
      <c r="C2" s="67">
        <v>3</v>
      </c>
    </row>
    <row r="3" spans="1:3">
      <c r="A3" s="67" t="s">
        <v>25</v>
      </c>
      <c r="B3" s="67" t="s">
        <v>26</v>
      </c>
      <c r="C3" s="67">
        <v>4</v>
      </c>
    </row>
    <row r="4" spans="1:3">
      <c r="A4" s="67" t="s">
        <v>27</v>
      </c>
      <c r="B4" s="67" t="s">
        <v>28</v>
      </c>
      <c r="C4" s="67">
        <v>5</v>
      </c>
    </row>
    <row r="5" spans="1:3">
      <c r="A5" s="67" t="s">
        <v>29</v>
      </c>
      <c r="B5" s="67" t="s">
        <v>30</v>
      </c>
      <c r="C5" s="67">
        <v>6</v>
      </c>
    </row>
    <row r="6" spans="1:3">
      <c r="A6" s="67" t="s">
        <v>31</v>
      </c>
      <c r="B6" s="67" t="s">
        <v>32</v>
      </c>
      <c r="C6" s="67">
        <v>7</v>
      </c>
    </row>
    <row r="7" spans="1:3">
      <c r="A7" s="67" t="s">
        <v>33</v>
      </c>
      <c r="B7" s="67" t="s">
        <v>34</v>
      </c>
      <c r="C7" s="67">
        <v>8</v>
      </c>
    </row>
    <row r="8" spans="1:3">
      <c r="A8" s="67" t="s">
        <v>35</v>
      </c>
      <c r="B8" s="67" t="s">
        <v>36</v>
      </c>
      <c r="C8" s="67">
        <v>9</v>
      </c>
    </row>
    <row r="9" spans="1:3">
      <c r="A9" s="67" t="s">
        <v>37</v>
      </c>
      <c r="B9" s="67" t="s">
        <v>38</v>
      </c>
      <c r="C9" s="67">
        <v>1</v>
      </c>
    </row>
    <row r="10" spans="1:3">
      <c r="A10" s="67" t="s">
        <v>39</v>
      </c>
      <c r="B10" s="67" t="s">
        <v>40</v>
      </c>
      <c r="C10" s="67">
        <v>11</v>
      </c>
    </row>
    <row r="11" spans="1:3">
      <c r="A11" s="67" t="s">
        <v>41</v>
      </c>
      <c r="B11" s="67" t="s">
        <v>42</v>
      </c>
      <c r="C11" s="67">
        <v>12</v>
      </c>
    </row>
    <row r="12" spans="1:3">
      <c r="A12" s="67" t="s">
        <v>43</v>
      </c>
      <c r="B12" s="67" t="s">
        <v>44</v>
      </c>
      <c r="C12" s="67">
        <v>13</v>
      </c>
    </row>
    <row r="13" spans="1:3">
      <c r="A13" s="67" t="s">
        <v>45</v>
      </c>
      <c r="B13" s="67" t="s">
        <v>46</v>
      </c>
      <c r="C13" s="67">
        <v>14</v>
      </c>
    </row>
    <row r="14" spans="1:3">
      <c r="A14" s="67" t="s">
        <v>47</v>
      </c>
      <c r="B14" s="67" t="s">
        <v>48</v>
      </c>
      <c r="C14" s="67">
        <v>15</v>
      </c>
    </row>
    <row r="15" spans="1:3">
      <c r="A15" s="67" t="s">
        <v>49</v>
      </c>
      <c r="B15" s="67" t="s">
        <v>50</v>
      </c>
      <c r="C15" s="67">
        <v>16</v>
      </c>
    </row>
    <row r="16" spans="1:3">
      <c r="A16" s="67" t="s">
        <v>51</v>
      </c>
      <c r="B16" s="67" t="s">
        <v>52</v>
      </c>
      <c r="C16" s="67">
        <v>17</v>
      </c>
    </row>
    <row r="17" spans="1:3">
      <c r="A17" s="67" t="s">
        <v>53</v>
      </c>
      <c r="B17" s="67" t="s">
        <v>54</v>
      </c>
      <c r="C17" s="67">
        <v>18</v>
      </c>
    </row>
    <row r="18" spans="1:3">
      <c r="A18" s="67" t="s">
        <v>55</v>
      </c>
      <c r="B18" s="67" t="s">
        <v>56</v>
      </c>
      <c r="C18" s="67">
        <v>19</v>
      </c>
    </row>
    <row r="19" spans="1:3">
      <c r="A19" s="67" t="s">
        <v>57</v>
      </c>
      <c r="B19" s="67" t="s">
        <v>58</v>
      </c>
      <c r="C19" s="67">
        <v>2</v>
      </c>
    </row>
    <row r="20" spans="1:3">
      <c r="A20" s="67" t="s">
        <v>59</v>
      </c>
      <c r="B20" s="67" t="s">
        <v>60</v>
      </c>
      <c r="C20" s="67">
        <v>21</v>
      </c>
    </row>
    <row r="21" spans="1:3">
      <c r="A21" s="67" t="s">
        <v>61</v>
      </c>
      <c r="B21" s="67" t="s">
        <v>62</v>
      </c>
      <c r="C21" s="67">
        <v>22</v>
      </c>
    </row>
    <row r="22" spans="1:3">
      <c r="A22" s="67" t="s">
        <v>63</v>
      </c>
      <c r="B22" s="67" t="s">
        <v>64</v>
      </c>
      <c r="C22" s="67">
        <v>23</v>
      </c>
    </row>
    <row r="23" spans="1:3">
      <c r="A23" s="67" t="s">
        <v>65</v>
      </c>
      <c r="B23" s="67" t="s">
        <v>66</v>
      </c>
      <c r="C23" s="67">
        <v>24</v>
      </c>
    </row>
    <row r="24" spans="1:3">
      <c r="A24" s="67" t="s">
        <v>67</v>
      </c>
      <c r="B24" s="67" t="s">
        <v>68</v>
      </c>
      <c r="C24" s="67">
        <v>25</v>
      </c>
    </row>
    <row r="25" spans="1:3">
      <c r="A25" s="67" t="s">
        <v>69</v>
      </c>
      <c r="B25" s="67" t="s">
        <v>70</v>
      </c>
      <c r="C25" s="67">
        <v>26</v>
      </c>
    </row>
    <row r="26" spans="1:3">
      <c r="A26" s="67" t="s">
        <v>71</v>
      </c>
      <c r="B26" s="67" t="s">
        <v>72</v>
      </c>
      <c r="C26" s="67">
        <v>27</v>
      </c>
    </row>
    <row r="27" spans="1:3">
      <c r="A27" s="67" t="s">
        <v>73</v>
      </c>
      <c r="B27" s="67" t="s">
        <v>74</v>
      </c>
      <c r="C27" s="67">
        <v>28</v>
      </c>
    </row>
    <row r="28" spans="1:3">
      <c r="A28" s="67" t="s">
        <v>75</v>
      </c>
      <c r="B28" s="67" t="s">
        <v>76</v>
      </c>
      <c r="C28" s="67">
        <v>29</v>
      </c>
    </row>
    <row r="29" spans="1:3">
      <c r="A29" s="67" t="s">
        <v>77</v>
      </c>
      <c r="B29" s="67" t="s">
        <v>78</v>
      </c>
      <c r="C29" s="67">
        <v>3</v>
      </c>
    </row>
    <row r="30" spans="1:3">
      <c r="A30" s="67" t="s">
        <v>79</v>
      </c>
      <c r="B30" s="67" t="s">
        <v>80</v>
      </c>
      <c r="C30" s="67">
        <v>31</v>
      </c>
    </row>
    <row r="31" spans="1:3">
      <c r="A31" s="67" t="s">
        <v>81</v>
      </c>
      <c r="B31" s="67" t="s">
        <v>82</v>
      </c>
      <c r="C31" s="67">
        <v>32</v>
      </c>
    </row>
    <row r="32" spans="1:3">
      <c r="A32" s="67" t="s">
        <v>83</v>
      </c>
      <c r="B32" s="67" t="s">
        <v>84</v>
      </c>
      <c r="C32" s="67">
        <v>33</v>
      </c>
    </row>
    <row r="33" spans="1:3">
      <c r="A33" s="67" t="s">
        <v>85</v>
      </c>
      <c r="B33" s="67" t="s">
        <v>86</v>
      </c>
      <c r="C33" s="67">
        <v>34</v>
      </c>
    </row>
    <row r="34" spans="1:3">
      <c r="A34" s="67" t="s">
        <v>87</v>
      </c>
      <c r="B34" s="67" t="s">
        <v>88</v>
      </c>
      <c r="C34" s="67">
        <v>35</v>
      </c>
    </row>
    <row r="35" spans="1:3">
      <c r="A35" s="67" t="s">
        <v>89</v>
      </c>
      <c r="B35" s="67" t="s">
        <v>90</v>
      </c>
      <c r="C35" s="67">
        <v>36</v>
      </c>
    </row>
    <row r="36" spans="1:3">
      <c r="A36" s="67" t="s">
        <v>91</v>
      </c>
      <c r="B36" s="67" t="s">
        <v>92</v>
      </c>
      <c r="C36" s="67">
        <v>37</v>
      </c>
    </row>
    <row r="37" spans="1:3">
      <c r="A37" s="67" t="s">
        <v>93</v>
      </c>
      <c r="B37" s="67" t="s">
        <v>94</v>
      </c>
      <c r="C37" s="67">
        <v>38</v>
      </c>
    </row>
    <row r="38" spans="1:3">
      <c r="A38" s="67" t="s">
        <v>95</v>
      </c>
      <c r="B38" s="67" t="s">
        <v>96</v>
      </c>
      <c r="C38" s="67">
        <v>39</v>
      </c>
    </row>
    <row r="39" spans="1:3">
      <c r="A39" s="67" t="s">
        <v>97</v>
      </c>
      <c r="B39" s="67" t="s">
        <v>98</v>
      </c>
      <c r="C39" s="67">
        <v>4</v>
      </c>
    </row>
    <row r="40" spans="1:3">
      <c r="A40" s="67" t="s">
        <v>99</v>
      </c>
      <c r="B40" s="67" t="s">
        <v>100</v>
      </c>
      <c r="C40" s="67">
        <v>41</v>
      </c>
    </row>
    <row r="41" spans="1:3">
      <c r="A41" s="67" t="s">
        <v>101</v>
      </c>
      <c r="B41" s="67" t="s">
        <v>102</v>
      </c>
      <c r="C41" s="67">
        <v>42</v>
      </c>
    </row>
    <row r="42" spans="1:3">
      <c r="A42" s="67" t="s">
        <v>103</v>
      </c>
      <c r="B42" s="67" t="s">
        <v>104</v>
      </c>
      <c r="C42" s="67">
        <v>43</v>
      </c>
    </row>
    <row r="43" spans="1:3">
      <c r="A43" s="67" t="s">
        <v>105</v>
      </c>
      <c r="B43" s="67" t="s">
        <v>106</v>
      </c>
      <c r="C43" s="67">
        <v>44</v>
      </c>
    </row>
    <row r="44" spans="1:3">
      <c r="A44" s="67" t="s">
        <v>107</v>
      </c>
      <c r="B44" s="67" t="s">
        <v>108</v>
      </c>
      <c r="C44" s="67">
        <v>45</v>
      </c>
    </row>
    <row r="45" spans="1:3">
      <c r="A45" s="67" t="s">
        <v>109</v>
      </c>
      <c r="B45" s="67" t="s">
        <v>110</v>
      </c>
      <c r="C45" s="67">
        <v>46</v>
      </c>
    </row>
    <row r="46" spans="1:3">
      <c r="A46" s="67" t="s">
        <v>111</v>
      </c>
      <c r="B46" s="67" t="s">
        <v>112</v>
      </c>
      <c r="C46" s="67">
        <v>47</v>
      </c>
    </row>
    <row r="47" spans="1:3">
      <c r="A47" s="67" t="s">
        <v>113</v>
      </c>
      <c r="B47" s="67" t="s">
        <v>114</v>
      </c>
      <c r="C47" s="67">
        <v>48</v>
      </c>
    </row>
    <row r="48" spans="1:3">
      <c r="A48" s="67" t="s">
        <v>115</v>
      </c>
      <c r="B48" s="67" t="s">
        <v>116</v>
      </c>
      <c r="C48" s="67">
        <v>49</v>
      </c>
    </row>
    <row r="49" spans="1:3">
      <c r="A49" s="67" t="s">
        <v>117</v>
      </c>
      <c r="B49" s="67" t="s">
        <v>118</v>
      </c>
      <c r="C49" s="67">
        <v>5</v>
      </c>
    </row>
    <row r="50" spans="1:3">
      <c r="A50" s="67" t="s">
        <v>119</v>
      </c>
      <c r="B50" s="67" t="s">
        <v>120</v>
      </c>
      <c r="C50" s="67">
        <v>51</v>
      </c>
    </row>
    <row r="51" spans="1:3">
      <c r="A51" s="67" t="s">
        <v>121</v>
      </c>
      <c r="B51" s="67" t="s">
        <v>122</v>
      </c>
      <c r="C51" s="67">
        <v>52</v>
      </c>
    </row>
    <row r="52" spans="1:3">
      <c r="A52" s="67" t="s">
        <v>123</v>
      </c>
      <c r="B52" s="67" t="s">
        <v>124</v>
      </c>
      <c r="C52" s="67">
        <v>53</v>
      </c>
    </row>
    <row r="53" spans="1:3">
      <c r="A53" s="67" t="s">
        <v>125</v>
      </c>
      <c r="B53" s="67" t="s">
        <v>126</v>
      </c>
      <c r="C53" s="67">
        <v>54</v>
      </c>
    </row>
    <row r="54" spans="1:3">
      <c r="A54" s="67" t="s">
        <v>127</v>
      </c>
      <c r="B54" s="67" t="s">
        <v>128</v>
      </c>
      <c r="C54" s="67">
        <v>55</v>
      </c>
    </row>
    <row r="55" spans="1:3">
      <c r="A55" s="67" t="s">
        <v>129</v>
      </c>
      <c r="B55" s="67" t="s">
        <v>130</v>
      </c>
      <c r="C55" s="67">
        <v>56</v>
      </c>
    </row>
    <row r="56" spans="1:3">
      <c r="A56" s="67" t="s">
        <v>131</v>
      </c>
      <c r="B56" s="67" t="s">
        <v>132</v>
      </c>
      <c r="C56" s="67">
        <v>57</v>
      </c>
    </row>
    <row r="57" spans="1:3">
      <c r="A57" s="67" t="s">
        <v>133</v>
      </c>
      <c r="B57" s="67" t="s">
        <v>134</v>
      </c>
      <c r="C57" s="67">
        <v>58</v>
      </c>
    </row>
    <row r="58" spans="1:3">
      <c r="A58" s="67" t="s">
        <v>135</v>
      </c>
      <c r="B58" s="67" t="s">
        <v>136</v>
      </c>
      <c r="C58" s="67">
        <v>59</v>
      </c>
    </row>
    <row r="59" spans="1:3">
      <c r="A59" s="67" t="s">
        <v>137</v>
      </c>
      <c r="B59" s="67" t="s">
        <v>138</v>
      </c>
      <c r="C59" s="67">
        <v>6</v>
      </c>
    </row>
    <row r="60" spans="1:3">
      <c r="A60" s="67" t="s">
        <v>139</v>
      </c>
      <c r="B60" s="67" t="s">
        <v>140</v>
      </c>
      <c r="C60" s="67">
        <v>61</v>
      </c>
    </row>
    <row r="61" spans="1:3">
      <c r="A61" s="67" t="s">
        <v>141</v>
      </c>
      <c r="B61" s="67" t="s">
        <v>142</v>
      </c>
      <c r="C61" s="67">
        <v>62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D177"/>
  <sheetViews>
    <sheetView workbookViewId="0"/>
  </sheetViews>
  <sheetFormatPr defaultColWidth="9.140625" defaultRowHeight="15" customHeight="1"/>
  <cols>
    <col min="1" max="1" width="26.7109375" customWidth="1"/>
    <col min="2" max="2" width="17.85546875" customWidth="1"/>
    <col min="3" max="3" width="14" customWidth="1"/>
    <col min="4" max="4" width="36.42578125" customWidth="1"/>
    <col min="5" max="5" width="21.28515625" customWidth="1"/>
  </cols>
  <sheetData>
    <row r="1" spans="1:4">
      <c r="A1" s="79" t="s">
        <v>146</v>
      </c>
      <c r="B1" s="79" t="s">
        <v>147</v>
      </c>
      <c r="C1" s="79" t="s">
        <v>148</v>
      </c>
      <c r="D1" s="79" t="s">
        <v>182</v>
      </c>
    </row>
    <row r="2" spans="1:4">
      <c r="A2" s="67" t="s">
        <v>8472</v>
      </c>
      <c r="B2" s="70" t="s">
        <v>8473</v>
      </c>
      <c r="C2" s="67" t="s">
        <v>8474</v>
      </c>
      <c r="D2" s="67" t="s">
        <v>8475</v>
      </c>
    </row>
    <row r="3" spans="1:4">
      <c r="A3" s="67" t="s">
        <v>8476</v>
      </c>
      <c r="C3" s="34" t="s">
        <v>8477</v>
      </c>
      <c r="D3" s="11" t="str">
        <f>HYPERLINK("http://www.dps.mo.gov/homelandsecurity/","www.dps.mo.gov/homelandsecurity/")</f>
        <v>www.dps.mo.gov/homelandsecurity/</v>
      </c>
    </row>
    <row r="4" spans="1:4">
      <c r="A4" s="67" t="s">
        <v>8478</v>
      </c>
      <c r="D4" s="11" t="str">
        <f>HYPERLINK("http://wildlife.rescueshelter.com/Missouri","http://wildlife.rescueshelter.com/Missouri")</f>
        <v>http://wildlife.rescueshelter.com/Missouri</v>
      </c>
    </row>
    <row r="6" spans="1:4">
      <c r="A6" s="79" t="s">
        <v>209</v>
      </c>
      <c r="B6" s="79" t="s">
        <v>147</v>
      </c>
      <c r="C6" s="79" t="s">
        <v>148</v>
      </c>
      <c r="D6" s="79" t="s">
        <v>182</v>
      </c>
    </row>
    <row r="7" spans="1:4">
      <c r="A7" s="67" t="s">
        <v>6085</v>
      </c>
      <c r="D7" t="s">
        <v>8479</v>
      </c>
    </row>
    <row r="8" spans="1:4">
      <c r="A8" s="67" t="s">
        <v>8480</v>
      </c>
      <c r="C8" t="s">
        <v>8481</v>
      </c>
      <c r="D8" t="s">
        <v>8482</v>
      </c>
    </row>
    <row r="9" spans="1:4">
      <c r="A9" s="67" t="s">
        <v>6491</v>
      </c>
      <c r="D9" t="s">
        <v>8483</v>
      </c>
    </row>
    <row r="10" spans="1:4">
      <c r="A10" s="67" t="s">
        <v>8484</v>
      </c>
      <c r="B10" t="s">
        <v>8485</v>
      </c>
      <c r="C10" t="s">
        <v>8486</v>
      </c>
      <c r="D10" t="s">
        <v>8487</v>
      </c>
    </row>
    <row r="11" spans="1:4">
      <c r="A11" s="67" t="s">
        <v>8094</v>
      </c>
      <c r="B11" t="s">
        <v>8488</v>
      </c>
      <c r="D11" t="s">
        <v>8489</v>
      </c>
    </row>
    <row r="12" spans="1:4">
      <c r="A12" s="67" t="s">
        <v>6496</v>
      </c>
      <c r="D12" t="s">
        <v>8490</v>
      </c>
    </row>
    <row r="13" spans="1:4">
      <c r="A13" s="67" t="s">
        <v>8491</v>
      </c>
      <c r="C13" t="s">
        <v>8492</v>
      </c>
      <c r="D13" t="s">
        <v>8493</v>
      </c>
    </row>
    <row r="14" spans="1:4">
      <c r="A14" s="67" t="s">
        <v>5752</v>
      </c>
      <c r="B14" t="s">
        <v>8494</v>
      </c>
      <c r="C14" t="s">
        <v>8495</v>
      </c>
      <c r="D14" t="s">
        <v>8496</v>
      </c>
    </row>
    <row r="15" spans="1:4">
      <c r="A15" s="67" t="s">
        <v>8497</v>
      </c>
      <c r="D15" s="34"/>
    </row>
    <row r="16" spans="1:4">
      <c r="A16" s="67" t="s">
        <v>5383</v>
      </c>
      <c r="B16" t="s">
        <v>8498</v>
      </c>
      <c r="D16" t="s">
        <v>8499</v>
      </c>
    </row>
    <row r="17" spans="1:4">
      <c r="A17" s="67" t="s">
        <v>6114</v>
      </c>
      <c r="D17" t="s">
        <v>8500</v>
      </c>
    </row>
    <row r="18" spans="1:4">
      <c r="A18" s="67" t="s">
        <v>6120</v>
      </c>
      <c r="D18" t="s">
        <v>8501</v>
      </c>
    </row>
    <row r="19" spans="1:4">
      <c r="A19" s="67" t="s">
        <v>7248</v>
      </c>
      <c r="D19" t="s">
        <v>8502</v>
      </c>
    </row>
    <row r="20" spans="1:4">
      <c r="A20" s="67" t="s">
        <v>8503</v>
      </c>
      <c r="D20" t="s">
        <v>8504</v>
      </c>
    </row>
    <row r="21" spans="1:4">
      <c r="A21" s="67" t="s">
        <v>8505</v>
      </c>
      <c r="B21" t="s">
        <v>8506</v>
      </c>
      <c r="C21" t="s">
        <v>8507</v>
      </c>
      <c r="D21" t="s">
        <v>8508</v>
      </c>
    </row>
    <row r="22" spans="1:4">
      <c r="A22" s="67" t="s">
        <v>8509</v>
      </c>
      <c r="C22" t="s">
        <v>8510</v>
      </c>
      <c r="D22" t="s">
        <v>8511</v>
      </c>
    </row>
    <row r="23" spans="1:4">
      <c r="A23" s="67" t="s">
        <v>5391</v>
      </c>
      <c r="D23" s="34"/>
    </row>
    <row r="24" spans="1:4">
      <c r="A24" s="67" t="s">
        <v>8512</v>
      </c>
      <c r="D24" t="s">
        <v>8513</v>
      </c>
    </row>
    <row r="25" spans="1:4">
      <c r="A25" s="67" t="s">
        <v>5393</v>
      </c>
      <c r="D25" t="s">
        <v>8514</v>
      </c>
    </row>
    <row r="26" spans="1:4">
      <c r="A26" s="67" t="s">
        <v>6131</v>
      </c>
      <c r="D26" t="s">
        <v>8515</v>
      </c>
    </row>
    <row r="27" spans="1:4">
      <c r="A27" s="67" t="s">
        <v>8516</v>
      </c>
      <c r="D27" t="s">
        <v>8517</v>
      </c>
    </row>
    <row r="28" spans="1:4">
      <c r="A28" s="67" t="s">
        <v>5398</v>
      </c>
      <c r="C28" t="s">
        <v>8518</v>
      </c>
      <c r="D28" t="s">
        <v>8519</v>
      </c>
    </row>
    <row r="29" spans="1:4">
      <c r="A29" s="67" t="s">
        <v>5401</v>
      </c>
    </row>
    <row r="30" spans="1:4">
      <c r="A30" s="67" t="s">
        <v>5403</v>
      </c>
      <c r="B30" t="s">
        <v>8520</v>
      </c>
      <c r="C30" t="s">
        <v>8521</v>
      </c>
      <c r="D30" t="s">
        <v>8522</v>
      </c>
    </row>
    <row r="31" spans="1:4">
      <c r="A31" s="67" t="s">
        <v>5405</v>
      </c>
    </row>
    <row r="32" spans="1:4">
      <c r="A32" s="67" t="s">
        <v>8523</v>
      </c>
      <c r="D32" t="s">
        <v>8524</v>
      </c>
    </row>
    <row r="33" spans="1:4">
      <c r="A33" s="67" t="s">
        <v>8525</v>
      </c>
      <c r="C33" t="s">
        <v>8526</v>
      </c>
      <c r="D33" t="s">
        <v>8527</v>
      </c>
    </row>
    <row r="34" spans="1:4">
      <c r="A34" s="67" t="s">
        <v>8528</v>
      </c>
      <c r="B34" t="s">
        <v>8529</v>
      </c>
      <c r="D34" t="s">
        <v>8530</v>
      </c>
    </row>
    <row r="35" spans="1:4">
      <c r="A35" s="67" t="s">
        <v>8531</v>
      </c>
    </row>
    <row r="36" spans="1:4">
      <c r="A36" s="67" t="s">
        <v>6156</v>
      </c>
      <c r="D36" t="s">
        <v>8532</v>
      </c>
    </row>
    <row r="37" spans="1:4">
      <c r="A37" s="67" t="s">
        <v>5774</v>
      </c>
    </row>
    <row r="38" spans="1:4">
      <c r="A38" s="67" t="s">
        <v>5417</v>
      </c>
      <c r="D38" t="s">
        <v>8533</v>
      </c>
    </row>
    <row r="39" spans="1:4">
      <c r="A39" s="67" t="s">
        <v>8534</v>
      </c>
      <c r="D39" t="s">
        <v>8535</v>
      </c>
    </row>
    <row r="40" spans="1:4">
      <c r="A40" s="67" t="s">
        <v>5422</v>
      </c>
    </row>
    <row r="41" spans="1:4">
      <c r="A41" s="67" t="s">
        <v>8536</v>
      </c>
    </row>
    <row r="42" spans="1:4">
      <c r="A42" s="67" t="s">
        <v>5441</v>
      </c>
      <c r="D42" t="s">
        <v>8537</v>
      </c>
    </row>
    <row r="43" spans="1:4">
      <c r="A43" s="67" t="s">
        <v>8538</v>
      </c>
    </row>
    <row r="44" spans="1:4">
      <c r="A44" s="67" t="s">
        <v>8539</v>
      </c>
      <c r="D44" t="s">
        <v>8540</v>
      </c>
    </row>
    <row r="45" spans="1:4">
      <c r="A45" s="67" t="s">
        <v>5449</v>
      </c>
      <c r="D45" t="s">
        <v>8541</v>
      </c>
    </row>
    <row r="46" spans="1:4">
      <c r="A46" s="67" t="s">
        <v>5451</v>
      </c>
      <c r="D46" t="s">
        <v>8542</v>
      </c>
    </row>
    <row r="47" spans="1:4">
      <c r="A47" s="67" t="s">
        <v>6202</v>
      </c>
    </row>
    <row r="48" spans="1:4">
      <c r="A48" s="67" t="s">
        <v>5461</v>
      </c>
      <c r="D48" t="s">
        <v>8543</v>
      </c>
    </row>
    <row r="49" spans="1:4">
      <c r="A49" s="67" t="s">
        <v>8544</v>
      </c>
    </row>
    <row r="50" spans="1:4">
      <c r="A50" s="67" t="s">
        <v>8545</v>
      </c>
    </row>
    <row r="51" spans="1:4">
      <c r="A51" s="67" t="s">
        <v>5822</v>
      </c>
    </row>
    <row r="52" spans="1:4">
      <c r="A52" s="67" t="s">
        <v>8546</v>
      </c>
      <c r="D52" t="s">
        <v>8547</v>
      </c>
    </row>
    <row r="53" spans="1:4">
      <c r="A53" s="67" t="s">
        <v>8116</v>
      </c>
    </row>
    <row r="54" spans="1:4">
      <c r="A54" s="67" t="s">
        <v>5466</v>
      </c>
      <c r="B54" t="s">
        <v>8548</v>
      </c>
      <c r="C54" s="34" t="s">
        <v>8549</v>
      </c>
      <c r="D54" t="s">
        <v>8550</v>
      </c>
    </row>
    <row r="55" spans="1:4">
      <c r="A55" s="67" t="s">
        <v>5468</v>
      </c>
      <c r="D55" t="s">
        <v>8551</v>
      </c>
    </row>
    <row r="56" spans="1:4">
      <c r="A56" s="67" t="s">
        <v>5187</v>
      </c>
      <c r="D56" t="s">
        <v>8552</v>
      </c>
    </row>
    <row r="57" spans="1:4">
      <c r="A57" s="67" t="s">
        <v>5475</v>
      </c>
      <c r="D57" t="s">
        <v>8553</v>
      </c>
    </row>
    <row r="58" spans="1:4">
      <c r="A58" s="67" t="s">
        <v>5484</v>
      </c>
      <c r="D58" t="s">
        <v>8554</v>
      </c>
    </row>
    <row r="59" spans="1:4">
      <c r="A59" s="67" t="s">
        <v>8555</v>
      </c>
      <c r="D59" t="s">
        <v>8556</v>
      </c>
    </row>
    <row r="60" spans="1:4">
      <c r="A60" s="67" t="s">
        <v>7280</v>
      </c>
      <c r="D60" t="s">
        <v>8557</v>
      </c>
    </row>
    <row r="61" spans="1:4">
      <c r="A61" s="67" t="s">
        <v>5494</v>
      </c>
    </row>
    <row r="62" spans="1:4">
      <c r="A62" s="67" t="s">
        <v>5203</v>
      </c>
      <c r="D62" t="s">
        <v>8558</v>
      </c>
    </row>
    <row r="63" spans="1:4">
      <c r="A63" s="67" t="s">
        <v>5206</v>
      </c>
      <c r="C63" t="s">
        <v>8559</v>
      </c>
      <c r="D63" t="s">
        <v>8560</v>
      </c>
    </row>
    <row r="64" spans="1:4">
      <c r="A64" s="67" t="s">
        <v>6236</v>
      </c>
    </row>
    <row r="65" spans="1:4">
      <c r="A65" s="67" t="s">
        <v>5498</v>
      </c>
      <c r="D65" t="s">
        <v>8561</v>
      </c>
    </row>
    <row r="66" spans="1:4">
      <c r="A66" s="67" t="s">
        <v>5502</v>
      </c>
      <c r="D66" t="s">
        <v>8562</v>
      </c>
    </row>
    <row r="67" spans="1:4">
      <c r="A67" s="67" t="s">
        <v>5209</v>
      </c>
      <c r="D67" t="s">
        <v>8563</v>
      </c>
    </row>
    <row r="68" spans="1:4">
      <c r="A68" s="67" t="s">
        <v>8564</v>
      </c>
      <c r="D68" t="s">
        <v>8565</v>
      </c>
    </row>
    <row r="69" spans="1:4">
      <c r="A69" s="67" t="s">
        <v>5507</v>
      </c>
      <c r="D69" t="s">
        <v>8566</v>
      </c>
    </row>
    <row r="70" spans="1:4">
      <c r="A70" s="67" t="s">
        <v>8567</v>
      </c>
      <c r="D70" t="s">
        <v>8568</v>
      </c>
    </row>
    <row r="71" spans="1:4">
      <c r="A71" s="67" t="s">
        <v>5523</v>
      </c>
    </row>
    <row r="72" spans="1:4">
      <c r="A72" s="67" t="s">
        <v>8569</v>
      </c>
      <c r="D72" t="s">
        <v>8570</v>
      </c>
    </row>
    <row r="73" spans="1:4">
      <c r="A73" s="67" t="s">
        <v>71</v>
      </c>
      <c r="D73" t="s">
        <v>8571</v>
      </c>
    </row>
    <row r="74" spans="1:4">
      <c r="A74" s="67" t="s">
        <v>8572</v>
      </c>
    </row>
    <row r="75" spans="1:4">
      <c r="A75" s="67" t="s">
        <v>5524</v>
      </c>
      <c r="D75" t="s">
        <v>8573</v>
      </c>
    </row>
    <row r="76" spans="1:4">
      <c r="A76" s="67" t="s">
        <v>5526</v>
      </c>
      <c r="D76" t="s">
        <v>8574</v>
      </c>
    </row>
    <row r="77" spans="1:4">
      <c r="A77" s="67" t="s">
        <v>5527</v>
      </c>
      <c r="D77" t="s">
        <v>8575</v>
      </c>
    </row>
    <row r="78" spans="1:4">
      <c r="A78" s="67" t="s">
        <v>8576</v>
      </c>
      <c r="D78" t="s">
        <v>8577</v>
      </c>
    </row>
    <row r="79" spans="1:4">
      <c r="A79" s="67" t="s">
        <v>5879</v>
      </c>
      <c r="D79" t="s">
        <v>8578</v>
      </c>
    </row>
    <row r="80" spans="1:4">
      <c r="A80" s="67" t="s">
        <v>8579</v>
      </c>
      <c r="D80" t="s">
        <v>8580</v>
      </c>
    </row>
    <row r="81" spans="1:1">
      <c r="A81" s="67" t="s">
        <v>97</v>
      </c>
    </row>
    <row r="82" spans="1:1">
      <c r="A82" s="67" t="s">
        <v>6636</v>
      </c>
    </row>
    <row r="83" spans="1:1">
      <c r="A83" s="67" t="s">
        <v>8581</v>
      </c>
    </row>
    <row r="84" spans="1:1">
      <c r="A84" s="67" t="s">
        <v>8582</v>
      </c>
    </row>
    <row r="85" spans="1:1">
      <c r="A85" s="67" t="s">
        <v>5533</v>
      </c>
    </row>
    <row r="86" spans="1:1">
      <c r="A86" s="67" t="s">
        <v>8583</v>
      </c>
    </row>
    <row r="87" spans="1:1">
      <c r="A87" s="67" t="s">
        <v>8584</v>
      </c>
    </row>
    <row r="88" spans="1:1">
      <c r="A88" s="67" t="s">
        <v>5536</v>
      </c>
    </row>
    <row r="89" spans="1:1">
      <c r="A89" s="67" t="s">
        <v>8585</v>
      </c>
    </row>
    <row r="90" spans="1:1">
      <c r="A90" s="67" t="s">
        <v>6290</v>
      </c>
    </row>
    <row r="91" spans="1:1">
      <c r="A91" s="67" t="s">
        <v>5540</v>
      </c>
    </row>
    <row r="92" spans="1:1">
      <c r="A92" s="67" t="s">
        <v>5541</v>
      </c>
    </row>
    <row r="93" spans="1:1">
      <c r="A93" s="67" t="s">
        <v>8586</v>
      </c>
    </row>
    <row r="94" spans="1:1">
      <c r="A94" s="67" t="s">
        <v>5543</v>
      </c>
    </row>
    <row r="95" spans="1:1">
      <c r="A95" s="67" t="s">
        <v>8587</v>
      </c>
    </row>
    <row r="96" spans="1:1">
      <c r="A96" s="67" t="s">
        <v>8588</v>
      </c>
    </row>
    <row r="97" spans="1:1">
      <c r="A97" s="67" t="s">
        <v>5907</v>
      </c>
    </row>
    <row r="98" spans="1:1">
      <c r="A98" s="67" t="s">
        <v>8589</v>
      </c>
    </row>
    <row r="99" spans="1:1">
      <c r="A99" s="67" t="s">
        <v>5548</v>
      </c>
    </row>
    <row r="100" spans="1:1">
      <c r="A100" s="67" t="s">
        <v>5551</v>
      </c>
    </row>
    <row r="101" spans="1:1">
      <c r="A101" s="67" t="s">
        <v>8590</v>
      </c>
    </row>
    <row r="102" spans="1:1">
      <c r="A102" s="67" t="s">
        <v>5553</v>
      </c>
    </row>
    <row r="103" spans="1:1">
      <c r="A103" s="67" t="s">
        <v>8591</v>
      </c>
    </row>
    <row r="104" spans="1:1">
      <c r="A104" s="67" t="s">
        <v>5554</v>
      </c>
    </row>
    <row r="105" spans="1:1">
      <c r="A105" s="67" t="s">
        <v>7315</v>
      </c>
    </row>
    <row r="106" spans="1:1">
      <c r="A106" s="67" t="s">
        <v>5556</v>
      </c>
    </row>
    <row r="107" spans="1:1">
      <c r="A107" s="67" t="s">
        <v>8592</v>
      </c>
    </row>
    <row r="108" spans="1:1">
      <c r="A108" s="67" t="s">
        <v>8265</v>
      </c>
    </row>
    <row r="109" spans="1:1">
      <c r="A109" s="67" t="s">
        <v>8593</v>
      </c>
    </row>
    <row r="110" spans="1:1">
      <c r="A110" s="67" t="s">
        <v>8594</v>
      </c>
    </row>
    <row r="111" spans="1:1">
      <c r="A111" s="67" t="s">
        <v>8447</v>
      </c>
    </row>
    <row r="112" spans="1:1">
      <c r="A112" s="67" t="s">
        <v>8595</v>
      </c>
    </row>
    <row r="113" spans="1:1">
      <c r="A113" s="67" t="s">
        <v>8596</v>
      </c>
    </row>
    <row r="114" spans="1:1">
      <c r="A114" s="67" t="s">
        <v>109</v>
      </c>
    </row>
    <row r="115" spans="1:1">
      <c r="A115" s="67" t="s">
        <v>7344</v>
      </c>
    </row>
    <row r="116" spans="1:1">
      <c r="A116" s="67" t="s">
        <v>5571</v>
      </c>
    </row>
    <row r="117" spans="1:1">
      <c r="A117" s="67" t="s">
        <v>117</v>
      </c>
    </row>
    <row r="118" spans="1:1">
      <c r="A118" s="67" t="s">
        <v>5573</v>
      </c>
    </row>
    <row r="119" spans="1:1">
      <c r="A119" s="67" t="s">
        <v>6346</v>
      </c>
    </row>
    <row r="120" spans="1:1">
      <c r="A120" s="67" t="s">
        <v>6359</v>
      </c>
    </row>
    <row r="121" spans="1:1">
      <c r="A121" s="67" t="s">
        <v>6362</v>
      </c>
    </row>
    <row r="123" spans="1:1">
      <c r="A123" s="79" t="s">
        <v>333</v>
      </c>
    </row>
    <row r="124" spans="1:1">
      <c r="A124" s="67" t="s">
        <v>5596</v>
      </c>
    </row>
    <row r="125" spans="1:1">
      <c r="A125" s="67" t="s">
        <v>6734</v>
      </c>
    </row>
    <row r="126" spans="1:1">
      <c r="A126" s="67" t="s">
        <v>8597</v>
      </c>
    </row>
    <row r="127" spans="1:1">
      <c r="A127" s="67" t="s">
        <v>8598</v>
      </c>
    </row>
    <row r="128" spans="1:1">
      <c r="A128" s="67" t="s">
        <v>8599</v>
      </c>
    </row>
    <row r="129" spans="1:1">
      <c r="A129" s="67" t="s">
        <v>8600</v>
      </c>
    </row>
    <row r="130" spans="1:1">
      <c r="A130" s="67" t="s">
        <v>8601</v>
      </c>
    </row>
    <row r="131" spans="1:1">
      <c r="A131" s="67" t="s">
        <v>8602</v>
      </c>
    </row>
    <row r="132" spans="1:1">
      <c r="A132" s="67" t="s">
        <v>8603</v>
      </c>
    </row>
    <row r="133" spans="1:1">
      <c r="A133" s="67" t="s">
        <v>8604</v>
      </c>
    </row>
    <row r="134" spans="1:1">
      <c r="A134" s="67" t="s">
        <v>8605</v>
      </c>
    </row>
    <row r="135" spans="1:1">
      <c r="A135" s="67" t="s">
        <v>8606</v>
      </c>
    </row>
    <row r="136" spans="1:1">
      <c r="A136" s="67" t="s">
        <v>8607</v>
      </c>
    </row>
    <row r="137" spans="1:1">
      <c r="A137" s="67" t="s">
        <v>8608</v>
      </c>
    </row>
    <row r="138" spans="1:1">
      <c r="A138" s="67" t="s">
        <v>8609</v>
      </c>
    </row>
    <row r="139" spans="1:1">
      <c r="A139" s="67" t="s">
        <v>8610</v>
      </c>
    </row>
    <row r="140" spans="1:1">
      <c r="A140" s="67" t="s">
        <v>8611</v>
      </c>
    </row>
    <row r="141" spans="1:1">
      <c r="A141" s="67" t="s">
        <v>8612</v>
      </c>
    </row>
    <row r="142" spans="1:1">
      <c r="A142" s="67" t="s">
        <v>8613</v>
      </c>
    </row>
    <row r="143" spans="1:1">
      <c r="A143" s="67" t="s">
        <v>8614</v>
      </c>
    </row>
    <row r="144" spans="1:1">
      <c r="A144" s="67" t="s">
        <v>8615</v>
      </c>
    </row>
    <row r="146" spans="1:4">
      <c r="A146" s="79" t="s">
        <v>878</v>
      </c>
    </row>
    <row r="147" spans="1:4">
      <c r="A147" s="67" t="s">
        <v>8616</v>
      </c>
      <c r="D147" t="s">
        <v>8617</v>
      </c>
    </row>
    <row r="148" spans="1:4">
      <c r="A148" s="67" t="s">
        <v>8618</v>
      </c>
      <c r="C148" s="34" t="s">
        <v>8619</v>
      </c>
      <c r="D148" s="34" t="s">
        <v>8620</v>
      </c>
    </row>
    <row r="149" spans="1:4">
      <c r="A149" s="67" t="s">
        <v>8621</v>
      </c>
      <c r="B149" t="s">
        <v>8622</v>
      </c>
      <c r="C149" t="s">
        <v>8623</v>
      </c>
      <c r="D149" t="s">
        <v>8624</v>
      </c>
    </row>
    <row r="150" spans="1:4">
      <c r="A150" s="67" t="s">
        <v>8625</v>
      </c>
      <c r="C150" s="34" t="s">
        <v>8626</v>
      </c>
      <c r="D150" s="34" t="s">
        <v>8627</v>
      </c>
    </row>
    <row r="151" spans="1:4">
      <c r="A151" s="67" t="s">
        <v>8628</v>
      </c>
      <c r="B151" t="s">
        <v>8629</v>
      </c>
      <c r="C151" s="34" t="s">
        <v>8630</v>
      </c>
      <c r="D151" t="s">
        <v>8631</v>
      </c>
    </row>
    <row r="152" spans="1:4">
      <c r="A152" s="67" t="s">
        <v>8632</v>
      </c>
      <c r="C152" s="34" t="s">
        <v>8633</v>
      </c>
      <c r="D152" t="s">
        <v>8634</v>
      </c>
    </row>
    <row r="153" spans="1:4">
      <c r="A153" s="67" t="s">
        <v>8635</v>
      </c>
      <c r="B153" t="s">
        <v>8636</v>
      </c>
      <c r="C153" s="34" t="s">
        <v>8637</v>
      </c>
      <c r="D153" s="34" t="s">
        <v>8638</v>
      </c>
    </row>
    <row r="154" spans="1:4">
      <c r="A154" s="67" t="s">
        <v>8639</v>
      </c>
      <c r="B154" t="s">
        <v>8640</v>
      </c>
      <c r="C154" t="s">
        <v>8641</v>
      </c>
      <c r="D154" t="s">
        <v>8642</v>
      </c>
    </row>
    <row r="155" spans="1:4" ht="15" customHeight="1">
      <c r="A155" s="39" t="s">
        <v>8643</v>
      </c>
      <c r="C155" s="34" t="s">
        <v>8644</v>
      </c>
      <c r="D155" t="s">
        <v>8645</v>
      </c>
    </row>
    <row r="157" spans="1:4">
      <c r="A157" s="79" t="s">
        <v>428</v>
      </c>
    </row>
    <row r="158" spans="1:4">
      <c r="A158" s="64"/>
    </row>
    <row r="159" spans="1:4">
      <c r="A159" s="64"/>
    </row>
    <row r="160" spans="1:4">
      <c r="A160" s="64"/>
    </row>
    <row r="161" spans="1:1">
      <c r="A161" s="64"/>
    </row>
    <row r="162" spans="1:1">
      <c r="A162" s="64"/>
    </row>
    <row r="163" spans="1:1">
      <c r="A163" s="64"/>
    </row>
    <row r="164" spans="1:1">
      <c r="A164" s="64"/>
    </row>
    <row r="165" spans="1:1">
      <c r="A165" s="64"/>
    </row>
    <row r="166" spans="1:1">
      <c r="A166" s="64"/>
    </row>
    <row r="167" spans="1:1">
      <c r="A167" s="64"/>
    </row>
    <row r="168" spans="1:1">
      <c r="A168" s="64"/>
    </row>
    <row r="169" spans="1:1">
      <c r="A169" s="64"/>
    </row>
    <row r="170" spans="1:1">
      <c r="A170" s="64"/>
    </row>
    <row r="171" spans="1:1">
      <c r="A171" s="64"/>
    </row>
    <row r="172" spans="1:1">
      <c r="A172" s="64"/>
    </row>
    <row r="173" spans="1:1">
      <c r="A173" s="64"/>
    </row>
    <row r="174" spans="1:1">
      <c r="A174" s="64"/>
    </row>
    <row r="175" spans="1:1">
      <c r="A175" s="64"/>
    </row>
    <row r="176" spans="1:1">
      <c r="A176" s="64"/>
    </row>
    <row r="177" spans="1:1">
      <c r="A177" s="6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D8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8646</v>
      </c>
      <c r="B2" t="s">
        <v>8647</v>
      </c>
      <c r="C2" t="s">
        <v>8648</v>
      </c>
      <c r="D2" s="67" t="s">
        <v>8649</v>
      </c>
    </row>
    <row r="3" spans="1:4">
      <c r="A3" s="67" t="s">
        <v>8650</v>
      </c>
      <c r="B3" t="s">
        <v>8651</v>
      </c>
      <c r="C3" t="s">
        <v>8652</v>
      </c>
      <c r="D3" s="11" t="str">
        <f>HYPERLINK("http://dma.mt.gov/DES/default.asp","http://dma.mt.gov/DES/default.asp")</f>
        <v>http://dma.mt.gov/DES/default.asp</v>
      </c>
    </row>
    <row r="4" spans="1:4">
      <c r="A4" s="67" t="s">
        <v>8653</v>
      </c>
      <c r="D4" s="11" t="str">
        <f>HYPERLINK("http://wildlife.rescueshelter.com/Montana","http://wildlife.rescueshelter.com/Montana")</f>
        <v>http://wildlife.rescueshelter.com/Montana</v>
      </c>
    </row>
    <row r="6" spans="1:4">
      <c r="A6" s="79" t="s">
        <v>209</v>
      </c>
      <c r="B6" s="79" t="s">
        <v>147</v>
      </c>
      <c r="C6" s="79" t="s">
        <v>148</v>
      </c>
      <c r="D6" s="79" t="s">
        <v>182</v>
      </c>
    </row>
    <row r="7" spans="1:4">
      <c r="A7" s="67" t="s">
        <v>8654</v>
      </c>
    </row>
    <row r="8" spans="1:4">
      <c r="A8" s="67" t="s">
        <v>8655</v>
      </c>
    </row>
    <row r="9" spans="1:4">
      <c r="A9" s="67" t="s">
        <v>8656</v>
      </c>
    </row>
    <row r="10" spans="1:4">
      <c r="A10" s="67" t="s">
        <v>8657</v>
      </c>
    </row>
    <row r="11" spans="1:4">
      <c r="A11" s="67" t="s">
        <v>8658</v>
      </c>
    </row>
    <row r="12" spans="1:4">
      <c r="A12" s="67" t="s">
        <v>8512</v>
      </c>
    </row>
    <row r="13" spans="1:4">
      <c r="A13" s="67" t="s">
        <v>8659</v>
      </c>
    </row>
    <row r="14" spans="1:4">
      <c r="A14" s="67" t="s">
        <v>8660</v>
      </c>
    </row>
    <row r="15" spans="1:4">
      <c r="A15" s="67" t="s">
        <v>8661</v>
      </c>
    </row>
    <row r="16" spans="1:4">
      <c r="A16" s="67" t="s">
        <v>8662</v>
      </c>
    </row>
    <row r="17" spans="1:1">
      <c r="A17" s="67" t="s">
        <v>8663</v>
      </c>
    </row>
    <row r="18" spans="1:1">
      <c r="A18" s="67" t="s">
        <v>8664</v>
      </c>
    </row>
    <row r="19" spans="1:1">
      <c r="A19" s="67" t="s">
        <v>8665</v>
      </c>
    </row>
    <row r="20" spans="1:1">
      <c r="A20" s="67" t="s">
        <v>8666</v>
      </c>
    </row>
    <row r="21" spans="1:1">
      <c r="A21" s="67" t="s">
        <v>8667</v>
      </c>
    </row>
    <row r="22" spans="1:1">
      <c r="A22" s="67" t="s">
        <v>5446</v>
      </c>
    </row>
    <row r="23" spans="1:1">
      <c r="A23" s="67" t="s">
        <v>8668</v>
      </c>
    </row>
    <row r="24" spans="1:1">
      <c r="A24" s="67" t="s">
        <v>8669</v>
      </c>
    </row>
    <row r="25" spans="1:1">
      <c r="A25" s="67" t="s">
        <v>8670</v>
      </c>
    </row>
    <row r="26" spans="1:1">
      <c r="A26" s="67" t="s">
        <v>8671</v>
      </c>
    </row>
    <row r="27" spans="1:1">
      <c r="A27" s="67" t="s">
        <v>8672</v>
      </c>
    </row>
    <row r="28" spans="1:1">
      <c r="A28" s="67" t="s">
        <v>5187</v>
      </c>
    </row>
    <row r="29" spans="1:1">
      <c r="A29" s="67" t="s">
        <v>8673</v>
      </c>
    </row>
    <row r="30" spans="1:1">
      <c r="A30" s="67" t="s">
        <v>5486</v>
      </c>
    </row>
    <row r="31" spans="1:1">
      <c r="A31" s="67" t="s">
        <v>8674</v>
      </c>
    </row>
    <row r="32" spans="1:1">
      <c r="A32" s="67" t="s">
        <v>8675</v>
      </c>
    </row>
    <row r="33" spans="1:1">
      <c r="A33" s="67" t="s">
        <v>5206</v>
      </c>
    </row>
    <row r="34" spans="1:1">
      <c r="A34" s="67" t="s">
        <v>5209</v>
      </c>
    </row>
    <row r="35" spans="1:1">
      <c r="A35" s="67" t="s">
        <v>8676</v>
      </c>
    </row>
    <row r="36" spans="1:1">
      <c r="A36" s="67" t="s">
        <v>8677</v>
      </c>
    </row>
    <row r="37" spans="1:1">
      <c r="A37" s="67" t="s">
        <v>8678</v>
      </c>
    </row>
    <row r="38" spans="1:1">
      <c r="A38" s="67" t="s">
        <v>8679</v>
      </c>
    </row>
    <row r="39" spans="1:1">
      <c r="A39" s="67" t="s">
        <v>8680</v>
      </c>
    </row>
    <row r="40" spans="1:1">
      <c r="A40" s="67" t="s">
        <v>8681</v>
      </c>
    </row>
    <row r="41" spans="1:1">
      <c r="A41" s="67" t="s">
        <v>8682</v>
      </c>
    </row>
    <row r="42" spans="1:1">
      <c r="A42" s="67" t="s">
        <v>6644</v>
      </c>
    </row>
    <row r="43" spans="1:1">
      <c r="A43" s="67" t="s">
        <v>8683</v>
      </c>
    </row>
    <row r="44" spans="1:1">
      <c r="A44" s="67" t="s">
        <v>8684</v>
      </c>
    </row>
    <row r="45" spans="1:1">
      <c r="A45" s="67" t="s">
        <v>8685</v>
      </c>
    </row>
    <row r="46" spans="1:1">
      <c r="A46" s="67" t="s">
        <v>8686</v>
      </c>
    </row>
    <row r="47" spans="1:1">
      <c r="A47" s="67" t="s">
        <v>8687</v>
      </c>
    </row>
    <row r="48" spans="1:1">
      <c r="A48" s="67" t="s">
        <v>5545</v>
      </c>
    </row>
    <row r="49" spans="1:1">
      <c r="A49" s="67" t="s">
        <v>8688</v>
      </c>
    </row>
    <row r="50" spans="1:1">
      <c r="A50" s="67" t="s">
        <v>8689</v>
      </c>
    </row>
    <row r="51" spans="1:1">
      <c r="A51" s="67" t="s">
        <v>8690</v>
      </c>
    </row>
    <row r="52" spans="1:1">
      <c r="A52" s="67" t="s">
        <v>6684</v>
      </c>
    </row>
    <row r="53" spans="1:1">
      <c r="A53" s="67" t="s">
        <v>8691</v>
      </c>
    </row>
    <row r="54" spans="1:1">
      <c r="A54" s="67" t="s">
        <v>8692</v>
      </c>
    </row>
    <row r="55" spans="1:1">
      <c r="A55" s="67" t="s">
        <v>8693</v>
      </c>
    </row>
    <row r="56" spans="1:1">
      <c r="A56" s="67" t="s">
        <v>5235</v>
      </c>
    </row>
    <row r="57" spans="1:1">
      <c r="A57" s="67" t="s">
        <v>8694</v>
      </c>
    </row>
    <row r="58" spans="1:1">
      <c r="A58" s="67" t="s">
        <v>8695</v>
      </c>
    </row>
    <row r="59" spans="1:1">
      <c r="A59" s="67" t="s">
        <v>5242</v>
      </c>
    </row>
    <row r="60" spans="1:1">
      <c r="A60" s="67" t="s">
        <v>8696</v>
      </c>
    </row>
    <row r="61" spans="1:1">
      <c r="A61" s="67" t="s">
        <v>8697</v>
      </c>
    </row>
    <row r="62" spans="1:1">
      <c r="A62" s="67" t="s">
        <v>8698</v>
      </c>
    </row>
    <row r="64" spans="1:1">
      <c r="A64" s="79" t="s">
        <v>333</v>
      </c>
    </row>
    <row r="65" spans="1:1">
      <c r="A65" s="67" t="s">
        <v>8699</v>
      </c>
    </row>
    <row r="66" spans="1:1">
      <c r="A66" s="67" t="s">
        <v>8700</v>
      </c>
    </row>
    <row r="67" spans="1:1">
      <c r="A67" s="67" t="s">
        <v>8701</v>
      </c>
    </row>
    <row r="68" spans="1:1">
      <c r="A68" s="67" t="s">
        <v>8702</v>
      </c>
    </row>
    <row r="69" spans="1:1">
      <c r="A69" s="67" t="s">
        <v>8703</v>
      </c>
    </row>
    <row r="70" spans="1:1">
      <c r="A70" s="67" t="s">
        <v>8704</v>
      </c>
    </row>
    <row r="72" spans="1:1">
      <c r="A72" s="79" t="s">
        <v>878</v>
      </c>
    </row>
    <row r="73" spans="1:1">
      <c r="A73" s="67" t="s">
        <v>8705</v>
      </c>
    </row>
    <row r="74" spans="1:1">
      <c r="A74" s="67" t="s">
        <v>8706</v>
      </c>
    </row>
    <row r="75" spans="1:1">
      <c r="A75" s="67" t="s">
        <v>8707</v>
      </c>
    </row>
    <row r="76" spans="1:1">
      <c r="A76" s="67" t="s">
        <v>8708</v>
      </c>
    </row>
    <row r="77" spans="1:1">
      <c r="A77" s="67" t="s">
        <v>8709</v>
      </c>
    </row>
    <row r="78" spans="1:1">
      <c r="A78" s="67" t="s">
        <v>8710</v>
      </c>
    </row>
    <row r="79" spans="1:1">
      <c r="A79" s="67" t="s">
        <v>8711</v>
      </c>
    </row>
    <row r="81" spans="1:1">
      <c r="A81"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D115"/>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60" t="s">
        <v>147</v>
      </c>
      <c r="C1" s="60" t="s">
        <v>148</v>
      </c>
      <c r="D1" s="60" t="s">
        <v>182</v>
      </c>
    </row>
    <row r="2" spans="1:4">
      <c r="A2" s="67" t="s">
        <v>8712</v>
      </c>
      <c r="B2" t="s">
        <v>8713</v>
      </c>
      <c r="C2" t="s">
        <v>8714</v>
      </c>
      <c r="D2" t="s">
        <v>8715</v>
      </c>
    </row>
    <row r="3" spans="1:4">
      <c r="A3" s="67" t="s">
        <v>8716</v>
      </c>
      <c r="B3" t="s">
        <v>8717</v>
      </c>
      <c r="C3" t="s">
        <v>8718</v>
      </c>
      <c r="D3" s="11" t="str">
        <f>HYPERLINK("http://www.nema.ne.gov/preparedness/homeland-security-home.html","http://www.nema.ne.gov/preparedness/homeland-security-home.html")</f>
        <v>http://www.nema.ne.gov/preparedness/homeland-security-home.html</v>
      </c>
    </row>
    <row r="4" spans="1:4">
      <c r="A4" s="67" t="s">
        <v>8719</v>
      </c>
      <c r="D4" s="11" t="str">
        <f>HYPERLINK("http://wildlife.rescueshelter.com/Nebraska","http://wildlife.rescueshelter.com/Nebraska")</f>
        <v>http://wildlife.rescueshelter.com/Nebraska</v>
      </c>
    </row>
    <row r="6" spans="1:4">
      <c r="A6" s="79" t="s">
        <v>209</v>
      </c>
      <c r="B6" s="60" t="s">
        <v>147</v>
      </c>
      <c r="C6" s="60" t="s">
        <v>148</v>
      </c>
      <c r="D6" s="60" t="s">
        <v>182</v>
      </c>
    </row>
    <row r="7" spans="1:4">
      <c r="A7" s="67" t="s">
        <v>5376</v>
      </c>
    </row>
    <row r="8" spans="1:4">
      <c r="A8" s="67" t="s">
        <v>8720</v>
      </c>
    </row>
    <row r="9" spans="1:4">
      <c r="A9" s="67" t="s">
        <v>8721</v>
      </c>
    </row>
    <row r="10" spans="1:4">
      <c r="A10" s="67" t="s">
        <v>8722</v>
      </c>
    </row>
    <row r="11" spans="1:4">
      <c r="A11" s="67" t="s">
        <v>8656</v>
      </c>
    </row>
    <row r="12" spans="1:4">
      <c r="A12" s="67" t="s">
        <v>5383</v>
      </c>
    </row>
    <row r="13" spans="1:4">
      <c r="A13" s="67" t="s">
        <v>8723</v>
      </c>
    </row>
    <row r="14" spans="1:4">
      <c r="A14" s="67" t="s">
        <v>8724</v>
      </c>
    </row>
    <row r="15" spans="1:4">
      <c r="A15" s="67" t="s">
        <v>5385</v>
      </c>
    </row>
    <row r="16" spans="1:4">
      <c r="A16" s="67" t="s">
        <v>8725</v>
      </c>
    </row>
    <row r="17" spans="1:1">
      <c r="A17" s="67" t="s">
        <v>8726</v>
      </c>
    </row>
    <row r="18" spans="1:1">
      <c r="A18" s="67" t="s">
        <v>6120</v>
      </c>
    </row>
    <row r="19" spans="1:1">
      <c r="A19" s="67" t="s">
        <v>5393</v>
      </c>
    </row>
    <row r="20" spans="1:1">
      <c r="A20" s="67" t="s">
        <v>6131</v>
      </c>
    </row>
    <row r="21" spans="1:1">
      <c r="A21" s="67" t="s">
        <v>6507</v>
      </c>
    </row>
    <row r="22" spans="1:1">
      <c r="A22" s="67" t="s">
        <v>8727</v>
      </c>
    </row>
    <row r="23" spans="1:1">
      <c r="A23" s="67" t="s">
        <v>6512</v>
      </c>
    </row>
    <row r="24" spans="1:1">
      <c r="A24" s="67" t="s">
        <v>5403</v>
      </c>
    </row>
    <row r="25" spans="1:1">
      <c r="A25" s="67" t="s">
        <v>8728</v>
      </c>
    </row>
    <row r="26" spans="1:1">
      <c r="A26" s="67" t="s">
        <v>8729</v>
      </c>
    </row>
    <row r="27" spans="1:1">
      <c r="A27" s="67" t="s">
        <v>8661</v>
      </c>
    </row>
    <row r="28" spans="1:1">
      <c r="A28" s="67" t="s">
        <v>8224</v>
      </c>
    </row>
    <row r="29" spans="1:1">
      <c r="A29" s="67" t="s">
        <v>8730</v>
      </c>
    </row>
    <row r="30" spans="1:1">
      <c r="A30" s="67" t="s">
        <v>8663</v>
      </c>
    </row>
    <row r="31" spans="1:1">
      <c r="A31" s="67" t="s">
        <v>8731</v>
      </c>
    </row>
    <row r="32" spans="1:1">
      <c r="A32" s="67" t="s">
        <v>8732</v>
      </c>
    </row>
    <row r="33" spans="1:1">
      <c r="A33" s="67" t="s">
        <v>8225</v>
      </c>
    </row>
    <row r="34" spans="1:1">
      <c r="A34" s="67" t="s">
        <v>5422</v>
      </c>
    </row>
    <row r="35" spans="1:1">
      <c r="A35" s="67" t="s">
        <v>8733</v>
      </c>
    </row>
    <row r="36" spans="1:1">
      <c r="A36" s="67" t="s">
        <v>8227</v>
      </c>
    </row>
    <row r="37" spans="1:1">
      <c r="A37" s="67" t="s">
        <v>5441</v>
      </c>
    </row>
    <row r="38" spans="1:1">
      <c r="A38" s="67" t="s">
        <v>8734</v>
      </c>
    </row>
    <row r="39" spans="1:1">
      <c r="A39" s="67" t="s">
        <v>8735</v>
      </c>
    </row>
    <row r="40" spans="1:1">
      <c r="A40" s="67" t="s">
        <v>8736</v>
      </c>
    </row>
    <row r="41" spans="1:1">
      <c r="A41" s="67" t="s">
        <v>8737</v>
      </c>
    </row>
    <row r="42" spans="1:1">
      <c r="A42" s="67" t="s">
        <v>8668</v>
      </c>
    </row>
    <row r="43" spans="1:1">
      <c r="A43" s="67" t="s">
        <v>8738</v>
      </c>
    </row>
    <row r="44" spans="1:1">
      <c r="A44" s="67" t="s">
        <v>5806</v>
      </c>
    </row>
    <row r="45" spans="1:1">
      <c r="A45" s="67" t="s">
        <v>6564</v>
      </c>
    </row>
    <row r="46" spans="1:1">
      <c r="A46" s="67" t="s">
        <v>8739</v>
      </c>
    </row>
    <row r="47" spans="1:1">
      <c r="A47" s="67" t="s">
        <v>5453</v>
      </c>
    </row>
    <row r="48" spans="1:1">
      <c r="A48" s="67" t="s">
        <v>8740</v>
      </c>
    </row>
    <row r="49" spans="1:1">
      <c r="A49" s="67" t="s">
        <v>8741</v>
      </c>
    </row>
    <row r="50" spans="1:1">
      <c r="A50" s="67" t="s">
        <v>8742</v>
      </c>
    </row>
    <row r="51" spans="1:1">
      <c r="A51" s="67" t="s">
        <v>8545</v>
      </c>
    </row>
    <row r="52" spans="1:1">
      <c r="A52" s="67" t="s">
        <v>8743</v>
      </c>
    </row>
    <row r="53" spans="1:1">
      <c r="A53" s="67" t="s">
        <v>5822</v>
      </c>
    </row>
    <row r="54" spans="1:1">
      <c r="A54" s="67" t="s">
        <v>5187</v>
      </c>
    </row>
    <row r="55" spans="1:1">
      <c r="A55" s="67" t="s">
        <v>5475</v>
      </c>
    </row>
    <row r="56" spans="1:1">
      <c r="A56" s="67" t="s">
        <v>8744</v>
      </c>
    </row>
    <row r="57" spans="1:1">
      <c r="A57" s="67" t="s">
        <v>8745</v>
      </c>
    </row>
    <row r="58" spans="1:1">
      <c r="A58" s="67" t="s">
        <v>8746</v>
      </c>
    </row>
    <row r="59" spans="1:1">
      <c r="A59" s="67" t="s">
        <v>8747</v>
      </c>
    </row>
    <row r="60" spans="1:1">
      <c r="A60" s="67" t="s">
        <v>5484</v>
      </c>
    </row>
    <row r="61" spans="1:1">
      <c r="A61" s="67" t="s">
        <v>8748</v>
      </c>
    </row>
    <row r="62" spans="1:1">
      <c r="A62" s="67" t="s">
        <v>5206</v>
      </c>
    </row>
    <row r="63" spans="1:1">
      <c r="A63" s="67" t="s">
        <v>5500</v>
      </c>
    </row>
    <row r="64" spans="1:1">
      <c r="A64" s="67" t="s">
        <v>8749</v>
      </c>
    </row>
    <row r="65" spans="1:1">
      <c r="A65" s="67" t="s">
        <v>5209</v>
      </c>
    </row>
    <row r="66" spans="1:1">
      <c r="A66" s="67" t="s">
        <v>6610</v>
      </c>
    </row>
    <row r="67" spans="1:1">
      <c r="A67" s="67" t="s">
        <v>8750</v>
      </c>
    </row>
    <row r="68" spans="1:1">
      <c r="A68" s="67" t="s">
        <v>8751</v>
      </c>
    </row>
    <row r="69" spans="1:1">
      <c r="A69" s="67" t="s">
        <v>8752</v>
      </c>
    </row>
    <row r="70" spans="1:1">
      <c r="A70" s="67" t="s">
        <v>6627</v>
      </c>
    </row>
    <row r="71" spans="1:1">
      <c r="A71" s="67" t="s">
        <v>8753</v>
      </c>
    </row>
    <row r="72" spans="1:1">
      <c r="A72" s="67" t="s">
        <v>8754</v>
      </c>
    </row>
    <row r="73" spans="1:1">
      <c r="A73" s="67" t="s">
        <v>6642</v>
      </c>
    </row>
    <row r="74" spans="1:1">
      <c r="A74" s="67" t="s">
        <v>8755</v>
      </c>
    </row>
    <row r="75" spans="1:1">
      <c r="A75" s="67" t="s">
        <v>8584</v>
      </c>
    </row>
    <row r="76" spans="1:1">
      <c r="A76" s="67" t="s">
        <v>8756</v>
      </c>
    </row>
    <row r="77" spans="1:1">
      <c r="A77" s="67" t="s">
        <v>8585</v>
      </c>
    </row>
    <row r="78" spans="1:1">
      <c r="A78" s="67" t="s">
        <v>6290</v>
      </c>
    </row>
    <row r="79" spans="1:1">
      <c r="A79" s="67" t="s">
        <v>8757</v>
      </c>
    </row>
    <row r="80" spans="1:1">
      <c r="A80" s="67" t="s">
        <v>8758</v>
      </c>
    </row>
    <row r="81" spans="1:1">
      <c r="A81" s="67" t="s">
        <v>8261</v>
      </c>
    </row>
    <row r="82" spans="1:1">
      <c r="A82" s="67" t="s">
        <v>5548</v>
      </c>
    </row>
    <row r="83" spans="1:1">
      <c r="A83" s="67" t="s">
        <v>8759</v>
      </c>
    </row>
    <row r="84" spans="1:1">
      <c r="A84" s="67" t="s">
        <v>8760</v>
      </c>
    </row>
    <row r="85" spans="1:1">
      <c r="A85" s="67" t="s">
        <v>8761</v>
      </c>
    </row>
    <row r="86" spans="1:1">
      <c r="A86" s="67" t="s">
        <v>6677</v>
      </c>
    </row>
    <row r="87" spans="1:1">
      <c r="A87" s="67" t="s">
        <v>6684</v>
      </c>
    </row>
    <row r="88" spans="1:1">
      <c r="A88" s="67" t="s">
        <v>6687</v>
      </c>
    </row>
    <row r="89" spans="1:1">
      <c r="A89" s="67" t="s">
        <v>6313</v>
      </c>
    </row>
    <row r="90" spans="1:1">
      <c r="A90" s="67" t="s">
        <v>6694</v>
      </c>
    </row>
    <row r="91" spans="1:1">
      <c r="A91" s="67" t="s">
        <v>8762</v>
      </c>
    </row>
    <row r="92" spans="1:1">
      <c r="A92" s="67" t="s">
        <v>6700</v>
      </c>
    </row>
    <row r="93" spans="1:1">
      <c r="A93" s="67" t="s">
        <v>8763</v>
      </c>
    </row>
    <row r="94" spans="1:1">
      <c r="A94" s="67" t="s">
        <v>5242</v>
      </c>
    </row>
    <row r="95" spans="1:1">
      <c r="A95" s="67" t="s">
        <v>117</v>
      </c>
    </row>
    <row r="96" spans="1:1">
      <c r="A96" s="67" t="s">
        <v>5573</v>
      </c>
    </row>
    <row r="97" spans="1:1">
      <c r="A97" s="67" t="s">
        <v>6346</v>
      </c>
    </row>
    <row r="98" spans="1:1">
      <c r="A98" s="67" t="s">
        <v>8764</v>
      </c>
    </row>
    <row r="99" spans="1:1">
      <c r="A99" s="67" t="s">
        <v>7502</v>
      </c>
    </row>
    <row r="101" spans="1:1">
      <c r="A101" s="79" t="s">
        <v>333</v>
      </c>
    </row>
    <row r="102" spans="1:1">
      <c r="A102" s="67" t="s">
        <v>8765</v>
      </c>
    </row>
    <row r="103" spans="1:1">
      <c r="A103" s="67" t="s">
        <v>8766</v>
      </c>
    </row>
    <row r="104" spans="1:1">
      <c r="A104" s="67" t="s">
        <v>8767</v>
      </c>
    </row>
    <row r="105" spans="1:1">
      <c r="A105" s="67" t="s">
        <v>8768</v>
      </c>
    </row>
    <row r="106" spans="1:1">
      <c r="A106" s="67" t="s">
        <v>8769</v>
      </c>
    </row>
    <row r="107" spans="1:1">
      <c r="A107" s="67" t="s">
        <v>8770</v>
      </c>
    </row>
    <row r="108" spans="1:1">
      <c r="A108" s="67" t="s">
        <v>8771</v>
      </c>
    </row>
    <row r="110" spans="1:1">
      <c r="A110" s="79" t="s">
        <v>878</v>
      </c>
    </row>
    <row r="111" spans="1:1">
      <c r="A111" s="67" t="s">
        <v>8772</v>
      </c>
    </row>
    <row r="112" spans="1:1">
      <c r="A112" s="67" t="s">
        <v>8773</v>
      </c>
    </row>
    <row r="113" spans="1:1">
      <c r="A113" s="67" t="s">
        <v>8774</v>
      </c>
    </row>
    <row r="115" spans="1:1">
      <c r="A115"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D4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60" t="s">
        <v>147</v>
      </c>
      <c r="C1" s="60" t="s">
        <v>148</v>
      </c>
      <c r="D1" s="60" t="s">
        <v>182</v>
      </c>
    </row>
    <row r="2" spans="1:4">
      <c r="A2" s="67" t="s">
        <v>8775</v>
      </c>
      <c r="B2" t="s">
        <v>8776</v>
      </c>
      <c r="D2" t="s">
        <v>8777</v>
      </c>
    </row>
    <row r="3" spans="1:4">
      <c r="A3" s="67" t="s">
        <v>8778</v>
      </c>
      <c r="B3" t="s">
        <v>8779</v>
      </c>
      <c r="C3" t="s">
        <v>8780</v>
      </c>
      <c r="D3" t="s">
        <v>8781</v>
      </c>
    </row>
    <row r="4" spans="1:4">
      <c r="A4" s="67" t="s">
        <v>8782</v>
      </c>
      <c r="D4" s="11" t="str">
        <f>HYPERLINK("http://wildlife.rescueshelter.com/Nevada","http://wildlife.rescueshelter.com/Nevada")</f>
        <v>http://wildlife.rescueshelter.com/Nevada</v>
      </c>
    </row>
    <row r="6" spans="1:4">
      <c r="A6" s="79" t="s">
        <v>209</v>
      </c>
      <c r="B6" s="41" t="s">
        <v>147</v>
      </c>
      <c r="C6" s="41" t="s">
        <v>148</v>
      </c>
      <c r="D6" s="41" t="s">
        <v>182</v>
      </c>
    </row>
    <row r="7" spans="1:4">
      <c r="A7" s="67" t="s">
        <v>8783</v>
      </c>
      <c r="D7" t="s">
        <v>8784</v>
      </c>
    </row>
    <row r="8" spans="1:4">
      <c r="A8" s="67" t="s">
        <v>8785</v>
      </c>
      <c r="B8" t="s">
        <v>8786</v>
      </c>
      <c r="C8" t="s">
        <v>8787</v>
      </c>
      <c r="D8" t="s">
        <v>8788</v>
      </c>
    </row>
    <row r="9" spans="1:4">
      <c r="A9" s="67" t="s">
        <v>5401</v>
      </c>
      <c r="B9" t="s">
        <v>8789</v>
      </c>
      <c r="C9" t="s">
        <v>8790</v>
      </c>
      <c r="D9" t="s">
        <v>8791</v>
      </c>
    </row>
    <row r="10" spans="1:4">
      <c r="A10" s="67" t="s">
        <v>5422</v>
      </c>
      <c r="D10" t="s">
        <v>8792</v>
      </c>
    </row>
    <row r="11" spans="1:4">
      <c r="A11" s="67" t="s">
        <v>8793</v>
      </c>
      <c r="D11" t="s">
        <v>8794</v>
      </c>
    </row>
    <row r="12" spans="1:4">
      <c r="A12" s="67" t="s">
        <v>8795</v>
      </c>
      <c r="D12" t="s">
        <v>8796</v>
      </c>
    </row>
    <row r="13" spans="1:4">
      <c r="A13" s="67" t="s">
        <v>8797</v>
      </c>
      <c r="D13" t="s">
        <v>8798</v>
      </c>
    </row>
    <row r="14" spans="1:4">
      <c r="A14" s="67" t="s">
        <v>6209</v>
      </c>
      <c r="D14" t="s">
        <v>8799</v>
      </c>
    </row>
    <row r="15" spans="1:4">
      <c r="A15" s="67" t="s">
        <v>8800</v>
      </c>
      <c r="D15" t="s">
        <v>8801</v>
      </c>
    </row>
    <row r="16" spans="1:4">
      <c r="A16" s="67" t="s">
        <v>5206</v>
      </c>
      <c r="D16" t="s">
        <v>8802</v>
      </c>
    </row>
    <row r="17" spans="1:4">
      <c r="A17" s="67" t="s">
        <v>6244</v>
      </c>
      <c r="C17" t="s">
        <v>8803</v>
      </c>
      <c r="D17" t="s">
        <v>8804</v>
      </c>
    </row>
    <row r="18" spans="1:4">
      <c r="A18" s="67" t="s">
        <v>8678</v>
      </c>
      <c r="D18" t="s">
        <v>8805</v>
      </c>
    </row>
    <row r="19" spans="1:4">
      <c r="A19" s="67" t="s">
        <v>8806</v>
      </c>
      <c r="D19" t="s">
        <v>8807</v>
      </c>
    </row>
    <row r="20" spans="1:4">
      <c r="A20" s="67" t="s">
        <v>8808</v>
      </c>
      <c r="D20" t="s">
        <v>8809</v>
      </c>
    </row>
    <row r="21" spans="1:4">
      <c r="A21" s="67" t="s">
        <v>8810</v>
      </c>
      <c r="B21" t="s">
        <v>8811</v>
      </c>
      <c r="C21" t="s">
        <v>8812</v>
      </c>
      <c r="D21" t="s">
        <v>8813</v>
      </c>
    </row>
    <row r="22" spans="1:4">
      <c r="A22" s="67" t="s">
        <v>8814</v>
      </c>
      <c r="D22" t="s">
        <v>8815</v>
      </c>
    </row>
    <row r="23" spans="1:4">
      <c r="A23" s="67" t="s">
        <v>8816</v>
      </c>
      <c r="D23" t="s">
        <v>8817</v>
      </c>
    </row>
    <row r="25" spans="1:4">
      <c r="A25" s="79" t="s">
        <v>333</v>
      </c>
      <c r="B25" s="41" t="s">
        <v>147</v>
      </c>
      <c r="C25" s="41" t="s">
        <v>148</v>
      </c>
      <c r="D25" s="41" t="s">
        <v>182</v>
      </c>
    </row>
    <row r="26" spans="1:4">
      <c r="A26" s="67" t="s">
        <v>8818</v>
      </c>
      <c r="D26" t="s">
        <v>8819</v>
      </c>
    </row>
    <row r="27" spans="1:4">
      <c r="A27" s="67" t="s">
        <v>8820</v>
      </c>
      <c r="D27" t="s">
        <v>8821</v>
      </c>
    </row>
    <row r="28" spans="1:4">
      <c r="A28" s="67" t="s">
        <v>8822</v>
      </c>
      <c r="D28" t="s">
        <v>8823</v>
      </c>
    </row>
    <row r="29" spans="1:4">
      <c r="A29" s="67" t="s">
        <v>8824</v>
      </c>
      <c r="B29" t="s">
        <v>8825</v>
      </c>
      <c r="D29" t="s">
        <v>8826</v>
      </c>
    </row>
    <row r="30" spans="1:4">
      <c r="A30" s="67" t="s">
        <v>8827</v>
      </c>
      <c r="D30" t="s">
        <v>8828</v>
      </c>
    </row>
    <row r="31" spans="1:4">
      <c r="A31" s="67" t="s">
        <v>8829</v>
      </c>
      <c r="B31" t="s">
        <v>8830</v>
      </c>
      <c r="D31" t="s">
        <v>8831</v>
      </c>
    </row>
    <row r="32" spans="1:4">
      <c r="A32" s="67" t="s">
        <v>8832</v>
      </c>
      <c r="B32" t="s">
        <v>8833</v>
      </c>
      <c r="C32" t="s">
        <v>8834</v>
      </c>
      <c r="D32" t="s">
        <v>8835</v>
      </c>
    </row>
    <row r="34" spans="1:4">
      <c r="A34" s="79" t="s">
        <v>878</v>
      </c>
      <c r="B34" s="41" t="s">
        <v>147</v>
      </c>
      <c r="C34" s="41" t="s">
        <v>148</v>
      </c>
      <c r="D34" s="41" t="s">
        <v>182</v>
      </c>
    </row>
    <row r="35" spans="1:4">
      <c r="A35" s="67" t="s">
        <v>8836</v>
      </c>
      <c r="D35" s="67" t="s">
        <v>8837</v>
      </c>
    </row>
    <row r="36" spans="1:4">
      <c r="A36" s="67" t="s">
        <v>8838</v>
      </c>
      <c r="D36" t="s">
        <v>8839</v>
      </c>
    </row>
    <row r="37" spans="1:4">
      <c r="A37" s="67" t="s">
        <v>8840</v>
      </c>
      <c r="B37" t="s">
        <v>8841</v>
      </c>
      <c r="C37" t="s">
        <v>8842</v>
      </c>
      <c r="D37" t="s">
        <v>8843</v>
      </c>
    </row>
    <row r="38" spans="1:4">
      <c r="A38" s="67" t="s">
        <v>8844</v>
      </c>
      <c r="D38" t="s">
        <v>8845</v>
      </c>
    </row>
    <row r="39" spans="1:4">
      <c r="A39" s="67" t="s">
        <v>8846</v>
      </c>
      <c r="B39" t="s">
        <v>8847</v>
      </c>
      <c r="C39" t="s">
        <v>8848</v>
      </c>
      <c r="D39" t="s">
        <v>8849</v>
      </c>
    </row>
    <row r="41" spans="1:4">
      <c r="A41" s="79" t="s">
        <v>428</v>
      </c>
      <c r="B41" s="41" t="s">
        <v>147</v>
      </c>
      <c r="C41" s="41" t="s">
        <v>148</v>
      </c>
      <c r="D41" s="41"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D49"/>
  <sheetViews>
    <sheetView workbookViewId="0"/>
  </sheetViews>
  <sheetFormatPr defaultColWidth="9.140625" defaultRowHeight="15" customHeight="1"/>
  <cols>
    <col min="1" max="1" width="28.4257812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8850</v>
      </c>
      <c r="B2" s="58" t="s">
        <v>8851</v>
      </c>
      <c r="D2" s="67" t="s">
        <v>8852</v>
      </c>
    </row>
    <row r="3" spans="1:4">
      <c r="A3" s="67" t="s">
        <v>8853</v>
      </c>
      <c r="B3" s="58" t="s">
        <v>8854</v>
      </c>
      <c r="D3" s="67" t="s">
        <v>8855</v>
      </c>
    </row>
    <row r="4" spans="1:4">
      <c r="A4" s="67" t="s">
        <v>8856</v>
      </c>
      <c r="D4" s="11" t="str">
        <f>HYPERLINK("http://www.nh.gov/safety/divisions/hsem/index.html","http://www.nh.gov/safety/divisions/hsem/index.html")</f>
        <v>http://www.nh.gov/safety/divisions/hsem/index.html</v>
      </c>
    </row>
    <row r="5" spans="1:4">
      <c r="A5" s="67" t="s">
        <v>8857</v>
      </c>
      <c r="D5" s="11" t="str">
        <f>HYPERLINK("http://wildlife.rescueshelter.com/NewHampshire","http://wildlife.rescueshelter.com/NewHampshire")</f>
        <v>http://wildlife.rescueshelter.com/NewHampshire</v>
      </c>
    </row>
    <row r="7" spans="1:4">
      <c r="A7" s="79" t="s">
        <v>209</v>
      </c>
      <c r="B7" s="79" t="s">
        <v>147</v>
      </c>
      <c r="C7" s="79" t="s">
        <v>148</v>
      </c>
      <c r="D7" s="79" t="s">
        <v>182</v>
      </c>
    </row>
    <row r="8" spans="1:4">
      <c r="A8" s="67" t="s">
        <v>8858</v>
      </c>
    </row>
    <row r="9" spans="1:4">
      <c r="A9" s="67" t="s">
        <v>5391</v>
      </c>
      <c r="D9" s="67" t="s">
        <v>8859</v>
      </c>
    </row>
    <row r="10" spans="1:4">
      <c r="A10" s="67" t="s">
        <v>8860</v>
      </c>
      <c r="D10" s="67" t="s">
        <v>8861</v>
      </c>
    </row>
    <row r="11" spans="1:4">
      <c r="A11" s="67" t="s">
        <v>8862</v>
      </c>
      <c r="D11" s="67" t="s">
        <v>8863</v>
      </c>
    </row>
    <row r="12" spans="1:4">
      <c r="A12" s="67" t="s">
        <v>8864</v>
      </c>
      <c r="D12" s="67" t="s">
        <v>8865</v>
      </c>
    </row>
    <row r="13" spans="1:4">
      <c r="A13" s="67" t="s">
        <v>8866</v>
      </c>
      <c r="D13" s="67" t="s">
        <v>8867</v>
      </c>
    </row>
    <row r="14" spans="1:4">
      <c r="A14" s="67" t="s">
        <v>8868</v>
      </c>
      <c r="D14" s="67" t="s">
        <v>8869</v>
      </c>
    </row>
    <row r="15" spans="1:4">
      <c r="A15" s="67" t="s">
        <v>8870</v>
      </c>
      <c r="B15" s="58" t="s">
        <v>8871</v>
      </c>
      <c r="C15" s="67" t="s">
        <v>8872</v>
      </c>
      <c r="D15" s="67" t="s">
        <v>8873</v>
      </c>
    </row>
    <row r="16" spans="1:4">
      <c r="A16" s="67" t="s">
        <v>8874</v>
      </c>
      <c r="D16" s="67" t="s">
        <v>8875</v>
      </c>
    </row>
    <row r="17" spans="1:4">
      <c r="A17" s="67" t="s">
        <v>8595</v>
      </c>
      <c r="D17" s="67" t="s">
        <v>8876</v>
      </c>
    </row>
    <row r="19" spans="1:4">
      <c r="A19" s="79" t="s">
        <v>333</v>
      </c>
      <c r="B19" s="79" t="s">
        <v>147</v>
      </c>
      <c r="C19" s="79" t="s">
        <v>148</v>
      </c>
      <c r="D19" s="79" t="s">
        <v>182</v>
      </c>
    </row>
    <row r="20" spans="1:4">
      <c r="A20" s="67" t="s">
        <v>7988</v>
      </c>
      <c r="B20" s="67" t="s">
        <v>3383</v>
      </c>
      <c r="C20" s="67" t="s">
        <v>3384</v>
      </c>
      <c r="D20" s="67" t="s">
        <v>3385</v>
      </c>
    </row>
    <row r="21" spans="1:4">
      <c r="A21" s="67" t="s">
        <v>7989</v>
      </c>
      <c r="B21" s="67" t="s">
        <v>7990</v>
      </c>
      <c r="C21" s="67" t="s">
        <v>7991</v>
      </c>
      <c r="D21" s="67" t="s">
        <v>7992</v>
      </c>
    </row>
    <row r="22" spans="1:4">
      <c r="A22" s="67" t="s">
        <v>8877</v>
      </c>
      <c r="B22" s="67" t="s">
        <v>8878</v>
      </c>
      <c r="D22" s="67" t="s">
        <v>8879</v>
      </c>
    </row>
    <row r="23" spans="1:4">
      <c r="A23" s="67" t="s">
        <v>8880</v>
      </c>
      <c r="D23" s="67" t="s">
        <v>8881</v>
      </c>
    </row>
    <row r="25" spans="1:4">
      <c r="A25" s="79" t="s">
        <v>878</v>
      </c>
      <c r="B25" s="79" t="s">
        <v>147</v>
      </c>
      <c r="C25" s="79" t="s">
        <v>148</v>
      </c>
      <c r="D25" s="79" t="s">
        <v>182</v>
      </c>
    </row>
    <row r="26" spans="1:4">
      <c r="A26" s="67" t="s">
        <v>8882</v>
      </c>
      <c r="B26" s="67" t="s">
        <v>8883</v>
      </c>
      <c r="C26" s="67" t="s">
        <v>8884</v>
      </c>
      <c r="D26" s="67" t="s">
        <v>8885</v>
      </c>
    </row>
    <row r="27" spans="1:4">
      <c r="A27" s="67" t="s">
        <v>8886</v>
      </c>
      <c r="D27" s="67" t="s">
        <v>8887</v>
      </c>
    </row>
    <row r="29" spans="1:4">
      <c r="A29" s="79" t="s">
        <v>428</v>
      </c>
      <c r="B29" s="79" t="s">
        <v>147</v>
      </c>
      <c r="C29" s="79" t="s">
        <v>148</v>
      </c>
      <c r="D29" s="79" t="s">
        <v>182</v>
      </c>
    </row>
    <row r="30" spans="1:4">
      <c r="A30" s="67" t="s">
        <v>8888</v>
      </c>
      <c r="B30" s="58" t="s">
        <v>8889</v>
      </c>
      <c r="C30" s="67" t="s">
        <v>8890</v>
      </c>
      <c r="D30" s="67" t="s">
        <v>8891</v>
      </c>
    </row>
    <row r="31" spans="1:4">
      <c r="A31" s="67" t="s">
        <v>8892</v>
      </c>
      <c r="D31" s="67" t="s">
        <v>8893</v>
      </c>
    </row>
    <row r="32" spans="1:4">
      <c r="A32" s="67" t="s">
        <v>8894</v>
      </c>
      <c r="C32" s="67" t="s">
        <v>8895</v>
      </c>
      <c r="D32" s="67" t="s">
        <v>8896</v>
      </c>
    </row>
    <row r="33" spans="1:4">
      <c r="A33" s="67" t="s">
        <v>8897</v>
      </c>
      <c r="D33" s="67" t="s">
        <v>8898</v>
      </c>
    </row>
    <row r="34" spans="1:4">
      <c r="A34" s="67" t="s">
        <v>8899</v>
      </c>
      <c r="C34" s="67" t="s">
        <v>8900</v>
      </c>
      <c r="D34" s="67" t="s">
        <v>8901</v>
      </c>
    </row>
    <row r="35" spans="1:4">
      <c r="A35" s="67" t="s">
        <v>8902</v>
      </c>
      <c r="C35" s="67" t="s">
        <v>8903</v>
      </c>
      <c r="D35" s="67" t="s">
        <v>8904</v>
      </c>
    </row>
    <row r="36" spans="1:4">
      <c r="A36" s="67" t="s">
        <v>8905</v>
      </c>
      <c r="C36" s="67" t="s">
        <v>8906</v>
      </c>
      <c r="D36" s="67" t="s">
        <v>8907</v>
      </c>
    </row>
    <row r="37" spans="1:4">
      <c r="A37" s="67" t="s">
        <v>8908</v>
      </c>
      <c r="B37" s="58" t="s">
        <v>8909</v>
      </c>
      <c r="C37" s="67" t="s">
        <v>8910</v>
      </c>
      <c r="D37" s="67" t="s">
        <v>8911</v>
      </c>
    </row>
    <row r="38" spans="1:4">
      <c r="A38" s="67" t="s">
        <v>8912</v>
      </c>
      <c r="B38" s="58" t="s">
        <v>8913</v>
      </c>
      <c r="C38" s="67" t="s">
        <v>8914</v>
      </c>
      <c r="D38" s="67" t="s">
        <v>8915</v>
      </c>
    </row>
    <row r="39" spans="1:4">
      <c r="A39" s="67" t="s">
        <v>8916</v>
      </c>
      <c r="D39" s="67" t="s">
        <v>8917</v>
      </c>
    </row>
    <row r="40" spans="1:4">
      <c r="A40" s="67" t="s">
        <v>8918</v>
      </c>
      <c r="C40" s="67" t="s">
        <v>8919</v>
      </c>
      <c r="D40" s="67" t="s">
        <v>8920</v>
      </c>
    </row>
    <row r="41" spans="1:4">
      <c r="A41" s="67" t="s">
        <v>8921</v>
      </c>
      <c r="C41" s="67" t="s">
        <v>8922</v>
      </c>
      <c r="D41" s="67" t="s">
        <v>8923</v>
      </c>
    </row>
    <row r="42" spans="1:4">
      <c r="A42" s="67" t="s">
        <v>8924</v>
      </c>
      <c r="D42" s="67" t="s">
        <v>8925</v>
      </c>
    </row>
    <row r="43" spans="1:4">
      <c r="A43" s="67" t="s">
        <v>8926</v>
      </c>
      <c r="C43" s="67" t="s">
        <v>8927</v>
      </c>
      <c r="D43" s="67" t="s">
        <v>8928</v>
      </c>
    </row>
    <row r="44" spans="1:4">
      <c r="A44" s="67" t="s">
        <v>8929</v>
      </c>
      <c r="B44" s="70" t="s">
        <v>8930</v>
      </c>
      <c r="C44" s="67" t="s">
        <v>8931</v>
      </c>
      <c r="D44" s="67" t="s">
        <v>8932</v>
      </c>
    </row>
    <row r="45" spans="1:4">
      <c r="A45" s="67" t="s">
        <v>8933</v>
      </c>
      <c r="C45" s="67" t="s">
        <v>8934</v>
      </c>
      <c r="D45" s="67" t="s">
        <v>8935</v>
      </c>
    </row>
    <row r="46" spans="1:4">
      <c r="A46" s="67" t="s">
        <v>8936</v>
      </c>
      <c r="C46" s="67" t="s">
        <v>8937</v>
      </c>
      <c r="D46" s="67" t="s">
        <v>8938</v>
      </c>
    </row>
    <row r="47" spans="1:4">
      <c r="A47" s="67" t="s">
        <v>8939</v>
      </c>
      <c r="B47" s="58" t="s">
        <v>8940</v>
      </c>
      <c r="C47" s="67" t="s">
        <v>8941</v>
      </c>
      <c r="D47" s="67" t="s">
        <v>8942</v>
      </c>
    </row>
    <row r="48" spans="1:4">
      <c r="A48" s="67" t="s">
        <v>8943</v>
      </c>
      <c r="C48" s="67" t="s">
        <v>8944</v>
      </c>
      <c r="D48" s="67" t="s">
        <v>8945</v>
      </c>
    </row>
    <row r="49" spans="1:4">
      <c r="A49" s="67" t="s">
        <v>8946</v>
      </c>
      <c r="B49" s="58" t="s">
        <v>8947</v>
      </c>
      <c r="C49" s="67" t="s">
        <v>8948</v>
      </c>
      <c r="D49" s="67" t="s">
        <v>8949</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E64"/>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8950</v>
      </c>
      <c r="B2" s="58" t="s">
        <v>8951</v>
      </c>
      <c r="C2" s="67" t="s">
        <v>8952</v>
      </c>
      <c r="D2" s="67" t="s">
        <v>8953</v>
      </c>
    </row>
    <row r="3" spans="1:4">
      <c r="A3" s="67" t="s">
        <v>8954</v>
      </c>
      <c r="B3" s="58" t="s">
        <v>8955</v>
      </c>
      <c r="C3" s="67" t="s">
        <v>8956</v>
      </c>
      <c r="D3" s="67" t="s">
        <v>8957</v>
      </c>
    </row>
    <row r="4" spans="1:4">
      <c r="A4" s="67" t="s">
        <v>8958</v>
      </c>
      <c r="B4" s="58" t="s">
        <v>8959</v>
      </c>
      <c r="C4" s="67" t="s">
        <v>8960</v>
      </c>
      <c r="D4" s="11" t="str">
        <f>HYPERLINK("http://www.njhomelandsecurity.gov/","www.njhomelandsecurity.gov")</f>
        <v>www.njhomelandsecurity.gov</v>
      </c>
    </row>
    <row r="5" spans="1:4">
      <c r="A5" s="67" t="s">
        <v>8961</v>
      </c>
      <c r="D5" s="11" t="s">
        <v>8962</v>
      </c>
    </row>
    <row r="6" spans="1:4">
      <c r="A6" s="67" t="s">
        <v>8963</v>
      </c>
      <c r="D6" s="11" t="str">
        <f>HYPERLINK("http://wildlife.rescueshelter.com/NewJersey","http://wildlife.rescueshelter.com/NewJersey")</f>
        <v>http://wildlife.rescueshelter.com/NewJersey</v>
      </c>
    </row>
    <row r="7" spans="1:4">
      <c r="A7" s="67" t="s">
        <v>8964</v>
      </c>
      <c r="D7" s="11" t="s">
        <v>8965</v>
      </c>
    </row>
    <row r="9" spans="1:4">
      <c r="A9" s="79" t="s">
        <v>209</v>
      </c>
      <c r="B9" s="79" t="s">
        <v>147</v>
      </c>
      <c r="C9" s="79" t="s">
        <v>148</v>
      </c>
      <c r="D9" s="79" t="s">
        <v>182</v>
      </c>
    </row>
    <row r="10" spans="1:4">
      <c r="A10" s="67" t="s">
        <v>8966</v>
      </c>
      <c r="B10" s="58" t="s">
        <v>8967</v>
      </c>
      <c r="C10" s="67" t="s">
        <v>8968</v>
      </c>
      <c r="D10" s="67" t="s">
        <v>8969</v>
      </c>
    </row>
    <row r="11" spans="1:4">
      <c r="A11" s="67" t="s">
        <v>8970</v>
      </c>
      <c r="B11" s="58" t="s">
        <v>8971</v>
      </c>
      <c r="C11" s="67" t="s">
        <v>8972</v>
      </c>
      <c r="D11" s="67" t="s">
        <v>8973</v>
      </c>
    </row>
    <row r="12" spans="1:4">
      <c r="A12" s="67" t="s">
        <v>8974</v>
      </c>
      <c r="D12" s="67" t="s">
        <v>8975</v>
      </c>
    </row>
    <row r="13" spans="1:4">
      <c r="A13" s="67" t="s">
        <v>8505</v>
      </c>
      <c r="B13" s="58" t="s">
        <v>8976</v>
      </c>
      <c r="C13" s="67" t="s">
        <v>8977</v>
      </c>
      <c r="D13" s="67" t="s">
        <v>8978</v>
      </c>
    </row>
    <row r="14" spans="1:4">
      <c r="A14" s="67" t="s">
        <v>8979</v>
      </c>
      <c r="C14" s="67" t="s">
        <v>8980</v>
      </c>
      <c r="D14" s="67" t="s">
        <v>8981</v>
      </c>
    </row>
    <row r="15" spans="1:4">
      <c r="A15" s="67" t="s">
        <v>5415</v>
      </c>
      <c r="C15" s="67" t="s">
        <v>8982</v>
      </c>
      <c r="D15" s="67" t="s">
        <v>8983</v>
      </c>
    </row>
    <row r="16" spans="1:4">
      <c r="A16" s="67" t="s">
        <v>7958</v>
      </c>
      <c r="B16" s="58" t="s">
        <v>8984</v>
      </c>
      <c r="C16" s="67" t="s">
        <v>8985</v>
      </c>
      <c r="D16" s="67" t="s">
        <v>8986</v>
      </c>
    </row>
    <row r="17" spans="1:5">
      <c r="A17" s="67" t="s">
        <v>8987</v>
      </c>
      <c r="D17" s="67" t="s">
        <v>8988</v>
      </c>
    </row>
    <row r="18" spans="1:5">
      <c r="A18" s="67" t="s">
        <v>8989</v>
      </c>
    </row>
    <row r="19" spans="1:5">
      <c r="A19" s="67" t="s">
        <v>8990</v>
      </c>
      <c r="B19" s="58" t="s">
        <v>8991</v>
      </c>
      <c r="C19" s="67" t="s">
        <v>8992</v>
      </c>
      <c r="D19" s="67" t="s">
        <v>8993</v>
      </c>
    </row>
    <row r="20" spans="1:5">
      <c r="A20" s="67" t="s">
        <v>5523</v>
      </c>
      <c r="D20" s="67" t="s">
        <v>8994</v>
      </c>
      <c r="E20" s="67" t="s">
        <v>8995</v>
      </c>
    </row>
    <row r="21" spans="1:5">
      <c r="A21" s="67" t="s">
        <v>7968</v>
      </c>
      <c r="D21" s="67" t="s">
        <v>8996</v>
      </c>
    </row>
    <row r="22" spans="1:5">
      <c r="A22" s="67" t="s">
        <v>8997</v>
      </c>
      <c r="B22" s="58" t="s">
        <v>8998</v>
      </c>
      <c r="C22" s="67" t="s">
        <v>8999</v>
      </c>
      <c r="D22" s="67" t="s">
        <v>9000</v>
      </c>
    </row>
    <row r="23" spans="1:5">
      <c r="A23" s="67" t="s">
        <v>6623</v>
      </c>
      <c r="B23" s="58" t="s">
        <v>9001</v>
      </c>
      <c r="C23" s="67" t="s">
        <v>9002</v>
      </c>
      <c r="D23" s="67" t="s">
        <v>9003</v>
      </c>
    </row>
    <row r="24" spans="1:5">
      <c r="A24" s="67" t="s">
        <v>9004</v>
      </c>
      <c r="D24" s="67" t="s">
        <v>9005</v>
      </c>
    </row>
    <row r="25" spans="1:5">
      <c r="A25" s="67" t="s">
        <v>9006</v>
      </c>
      <c r="B25" s="58" t="s">
        <v>9007</v>
      </c>
      <c r="C25" s="67" t="s">
        <v>9008</v>
      </c>
      <c r="D25" s="67" t="s">
        <v>9009</v>
      </c>
    </row>
    <row r="26" spans="1:5">
      <c r="A26" s="67" t="s">
        <v>9010</v>
      </c>
      <c r="B26" s="58" t="s">
        <v>9011</v>
      </c>
      <c r="C26" s="67" t="s">
        <v>9012</v>
      </c>
      <c r="D26" s="67" t="s">
        <v>9013</v>
      </c>
    </row>
    <row r="27" spans="1:5">
      <c r="A27" s="67" t="s">
        <v>7497</v>
      </c>
      <c r="D27" s="67" t="s">
        <v>9014</v>
      </c>
    </row>
    <row r="28" spans="1:5">
      <c r="A28" s="67" t="s">
        <v>9015</v>
      </c>
      <c r="B28" s="58" t="s">
        <v>9016</v>
      </c>
      <c r="C28" s="67" t="s">
        <v>9017</v>
      </c>
      <c r="D28" s="67" t="s">
        <v>9018</v>
      </c>
    </row>
    <row r="29" spans="1:5">
      <c r="A29" s="67" t="s">
        <v>5564</v>
      </c>
      <c r="B29" s="58" t="s">
        <v>9019</v>
      </c>
      <c r="C29" s="67" t="s">
        <v>9020</v>
      </c>
      <c r="D29" s="67" t="s">
        <v>9021</v>
      </c>
    </row>
    <row r="30" spans="1:5">
      <c r="A30" s="67" t="s">
        <v>5571</v>
      </c>
      <c r="D30" s="67" t="s">
        <v>9022</v>
      </c>
    </row>
    <row r="32" spans="1:5">
      <c r="A32" s="79" t="s">
        <v>333</v>
      </c>
      <c r="B32" s="79" t="s">
        <v>147</v>
      </c>
      <c r="C32" s="79" t="s">
        <v>148</v>
      </c>
      <c r="D32" s="79" t="s">
        <v>182</v>
      </c>
    </row>
    <row r="33" spans="1:4">
      <c r="A33" s="67" t="s">
        <v>9023</v>
      </c>
      <c r="B33" s="58" t="s">
        <v>9024</v>
      </c>
      <c r="D33" s="67" t="s">
        <v>9025</v>
      </c>
    </row>
    <row r="34" spans="1:4">
      <c r="A34" s="67" t="s">
        <v>9026</v>
      </c>
      <c r="B34" s="58" t="s">
        <v>9027</v>
      </c>
      <c r="C34" s="67" t="s">
        <v>9028</v>
      </c>
      <c r="D34" s="67" t="s">
        <v>9029</v>
      </c>
    </row>
    <row r="35" spans="1:4">
      <c r="A35" s="67" t="s">
        <v>7988</v>
      </c>
      <c r="B35" s="58" t="s">
        <v>3383</v>
      </c>
      <c r="C35" s="67" t="s">
        <v>3384</v>
      </c>
      <c r="D35" s="67" t="s">
        <v>3385</v>
      </c>
    </row>
    <row r="36" spans="1:4">
      <c r="A36" s="67" t="s">
        <v>9030</v>
      </c>
      <c r="B36" s="67" t="s">
        <v>9031</v>
      </c>
      <c r="D36" s="67" t="s">
        <v>9032</v>
      </c>
    </row>
    <row r="37" spans="1:4">
      <c r="A37" s="67" t="s">
        <v>9033</v>
      </c>
      <c r="B37" s="67" t="s">
        <v>9034</v>
      </c>
      <c r="C37" s="67" t="s">
        <v>9035</v>
      </c>
      <c r="D37" s="67" t="s">
        <v>9032</v>
      </c>
    </row>
    <row r="38" spans="1:4">
      <c r="A38" s="67" t="s">
        <v>9036</v>
      </c>
      <c r="D38" s="67" t="s">
        <v>9037</v>
      </c>
    </row>
    <row r="39" spans="1:4">
      <c r="A39" s="67" t="s">
        <v>9038</v>
      </c>
      <c r="B39" s="58" t="s">
        <v>9039</v>
      </c>
      <c r="D39" s="67" t="s">
        <v>9040</v>
      </c>
    </row>
    <row r="40" spans="1:4">
      <c r="A40" s="67" t="s">
        <v>9041</v>
      </c>
      <c r="D40" s="67" t="s">
        <v>9042</v>
      </c>
    </row>
    <row r="41" spans="1:4">
      <c r="A41" s="67" t="s">
        <v>9043</v>
      </c>
      <c r="D41" s="67" t="s">
        <v>9044</v>
      </c>
    </row>
    <row r="42" spans="1:4">
      <c r="A42" s="67" t="s">
        <v>9045</v>
      </c>
      <c r="D42" s="67" t="s">
        <v>9046</v>
      </c>
    </row>
    <row r="43" spans="1:4">
      <c r="A43" s="67" t="s">
        <v>9047</v>
      </c>
      <c r="B43" s="58" t="s">
        <v>9048</v>
      </c>
      <c r="C43" s="67" t="s">
        <v>9049</v>
      </c>
      <c r="D43" s="67" t="s">
        <v>9050</v>
      </c>
    </row>
    <row r="44" spans="1:4">
      <c r="A44" s="67" t="s">
        <v>9051</v>
      </c>
      <c r="B44" s="58" t="s">
        <v>9052</v>
      </c>
      <c r="C44" s="67" t="s">
        <v>9053</v>
      </c>
      <c r="D44" s="67" t="s">
        <v>9054</v>
      </c>
    </row>
    <row r="45" spans="1:4">
      <c r="A45" s="67" t="s">
        <v>9055</v>
      </c>
      <c r="D45" s="67" t="s">
        <v>9056</v>
      </c>
    </row>
    <row r="46" spans="1:4">
      <c r="A46" s="67" t="s">
        <v>9057</v>
      </c>
      <c r="D46" s="67" t="s">
        <v>9058</v>
      </c>
    </row>
    <row r="47" spans="1:4">
      <c r="A47" s="67" t="s">
        <v>9059</v>
      </c>
      <c r="D47" s="67" t="s">
        <v>9060</v>
      </c>
    </row>
    <row r="48" spans="1:4">
      <c r="A48" s="67" t="s">
        <v>9061</v>
      </c>
      <c r="C48" s="67" t="s">
        <v>9062</v>
      </c>
      <c r="D48" s="67" t="s">
        <v>9063</v>
      </c>
    </row>
    <row r="49" spans="1:4">
      <c r="A49" s="67" t="s">
        <v>9064</v>
      </c>
      <c r="D49" s="67" t="s">
        <v>9065</v>
      </c>
    </row>
    <row r="51" spans="1:4">
      <c r="A51" s="79" t="s">
        <v>878</v>
      </c>
      <c r="B51" s="79" t="s">
        <v>147</v>
      </c>
      <c r="C51" s="79" t="s">
        <v>148</v>
      </c>
      <c r="D51" s="79" t="s">
        <v>182</v>
      </c>
    </row>
    <row r="52" spans="1:4">
      <c r="A52" s="67" t="s">
        <v>9066</v>
      </c>
      <c r="B52" s="58" t="s">
        <v>9067</v>
      </c>
      <c r="D52" s="67" t="s">
        <v>9068</v>
      </c>
    </row>
    <row r="53" spans="1:4">
      <c r="A53" s="67" t="s">
        <v>9069</v>
      </c>
      <c r="B53" s="58" t="s">
        <v>9070</v>
      </c>
      <c r="C53" s="67" t="s">
        <v>9071</v>
      </c>
      <c r="D53" s="67" t="s">
        <v>9072</v>
      </c>
    </row>
    <row r="55" spans="1:4">
      <c r="A55" s="79" t="s">
        <v>428</v>
      </c>
      <c r="B55" s="79" t="s">
        <v>147</v>
      </c>
      <c r="C55" s="79" t="s">
        <v>148</v>
      </c>
      <c r="D55" s="79" t="s">
        <v>182</v>
      </c>
    </row>
    <row r="56" spans="1:4">
      <c r="A56" s="67" t="s">
        <v>9073</v>
      </c>
      <c r="B56" s="58" t="s">
        <v>9074</v>
      </c>
      <c r="C56" s="67" t="s">
        <v>9075</v>
      </c>
      <c r="D56" s="67" t="s">
        <v>9076</v>
      </c>
    </row>
    <row r="57" spans="1:4">
      <c r="A57" s="67" t="s">
        <v>9077</v>
      </c>
      <c r="B57" s="58" t="s">
        <v>9078</v>
      </c>
      <c r="C57" s="67" t="s">
        <v>9079</v>
      </c>
      <c r="D57" s="67" t="s">
        <v>9080</v>
      </c>
    </row>
    <row r="58" spans="1:4">
      <c r="A58" s="67" t="s">
        <v>9081</v>
      </c>
      <c r="B58" s="58" t="s">
        <v>9082</v>
      </c>
      <c r="C58" s="67" t="s">
        <v>9083</v>
      </c>
      <c r="D58" s="67" t="s">
        <v>9084</v>
      </c>
    </row>
    <row r="59" spans="1:4">
      <c r="A59" s="67" t="s">
        <v>9085</v>
      </c>
      <c r="B59" s="58" t="s">
        <v>9086</v>
      </c>
      <c r="C59" s="67" t="s">
        <v>9087</v>
      </c>
      <c r="D59" s="67" t="s">
        <v>9088</v>
      </c>
    </row>
    <row r="60" spans="1:4">
      <c r="A60" s="67" t="s">
        <v>9089</v>
      </c>
      <c r="B60" s="58" t="s">
        <v>9082</v>
      </c>
      <c r="C60" s="67" t="s">
        <v>9083</v>
      </c>
      <c r="D60" s="11" t="str">
        <f>HYPERLINK("http://www.nj.com/south","http://www.nj.com/south")</f>
        <v>http://www.nj.com/south</v>
      </c>
    </row>
    <row r="61" spans="1:4">
      <c r="A61" s="67" t="s">
        <v>9090</v>
      </c>
      <c r="B61" s="67" t="s">
        <v>9091</v>
      </c>
      <c r="C61" s="67" t="s">
        <v>9092</v>
      </c>
      <c r="D61" s="67" t="s">
        <v>9093</v>
      </c>
    </row>
    <row r="62" spans="1:4">
      <c r="A62" s="67" t="s">
        <v>9094</v>
      </c>
      <c r="B62" s="58" t="s">
        <v>9095</v>
      </c>
      <c r="C62" s="67" t="s">
        <v>9096</v>
      </c>
      <c r="D62" s="67" t="s">
        <v>9097</v>
      </c>
    </row>
    <row r="63" spans="1:4">
      <c r="A63" s="67" t="s">
        <v>9098</v>
      </c>
      <c r="B63" s="58" t="s">
        <v>9099</v>
      </c>
      <c r="C63" s="67" t="s">
        <v>9100</v>
      </c>
      <c r="D63" s="67" t="s">
        <v>9101</v>
      </c>
    </row>
    <row r="64" spans="1:4">
      <c r="A64" s="67" t="s">
        <v>9102</v>
      </c>
      <c r="B64" s="58" t="s">
        <v>9103</v>
      </c>
      <c r="C64" s="67" t="s">
        <v>9104</v>
      </c>
      <c r="D64" s="67" t="s">
        <v>9105</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F220"/>
  <sheetViews>
    <sheetView workbookViewId="0"/>
  </sheetViews>
  <sheetFormatPr defaultColWidth="9.140625" defaultRowHeight="15" customHeight="1"/>
  <cols>
    <col min="1" max="1" width="26.7109375" customWidth="1"/>
    <col min="2" max="2" width="17.85546875" customWidth="1"/>
    <col min="3" max="3" width="26.140625" customWidth="1"/>
    <col min="4" max="4" width="28.5703125" customWidth="1"/>
  </cols>
  <sheetData>
    <row r="1" spans="1:6">
      <c r="A1" s="79" t="s">
        <v>146</v>
      </c>
      <c r="B1" s="79" t="s">
        <v>147</v>
      </c>
      <c r="C1" s="79" t="s">
        <v>148</v>
      </c>
      <c r="D1" s="79" t="s">
        <v>182</v>
      </c>
    </row>
    <row r="2" spans="1:6">
      <c r="A2" s="67" t="s">
        <v>9106</v>
      </c>
      <c r="B2" s="34"/>
      <c r="C2" s="34"/>
      <c r="D2" s="67" t="s">
        <v>9107</v>
      </c>
      <c r="E2" s="34"/>
      <c r="F2" s="34"/>
    </row>
    <row r="3" spans="1:6">
      <c r="A3" s="67" t="s">
        <v>9108</v>
      </c>
      <c r="B3" s="70" t="s">
        <v>9109</v>
      </c>
      <c r="C3" s="34"/>
      <c r="D3" s="11" t="str">
        <f>HYPERLINK("http://www.dhs.gov/redirect?url=http%3A%2F%2Fnmdhsem.org%2F","http://nmdhsem.org")</f>
        <v>http://nmdhsem.org</v>
      </c>
      <c r="E3" s="34"/>
      <c r="F3" s="34"/>
    </row>
    <row r="4" spans="1:6">
      <c r="A4" s="67" t="s">
        <v>9110</v>
      </c>
      <c r="B4" s="34"/>
      <c r="C4" s="34"/>
      <c r="D4" s="11" t="str">
        <f>HYPERLINK("http://wildlife.rescueshelter.com/NewMexico","http://wildlife.rescueshelter.com/NewMexico")</f>
        <v>http://wildlife.rescueshelter.com/NewMexico</v>
      </c>
      <c r="E4" s="34"/>
      <c r="F4" s="34"/>
    </row>
    <row r="6" spans="1:6">
      <c r="A6" s="79" t="s">
        <v>209</v>
      </c>
      <c r="B6" s="79" t="s">
        <v>147</v>
      </c>
      <c r="C6" s="79" t="s">
        <v>148</v>
      </c>
      <c r="D6" s="79" t="s">
        <v>182</v>
      </c>
    </row>
    <row r="7" spans="1:6">
      <c r="A7" s="67" t="s">
        <v>9111</v>
      </c>
      <c r="B7" t="s">
        <v>9112</v>
      </c>
      <c r="C7" s="34" t="s">
        <v>9113</v>
      </c>
      <c r="D7" t="s">
        <v>9114</v>
      </c>
    </row>
    <row r="8" spans="1:6">
      <c r="A8" s="67" t="s">
        <v>9115</v>
      </c>
      <c r="D8" t="s">
        <v>9116</v>
      </c>
    </row>
    <row r="9" spans="1:6">
      <c r="A9" s="67" t="s">
        <v>9117</v>
      </c>
      <c r="C9" s="34" t="s">
        <v>9118</v>
      </c>
      <c r="D9" t="s">
        <v>9119</v>
      </c>
    </row>
    <row r="10" spans="1:6">
      <c r="A10" s="67" t="s">
        <v>9120</v>
      </c>
      <c r="D10" t="s">
        <v>9121</v>
      </c>
    </row>
    <row r="11" spans="1:6">
      <c r="A11" s="67" t="s">
        <v>8728</v>
      </c>
      <c r="D11" t="s">
        <v>9122</v>
      </c>
    </row>
    <row r="12" spans="1:6">
      <c r="A12" s="67" t="s">
        <v>9123</v>
      </c>
      <c r="B12" t="s">
        <v>9124</v>
      </c>
      <c r="C12" s="34" t="s">
        <v>9125</v>
      </c>
      <c r="D12" t="s">
        <v>9126</v>
      </c>
    </row>
    <row r="13" spans="1:6">
      <c r="A13" s="67" t="s">
        <v>9127</v>
      </c>
      <c r="D13" t="s">
        <v>9128</v>
      </c>
    </row>
    <row r="14" spans="1:6">
      <c r="A14" s="67" t="s">
        <v>9129</v>
      </c>
      <c r="D14" t="s">
        <v>9130</v>
      </c>
    </row>
    <row r="15" spans="1:6">
      <c r="A15" s="67" t="s">
        <v>9131</v>
      </c>
      <c r="B15" t="s">
        <v>9132</v>
      </c>
      <c r="C15" s="34" t="s">
        <v>9133</v>
      </c>
      <c r="D15" t="s">
        <v>9134</v>
      </c>
    </row>
    <row r="16" spans="1:6">
      <c r="A16" s="67" t="s">
        <v>5806</v>
      </c>
      <c r="D16" t="s">
        <v>9135</v>
      </c>
    </row>
    <row r="17" spans="1:4">
      <c r="A17" s="67" t="s">
        <v>9136</v>
      </c>
      <c r="D17" t="s">
        <v>9137</v>
      </c>
    </row>
    <row r="18" spans="1:4">
      <c r="A18" s="67" t="s">
        <v>9138</v>
      </c>
      <c r="D18" t="s">
        <v>9139</v>
      </c>
    </row>
    <row r="19" spans="1:4">
      <c r="A19" s="67" t="s">
        <v>9140</v>
      </c>
      <c r="D19" t="s">
        <v>9141</v>
      </c>
    </row>
    <row r="20" spans="1:4">
      <c r="A20" s="67" t="s">
        <v>9142</v>
      </c>
      <c r="D20" t="s">
        <v>9143</v>
      </c>
    </row>
    <row r="21" spans="1:4">
      <c r="A21" s="67" t="s">
        <v>5206</v>
      </c>
      <c r="D21" t="s">
        <v>9144</v>
      </c>
    </row>
    <row r="22" spans="1:4">
      <c r="A22" s="67" t="s">
        <v>9145</v>
      </c>
      <c r="B22" t="s">
        <v>9146</v>
      </c>
      <c r="C22" s="34" t="s">
        <v>9147</v>
      </c>
      <c r="D22" t="s">
        <v>9148</v>
      </c>
    </row>
    <row r="23" spans="1:4">
      <c r="A23" s="67" t="s">
        <v>9149</v>
      </c>
      <c r="D23" t="s">
        <v>9150</v>
      </c>
    </row>
    <row r="24" spans="1:4">
      <c r="A24" s="67" t="s">
        <v>9151</v>
      </c>
      <c r="D24" t="s">
        <v>9152</v>
      </c>
    </row>
    <row r="25" spans="1:4">
      <c r="A25" s="67" t="s">
        <v>9153</v>
      </c>
      <c r="C25" s="34" t="s">
        <v>9154</v>
      </c>
      <c r="D25" t="s">
        <v>9155</v>
      </c>
    </row>
    <row r="26" spans="1:4">
      <c r="A26" s="67" t="s">
        <v>9156</v>
      </c>
      <c r="C26" s="34" t="s">
        <v>9157</v>
      </c>
      <c r="D26" t="s">
        <v>9158</v>
      </c>
    </row>
    <row r="27" spans="1:4">
      <c r="A27" s="67" t="s">
        <v>9159</v>
      </c>
      <c r="D27" t="s">
        <v>9160</v>
      </c>
    </row>
    <row r="28" spans="1:4">
      <c r="A28" s="67" t="s">
        <v>9161</v>
      </c>
      <c r="B28" t="s">
        <v>9162</v>
      </c>
      <c r="C28" t="s">
        <v>9163</v>
      </c>
      <c r="D28" t="s">
        <v>9164</v>
      </c>
    </row>
    <row r="29" spans="1:4">
      <c r="A29" s="67" t="s">
        <v>8688</v>
      </c>
      <c r="D29" t="s">
        <v>9165</v>
      </c>
    </row>
    <row r="30" spans="1:4">
      <c r="A30" s="67" t="s">
        <v>9166</v>
      </c>
      <c r="B30" t="s">
        <v>9167</v>
      </c>
      <c r="D30" t="s">
        <v>9168</v>
      </c>
    </row>
    <row r="31" spans="1:4">
      <c r="A31" s="67" t="s">
        <v>9169</v>
      </c>
      <c r="D31" t="s">
        <v>9170</v>
      </c>
    </row>
    <row r="32" spans="1:4">
      <c r="A32" s="67" t="s">
        <v>9171</v>
      </c>
      <c r="D32" t="s">
        <v>9172</v>
      </c>
    </row>
    <row r="33" spans="1:4">
      <c r="A33" s="67" t="s">
        <v>9173</v>
      </c>
      <c r="B33" t="s">
        <v>9174</v>
      </c>
      <c r="C33" s="34" t="s">
        <v>9175</v>
      </c>
      <c r="D33" t="s">
        <v>9176</v>
      </c>
    </row>
    <row r="34" spans="1:4">
      <c r="A34" s="67" t="s">
        <v>9177</v>
      </c>
      <c r="B34" t="s">
        <v>9178</v>
      </c>
      <c r="D34" t="s">
        <v>9179</v>
      </c>
    </row>
    <row r="35" spans="1:4">
      <c r="A35" s="67" t="s">
        <v>9180</v>
      </c>
      <c r="D35" t="s">
        <v>9181</v>
      </c>
    </row>
    <row r="36" spans="1:4">
      <c r="A36" s="67" t="s">
        <v>9182</v>
      </c>
      <c r="D36" t="s">
        <v>9183</v>
      </c>
    </row>
    <row r="37" spans="1:4">
      <c r="A37" s="67" t="s">
        <v>9184</v>
      </c>
      <c r="D37" t="s">
        <v>9185</v>
      </c>
    </row>
    <row r="38" spans="1:4">
      <c r="A38" s="67" t="s">
        <v>5564</v>
      </c>
      <c r="D38" t="s">
        <v>9186</v>
      </c>
    </row>
    <row r="39" spans="1:4">
      <c r="A39" s="67" t="s">
        <v>9187</v>
      </c>
      <c r="C39" s="34" t="s">
        <v>9188</v>
      </c>
      <c r="D39" t="s">
        <v>9189</v>
      </c>
    </row>
    <row r="41" spans="1:4">
      <c r="A41" s="79" t="s">
        <v>333</v>
      </c>
      <c r="B41" s="72"/>
      <c r="C41" s="72"/>
      <c r="D41" s="72"/>
    </row>
    <row r="42" spans="1:4" ht="15" customHeight="1">
      <c r="A42" s="76" t="s">
        <v>9190</v>
      </c>
    </row>
    <row r="43" spans="1:4" ht="15" customHeight="1">
      <c r="A43" s="52" t="s">
        <v>9191</v>
      </c>
      <c r="D43" t="s">
        <v>9192</v>
      </c>
    </row>
    <row r="44" spans="1:4" ht="15" customHeight="1">
      <c r="A44" s="52" t="s">
        <v>9193</v>
      </c>
      <c r="D44" t="s">
        <v>9194</v>
      </c>
    </row>
    <row r="45" spans="1:4" ht="15" customHeight="1">
      <c r="A45" s="52" t="s">
        <v>9195</v>
      </c>
      <c r="D45" t="s">
        <v>9196</v>
      </c>
    </row>
    <row r="46" spans="1:4" ht="15" customHeight="1">
      <c r="A46" s="52" t="s">
        <v>9197</v>
      </c>
      <c r="D46" t="s">
        <v>9198</v>
      </c>
    </row>
    <row r="47" spans="1:4" ht="15" customHeight="1">
      <c r="A47" s="52" t="s">
        <v>9199</v>
      </c>
      <c r="D47" t="s">
        <v>9200</v>
      </c>
    </row>
    <row r="48" spans="1:4" ht="15" customHeight="1">
      <c r="A48" s="52" t="s">
        <v>9201</v>
      </c>
      <c r="D48" t="s">
        <v>9202</v>
      </c>
    </row>
    <row r="49" spans="1:4" ht="15" customHeight="1">
      <c r="A49" s="52" t="s">
        <v>9203</v>
      </c>
      <c r="D49" t="s">
        <v>9204</v>
      </c>
    </row>
    <row r="50" spans="1:4">
      <c r="A50" s="67" t="s">
        <v>9205</v>
      </c>
      <c r="D50" t="s">
        <v>9206</v>
      </c>
    </row>
    <row r="51" spans="1:4">
      <c r="A51" s="67" t="s">
        <v>9207</v>
      </c>
      <c r="D51" t="s">
        <v>9208</v>
      </c>
    </row>
    <row r="52" spans="1:4">
      <c r="A52" s="67" t="s">
        <v>9209</v>
      </c>
      <c r="D52" t="s">
        <v>9210</v>
      </c>
    </row>
    <row r="53" spans="1:4">
      <c r="A53" s="67" t="s">
        <v>9211</v>
      </c>
      <c r="D53" t="s">
        <v>9212</v>
      </c>
    </row>
    <row r="54" spans="1:4">
      <c r="A54" s="67" t="s">
        <v>9213</v>
      </c>
      <c r="D54" t="s">
        <v>9214</v>
      </c>
    </row>
    <row r="55" spans="1:4">
      <c r="A55" s="67" t="s">
        <v>9215</v>
      </c>
      <c r="D55" t="s">
        <v>9216</v>
      </c>
    </row>
    <row r="56" spans="1:4">
      <c r="A56" s="67" t="s">
        <v>9217</v>
      </c>
      <c r="D56" t="s">
        <v>9218</v>
      </c>
    </row>
    <row r="57" spans="1:4">
      <c r="A57" s="67" t="s">
        <v>9219</v>
      </c>
      <c r="D57" t="s">
        <v>9220</v>
      </c>
    </row>
    <row r="58" spans="1:4">
      <c r="A58" s="67" t="s">
        <v>9221</v>
      </c>
      <c r="D58" t="s">
        <v>9222</v>
      </c>
    </row>
    <row r="59" spans="1:4">
      <c r="A59" s="67" t="s">
        <v>9223</v>
      </c>
      <c r="B59" t="s">
        <v>9224</v>
      </c>
      <c r="C59" t="s">
        <v>9225</v>
      </c>
      <c r="D59" t="s">
        <v>9226</v>
      </c>
    </row>
    <row r="60" spans="1:4">
      <c r="A60" s="67" t="s">
        <v>9227</v>
      </c>
      <c r="D60" t="s">
        <v>9228</v>
      </c>
    </row>
    <row r="61" spans="1:4">
      <c r="A61" s="67" t="s">
        <v>9229</v>
      </c>
      <c r="D61" t="s">
        <v>9230</v>
      </c>
    </row>
    <row r="62" spans="1:4">
      <c r="A62" s="67" t="s">
        <v>9231</v>
      </c>
      <c r="D62" s="34" t="s">
        <v>9232</v>
      </c>
    </row>
    <row r="63" spans="1:4">
      <c r="A63" s="67" t="s">
        <v>9233</v>
      </c>
      <c r="D63" s="34" t="s">
        <v>9234</v>
      </c>
    </row>
    <row r="64" spans="1:4">
      <c r="A64" s="67" t="s">
        <v>9235</v>
      </c>
      <c r="D64" s="34" t="s">
        <v>9236</v>
      </c>
    </row>
    <row r="65" spans="1:4">
      <c r="A65" s="67" t="s">
        <v>9237</v>
      </c>
      <c r="D65" s="34" t="s">
        <v>9238</v>
      </c>
    </row>
    <row r="66" spans="1:4">
      <c r="A66" s="67" t="s">
        <v>9239</v>
      </c>
      <c r="D66" s="34" t="s">
        <v>9240</v>
      </c>
    </row>
    <row r="67" spans="1:4">
      <c r="A67" s="67" t="s">
        <v>9241</v>
      </c>
      <c r="D67" t="s">
        <v>9242</v>
      </c>
    </row>
    <row r="68" spans="1:4">
      <c r="A68" s="67" t="s">
        <v>3068</v>
      </c>
      <c r="B68" t="s">
        <v>9243</v>
      </c>
      <c r="C68" s="34" t="s">
        <v>9244</v>
      </c>
      <c r="D68" t="s">
        <v>9245</v>
      </c>
    </row>
    <row r="69" spans="1:4" ht="15" customHeight="1">
      <c r="A69" s="52"/>
    </row>
    <row r="70" spans="1:4">
      <c r="A70" s="19" t="s">
        <v>9246</v>
      </c>
    </row>
    <row r="71" spans="1:4" ht="15" customHeight="1">
      <c r="A71" s="52" t="s">
        <v>9247</v>
      </c>
      <c r="C71" s="34" t="s">
        <v>9248</v>
      </c>
      <c r="D71" t="s">
        <v>9249</v>
      </c>
    </row>
    <row r="72" spans="1:4" ht="15" customHeight="1">
      <c r="A72" s="52" t="s">
        <v>9250</v>
      </c>
      <c r="D72" s="34" t="s">
        <v>9251</v>
      </c>
    </row>
    <row r="73" spans="1:4" ht="15" customHeight="1">
      <c r="A73" s="52" t="s">
        <v>9252</v>
      </c>
      <c r="D73" s="34" t="s">
        <v>9253</v>
      </c>
    </row>
    <row r="74" spans="1:4" ht="15" customHeight="1">
      <c r="A74" s="52" t="s">
        <v>9254</v>
      </c>
      <c r="D74" s="34" t="s">
        <v>9255</v>
      </c>
    </row>
    <row r="75" spans="1:4" ht="15" customHeight="1">
      <c r="A75" s="52" t="s">
        <v>9256</v>
      </c>
      <c r="D75" s="34" t="s">
        <v>9257</v>
      </c>
    </row>
    <row r="76" spans="1:4" ht="15" customHeight="1">
      <c r="A76" s="52" t="s">
        <v>9258</v>
      </c>
      <c r="D76" s="34" t="s">
        <v>9259</v>
      </c>
    </row>
    <row r="77" spans="1:4" ht="15" customHeight="1">
      <c r="A77" s="52" t="s">
        <v>9260</v>
      </c>
      <c r="D77" s="34" t="s">
        <v>9261</v>
      </c>
    </row>
    <row r="78" spans="1:4" ht="15" customHeight="1">
      <c r="A78" s="52" t="s">
        <v>9262</v>
      </c>
      <c r="D78" s="34" t="s">
        <v>9263</v>
      </c>
    </row>
    <row r="79" spans="1:4" ht="15" customHeight="1">
      <c r="A79" s="52" t="s">
        <v>9264</v>
      </c>
      <c r="B79" t="s">
        <v>1066</v>
      </c>
      <c r="C79" s="34" t="s">
        <v>9265</v>
      </c>
      <c r="D79" t="s">
        <v>1068</v>
      </c>
    </row>
    <row r="80" spans="1:4" ht="15" customHeight="1">
      <c r="A80" s="52" t="s">
        <v>9266</v>
      </c>
      <c r="D80" s="34" t="s">
        <v>9267</v>
      </c>
    </row>
    <row r="81" spans="1:4" ht="15" customHeight="1">
      <c r="A81" s="52" t="s">
        <v>9268</v>
      </c>
      <c r="D81" s="34" t="s">
        <v>9269</v>
      </c>
    </row>
    <row r="82" spans="1:4" ht="15" customHeight="1">
      <c r="A82" s="52" t="s">
        <v>9270</v>
      </c>
      <c r="D82" s="34" t="s">
        <v>9271</v>
      </c>
    </row>
    <row r="83" spans="1:4" ht="15" customHeight="1">
      <c r="A83" s="52" t="s">
        <v>9272</v>
      </c>
      <c r="D83" s="34" t="s">
        <v>9273</v>
      </c>
    </row>
    <row r="84" spans="1:4" ht="15" customHeight="1">
      <c r="A84" s="52" t="s">
        <v>9274</v>
      </c>
      <c r="D84" s="34" t="s">
        <v>9275</v>
      </c>
    </row>
    <row r="85" spans="1:4" ht="15" customHeight="1">
      <c r="A85" s="52" t="s">
        <v>9276</v>
      </c>
      <c r="D85" s="34" t="s">
        <v>9277</v>
      </c>
    </row>
    <row r="86" spans="1:4" ht="15" customHeight="1">
      <c r="A86" s="52" t="s">
        <v>9278</v>
      </c>
      <c r="D86" s="34" t="s">
        <v>9277</v>
      </c>
    </row>
    <row r="87" spans="1:4" ht="15" customHeight="1">
      <c r="A87" s="52" t="s">
        <v>9279</v>
      </c>
      <c r="D87" s="34" t="s">
        <v>9280</v>
      </c>
    </row>
    <row r="88" spans="1:4" ht="15" customHeight="1">
      <c r="A88" s="52" t="s">
        <v>9281</v>
      </c>
      <c r="D88" s="34" t="s">
        <v>9282</v>
      </c>
    </row>
    <row r="89" spans="1:4" ht="15" customHeight="1">
      <c r="A89" s="52" t="s">
        <v>9283</v>
      </c>
      <c r="D89" s="34" t="s">
        <v>9284</v>
      </c>
    </row>
    <row r="90" spans="1:4" ht="15" customHeight="1">
      <c r="A90" s="52" t="s">
        <v>9285</v>
      </c>
      <c r="D90" s="34" t="s">
        <v>9286</v>
      </c>
    </row>
    <row r="91" spans="1:4" ht="15" customHeight="1">
      <c r="A91" s="52" t="s">
        <v>9287</v>
      </c>
      <c r="D91" s="34" t="s">
        <v>9288</v>
      </c>
    </row>
    <row r="92" spans="1:4" ht="15" customHeight="1">
      <c r="A92" s="52" t="s">
        <v>9289</v>
      </c>
      <c r="D92" s="34" t="s">
        <v>9290</v>
      </c>
    </row>
    <row r="93" spans="1:4" ht="15" customHeight="1">
      <c r="A93" s="52" t="s">
        <v>9291</v>
      </c>
      <c r="D93" s="34" t="s">
        <v>9292</v>
      </c>
    </row>
    <row r="94" spans="1:4" ht="15" customHeight="1">
      <c r="A94" s="52" t="s">
        <v>9293</v>
      </c>
      <c r="D94" s="34" t="s">
        <v>9294</v>
      </c>
    </row>
    <row r="95" spans="1:4">
      <c r="A95" s="67" t="s">
        <v>9295</v>
      </c>
      <c r="D95" s="34" t="s">
        <v>9296</v>
      </c>
    </row>
    <row r="96" spans="1:4">
      <c r="A96" s="67" t="s">
        <v>9297</v>
      </c>
      <c r="D96" s="34" t="s">
        <v>9298</v>
      </c>
    </row>
    <row r="97" spans="1:6">
      <c r="A97" s="67" t="s">
        <v>9299</v>
      </c>
      <c r="D97" s="34" t="s">
        <v>9300</v>
      </c>
    </row>
    <row r="98" spans="1:6">
      <c r="A98" s="67" t="s">
        <v>9301</v>
      </c>
      <c r="D98" s="34" t="s">
        <v>9302</v>
      </c>
    </row>
    <row r="99" spans="1:6">
      <c r="A99" s="67" t="s">
        <v>9303</v>
      </c>
      <c r="D99" s="34" t="s">
        <v>9304</v>
      </c>
    </row>
    <row r="100" spans="1:6">
      <c r="A100" s="67" t="s">
        <v>9305</v>
      </c>
      <c r="D100" s="34" t="s">
        <v>9306</v>
      </c>
    </row>
    <row r="101" spans="1:6" ht="15" customHeight="1">
      <c r="A101" s="52" t="s">
        <v>9307</v>
      </c>
      <c r="D101" s="34" t="s">
        <v>9308</v>
      </c>
    </row>
    <row r="102" spans="1:6" ht="15" customHeight="1">
      <c r="A102" s="39" t="s">
        <v>9309</v>
      </c>
      <c r="D102" s="34" t="s">
        <v>9310</v>
      </c>
    </row>
    <row r="104" spans="1:6" ht="15" customHeight="1">
      <c r="A104" s="33" t="s">
        <v>9311</v>
      </c>
    </row>
    <row r="105" spans="1:6">
      <c r="A105" s="67" t="s">
        <v>9312</v>
      </c>
      <c r="B105" t="s">
        <v>9313</v>
      </c>
      <c r="C105" s="34" t="s">
        <v>9314</v>
      </c>
      <c r="D105" t="s">
        <v>9315</v>
      </c>
    </row>
    <row r="106" spans="1:6" ht="15" customHeight="1">
      <c r="A106" s="39" t="s">
        <v>9316</v>
      </c>
      <c r="B106" s="39"/>
      <c r="C106" s="39"/>
      <c r="D106" s="65" t="s">
        <v>9317</v>
      </c>
      <c r="E106" s="39"/>
      <c r="F106" s="39"/>
    </row>
    <row r="107" spans="1:6" ht="15" customHeight="1">
      <c r="A107" s="39" t="s">
        <v>9318</v>
      </c>
      <c r="B107" s="39"/>
      <c r="C107" s="39"/>
      <c r="D107" s="39" t="s">
        <v>9319</v>
      </c>
      <c r="E107" s="39"/>
      <c r="F107" s="39"/>
    </row>
    <row r="109" spans="1:6" ht="15" customHeight="1">
      <c r="A109" s="33" t="s">
        <v>9320</v>
      </c>
    </row>
    <row r="110" spans="1:6" ht="15" customHeight="1">
      <c r="A110" s="65" t="s">
        <v>9321</v>
      </c>
      <c r="B110" s="65"/>
      <c r="C110" s="65"/>
      <c r="D110" s="65" t="s">
        <v>9322</v>
      </c>
      <c r="E110" s="65"/>
      <c r="F110" s="65"/>
    </row>
    <row r="111" spans="1:6" ht="15" customHeight="1">
      <c r="A111" s="65" t="s">
        <v>9323</v>
      </c>
      <c r="B111" s="65" t="s">
        <v>9324</v>
      </c>
      <c r="C111" s="65" t="s">
        <v>9325</v>
      </c>
      <c r="D111" s="65" t="s">
        <v>9326</v>
      </c>
      <c r="E111" s="65"/>
      <c r="F111" s="65"/>
    </row>
    <row r="112" spans="1:6" ht="15" customHeight="1">
      <c r="A112" s="65" t="s">
        <v>9327</v>
      </c>
      <c r="B112" s="65"/>
      <c r="C112" s="65"/>
      <c r="D112" s="65" t="s">
        <v>9328</v>
      </c>
      <c r="E112" s="65"/>
      <c r="F112" s="65"/>
    </row>
    <row r="113" spans="1:6" ht="15" customHeight="1">
      <c r="A113" s="65" t="s">
        <v>9329</v>
      </c>
      <c r="B113" s="65"/>
      <c r="C113" s="65"/>
      <c r="D113" s="65" t="s">
        <v>9330</v>
      </c>
      <c r="E113" s="65"/>
      <c r="F113" s="65"/>
    </row>
    <row r="114" spans="1:6" ht="15" customHeight="1">
      <c r="A114" s="65" t="s">
        <v>9331</v>
      </c>
      <c r="B114" s="65"/>
      <c r="C114" s="65"/>
      <c r="D114" s="65" t="s">
        <v>9332</v>
      </c>
      <c r="E114" s="65"/>
      <c r="F114" s="65"/>
    </row>
    <row r="115" spans="1:6" ht="15" customHeight="1">
      <c r="A115" s="65" t="s">
        <v>9333</v>
      </c>
      <c r="B115" s="65"/>
      <c r="C115" s="65" t="s">
        <v>9334</v>
      </c>
      <c r="D115" s="65" t="s">
        <v>9335</v>
      </c>
      <c r="E115" s="65"/>
      <c r="F115" s="65"/>
    </row>
    <row r="116" spans="1:6" ht="15" customHeight="1">
      <c r="A116" s="65" t="s">
        <v>9336</v>
      </c>
      <c r="B116" s="65"/>
      <c r="C116" s="65"/>
      <c r="D116" s="65" t="s">
        <v>9337</v>
      </c>
      <c r="E116" s="65"/>
      <c r="F116" s="65"/>
    </row>
    <row r="117" spans="1:6" ht="15" customHeight="1">
      <c r="A117" s="65" t="s">
        <v>9338</v>
      </c>
      <c r="B117" s="65"/>
      <c r="C117" s="65"/>
      <c r="D117" s="65" t="s">
        <v>9339</v>
      </c>
      <c r="E117" s="65"/>
      <c r="F117" s="65"/>
    </row>
    <row r="118" spans="1:6" ht="15" customHeight="1">
      <c r="A118" s="65" t="s">
        <v>9340</v>
      </c>
      <c r="B118" s="65"/>
      <c r="C118" s="65"/>
      <c r="D118" s="65" t="s">
        <v>9341</v>
      </c>
      <c r="E118" s="65"/>
      <c r="F118" s="65"/>
    </row>
    <row r="119" spans="1:6" ht="15" customHeight="1">
      <c r="A119" s="65" t="s">
        <v>9342</v>
      </c>
      <c r="B119" s="65"/>
      <c r="C119" s="65"/>
      <c r="D119" s="65" t="s">
        <v>9343</v>
      </c>
      <c r="E119" s="65"/>
      <c r="F119" s="65"/>
    </row>
    <row r="120" spans="1:6" ht="15" customHeight="1">
      <c r="A120" s="65" t="s">
        <v>9344</v>
      </c>
      <c r="B120" s="65"/>
      <c r="C120" s="65"/>
      <c r="D120" s="65" t="s">
        <v>9345</v>
      </c>
      <c r="E120" s="65"/>
      <c r="F120" s="65"/>
    </row>
    <row r="121" spans="1:6" ht="15" customHeight="1">
      <c r="A121" s="65" t="s">
        <v>9346</v>
      </c>
      <c r="B121" s="65"/>
      <c r="C121" s="65"/>
      <c r="D121" s="65" t="s">
        <v>9347</v>
      </c>
      <c r="E121" s="65"/>
      <c r="F121" s="65"/>
    </row>
    <row r="122" spans="1:6" ht="15" customHeight="1">
      <c r="A122" s="65" t="s">
        <v>9348</v>
      </c>
      <c r="B122" s="65"/>
      <c r="C122" s="65" t="s">
        <v>9349</v>
      </c>
      <c r="D122" s="65" t="s">
        <v>9350</v>
      </c>
      <c r="E122" s="65"/>
      <c r="F122" s="65"/>
    </row>
    <row r="123" spans="1:6" ht="15" customHeight="1">
      <c r="A123" s="65" t="s">
        <v>9351</v>
      </c>
      <c r="B123" s="65"/>
      <c r="C123" s="65"/>
      <c r="D123" s="65" t="s">
        <v>9352</v>
      </c>
      <c r="E123" s="65"/>
      <c r="F123" s="65"/>
    </row>
    <row r="124" spans="1:6" ht="15" customHeight="1">
      <c r="A124" s="65" t="s">
        <v>9353</v>
      </c>
      <c r="B124" s="65"/>
      <c r="C124" s="65"/>
      <c r="D124" s="65" t="s">
        <v>9354</v>
      </c>
      <c r="E124" s="65"/>
      <c r="F124" s="65"/>
    </row>
    <row r="125" spans="1:6" ht="15" customHeight="1">
      <c r="A125" s="65" t="s">
        <v>9355</v>
      </c>
      <c r="B125" s="65"/>
      <c r="C125" s="65"/>
      <c r="D125" s="65" t="s">
        <v>9356</v>
      </c>
      <c r="E125" s="65"/>
      <c r="F125" s="65"/>
    </row>
    <row r="126" spans="1:6" ht="15" customHeight="1">
      <c r="A126" s="65" t="s">
        <v>9357</v>
      </c>
      <c r="B126" s="65" t="s">
        <v>9358</v>
      </c>
      <c r="C126" s="65" t="s">
        <v>9359</v>
      </c>
      <c r="D126" s="65" t="s">
        <v>9360</v>
      </c>
      <c r="E126" s="65"/>
      <c r="F126" s="65"/>
    </row>
    <row r="128" spans="1:6">
      <c r="A128" s="79" t="s">
        <v>878</v>
      </c>
    </row>
    <row r="129" spans="1:4">
      <c r="A129" s="67" t="s">
        <v>9361</v>
      </c>
      <c r="C129" s="65" t="s">
        <v>9362</v>
      </c>
      <c r="D129" s="65" t="s">
        <v>9363</v>
      </c>
    </row>
    <row r="130" spans="1:4">
      <c r="A130" s="67" t="s">
        <v>9364</v>
      </c>
      <c r="C130" s="65" t="s">
        <v>9365</v>
      </c>
      <c r="D130" s="39" t="s">
        <v>9366</v>
      </c>
    </row>
    <row r="131" spans="1:4">
      <c r="A131" s="67" t="s">
        <v>9367</v>
      </c>
      <c r="C131" s="65" t="s">
        <v>9368</v>
      </c>
      <c r="D131" s="65" t="s">
        <v>9369</v>
      </c>
    </row>
    <row r="132" spans="1:4">
      <c r="A132" s="67" t="s">
        <v>9370</v>
      </c>
      <c r="C132" s="65" t="s">
        <v>9371</v>
      </c>
      <c r="D132" s="39" t="s">
        <v>9372</v>
      </c>
    </row>
    <row r="133" spans="1:4">
      <c r="A133" s="67" t="s">
        <v>9373</v>
      </c>
      <c r="C133" s="39"/>
      <c r="D133" s="39" t="s">
        <v>9374</v>
      </c>
    </row>
    <row r="134" spans="1:4">
      <c r="A134" s="67" t="s">
        <v>9375</v>
      </c>
      <c r="C134" s="65" t="s">
        <v>9376</v>
      </c>
      <c r="D134" s="65" t="s">
        <v>9377</v>
      </c>
    </row>
    <row r="135" spans="1:4">
      <c r="A135" s="67" t="s">
        <v>9378</v>
      </c>
      <c r="C135" s="39"/>
      <c r="D135" s="39" t="s">
        <v>9379</v>
      </c>
    </row>
    <row r="136" spans="1:4">
      <c r="A136" s="67" t="s">
        <v>9380</v>
      </c>
      <c r="B136" t="s">
        <v>9381</v>
      </c>
      <c r="C136" s="39" t="s">
        <v>9382</v>
      </c>
      <c r="D136" s="39" t="s">
        <v>9383</v>
      </c>
    </row>
    <row r="137" spans="1:4">
      <c r="A137" s="67" t="s">
        <v>9384</v>
      </c>
      <c r="C137" s="39"/>
      <c r="D137" s="39" t="s">
        <v>9385</v>
      </c>
    </row>
    <row r="138" spans="1:4">
      <c r="A138" s="67" t="s">
        <v>9386</v>
      </c>
      <c r="C138" s="65" t="s">
        <v>9387</v>
      </c>
      <c r="D138" s="39" t="s">
        <v>9388</v>
      </c>
    </row>
    <row r="139" spans="1:4">
      <c r="A139" s="67" t="s">
        <v>9389</v>
      </c>
      <c r="C139" s="39"/>
      <c r="D139" s="39" t="s">
        <v>9390</v>
      </c>
    </row>
    <row r="140" spans="1:4">
      <c r="A140" s="67" t="s">
        <v>9391</v>
      </c>
      <c r="C140" s="39"/>
      <c r="D140" s="39" t="s">
        <v>9392</v>
      </c>
    </row>
    <row r="141" spans="1:4">
      <c r="A141" s="67" t="s">
        <v>9393</v>
      </c>
      <c r="C141" s="39"/>
      <c r="D141" s="39" t="s">
        <v>9394</v>
      </c>
    </row>
    <row r="142" spans="1:4">
      <c r="A142" s="67" t="s">
        <v>9395</v>
      </c>
      <c r="C142" s="39"/>
      <c r="D142" s="39" t="s">
        <v>9396</v>
      </c>
    </row>
    <row r="143" spans="1:4">
      <c r="A143" s="67" t="s">
        <v>9397</v>
      </c>
      <c r="C143" s="39"/>
      <c r="D143" s="39" t="s">
        <v>9398</v>
      </c>
    </row>
    <row r="144" spans="1:4">
      <c r="A144" s="67" t="s">
        <v>9399</v>
      </c>
      <c r="C144" s="39"/>
      <c r="D144" s="39" t="s">
        <v>9400</v>
      </c>
    </row>
    <row r="145" spans="1:4">
      <c r="A145" s="67" t="s">
        <v>9401</v>
      </c>
      <c r="C145" s="39"/>
      <c r="D145" s="39" t="s">
        <v>9402</v>
      </c>
    </row>
    <row r="146" spans="1:4">
      <c r="A146" s="67" t="s">
        <v>9403</v>
      </c>
      <c r="C146" s="65" t="s">
        <v>9404</v>
      </c>
      <c r="D146" s="65" t="s">
        <v>9405</v>
      </c>
    </row>
    <row r="147" spans="1:4">
      <c r="A147" s="67" t="s">
        <v>9406</v>
      </c>
      <c r="C147" s="39"/>
      <c r="D147" s="39" t="s">
        <v>9407</v>
      </c>
    </row>
    <row r="148" spans="1:4">
      <c r="A148" s="67" t="s">
        <v>9408</v>
      </c>
      <c r="C148" s="65" t="s">
        <v>9409</v>
      </c>
      <c r="D148" s="65" t="s">
        <v>9410</v>
      </c>
    </row>
    <row r="149" spans="1:4">
      <c r="A149" s="67" t="s">
        <v>9411</v>
      </c>
      <c r="C149" s="39"/>
      <c r="D149" s="39" t="s">
        <v>9412</v>
      </c>
    </row>
    <row r="150" spans="1:4">
      <c r="A150" s="67" t="s">
        <v>9413</v>
      </c>
      <c r="C150" s="65" t="s">
        <v>9414</v>
      </c>
      <c r="D150" s="39" t="s">
        <v>9415</v>
      </c>
    </row>
    <row r="151" spans="1:4">
      <c r="A151" s="67" t="s">
        <v>9416</v>
      </c>
      <c r="C151" s="65" t="s">
        <v>9417</v>
      </c>
      <c r="D151" s="39" t="s">
        <v>9418</v>
      </c>
    </row>
    <row r="152" spans="1:4">
      <c r="A152" s="67" t="s">
        <v>9419</v>
      </c>
      <c r="C152" s="39"/>
      <c r="D152" s="39" t="s">
        <v>9420</v>
      </c>
    </row>
    <row r="153" spans="1:4">
      <c r="A153" s="67" t="s">
        <v>9421</v>
      </c>
      <c r="C153" s="39"/>
      <c r="D153" s="39" t="s">
        <v>9422</v>
      </c>
    </row>
    <row r="154" spans="1:4">
      <c r="A154" s="67" t="s">
        <v>9423</v>
      </c>
      <c r="C154" s="39"/>
      <c r="D154" s="65" t="s">
        <v>9424</v>
      </c>
    </row>
    <row r="155" spans="1:4">
      <c r="A155" s="67" t="s">
        <v>9425</v>
      </c>
      <c r="C155" s="39"/>
      <c r="D155" s="39" t="s">
        <v>9426</v>
      </c>
    </row>
    <row r="156" spans="1:4">
      <c r="A156" s="67" t="s">
        <v>9427</v>
      </c>
      <c r="C156" s="39"/>
      <c r="D156" s="39" t="s">
        <v>9428</v>
      </c>
    </row>
    <row r="157" spans="1:4">
      <c r="A157" s="67" t="s">
        <v>9429</v>
      </c>
      <c r="B157" t="s">
        <v>9430</v>
      </c>
      <c r="C157" s="39" t="s">
        <v>9431</v>
      </c>
      <c r="D157" s="39" t="s">
        <v>9432</v>
      </c>
    </row>
    <row r="158" spans="1:4">
      <c r="A158" s="67" t="s">
        <v>9433</v>
      </c>
      <c r="C158" s="39"/>
      <c r="D158" s="39" t="s">
        <v>9434</v>
      </c>
    </row>
    <row r="159" spans="1:4">
      <c r="A159" s="67" t="s">
        <v>9435</v>
      </c>
      <c r="C159" s="39"/>
      <c r="D159" s="39" t="s">
        <v>9436</v>
      </c>
    </row>
    <row r="160" spans="1:4">
      <c r="A160" s="67" t="s">
        <v>9437</v>
      </c>
      <c r="C160" s="39"/>
      <c r="D160" s="39" t="s">
        <v>9438</v>
      </c>
    </row>
    <row r="161" spans="1:4">
      <c r="A161" s="67" t="s">
        <v>9439</v>
      </c>
      <c r="C161" s="65" t="s">
        <v>9440</v>
      </c>
      <c r="D161" s="39" t="s">
        <v>9441</v>
      </c>
    </row>
    <row r="162" spans="1:4">
      <c r="A162" s="67" t="s">
        <v>9442</v>
      </c>
      <c r="C162" s="65" t="s">
        <v>9443</v>
      </c>
      <c r="D162" s="39" t="s">
        <v>9444</v>
      </c>
    </row>
    <row r="163" spans="1:4">
      <c r="A163" s="67" t="s">
        <v>9445</v>
      </c>
      <c r="C163" s="39"/>
      <c r="D163" s="39" t="s">
        <v>9446</v>
      </c>
    </row>
    <row r="164" spans="1:4">
      <c r="A164" s="67" t="s">
        <v>9447</v>
      </c>
      <c r="C164" s="65" t="s">
        <v>9448</v>
      </c>
      <c r="D164" s="39" t="s">
        <v>9449</v>
      </c>
    </row>
    <row r="165" spans="1:4">
      <c r="A165" s="67" t="s">
        <v>9450</v>
      </c>
      <c r="C165" s="65" t="s">
        <v>9451</v>
      </c>
      <c r="D165" s="39" t="s">
        <v>9452</v>
      </c>
    </row>
    <row r="166" spans="1:4">
      <c r="A166" s="67" t="s">
        <v>9453</v>
      </c>
      <c r="C166" s="39"/>
      <c r="D166" s="39" t="s">
        <v>9454</v>
      </c>
    </row>
    <row r="167" spans="1:4">
      <c r="A167" s="67" t="s">
        <v>9455</v>
      </c>
      <c r="C167" s="39"/>
      <c r="D167" s="39" t="s">
        <v>9456</v>
      </c>
    </row>
    <row r="168" spans="1:4">
      <c r="A168" s="67" t="s">
        <v>9457</v>
      </c>
      <c r="C168" s="39"/>
      <c r="D168" s="39" t="s">
        <v>9458</v>
      </c>
    </row>
    <row r="169" spans="1:4">
      <c r="A169" s="67" t="s">
        <v>9459</v>
      </c>
      <c r="C169" s="39"/>
      <c r="D169" s="39" t="s">
        <v>9460</v>
      </c>
    </row>
    <row r="170" spans="1:4">
      <c r="A170" s="67" t="s">
        <v>9461</v>
      </c>
      <c r="C170" s="39"/>
      <c r="D170" s="39" t="s">
        <v>9462</v>
      </c>
    </row>
    <row r="171" spans="1:4">
      <c r="A171" s="67" t="s">
        <v>9463</v>
      </c>
      <c r="C171" s="39"/>
      <c r="D171" s="39" t="s">
        <v>9464</v>
      </c>
    </row>
    <row r="172" spans="1:4">
      <c r="A172" s="67" t="s">
        <v>9465</v>
      </c>
      <c r="C172" s="39"/>
      <c r="D172" s="39" t="s">
        <v>9466</v>
      </c>
    </row>
    <row r="173" spans="1:4">
      <c r="A173" s="67" t="s">
        <v>9467</v>
      </c>
      <c r="C173" s="39"/>
      <c r="D173" s="39" t="s">
        <v>9468</v>
      </c>
    </row>
    <row r="174" spans="1:4">
      <c r="A174" s="67" t="s">
        <v>9469</v>
      </c>
      <c r="C174" s="39"/>
      <c r="D174" s="39" t="s">
        <v>9470</v>
      </c>
    </row>
    <row r="175" spans="1:4">
      <c r="A175" s="67" t="s">
        <v>9471</v>
      </c>
      <c r="C175" s="39"/>
      <c r="D175" s="39" t="s">
        <v>9472</v>
      </c>
    </row>
    <row r="176" spans="1:4">
      <c r="A176" s="67" t="s">
        <v>9473</v>
      </c>
      <c r="C176" s="39"/>
      <c r="D176" s="65" t="s">
        <v>9474</v>
      </c>
    </row>
    <row r="177" spans="1:4">
      <c r="A177" s="67" t="s">
        <v>9475</v>
      </c>
      <c r="C177" s="39"/>
      <c r="D177" s="39" t="s">
        <v>9476</v>
      </c>
    </row>
    <row r="178" spans="1:4">
      <c r="A178" s="67" t="s">
        <v>9477</v>
      </c>
      <c r="C178" s="65" t="s">
        <v>9478</v>
      </c>
      <c r="D178" s="39" t="s">
        <v>9479</v>
      </c>
    </row>
    <row r="179" spans="1:4">
      <c r="A179" s="67" t="s">
        <v>9480</v>
      </c>
      <c r="C179" s="39"/>
      <c r="D179" s="39" t="s">
        <v>9481</v>
      </c>
    </row>
    <row r="180" spans="1:4">
      <c r="A180" s="67" t="s">
        <v>9482</v>
      </c>
      <c r="C180" s="65" t="s">
        <v>9483</v>
      </c>
      <c r="D180" s="39" t="s">
        <v>9484</v>
      </c>
    </row>
    <row r="181" spans="1:4">
      <c r="A181" s="67" t="s">
        <v>9485</v>
      </c>
      <c r="C181" s="39"/>
      <c r="D181" s="39" t="s">
        <v>9486</v>
      </c>
    </row>
    <row r="182" spans="1:4">
      <c r="A182" s="67" t="s">
        <v>9487</v>
      </c>
      <c r="C182" s="65" t="s">
        <v>9488</v>
      </c>
      <c r="D182" s="65" t="s">
        <v>9489</v>
      </c>
    </row>
    <row r="183" spans="1:4" ht="15" customHeight="1">
      <c r="A183" s="39" t="s">
        <v>9490</v>
      </c>
      <c r="C183" s="39"/>
      <c r="D183" s="39" t="s">
        <v>9491</v>
      </c>
    </row>
    <row r="184" spans="1:4" ht="15" customHeight="1">
      <c r="A184" s="39" t="s">
        <v>9492</v>
      </c>
      <c r="C184" s="39"/>
      <c r="D184" s="39" t="s">
        <v>9493</v>
      </c>
    </row>
    <row r="185" spans="1:4" ht="15" customHeight="1">
      <c r="A185" s="39" t="s">
        <v>9494</v>
      </c>
      <c r="C185" s="65" t="s">
        <v>9495</v>
      </c>
      <c r="D185" s="39" t="s">
        <v>9496</v>
      </c>
    </row>
    <row r="186" spans="1:4" ht="15" customHeight="1">
      <c r="A186" s="39" t="s">
        <v>9497</v>
      </c>
      <c r="C186" s="39"/>
      <c r="D186" s="39" t="s">
        <v>9498</v>
      </c>
    </row>
    <row r="187" spans="1:4" ht="15" customHeight="1">
      <c r="A187" s="39" t="s">
        <v>9499</v>
      </c>
      <c r="B187" t="s">
        <v>9500</v>
      </c>
      <c r="C187" s="39" t="s">
        <v>9501</v>
      </c>
      <c r="D187" s="39" t="s">
        <v>9502</v>
      </c>
    </row>
    <row r="188" spans="1:4" ht="15" customHeight="1">
      <c r="A188" s="39" t="s">
        <v>9503</v>
      </c>
      <c r="C188" s="39"/>
      <c r="D188" s="39" t="s">
        <v>9504</v>
      </c>
    </row>
    <row r="189" spans="1:4" ht="15" customHeight="1">
      <c r="A189" s="39" t="s">
        <v>9505</v>
      </c>
      <c r="C189" s="39"/>
      <c r="D189" s="39" t="s">
        <v>9506</v>
      </c>
    </row>
    <row r="190" spans="1:4" ht="15" customHeight="1">
      <c r="A190" s="39" t="s">
        <v>9507</v>
      </c>
      <c r="C190" s="39"/>
      <c r="D190" s="39" t="s">
        <v>9508</v>
      </c>
    </row>
    <row r="191" spans="1:4" ht="15" customHeight="1">
      <c r="A191" s="39" t="s">
        <v>9509</v>
      </c>
      <c r="C191" s="39"/>
      <c r="D191" s="39" t="s">
        <v>9510</v>
      </c>
    </row>
    <row r="192" spans="1:4" ht="15" customHeight="1">
      <c r="A192" s="39" t="s">
        <v>9511</v>
      </c>
      <c r="C192" s="39"/>
      <c r="D192" s="39" t="s">
        <v>9512</v>
      </c>
    </row>
    <row r="193" spans="1:4" ht="15" customHeight="1">
      <c r="A193" s="39" t="s">
        <v>9513</v>
      </c>
      <c r="C193" s="39"/>
      <c r="D193" s="39" t="s">
        <v>9514</v>
      </c>
    </row>
    <row r="194" spans="1:4" ht="15" customHeight="1">
      <c r="A194" s="39" t="s">
        <v>9515</v>
      </c>
      <c r="C194" s="39"/>
      <c r="D194" s="39" t="s">
        <v>9516</v>
      </c>
    </row>
    <row r="195" spans="1:4" ht="15" customHeight="1">
      <c r="A195" s="39" t="s">
        <v>9517</v>
      </c>
      <c r="C195" s="39"/>
      <c r="D195" s="39" t="s">
        <v>9518</v>
      </c>
    </row>
    <row r="197" spans="1:4">
      <c r="A197" s="79" t="s">
        <v>428</v>
      </c>
    </row>
    <row r="198" spans="1:4">
      <c r="A198" s="82" t="s">
        <v>9519</v>
      </c>
      <c r="B198" t="s">
        <v>9520</v>
      </c>
      <c r="C198" t="s">
        <v>9521</v>
      </c>
      <c r="D198" t="s">
        <v>9522</v>
      </c>
    </row>
    <row r="199" spans="1:4">
      <c r="A199" s="82" t="s">
        <v>9523</v>
      </c>
      <c r="B199" t="s">
        <v>9524</v>
      </c>
      <c r="C199" t="s">
        <v>9525</v>
      </c>
      <c r="D199" t="s">
        <v>9526</v>
      </c>
    </row>
    <row r="200" spans="1:4">
      <c r="A200" s="82" t="s">
        <v>9527</v>
      </c>
      <c r="B200" t="s">
        <v>9528</v>
      </c>
      <c r="C200" t="s">
        <v>9529</v>
      </c>
      <c r="D200" t="s">
        <v>9530</v>
      </c>
    </row>
    <row r="201" spans="1:4">
      <c r="A201" s="82" t="s">
        <v>9531</v>
      </c>
      <c r="B201" t="s">
        <v>9532</v>
      </c>
      <c r="C201" s="34" t="s">
        <v>9533</v>
      </c>
      <c r="D201" t="s">
        <v>9534</v>
      </c>
    </row>
    <row r="202" spans="1:4">
      <c r="A202" s="82" t="s">
        <v>9535</v>
      </c>
      <c r="B202" t="s">
        <v>9536</v>
      </c>
      <c r="C202" s="34" t="s">
        <v>9537</v>
      </c>
      <c r="D202" t="s">
        <v>9538</v>
      </c>
    </row>
    <row r="203" spans="1:4">
      <c r="A203" s="82" t="s">
        <v>9539</v>
      </c>
      <c r="B203" t="s">
        <v>9540</v>
      </c>
      <c r="C203" t="s">
        <v>9541</v>
      </c>
      <c r="D203" t="s">
        <v>9529</v>
      </c>
    </row>
    <row r="204" spans="1:4">
      <c r="A204" s="97" t="s">
        <v>9542</v>
      </c>
      <c r="B204" t="s">
        <v>9543</v>
      </c>
      <c r="C204" t="s">
        <v>9544</v>
      </c>
      <c r="D204" t="s">
        <v>9545</v>
      </c>
    </row>
    <row r="205" spans="1:4">
      <c r="A205" s="31"/>
    </row>
    <row r="206" spans="1:4">
      <c r="A206" s="31"/>
    </row>
    <row r="207" spans="1:4">
      <c r="A207" s="31"/>
    </row>
    <row r="208" spans="1:4">
      <c r="A208" s="31"/>
    </row>
    <row r="209" spans="1:1">
      <c r="A209" s="31"/>
    </row>
    <row r="210" spans="1:1">
      <c r="A210" s="31"/>
    </row>
    <row r="211" spans="1:1">
      <c r="A211" s="31"/>
    </row>
    <row r="212" spans="1:1">
      <c r="A212" s="31"/>
    </row>
    <row r="213" spans="1:1">
      <c r="A213" s="31"/>
    </row>
    <row r="214" spans="1:1">
      <c r="A214" s="31"/>
    </row>
    <row r="215" spans="1:1">
      <c r="A215" s="31"/>
    </row>
    <row r="216" spans="1:1">
      <c r="A216" s="31"/>
    </row>
    <row r="217" spans="1:1">
      <c r="A217" s="31"/>
    </row>
    <row r="218" spans="1:1">
      <c r="A218" s="31"/>
    </row>
    <row r="219" spans="1:1">
      <c r="A219" s="31"/>
    </row>
    <row r="220" spans="1:1">
      <c r="A220" s="31"/>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D124"/>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9546</v>
      </c>
      <c r="D2" s="67" t="s">
        <v>9547</v>
      </c>
    </row>
    <row r="3" spans="1:4">
      <c r="A3" s="67" t="s">
        <v>9548</v>
      </c>
      <c r="B3" s="67" t="s">
        <v>9549</v>
      </c>
      <c r="D3" s="67" t="s">
        <v>9550</v>
      </c>
    </row>
    <row r="4" spans="1:4">
      <c r="A4" s="67" t="s">
        <v>9551</v>
      </c>
      <c r="D4" s="11" t="s">
        <v>9552</v>
      </c>
    </row>
    <row r="6" spans="1:4">
      <c r="A6" s="79" t="s">
        <v>209</v>
      </c>
      <c r="B6" s="79" t="s">
        <v>147</v>
      </c>
      <c r="C6" s="79" t="s">
        <v>148</v>
      </c>
      <c r="D6" s="79" t="s">
        <v>182</v>
      </c>
    </row>
    <row r="7" spans="1:4">
      <c r="A7" s="67" t="s">
        <v>9553</v>
      </c>
      <c r="D7" s="67" t="s">
        <v>9554</v>
      </c>
    </row>
    <row r="8" spans="1:4">
      <c r="A8" s="67" t="s">
        <v>9555</v>
      </c>
      <c r="D8" s="67" t="s">
        <v>9556</v>
      </c>
    </row>
    <row r="9" spans="1:4">
      <c r="A9" s="67" t="s">
        <v>9557</v>
      </c>
      <c r="D9" s="67" t="s">
        <v>9558</v>
      </c>
    </row>
    <row r="10" spans="1:4">
      <c r="A10" s="67" t="s">
        <v>9559</v>
      </c>
      <c r="D10" s="67" t="s">
        <v>9560</v>
      </c>
    </row>
    <row r="11" spans="1:4">
      <c r="A11" s="67" t="s">
        <v>9561</v>
      </c>
      <c r="D11" s="67" t="s">
        <v>9562</v>
      </c>
    </row>
    <row r="12" spans="1:4">
      <c r="A12" s="67" t="s">
        <v>6509</v>
      </c>
      <c r="D12" s="67" t="s">
        <v>9563</v>
      </c>
    </row>
    <row r="13" spans="1:4">
      <c r="A13" s="67" t="s">
        <v>9564</v>
      </c>
      <c r="D13" s="67" t="s">
        <v>9565</v>
      </c>
    </row>
    <row r="14" spans="1:4">
      <c r="A14" s="67" t="s">
        <v>9566</v>
      </c>
      <c r="D14" s="67" t="s">
        <v>9567</v>
      </c>
    </row>
    <row r="15" spans="1:4">
      <c r="A15" s="67" t="s">
        <v>5405</v>
      </c>
      <c r="C15" s="67" t="s">
        <v>9568</v>
      </c>
      <c r="D15" s="67" t="s">
        <v>9569</v>
      </c>
    </row>
    <row r="16" spans="1:4">
      <c r="A16" s="67" t="s">
        <v>9570</v>
      </c>
      <c r="D16" s="67" t="s">
        <v>9571</v>
      </c>
    </row>
    <row r="17" spans="1:4">
      <c r="A17" s="67" t="s">
        <v>9572</v>
      </c>
      <c r="D17" s="67" t="s">
        <v>9573</v>
      </c>
    </row>
    <row r="18" spans="1:4">
      <c r="A18" s="67" t="s">
        <v>5783</v>
      </c>
      <c r="D18" s="67" t="s">
        <v>9574</v>
      </c>
    </row>
    <row r="19" spans="1:4">
      <c r="A19" s="67" t="s">
        <v>9575</v>
      </c>
      <c r="B19" s="67" t="s">
        <v>9576</v>
      </c>
      <c r="C19" s="67" t="s">
        <v>9577</v>
      </c>
      <c r="D19" s="67" t="s">
        <v>9578</v>
      </c>
    </row>
    <row r="20" spans="1:4">
      <c r="A20" s="67" t="s">
        <v>9579</v>
      </c>
      <c r="D20" s="67" t="s">
        <v>9580</v>
      </c>
    </row>
    <row r="21" spans="1:4">
      <c r="A21" s="67" t="s">
        <v>7958</v>
      </c>
      <c r="D21" s="67" t="s">
        <v>9581</v>
      </c>
    </row>
    <row r="22" spans="1:4">
      <c r="A22" s="67" t="s">
        <v>5441</v>
      </c>
      <c r="D22" s="67" t="s">
        <v>9582</v>
      </c>
    </row>
    <row r="23" spans="1:4">
      <c r="A23" s="67" t="s">
        <v>5444</v>
      </c>
      <c r="D23" s="67" t="s">
        <v>9583</v>
      </c>
    </row>
    <row r="24" spans="1:4">
      <c r="A24" s="67" t="s">
        <v>8105</v>
      </c>
      <c r="D24" s="67" t="s">
        <v>9584</v>
      </c>
    </row>
    <row r="25" spans="1:4">
      <c r="A25" s="67" t="s">
        <v>5449</v>
      </c>
      <c r="D25" s="67" t="s">
        <v>9585</v>
      </c>
    </row>
    <row r="26" spans="1:4">
      <c r="A26" s="67" t="s">
        <v>5453</v>
      </c>
      <c r="D26" s="67" t="s">
        <v>9586</v>
      </c>
    </row>
    <row r="27" spans="1:4">
      <c r="A27" s="67" t="s">
        <v>9587</v>
      </c>
      <c r="D27" s="67" t="s">
        <v>9588</v>
      </c>
    </row>
    <row r="28" spans="1:4">
      <c r="A28" s="67" t="s">
        <v>5187</v>
      </c>
      <c r="D28" s="67" t="s">
        <v>9589</v>
      </c>
    </row>
    <row r="29" spans="1:4">
      <c r="A29" s="67" t="s">
        <v>5203</v>
      </c>
      <c r="D29" s="67" t="s">
        <v>9590</v>
      </c>
    </row>
    <row r="30" spans="1:4" ht="30" customHeight="1">
      <c r="A30" s="67" t="s">
        <v>5498</v>
      </c>
      <c r="B30" s="12" t="s">
        <v>9591</v>
      </c>
      <c r="D30" s="67" t="s">
        <v>9592</v>
      </c>
    </row>
    <row r="31" spans="1:4" ht="30" customHeight="1">
      <c r="A31" s="67" t="s">
        <v>5209</v>
      </c>
      <c r="B31" s="12" t="s">
        <v>9593</v>
      </c>
      <c r="D31" s="67" t="s">
        <v>9594</v>
      </c>
    </row>
    <row r="32" spans="1:4">
      <c r="A32" s="67" t="s">
        <v>5524</v>
      </c>
      <c r="B32" s="67" t="s">
        <v>9595</v>
      </c>
      <c r="C32" s="16" t="s">
        <v>9596</v>
      </c>
      <c r="D32" s="67" t="s">
        <v>9597</v>
      </c>
    </row>
    <row r="33" spans="1:4">
      <c r="A33" s="67" t="s">
        <v>5526</v>
      </c>
      <c r="D33" s="67" t="s">
        <v>9598</v>
      </c>
    </row>
    <row r="34" spans="1:4">
      <c r="A34" s="67" t="s">
        <v>9599</v>
      </c>
      <c r="D34" s="67" t="s">
        <v>9600</v>
      </c>
    </row>
    <row r="35" spans="1:4">
      <c r="A35" s="67" t="s">
        <v>9601</v>
      </c>
      <c r="B35" s="67" t="s">
        <v>9602</v>
      </c>
      <c r="C35" s="67" t="s">
        <v>9603</v>
      </c>
      <c r="D35" s="67" t="s">
        <v>9604</v>
      </c>
    </row>
    <row r="36" spans="1:4">
      <c r="A36" s="67" t="s">
        <v>9605</v>
      </c>
      <c r="D36" s="67" t="s">
        <v>9606</v>
      </c>
    </row>
    <row r="37" spans="1:4">
      <c r="A37" s="67" t="s">
        <v>5218</v>
      </c>
      <c r="D37" s="67" t="s">
        <v>9607</v>
      </c>
    </row>
    <row r="38" spans="1:4">
      <c r="A38" s="67" t="s">
        <v>9608</v>
      </c>
      <c r="D38" s="67" t="s">
        <v>9609</v>
      </c>
    </row>
    <row r="39" spans="1:4">
      <c r="A39" s="67" t="s">
        <v>9610</v>
      </c>
      <c r="D39" s="67" t="s">
        <v>9611</v>
      </c>
    </row>
    <row r="40" spans="1:4">
      <c r="A40" s="67" t="s">
        <v>5885</v>
      </c>
      <c r="B40" s="67" t="s">
        <v>9612</v>
      </c>
      <c r="C40" s="67" t="s">
        <v>9613</v>
      </c>
      <c r="D40" s="67" t="s">
        <v>9614</v>
      </c>
    </row>
    <row r="41" spans="1:4">
      <c r="A41" s="67" t="s">
        <v>7293</v>
      </c>
      <c r="D41" s="67" t="s">
        <v>9615</v>
      </c>
    </row>
    <row r="42" spans="1:4">
      <c r="A42" s="67" t="s">
        <v>9616</v>
      </c>
      <c r="D42" s="67" t="s">
        <v>9617</v>
      </c>
    </row>
    <row r="43" spans="1:4">
      <c r="A43" s="67" t="s">
        <v>8143</v>
      </c>
      <c r="D43" s="67" t="s">
        <v>9618</v>
      </c>
    </row>
    <row r="44" spans="1:4">
      <c r="A44" s="67" t="s">
        <v>5541</v>
      </c>
      <c r="B44" s="67" t="s">
        <v>9619</v>
      </c>
      <c r="C44" s="67" t="s">
        <v>9620</v>
      </c>
      <c r="D44" s="67" t="s">
        <v>9621</v>
      </c>
    </row>
    <row r="45" spans="1:4">
      <c r="A45" s="67" t="s">
        <v>9622</v>
      </c>
      <c r="D45" s="67" t="s">
        <v>9623</v>
      </c>
    </row>
    <row r="46" spans="1:4">
      <c r="A46" s="67" t="s">
        <v>9624</v>
      </c>
      <c r="D46" s="67" t="s">
        <v>9625</v>
      </c>
    </row>
    <row r="47" spans="1:4">
      <c r="A47" s="67" t="s">
        <v>9626</v>
      </c>
      <c r="D47" s="67" t="s">
        <v>9627</v>
      </c>
    </row>
    <row r="48" spans="1:4">
      <c r="A48" s="67" t="s">
        <v>9628</v>
      </c>
      <c r="B48" s="67" t="s">
        <v>9629</v>
      </c>
      <c r="C48" s="67" t="s">
        <v>9630</v>
      </c>
      <c r="D48" s="67" t="s">
        <v>9631</v>
      </c>
    </row>
    <row r="49" spans="1:4">
      <c r="A49" s="67" t="s">
        <v>9632</v>
      </c>
      <c r="D49" s="67" t="s">
        <v>9633</v>
      </c>
    </row>
    <row r="50" spans="1:4">
      <c r="A50" s="67" t="s">
        <v>5551</v>
      </c>
      <c r="D50" s="67" t="s">
        <v>9634</v>
      </c>
    </row>
    <row r="51" spans="1:4">
      <c r="A51" s="67" t="s">
        <v>9635</v>
      </c>
      <c r="D51" s="67" t="s">
        <v>9636</v>
      </c>
    </row>
    <row r="52" spans="1:4">
      <c r="A52" s="67" t="s">
        <v>9637</v>
      </c>
      <c r="D52" s="67" t="s">
        <v>9638</v>
      </c>
    </row>
    <row r="53" spans="1:4">
      <c r="A53" s="67" t="s">
        <v>5928</v>
      </c>
      <c r="D53" s="67" t="s">
        <v>9639</v>
      </c>
    </row>
    <row r="54" spans="1:4">
      <c r="A54" s="67" t="s">
        <v>7976</v>
      </c>
      <c r="B54" s="67" t="s">
        <v>9640</v>
      </c>
      <c r="C54" s="67" t="s">
        <v>9641</v>
      </c>
      <c r="D54" s="67" t="s">
        <v>9639</v>
      </c>
    </row>
    <row r="55" spans="1:4">
      <c r="A55" s="67" t="s">
        <v>8595</v>
      </c>
      <c r="D55" s="67" t="s">
        <v>9642</v>
      </c>
    </row>
    <row r="56" spans="1:4">
      <c r="A56" s="67" t="s">
        <v>9643</v>
      </c>
      <c r="D56" s="67" t="s">
        <v>9644</v>
      </c>
    </row>
    <row r="57" spans="1:4">
      <c r="A57" s="67" t="s">
        <v>9645</v>
      </c>
      <c r="D57" s="67" t="s">
        <v>9646</v>
      </c>
    </row>
    <row r="58" spans="1:4">
      <c r="A58" s="67" t="s">
        <v>9647</v>
      </c>
      <c r="C58" s="67" t="s">
        <v>9648</v>
      </c>
      <c r="D58" s="67" t="s">
        <v>9649</v>
      </c>
    </row>
    <row r="59" spans="1:4">
      <c r="A59" s="67" t="s">
        <v>5571</v>
      </c>
      <c r="D59" s="67" t="s">
        <v>9650</v>
      </c>
    </row>
    <row r="60" spans="1:4">
      <c r="A60" s="67" t="s">
        <v>117</v>
      </c>
      <c r="D60" s="67" t="s">
        <v>9651</v>
      </c>
    </row>
    <row r="61" spans="1:4">
      <c r="A61" s="67" t="s">
        <v>5573</v>
      </c>
      <c r="D61" s="67" t="s">
        <v>9652</v>
      </c>
    </row>
    <row r="62" spans="1:4">
      <c r="A62" s="67" t="s">
        <v>123</v>
      </c>
      <c r="D62" s="67" t="s">
        <v>9653</v>
      </c>
    </row>
    <row r="63" spans="1:4">
      <c r="A63" s="67" t="s">
        <v>9654</v>
      </c>
      <c r="D63" s="67" t="s">
        <v>9655</v>
      </c>
    </row>
    <row r="64" spans="1:4">
      <c r="A64" s="67" t="s">
        <v>9656</v>
      </c>
    </row>
    <row r="66" spans="1:4">
      <c r="A66" s="79" t="s">
        <v>333</v>
      </c>
      <c r="B66" s="79" t="s">
        <v>147</v>
      </c>
      <c r="C66" s="79" t="s">
        <v>148</v>
      </c>
      <c r="D66" s="79" t="s">
        <v>182</v>
      </c>
    </row>
    <row r="67" spans="1:4">
      <c r="A67" s="67" t="s">
        <v>9657</v>
      </c>
      <c r="D67" s="67" t="s">
        <v>9658</v>
      </c>
    </row>
    <row r="68" spans="1:4">
      <c r="A68" s="67" t="s">
        <v>9659</v>
      </c>
      <c r="D68" s="67" t="s">
        <v>9660</v>
      </c>
    </row>
    <row r="69" spans="1:4">
      <c r="A69" s="67" t="s">
        <v>9661</v>
      </c>
      <c r="B69" s="58" t="s">
        <v>9662</v>
      </c>
      <c r="C69" s="67" t="s">
        <v>9663</v>
      </c>
      <c r="D69" s="67" t="s">
        <v>9664</v>
      </c>
    </row>
    <row r="70" spans="1:4">
      <c r="A70" s="67" t="s">
        <v>9665</v>
      </c>
      <c r="D70" s="67" t="s">
        <v>9666</v>
      </c>
    </row>
    <row r="71" spans="1:4">
      <c r="A71" s="67" t="s">
        <v>9667</v>
      </c>
      <c r="B71" s="58" t="s">
        <v>9668</v>
      </c>
      <c r="C71" s="67" t="s">
        <v>9669</v>
      </c>
      <c r="D71" s="67" t="s">
        <v>9670</v>
      </c>
    </row>
    <row r="72" spans="1:4">
      <c r="A72" s="67" t="s">
        <v>9671</v>
      </c>
      <c r="C72" s="67" t="s">
        <v>9672</v>
      </c>
      <c r="D72" s="67" t="s">
        <v>9673</v>
      </c>
    </row>
    <row r="73" spans="1:4">
      <c r="A73" s="67" t="s">
        <v>9674</v>
      </c>
      <c r="B73" s="58" t="s">
        <v>7990</v>
      </c>
      <c r="C73" s="67" t="s">
        <v>7991</v>
      </c>
      <c r="D73" s="67" t="s">
        <v>7992</v>
      </c>
    </row>
    <row r="74" spans="1:4">
      <c r="A74" s="67" t="s">
        <v>9675</v>
      </c>
      <c r="D74" s="67" t="s">
        <v>9676</v>
      </c>
    </row>
    <row r="75" spans="1:4">
      <c r="A75" s="67" t="s">
        <v>9677</v>
      </c>
      <c r="D75" s="67" t="s">
        <v>9678</v>
      </c>
    </row>
    <row r="76" spans="1:4">
      <c r="A76" s="67" t="s">
        <v>9679</v>
      </c>
      <c r="D76" s="67" t="s">
        <v>9680</v>
      </c>
    </row>
    <row r="77" spans="1:4">
      <c r="A77" s="67" t="s">
        <v>9681</v>
      </c>
      <c r="D77" s="67" t="s">
        <v>9682</v>
      </c>
    </row>
    <row r="78" spans="1:4">
      <c r="A78" s="67" t="s">
        <v>9683</v>
      </c>
      <c r="D78" s="67" t="s">
        <v>9684</v>
      </c>
    </row>
    <row r="79" spans="1:4">
      <c r="A79" s="67" t="s">
        <v>9685</v>
      </c>
      <c r="C79" s="67" t="s">
        <v>9686</v>
      </c>
      <c r="D79" s="67" t="s">
        <v>9687</v>
      </c>
    </row>
    <row r="80" spans="1:4">
      <c r="A80" s="67" t="s">
        <v>9688</v>
      </c>
      <c r="B80" s="58" t="s">
        <v>9689</v>
      </c>
      <c r="C80" s="67" t="s">
        <v>9690</v>
      </c>
      <c r="D80" s="67" t="s">
        <v>9691</v>
      </c>
    </row>
    <row r="81" spans="1:4">
      <c r="A81" s="67" t="s">
        <v>9692</v>
      </c>
      <c r="D81" s="67" t="s">
        <v>9693</v>
      </c>
    </row>
    <row r="82" spans="1:4">
      <c r="A82" s="67" t="s">
        <v>9694</v>
      </c>
      <c r="D82" s="67" t="s">
        <v>9695</v>
      </c>
    </row>
    <row r="83" spans="1:4">
      <c r="A83" s="67" t="s">
        <v>9696</v>
      </c>
      <c r="D83" s="67" t="s">
        <v>9697</v>
      </c>
    </row>
    <row r="84" spans="1:4">
      <c r="A84" s="67" t="s">
        <v>9698</v>
      </c>
      <c r="D84" s="67" t="s">
        <v>9699</v>
      </c>
    </row>
    <row r="85" spans="1:4">
      <c r="A85" s="67" t="s">
        <v>9700</v>
      </c>
      <c r="D85" s="67" t="s">
        <v>9701</v>
      </c>
    </row>
    <row r="86" spans="1:4">
      <c r="A86" s="67" t="s">
        <v>9702</v>
      </c>
      <c r="D86" s="67" t="s">
        <v>9703</v>
      </c>
    </row>
    <row r="87" spans="1:4">
      <c r="A87" s="67" t="s">
        <v>9704</v>
      </c>
      <c r="B87" s="58" t="s">
        <v>9705</v>
      </c>
      <c r="C87" s="67" t="s">
        <v>9706</v>
      </c>
      <c r="D87" s="67" t="s">
        <v>9707</v>
      </c>
    </row>
    <row r="88" spans="1:4">
      <c r="A88" s="67" t="s">
        <v>9708</v>
      </c>
      <c r="D88" s="67" t="s">
        <v>9709</v>
      </c>
    </row>
    <row r="90" spans="1:4">
      <c r="A90" s="79" t="s">
        <v>878</v>
      </c>
      <c r="B90" s="79" t="s">
        <v>147</v>
      </c>
      <c r="C90" s="79" t="s">
        <v>148</v>
      </c>
      <c r="D90" s="79" t="s">
        <v>182</v>
      </c>
    </row>
    <row r="91" spans="1:4">
      <c r="A91" s="67" t="s">
        <v>9710</v>
      </c>
      <c r="C91" s="67" t="s">
        <v>9711</v>
      </c>
      <c r="D91" s="59" t="s">
        <v>9712</v>
      </c>
    </row>
    <row r="92" spans="1:4">
      <c r="A92" s="67" t="s">
        <v>9713</v>
      </c>
      <c r="C92" s="67" t="s">
        <v>9714</v>
      </c>
      <c r="D92" s="59" t="s">
        <v>9715</v>
      </c>
    </row>
    <row r="93" spans="1:4">
      <c r="A93" s="67" t="s">
        <v>9716</v>
      </c>
      <c r="D93" s="59" t="s">
        <v>9717</v>
      </c>
    </row>
    <row r="94" spans="1:4">
      <c r="A94" s="67" t="s">
        <v>9718</v>
      </c>
      <c r="B94" s="58" t="s">
        <v>9719</v>
      </c>
      <c r="C94" s="67" t="s">
        <v>9720</v>
      </c>
      <c r="D94" s="70" t="s">
        <v>9721</v>
      </c>
    </row>
    <row r="95" spans="1:4">
      <c r="A95" s="67" t="s">
        <v>9722</v>
      </c>
      <c r="B95" s="58" t="s">
        <v>9723</v>
      </c>
      <c r="C95" s="67" t="s">
        <v>9724</v>
      </c>
      <c r="D95" s="59" t="s">
        <v>9725</v>
      </c>
    </row>
    <row r="96" spans="1:4">
      <c r="A96" s="67" t="s">
        <v>9726</v>
      </c>
      <c r="B96" s="58" t="s">
        <v>9727</v>
      </c>
      <c r="C96" s="67" t="s">
        <v>9728</v>
      </c>
      <c r="D96" s="59" t="s">
        <v>9729</v>
      </c>
    </row>
    <row r="97" spans="1:4">
      <c r="A97" s="67" t="s">
        <v>9730</v>
      </c>
      <c r="B97" s="58" t="s">
        <v>9067</v>
      </c>
      <c r="D97" s="59" t="s">
        <v>9731</v>
      </c>
    </row>
    <row r="98" spans="1:4">
      <c r="A98" s="67" t="s">
        <v>9732</v>
      </c>
      <c r="B98" s="58" t="s">
        <v>9067</v>
      </c>
      <c r="D98" s="59" t="s">
        <v>9733</v>
      </c>
    </row>
    <row r="99" spans="1:4">
      <c r="A99" s="67" t="s">
        <v>9734</v>
      </c>
      <c r="B99" s="58" t="s">
        <v>9067</v>
      </c>
      <c r="D99" s="59" t="s">
        <v>9735</v>
      </c>
    </row>
    <row r="100" spans="1:4">
      <c r="A100" s="67" t="s">
        <v>9736</v>
      </c>
      <c r="B100" s="58" t="s">
        <v>9737</v>
      </c>
      <c r="C100" s="67" t="s">
        <v>9738</v>
      </c>
      <c r="D100" s="59" t="s">
        <v>9739</v>
      </c>
    </row>
    <row r="101" spans="1:4">
      <c r="A101" s="67" t="s">
        <v>9740</v>
      </c>
      <c r="C101" s="67" t="s">
        <v>9741</v>
      </c>
      <c r="D101" s="59" t="s">
        <v>9742</v>
      </c>
    </row>
    <row r="102" spans="1:4">
      <c r="A102" s="67" t="s">
        <v>9743</v>
      </c>
      <c r="D102" s="59" t="s">
        <v>9744</v>
      </c>
    </row>
    <row r="103" spans="1:4">
      <c r="A103" s="67" t="s">
        <v>9745</v>
      </c>
      <c r="D103" s="59" t="s">
        <v>9746</v>
      </c>
    </row>
    <row r="104" spans="1:4">
      <c r="A104" s="67" t="s">
        <v>9747</v>
      </c>
      <c r="D104" s="59" t="s">
        <v>9748</v>
      </c>
    </row>
    <row r="105" spans="1:4">
      <c r="A105" s="67" t="s">
        <v>9749</v>
      </c>
      <c r="D105" s="59" t="s">
        <v>9750</v>
      </c>
    </row>
    <row r="106" spans="1:4">
      <c r="A106" s="67" t="s">
        <v>9751</v>
      </c>
      <c r="D106" s="59" t="s">
        <v>9752</v>
      </c>
    </row>
    <row r="107" spans="1:4">
      <c r="A107" s="67" t="s">
        <v>9753</v>
      </c>
      <c r="D107" s="59" t="s">
        <v>9754</v>
      </c>
    </row>
    <row r="108" spans="1:4">
      <c r="A108" s="67" t="s">
        <v>9755</v>
      </c>
      <c r="D108" s="59" t="s">
        <v>9756</v>
      </c>
    </row>
    <row r="109" spans="1:4">
      <c r="A109" s="67" t="s">
        <v>9757</v>
      </c>
      <c r="B109" s="58" t="s">
        <v>9758</v>
      </c>
      <c r="C109" s="67" t="s">
        <v>9759</v>
      </c>
      <c r="D109" s="67" t="s">
        <v>9760</v>
      </c>
    </row>
    <row r="110" spans="1:4">
      <c r="A110" s="67" t="s">
        <v>9761</v>
      </c>
      <c r="B110" s="58" t="s">
        <v>9762</v>
      </c>
      <c r="C110" s="67" t="s">
        <v>9763</v>
      </c>
      <c r="D110" s="67" t="s">
        <v>9764</v>
      </c>
    </row>
    <row r="111" spans="1:4">
      <c r="A111" s="67" t="s">
        <v>9765</v>
      </c>
      <c r="B111" s="58" t="s">
        <v>9766</v>
      </c>
      <c r="C111" s="67" t="s">
        <v>9767</v>
      </c>
      <c r="D111" s="67" t="s">
        <v>9768</v>
      </c>
    </row>
    <row r="112" spans="1:4">
      <c r="A112" s="67" t="s">
        <v>9769</v>
      </c>
      <c r="C112" s="67" t="s">
        <v>9770</v>
      </c>
      <c r="D112" s="67" t="s">
        <v>9771</v>
      </c>
    </row>
    <row r="114" spans="1:4">
      <c r="A114" s="79" t="s">
        <v>428</v>
      </c>
      <c r="B114" s="79" t="s">
        <v>147</v>
      </c>
      <c r="C114" s="79" t="s">
        <v>148</v>
      </c>
      <c r="D114" s="79" t="s">
        <v>182</v>
      </c>
    </row>
    <row r="115" spans="1:4">
      <c r="A115" s="67" t="s">
        <v>9772</v>
      </c>
      <c r="B115" s="58" t="s">
        <v>9773</v>
      </c>
      <c r="C115" s="67" t="s">
        <v>9774</v>
      </c>
      <c r="D115" s="67" t="s">
        <v>9775</v>
      </c>
    </row>
    <row r="116" spans="1:4">
      <c r="A116" s="67" t="s">
        <v>9776</v>
      </c>
      <c r="B116" s="58" t="s">
        <v>9777</v>
      </c>
      <c r="C116" s="67" t="s">
        <v>9778</v>
      </c>
      <c r="D116" s="67" t="s">
        <v>9779</v>
      </c>
    </row>
    <row r="117" spans="1:4">
      <c r="A117" s="67" t="s">
        <v>9780</v>
      </c>
      <c r="B117" s="70" t="s">
        <v>9781</v>
      </c>
      <c r="C117" s="67" t="s">
        <v>9782</v>
      </c>
      <c r="D117" s="67" t="s">
        <v>9783</v>
      </c>
    </row>
    <row r="118" spans="1:4" ht="23.25" customHeight="1">
      <c r="A118" s="67" t="s">
        <v>9784</v>
      </c>
      <c r="B118" s="92" t="s">
        <v>9785</v>
      </c>
      <c r="C118" s="67" t="s">
        <v>9786</v>
      </c>
      <c r="D118" s="67" t="s">
        <v>9787</v>
      </c>
    </row>
    <row r="119" spans="1:4" ht="23.25" customHeight="1">
      <c r="A119" s="67" t="s">
        <v>9788</v>
      </c>
      <c r="B119" s="92" t="s">
        <v>9789</v>
      </c>
      <c r="C119" s="67" t="s">
        <v>9790</v>
      </c>
      <c r="D119" s="67" t="s">
        <v>9791</v>
      </c>
    </row>
    <row r="120" spans="1:4" ht="23.25" customHeight="1">
      <c r="A120" s="67" t="s">
        <v>9792</v>
      </c>
      <c r="B120" s="92" t="s">
        <v>9793</v>
      </c>
      <c r="C120" s="67" t="s">
        <v>9794</v>
      </c>
      <c r="D120" s="67" t="s">
        <v>9795</v>
      </c>
    </row>
    <row r="121" spans="1:4">
      <c r="A121" s="67" t="s">
        <v>9796</v>
      </c>
      <c r="C121" s="67" t="s">
        <v>9797</v>
      </c>
      <c r="D121" s="67" t="s">
        <v>9798</v>
      </c>
    </row>
    <row r="122" spans="1:4" ht="23.25" customHeight="1">
      <c r="A122" s="67" t="s">
        <v>9799</v>
      </c>
      <c r="B122" s="92" t="s">
        <v>9800</v>
      </c>
      <c r="C122" s="67" t="s">
        <v>9801</v>
      </c>
      <c r="D122" s="67" t="s">
        <v>9802</v>
      </c>
    </row>
    <row r="123" spans="1:4">
      <c r="A123" s="67" t="s">
        <v>9803</v>
      </c>
      <c r="D123" s="67" t="s">
        <v>9804</v>
      </c>
    </row>
    <row r="124" spans="1:4">
      <c r="A124" s="67" t="s">
        <v>9805</v>
      </c>
      <c r="D124" s="67" t="s">
        <v>9806</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E19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9807</v>
      </c>
      <c r="B2" s="58" t="s">
        <v>9808</v>
      </c>
      <c r="D2" s="67" t="s">
        <v>9809</v>
      </c>
    </row>
    <row r="3" spans="1:4">
      <c r="A3" s="67" t="s">
        <v>9810</v>
      </c>
      <c r="B3" s="58" t="s">
        <v>9811</v>
      </c>
      <c r="C3" s="67" t="s">
        <v>9812</v>
      </c>
      <c r="D3" s="67" t="s">
        <v>9813</v>
      </c>
    </row>
    <row r="4" spans="1:4">
      <c r="A4" s="67" t="s">
        <v>9814</v>
      </c>
      <c r="B4" s="58" t="s">
        <v>9815</v>
      </c>
      <c r="C4" s="67" t="s">
        <v>9816</v>
      </c>
      <c r="D4" s="11" t="str">
        <f>HYPERLINK("http://www.dhs.gov/redirect?url=http%3A%2F%2Fwww.nccrimecontrol.org%2F","www.nccrimecontrol.org")</f>
        <v>www.nccrimecontrol.org</v>
      </c>
    </row>
    <row r="5" spans="1:4">
      <c r="A5" s="67" t="s">
        <v>9817</v>
      </c>
      <c r="D5" s="11" t="str">
        <f>HYPERLINK("http://wildlife.rescueshelter.com/NorthCarolina","http://wildlife.rescueshelter.com/NorthCarolina")</f>
        <v>http://wildlife.rescueshelter.com/NorthCarolina</v>
      </c>
    </row>
    <row r="7" spans="1:4">
      <c r="A7" s="79" t="s">
        <v>209</v>
      </c>
      <c r="B7" s="79" t="s">
        <v>147</v>
      </c>
      <c r="C7" s="79" t="s">
        <v>148</v>
      </c>
      <c r="D7" s="79" t="s">
        <v>182</v>
      </c>
    </row>
    <row r="8" spans="1:4">
      <c r="A8" s="67" t="s">
        <v>9818</v>
      </c>
      <c r="B8" t="s">
        <v>9819</v>
      </c>
      <c r="D8" t="s">
        <v>9820</v>
      </c>
    </row>
    <row r="9" spans="1:4">
      <c r="A9" s="67" t="s">
        <v>5379</v>
      </c>
      <c r="B9" t="s">
        <v>9821</v>
      </c>
      <c r="D9" t="s">
        <v>9822</v>
      </c>
    </row>
    <row r="10" spans="1:4">
      <c r="A10" s="67" t="s">
        <v>9823</v>
      </c>
      <c r="D10" t="s">
        <v>9824</v>
      </c>
    </row>
    <row r="11" spans="1:4">
      <c r="A11" s="67" t="s">
        <v>9825</v>
      </c>
      <c r="D11" t="s">
        <v>9826</v>
      </c>
    </row>
    <row r="12" spans="1:4">
      <c r="A12" s="67" t="s">
        <v>9827</v>
      </c>
      <c r="C12" t="s">
        <v>9828</v>
      </c>
      <c r="D12" t="s">
        <v>9829</v>
      </c>
    </row>
    <row r="13" spans="1:4">
      <c r="A13" s="67" t="s">
        <v>9830</v>
      </c>
      <c r="C13" t="s">
        <v>9831</v>
      </c>
      <c r="D13" t="s">
        <v>9832</v>
      </c>
    </row>
    <row r="14" spans="1:4">
      <c r="A14" s="67" t="s">
        <v>9833</v>
      </c>
      <c r="D14" t="s">
        <v>9834</v>
      </c>
    </row>
    <row r="15" spans="1:4">
      <c r="A15" s="67" t="s">
        <v>9835</v>
      </c>
      <c r="C15" t="s">
        <v>9836</v>
      </c>
      <c r="D15" t="s">
        <v>9837</v>
      </c>
    </row>
    <row r="16" spans="1:4">
      <c r="A16" s="67" t="s">
        <v>9838</v>
      </c>
      <c r="C16" t="s">
        <v>9839</v>
      </c>
      <c r="D16" s="8" t="s">
        <v>9840</v>
      </c>
    </row>
    <row r="17" spans="1:5">
      <c r="A17" s="67" t="s">
        <v>9841</v>
      </c>
      <c r="B17" t="s">
        <v>9842</v>
      </c>
      <c r="D17" t="s">
        <v>9843</v>
      </c>
    </row>
    <row r="18" spans="1:5">
      <c r="A18" s="67" t="s">
        <v>9844</v>
      </c>
      <c r="B18" t="s">
        <v>9845</v>
      </c>
      <c r="D18" t="s">
        <v>9846</v>
      </c>
    </row>
    <row r="19" spans="1:5">
      <c r="A19" s="67" t="s">
        <v>9847</v>
      </c>
      <c r="D19" t="s">
        <v>9848</v>
      </c>
    </row>
    <row r="20" spans="1:5">
      <c r="A20" s="67" t="s">
        <v>9849</v>
      </c>
      <c r="B20" t="s">
        <v>9850</v>
      </c>
      <c r="D20" s="8" t="s">
        <v>9851</v>
      </c>
    </row>
    <row r="21" spans="1:5">
      <c r="A21" s="67" t="s">
        <v>7248</v>
      </c>
      <c r="C21" t="s">
        <v>9852</v>
      </c>
      <c r="D21" s="8" t="s">
        <v>9853</v>
      </c>
    </row>
    <row r="22" spans="1:5">
      <c r="A22" s="67" t="s">
        <v>8505</v>
      </c>
      <c r="D22" t="s">
        <v>9854</v>
      </c>
    </row>
    <row r="23" spans="1:5">
      <c r="A23" s="67" t="s">
        <v>9855</v>
      </c>
      <c r="D23" t="s">
        <v>9856</v>
      </c>
    </row>
    <row r="24" spans="1:5">
      <c r="A24" s="67" t="s">
        <v>9857</v>
      </c>
      <c r="B24" t="s">
        <v>9858</v>
      </c>
      <c r="D24" t="s">
        <v>9859</v>
      </c>
    </row>
    <row r="25" spans="1:5">
      <c r="A25" s="67" t="s">
        <v>9860</v>
      </c>
      <c r="B25" t="s">
        <v>9861</v>
      </c>
      <c r="C25" t="s">
        <v>9862</v>
      </c>
      <c r="D25" t="s">
        <v>9863</v>
      </c>
    </row>
    <row r="26" spans="1:5">
      <c r="A26" s="67" t="s">
        <v>9864</v>
      </c>
      <c r="D26" s="8" t="s">
        <v>9865</v>
      </c>
    </row>
    <row r="27" spans="1:5">
      <c r="A27" s="67" t="s">
        <v>6138</v>
      </c>
      <c r="D27" s="8" t="s">
        <v>9866</v>
      </c>
    </row>
    <row r="28" spans="1:5">
      <c r="A28" s="67" t="s">
        <v>9867</v>
      </c>
      <c r="C28" t="s">
        <v>9868</v>
      </c>
      <c r="D28" s="8" t="s">
        <v>9869</v>
      </c>
    </row>
    <row r="29" spans="1:5">
      <c r="A29" s="67" t="s">
        <v>5403</v>
      </c>
      <c r="D29" t="s">
        <v>9865</v>
      </c>
    </row>
    <row r="30" spans="1:5">
      <c r="A30" s="67" t="s">
        <v>9870</v>
      </c>
      <c r="B30" t="s">
        <v>9871</v>
      </c>
      <c r="C30" t="s">
        <v>9872</v>
      </c>
      <c r="D30" t="s">
        <v>9873</v>
      </c>
    </row>
    <row r="31" spans="1:5">
      <c r="A31" s="67" t="s">
        <v>9864</v>
      </c>
      <c r="D31" s="8" t="s">
        <v>9874</v>
      </c>
      <c r="E31" t="s">
        <v>9875</v>
      </c>
    </row>
    <row r="32" spans="1:5">
      <c r="A32" s="67" t="s">
        <v>9876</v>
      </c>
      <c r="D32" t="s">
        <v>9877</v>
      </c>
    </row>
    <row r="33" spans="1:5">
      <c r="A33" s="67" t="s">
        <v>5415</v>
      </c>
      <c r="B33" t="s">
        <v>9878</v>
      </c>
      <c r="C33" t="s">
        <v>9879</v>
      </c>
      <c r="D33" t="s">
        <v>9880</v>
      </c>
    </row>
    <row r="34" spans="1:5">
      <c r="A34" s="67" t="s">
        <v>9881</v>
      </c>
      <c r="D34" t="s">
        <v>9882</v>
      </c>
    </row>
    <row r="35" spans="1:5">
      <c r="A35" s="67" t="s">
        <v>9883</v>
      </c>
      <c r="B35" t="s">
        <v>9884</v>
      </c>
      <c r="C35" t="s">
        <v>9885</v>
      </c>
      <c r="D35" t="s">
        <v>9886</v>
      </c>
    </row>
    <row r="36" spans="1:5">
      <c r="A36" s="67" t="s">
        <v>9887</v>
      </c>
      <c r="C36" t="s">
        <v>9888</v>
      </c>
      <c r="D36" t="s">
        <v>9889</v>
      </c>
    </row>
    <row r="37" spans="1:5">
      <c r="A37" s="67" t="s">
        <v>9890</v>
      </c>
      <c r="D37" t="s">
        <v>9891</v>
      </c>
    </row>
    <row r="38" spans="1:5">
      <c r="A38" s="67" t="s">
        <v>9892</v>
      </c>
      <c r="D38" t="s">
        <v>9893</v>
      </c>
    </row>
    <row r="39" spans="1:5">
      <c r="A39" s="67" t="s">
        <v>9894</v>
      </c>
      <c r="B39" t="s">
        <v>9895</v>
      </c>
      <c r="C39" t="s">
        <v>9896</v>
      </c>
      <c r="D39" t="s">
        <v>9897</v>
      </c>
    </row>
    <row r="40" spans="1:5">
      <c r="A40" s="67" t="s">
        <v>9898</v>
      </c>
      <c r="B40" t="s">
        <v>9899</v>
      </c>
      <c r="C40" t="s">
        <v>9900</v>
      </c>
      <c r="D40" t="s">
        <v>9901</v>
      </c>
    </row>
    <row r="41" spans="1:5">
      <c r="A41" s="67" t="s">
        <v>9902</v>
      </c>
      <c r="D41" t="s">
        <v>9903</v>
      </c>
      <c r="E41" t="s">
        <v>9904</v>
      </c>
    </row>
    <row r="42" spans="1:5">
      <c r="A42" s="67" t="s">
        <v>5441</v>
      </c>
    </row>
    <row r="43" spans="1:5">
      <c r="A43" s="67" t="s">
        <v>9905</v>
      </c>
    </row>
    <row r="44" spans="1:5">
      <c r="A44" s="67" t="s">
        <v>9906</v>
      </c>
    </row>
    <row r="45" spans="1:5">
      <c r="A45" s="67" t="s">
        <v>6557</v>
      </c>
    </row>
    <row r="46" spans="1:5">
      <c r="A46" s="67" t="s">
        <v>9907</v>
      </c>
    </row>
    <row r="47" spans="1:5">
      <c r="A47" s="67" t="s">
        <v>5449</v>
      </c>
    </row>
    <row r="48" spans="1:5">
      <c r="A48" s="67" t="s">
        <v>9908</v>
      </c>
    </row>
    <row r="49" spans="1:1">
      <c r="A49" s="67" t="s">
        <v>9909</v>
      </c>
    </row>
    <row r="50" spans="1:1">
      <c r="A50" s="67" t="s">
        <v>9910</v>
      </c>
    </row>
    <row r="51" spans="1:1">
      <c r="A51" s="67" t="s">
        <v>9911</v>
      </c>
    </row>
    <row r="52" spans="1:1">
      <c r="A52" s="67" t="s">
        <v>5459</v>
      </c>
    </row>
    <row r="53" spans="1:1">
      <c r="A53" s="67" t="s">
        <v>9912</v>
      </c>
    </row>
    <row r="54" spans="1:1">
      <c r="A54" s="67" t="s">
        <v>9913</v>
      </c>
    </row>
    <row r="55" spans="1:1">
      <c r="A55" s="67" t="s">
        <v>9914</v>
      </c>
    </row>
    <row r="56" spans="1:1">
      <c r="A56" s="67" t="s">
        <v>9915</v>
      </c>
    </row>
    <row r="57" spans="1:1">
      <c r="A57" s="67" t="s">
        <v>5466</v>
      </c>
    </row>
    <row r="58" spans="1:1">
      <c r="A58" s="67" t="s">
        <v>9916</v>
      </c>
    </row>
    <row r="59" spans="1:1">
      <c r="A59" s="67" t="s">
        <v>6225</v>
      </c>
    </row>
    <row r="60" spans="1:1">
      <c r="A60" s="67" t="s">
        <v>5496</v>
      </c>
    </row>
    <row r="61" spans="1:1">
      <c r="A61" s="67" t="s">
        <v>9917</v>
      </c>
    </row>
    <row r="62" spans="1:1">
      <c r="A62" s="67" t="s">
        <v>5206</v>
      </c>
    </row>
    <row r="63" spans="1:1">
      <c r="A63" s="67" t="s">
        <v>5502</v>
      </c>
    </row>
    <row r="64" spans="1:1">
      <c r="A64" s="67" t="s">
        <v>5209</v>
      </c>
    </row>
    <row r="65" spans="1:1">
      <c r="A65" s="67" t="s">
        <v>5869</v>
      </c>
    </row>
    <row r="66" spans="1:1">
      <c r="A66" s="67" t="s">
        <v>9918</v>
      </c>
    </row>
    <row r="67" spans="1:1">
      <c r="A67" s="67" t="s">
        <v>9919</v>
      </c>
    </row>
    <row r="68" spans="1:1">
      <c r="A68" s="67" t="s">
        <v>6259</v>
      </c>
    </row>
    <row r="69" spans="1:1">
      <c r="A69" s="67" t="s">
        <v>5526</v>
      </c>
    </row>
    <row r="70" spans="1:1">
      <c r="A70" s="67" t="s">
        <v>9920</v>
      </c>
    </row>
    <row r="71" spans="1:1">
      <c r="A71" s="67" t="s">
        <v>9921</v>
      </c>
    </row>
    <row r="72" spans="1:1">
      <c r="A72" s="67" t="s">
        <v>9922</v>
      </c>
    </row>
    <row r="73" spans="1:1">
      <c r="A73" s="67" t="s">
        <v>9923</v>
      </c>
    </row>
    <row r="74" spans="1:1">
      <c r="A74" s="67" t="s">
        <v>9924</v>
      </c>
    </row>
    <row r="75" spans="1:1">
      <c r="A75" s="67" t="s">
        <v>5885</v>
      </c>
    </row>
    <row r="76" spans="1:1">
      <c r="A76" s="67" t="s">
        <v>9925</v>
      </c>
    </row>
    <row r="77" spans="1:1">
      <c r="A77" s="67" t="s">
        <v>9926</v>
      </c>
    </row>
    <row r="78" spans="1:1">
      <c r="A78" s="67" t="s">
        <v>9927</v>
      </c>
    </row>
    <row r="79" spans="1:1">
      <c r="A79" s="67" t="s">
        <v>9928</v>
      </c>
    </row>
    <row r="80" spans="1:1">
      <c r="A80" s="67" t="s">
        <v>9929</v>
      </c>
    </row>
    <row r="81" spans="1:1">
      <c r="A81" s="67" t="s">
        <v>9930</v>
      </c>
    </row>
    <row r="82" spans="1:1">
      <c r="A82" s="67" t="s">
        <v>6290</v>
      </c>
    </row>
    <row r="83" spans="1:1">
      <c r="A83" s="67" t="s">
        <v>5543</v>
      </c>
    </row>
    <row r="84" spans="1:1">
      <c r="A84" s="67" t="s">
        <v>9931</v>
      </c>
    </row>
    <row r="85" spans="1:1">
      <c r="A85" s="67" t="s">
        <v>9932</v>
      </c>
    </row>
    <row r="86" spans="1:1">
      <c r="A86" s="67" t="s">
        <v>8870</v>
      </c>
    </row>
    <row r="87" spans="1:1">
      <c r="A87" s="67" t="s">
        <v>9933</v>
      </c>
    </row>
    <row r="88" spans="1:1">
      <c r="A88" s="67" t="s">
        <v>9934</v>
      </c>
    </row>
    <row r="89" spans="1:1">
      <c r="A89" s="67" t="s">
        <v>9935</v>
      </c>
    </row>
    <row r="90" spans="1:1">
      <c r="A90" s="67" t="s">
        <v>8590</v>
      </c>
    </row>
    <row r="91" spans="1:1">
      <c r="A91" s="67" t="s">
        <v>9936</v>
      </c>
    </row>
    <row r="92" spans="1:1">
      <c r="A92" s="67" t="s">
        <v>9937</v>
      </c>
    </row>
    <row r="93" spans="1:1">
      <c r="A93" s="67" t="s">
        <v>9938</v>
      </c>
    </row>
    <row r="94" spans="1:1">
      <c r="A94" s="67" t="s">
        <v>9939</v>
      </c>
    </row>
    <row r="95" spans="1:1">
      <c r="A95" s="67" t="s">
        <v>9940</v>
      </c>
    </row>
    <row r="96" spans="1:1">
      <c r="A96" s="67" t="s">
        <v>9941</v>
      </c>
    </row>
    <row r="97" spans="1:4">
      <c r="A97" s="67" t="s">
        <v>5564</v>
      </c>
    </row>
    <row r="98" spans="1:4">
      <c r="A98" s="67" t="s">
        <v>9942</v>
      </c>
    </row>
    <row r="99" spans="1:4">
      <c r="A99" s="67" t="s">
        <v>9943</v>
      </c>
    </row>
    <row r="100" spans="1:4">
      <c r="A100" s="67" t="s">
        <v>5571</v>
      </c>
    </row>
    <row r="101" spans="1:4">
      <c r="A101" s="67" t="s">
        <v>117</v>
      </c>
    </row>
    <row r="102" spans="1:4">
      <c r="A102" s="67" t="s">
        <v>9944</v>
      </c>
    </row>
    <row r="103" spans="1:4">
      <c r="A103" s="67" t="s">
        <v>5573</v>
      </c>
    </row>
    <row r="104" spans="1:4">
      <c r="A104" s="67" t="s">
        <v>9945</v>
      </c>
      <c r="D104" t="s">
        <v>9946</v>
      </c>
    </row>
    <row r="105" spans="1:4">
      <c r="A105" s="67" t="s">
        <v>6711</v>
      </c>
      <c r="C105" t="s">
        <v>9947</v>
      </c>
      <c r="D105" t="s">
        <v>9948</v>
      </c>
    </row>
    <row r="106" spans="1:4">
      <c r="A106" s="67" t="s">
        <v>9949</v>
      </c>
      <c r="D106" t="s">
        <v>9950</v>
      </c>
    </row>
    <row r="107" spans="1:4">
      <c r="A107" s="67" t="s">
        <v>9951</v>
      </c>
      <c r="D107" t="s">
        <v>9952</v>
      </c>
    </row>
    <row r="109" spans="1:4">
      <c r="A109" s="79" t="s">
        <v>333</v>
      </c>
    </row>
    <row r="110" spans="1:4">
      <c r="A110" s="67" t="s">
        <v>9953</v>
      </c>
    </row>
    <row r="111" spans="1:4">
      <c r="A111" s="67" t="s">
        <v>9954</v>
      </c>
    </row>
    <row r="112" spans="1:4">
      <c r="A112" s="67" t="s">
        <v>9955</v>
      </c>
    </row>
    <row r="113" spans="1:1">
      <c r="A113" s="67" t="s">
        <v>9956</v>
      </c>
    </row>
    <row r="114" spans="1:1">
      <c r="A114" s="67" t="s">
        <v>9957</v>
      </c>
    </row>
    <row r="115" spans="1:1">
      <c r="A115" s="67" t="s">
        <v>9958</v>
      </c>
    </row>
    <row r="116" spans="1:1">
      <c r="A116" s="67" t="s">
        <v>9959</v>
      </c>
    </row>
    <row r="117" spans="1:1">
      <c r="A117" s="67" t="s">
        <v>9960</v>
      </c>
    </row>
    <row r="118" spans="1:1">
      <c r="A118" s="67" t="s">
        <v>9961</v>
      </c>
    </row>
    <row r="119" spans="1:1">
      <c r="A119" s="67" t="s">
        <v>9962</v>
      </c>
    </row>
    <row r="120" spans="1:1">
      <c r="A120" s="67" t="s">
        <v>9963</v>
      </c>
    </row>
    <row r="121" spans="1:1">
      <c r="A121" s="67" t="s">
        <v>9964</v>
      </c>
    </row>
    <row r="123" spans="1:1">
      <c r="A123" s="79" t="s">
        <v>878</v>
      </c>
    </row>
    <row r="124" spans="1:1">
      <c r="A124" s="67" t="s">
        <v>9965</v>
      </c>
    </row>
    <row r="125" spans="1:1">
      <c r="A125" s="67" t="s">
        <v>9966</v>
      </c>
    </row>
    <row r="126" spans="1:1">
      <c r="A126" s="67" t="s">
        <v>9967</v>
      </c>
    </row>
    <row r="127" spans="1:1">
      <c r="A127" s="67" t="s">
        <v>9968</v>
      </c>
    </row>
    <row r="128" spans="1:1">
      <c r="A128" s="67" t="s">
        <v>9969</v>
      </c>
    </row>
    <row r="129" spans="1:1">
      <c r="A129" s="67" t="s">
        <v>9970</v>
      </c>
    </row>
    <row r="130" spans="1:1">
      <c r="A130" s="67" t="s">
        <v>9971</v>
      </c>
    </row>
    <row r="131" spans="1:1">
      <c r="A131" s="67" t="s">
        <v>9972</v>
      </c>
    </row>
    <row r="132" spans="1:1">
      <c r="A132" s="67" t="s">
        <v>9973</v>
      </c>
    </row>
    <row r="133" spans="1:1">
      <c r="A133" s="67" t="s">
        <v>9974</v>
      </c>
    </row>
    <row r="134" spans="1:1">
      <c r="A134" s="67" t="s">
        <v>9975</v>
      </c>
    </row>
    <row r="135" spans="1:1">
      <c r="A135" s="67" t="s">
        <v>9976</v>
      </c>
    </row>
    <row r="136" spans="1:1">
      <c r="A136" s="67" t="s">
        <v>9977</v>
      </c>
    </row>
    <row r="137" spans="1:1">
      <c r="A137" s="67" t="s">
        <v>9978</v>
      </c>
    </row>
    <row r="138" spans="1:1">
      <c r="A138" s="67" t="s">
        <v>9979</v>
      </c>
    </row>
    <row r="139" spans="1:1">
      <c r="A139" s="67" t="s">
        <v>9980</v>
      </c>
    </row>
    <row r="140" spans="1:1">
      <c r="A140" s="67" t="s">
        <v>9981</v>
      </c>
    </row>
    <row r="141" spans="1:1">
      <c r="A141" s="67" t="s">
        <v>9982</v>
      </c>
    </row>
    <row r="142" spans="1:1">
      <c r="A142" s="67" t="s">
        <v>9983</v>
      </c>
    </row>
    <row r="143" spans="1:1">
      <c r="A143" s="67" t="s">
        <v>9984</v>
      </c>
    </row>
    <row r="144" spans="1:1">
      <c r="A144" s="67" t="s">
        <v>9985</v>
      </c>
    </row>
    <row r="145" spans="1:1">
      <c r="A145" s="67" t="s">
        <v>9986</v>
      </c>
    </row>
    <row r="146" spans="1:1">
      <c r="A146" s="67" t="s">
        <v>9987</v>
      </c>
    </row>
    <row r="147" spans="1:1">
      <c r="A147" s="67" t="s">
        <v>9988</v>
      </c>
    </row>
    <row r="148" spans="1:1">
      <c r="A148" s="67" t="s">
        <v>9989</v>
      </c>
    </row>
    <row r="149" spans="1:1">
      <c r="A149" s="67" t="s">
        <v>9990</v>
      </c>
    </row>
    <row r="150" spans="1:1">
      <c r="A150" s="67" t="s">
        <v>9991</v>
      </c>
    </row>
    <row r="151" spans="1:1">
      <c r="A151" s="67" t="s">
        <v>9992</v>
      </c>
    </row>
    <row r="152" spans="1:1">
      <c r="A152" s="67" t="s">
        <v>9993</v>
      </c>
    </row>
    <row r="153" spans="1:1">
      <c r="A153" s="67" t="s">
        <v>9994</v>
      </c>
    </row>
    <row r="154" spans="1:1">
      <c r="A154" s="67" t="s">
        <v>9995</v>
      </c>
    </row>
    <row r="155" spans="1:1">
      <c r="A155" s="67" t="s">
        <v>9996</v>
      </c>
    </row>
    <row r="156" spans="1:1">
      <c r="A156" s="67" t="s">
        <v>9997</v>
      </c>
    </row>
    <row r="157" spans="1:1">
      <c r="A157" s="67" t="s">
        <v>9998</v>
      </c>
    </row>
    <row r="158" spans="1:1">
      <c r="A158" s="67" t="s">
        <v>9999</v>
      </c>
    </row>
    <row r="159" spans="1:1">
      <c r="A159" s="67" t="s">
        <v>10000</v>
      </c>
    </row>
    <row r="160" spans="1:1">
      <c r="A160" s="67" t="s">
        <v>10001</v>
      </c>
    </row>
    <row r="161" spans="1:1">
      <c r="A161" s="67" t="s">
        <v>10002</v>
      </c>
    </row>
    <row r="162" spans="1:1">
      <c r="A162" s="67" t="s">
        <v>10003</v>
      </c>
    </row>
    <row r="163" spans="1:1">
      <c r="A163" s="67" t="s">
        <v>10004</v>
      </c>
    </row>
    <row r="164" spans="1:1">
      <c r="A164" s="67" t="s">
        <v>10005</v>
      </c>
    </row>
    <row r="165" spans="1:1">
      <c r="A165" s="67" t="s">
        <v>10006</v>
      </c>
    </row>
    <row r="166" spans="1:1">
      <c r="A166" s="67" t="s">
        <v>10007</v>
      </c>
    </row>
    <row r="167" spans="1:1">
      <c r="A167" s="67" t="s">
        <v>10008</v>
      </c>
    </row>
    <row r="168" spans="1:1">
      <c r="A168" s="67" t="s">
        <v>10009</v>
      </c>
    </row>
    <row r="169" spans="1:1">
      <c r="A169" s="67" t="s">
        <v>10010</v>
      </c>
    </row>
    <row r="170" spans="1:1">
      <c r="A170" s="67" t="s">
        <v>10011</v>
      </c>
    </row>
    <row r="171" spans="1:1">
      <c r="A171" s="67" t="s">
        <v>10012</v>
      </c>
    </row>
    <row r="172" spans="1:1">
      <c r="A172" s="67" t="s">
        <v>10013</v>
      </c>
    </row>
    <row r="173" spans="1:1">
      <c r="A173" s="67" t="s">
        <v>10014</v>
      </c>
    </row>
    <row r="174" spans="1:1">
      <c r="A174" s="67" t="s">
        <v>10015</v>
      </c>
    </row>
    <row r="175" spans="1:1">
      <c r="A175" s="67" t="s">
        <v>10016</v>
      </c>
    </row>
    <row r="176" spans="1:1">
      <c r="A176" s="67" t="s">
        <v>10017</v>
      </c>
    </row>
    <row r="177" spans="1:1">
      <c r="A177" s="67" t="s">
        <v>10018</v>
      </c>
    </row>
    <row r="178" spans="1:1">
      <c r="A178" s="67" t="s">
        <v>10019</v>
      </c>
    </row>
    <row r="179" spans="1:1">
      <c r="A179" s="67" t="s">
        <v>10020</v>
      </c>
    </row>
    <row r="180" spans="1:1">
      <c r="A180" s="67" t="s">
        <v>10021</v>
      </c>
    </row>
    <row r="181" spans="1:1">
      <c r="A181" s="67" t="s">
        <v>10022</v>
      </c>
    </row>
    <row r="182" spans="1:1">
      <c r="A182" s="67" t="s">
        <v>10023</v>
      </c>
    </row>
    <row r="183" spans="1:1">
      <c r="A183" s="67" t="s">
        <v>10024</v>
      </c>
    </row>
    <row r="184" spans="1:1">
      <c r="A184" s="67" t="s">
        <v>10025</v>
      </c>
    </row>
    <row r="185" spans="1:1">
      <c r="A185" s="67" t="s">
        <v>10026</v>
      </c>
    </row>
    <row r="186" spans="1:1">
      <c r="A186" s="67" t="s">
        <v>10027</v>
      </c>
    </row>
    <row r="187" spans="1:1">
      <c r="A187" s="67" t="s">
        <v>10028</v>
      </c>
    </row>
    <row r="188" spans="1:1">
      <c r="A188" s="67" t="s">
        <v>10029</v>
      </c>
    </row>
    <row r="189" spans="1:1">
      <c r="A189" s="67" t="s">
        <v>10030</v>
      </c>
    </row>
    <row r="190" spans="1:1">
      <c r="A190" s="67" t="s">
        <v>10031</v>
      </c>
    </row>
    <row r="191" spans="1:1">
      <c r="A191" s="67" t="s">
        <v>10032</v>
      </c>
    </row>
    <row r="192" spans="1:1">
      <c r="A192" s="67" t="s">
        <v>10033</v>
      </c>
    </row>
    <row r="193" spans="1:1">
      <c r="A193" s="67" t="s">
        <v>10034</v>
      </c>
    </row>
    <row r="194" spans="1:1">
      <c r="A194" s="67" t="s">
        <v>10035</v>
      </c>
    </row>
    <row r="195" spans="1:1">
      <c r="A195" s="67" t="s">
        <v>10036</v>
      </c>
    </row>
    <row r="196" spans="1:1">
      <c r="A196" s="67" t="s">
        <v>10037</v>
      </c>
    </row>
    <row r="198" spans="1:1">
      <c r="A198"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D145"/>
  <sheetViews>
    <sheetView workbookViewId="0"/>
  </sheetViews>
  <sheetFormatPr defaultColWidth="9.140625" defaultRowHeight="15" customHeight="1"/>
  <cols>
    <col min="1" max="1" width="26.7109375" customWidth="1"/>
    <col min="2" max="2" width="17.85546875" customWidth="1"/>
    <col min="3" max="3" width="26.42578125" customWidth="1"/>
    <col min="4" max="4" width="33.42578125" customWidth="1"/>
  </cols>
  <sheetData>
    <row r="1" spans="1:4">
      <c r="A1" s="79" t="s">
        <v>146</v>
      </c>
      <c r="B1" s="79" t="s">
        <v>147</v>
      </c>
      <c r="C1" s="79" t="s">
        <v>148</v>
      </c>
      <c r="D1" s="79" t="s">
        <v>182</v>
      </c>
    </row>
    <row r="2" spans="1:4">
      <c r="A2" s="67" t="s">
        <v>10038</v>
      </c>
      <c r="B2" s="11" t="str">
        <f>HYPERLINK("http://twitter.com/ndgov","@NDGov")</f>
        <v>@NDGov</v>
      </c>
      <c r="D2" s="67" t="s">
        <v>10039</v>
      </c>
    </row>
    <row r="3" spans="1:4">
      <c r="A3" s="67" t="s">
        <v>10040</v>
      </c>
      <c r="B3" s="67" t="s">
        <v>10041</v>
      </c>
      <c r="C3" s="67" t="s">
        <v>10042</v>
      </c>
      <c r="D3" s="67" t="s">
        <v>10043</v>
      </c>
    </row>
    <row r="4" spans="1:4">
      <c r="A4" s="67" t="s">
        <v>10044</v>
      </c>
      <c r="D4" s="11" t="str">
        <f>HYPERLINK("http://wildlife.rescueshelter.com/NorthDakota","http://wildlife.rescueshelter.com/NorthDakota")</f>
        <v>http://wildlife.rescueshelter.com/NorthDakota</v>
      </c>
    </row>
    <row r="5" spans="1:4" ht="15" customHeight="1">
      <c r="A5" t="s">
        <v>10045</v>
      </c>
      <c r="C5" t="s">
        <v>10046</v>
      </c>
      <c r="D5" t="s">
        <v>10047</v>
      </c>
    </row>
    <row r="6" spans="1:4" ht="15" customHeight="1">
      <c r="A6" t="s">
        <v>10048</v>
      </c>
      <c r="C6" t="s">
        <v>10049</v>
      </c>
      <c r="D6" t="s">
        <v>10050</v>
      </c>
    </row>
    <row r="7" spans="1:4" ht="15" customHeight="1">
      <c r="A7" t="s">
        <v>10051</v>
      </c>
      <c r="D7" t="s">
        <v>10052</v>
      </c>
    </row>
    <row r="8" spans="1:4" ht="15" customHeight="1">
      <c r="A8" t="s">
        <v>10053</v>
      </c>
      <c r="B8" t="s">
        <v>10054</v>
      </c>
      <c r="C8" t="s">
        <v>10055</v>
      </c>
      <c r="D8" t="s">
        <v>10056</v>
      </c>
    </row>
    <row r="9" spans="1:4" ht="15" customHeight="1">
      <c r="A9" t="s">
        <v>10057</v>
      </c>
      <c r="B9" t="s">
        <v>10058</v>
      </c>
      <c r="C9" t="s">
        <v>10059</v>
      </c>
      <c r="D9" t="s">
        <v>10060</v>
      </c>
    </row>
    <row r="10" spans="1:4" ht="15" customHeight="1">
      <c r="A10" t="s">
        <v>10061</v>
      </c>
      <c r="B10" t="s">
        <v>10062</v>
      </c>
      <c r="D10" t="s">
        <v>10063</v>
      </c>
    </row>
    <row r="11" spans="1:4" ht="15" customHeight="1">
      <c r="A11" t="s">
        <v>10064</v>
      </c>
      <c r="B11" t="s">
        <v>10065</v>
      </c>
    </row>
    <row r="12" spans="1:4" ht="15" customHeight="1">
      <c r="A12" t="s">
        <v>10066</v>
      </c>
      <c r="D12" t="s">
        <v>10067</v>
      </c>
    </row>
    <row r="13" spans="1:4" ht="15" customHeight="1">
      <c r="A13" t="s">
        <v>10068</v>
      </c>
      <c r="D13" t="s">
        <v>10069</v>
      </c>
    </row>
    <row r="14" spans="1:4" ht="15" customHeight="1">
      <c r="A14" t="s">
        <v>10070</v>
      </c>
      <c r="D14" t="s">
        <v>10071</v>
      </c>
    </row>
    <row r="15" spans="1:4" ht="15" customHeight="1">
      <c r="A15" t="s">
        <v>10072</v>
      </c>
      <c r="D15" t="s">
        <v>10073</v>
      </c>
    </row>
    <row r="16" spans="1:4">
      <c r="A16" s="79" t="s">
        <v>209</v>
      </c>
      <c r="B16" s="79" t="s">
        <v>147</v>
      </c>
      <c r="C16" s="79" t="s">
        <v>148</v>
      </c>
      <c r="D16" s="79" t="s">
        <v>182</v>
      </c>
    </row>
    <row r="17" spans="1:4">
      <c r="A17" s="67" t="s">
        <v>5376</v>
      </c>
      <c r="D17" t="s">
        <v>10074</v>
      </c>
    </row>
    <row r="18" spans="1:4">
      <c r="A18" s="67" t="s">
        <v>10075</v>
      </c>
      <c r="D18" t="s">
        <v>10076</v>
      </c>
    </row>
    <row r="19" spans="1:4">
      <c r="A19" s="67" t="s">
        <v>10077</v>
      </c>
      <c r="D19" t="s">
        <v>10078</v>
      </c>
    </row>
    <row r="20" spans="1:4">
      <c r="A20" s="67" t="s">
        <v>10079</v>
      </c>
      <c r="D20" t="s">
        <v>10080</v>
      </c>
    </row>
    <row r="21" spans="1:4">
      <c r="A21" s="67" t="s">
        <v>10081</v>
      </c>
      <c r="D21" t="s">
        <v>10082</v>
      </c>
    </row>
    <row r="22" spans="1:4">
      <c r="A22" s="67" t="s">
        <v>10083</v>
      </c>
      <c r="B22" t="s">
        <v>10084</v>
      </c>
      <c r="C22" t="s">
        <v>10085</v>
      </c>
      <c r="D22" t="s">
        <v>10086</v>
      </c>
    </row>
    <row r="23" spans="1:4">
      <c r="A23" s="67" t="s">
        <v>9847</v>
      </c>
      <c r="D23" t="s">
        <v>10087</v>
      </c>
    </row>
    <row r="24" spans="1:4">
      <c r="A24" s="67" t="s">
        <v>10088</v>
      </c>
      <c r="B24" t="s">
        <v>10089</v>
      </c>
      <c r="C24" t="s">
        <v>10090</v>
      </c>
      <c r="D24" t="s">
        <v>10091</v>
      </c>
    </row>
    <row r="25" spans="1:4">
      <c r="A25" s="67" t="s">
        <v>5393</v>
      </c>
      <c r="B25" t="s">
        <v>10092</v>
      </c>
      <c r="C25" t="s">
        <v>10093</v>
      </c>
      <c r="D25" t="s">
        <v>10094</v>
      </c>
    </row>
    <row r="26" spans="1:4">
      <c r="A26" s="67" t="s">
        <v>10095</v>
      </c>
      <c r="C26" t="s">
        <v>10096</v>
      </c>
      <c r="D26" t="s">
        <v>10097</v>
      </c>
    </row>
    <row r="27" spans="1:4">
      <c r="A27" s="67" t="s">
        <v>10098</v>
      </c>
      <c r="D27" t="s">
        <v>10099</v>
      </c>
    </row>
    <row r="28" spans="1:4">
      <c r="A28" s="67" t="s">
        <v>10100</v>
      </c>
      <c r="D28" t="s">
        <v>10101</v>
      </c>
    </row>
    <row r="29" spans="1:4">
      <c r="A29" s="67" t="s">
        <v>10102</v>
      </c>
      <c r="D29" t="s">
        <v>10103</v>
      </c>
    </row>
    <row r="30" spans="1:4">
      <c r="A30" s="67" t="s">
        <v>9131</v>
      </c>
      <c r="D30" t="s">
        <v>10104</v>
      </c>
    </row>
    <row r="31" spans="1:4">
      <c r="A31" s="67" t="s">
        <v>10105</v>
      </c>
      <c r="C31" t="s">
        <v>10106</v>
      </c>
      <c r="D31" t="s">
        <v>10107</v>
      </c>
    </row>
    <row r="32" spans="1:4">
      <c r="A32" s="67" t="s">
        <v>10108</v>
      </c>
      <c r="D32" t="s">
        <v>10109</v>
      </c>
    </row>
    <row r="33" spans="1:4">
      <c r="A33" s="67" t="s">
        <v>8670</v>
      </c>
      <c r="D33" t="s">
        <v>10110</v>
      </c>
    </row>
    <row r="34" spans="1:4">
      <c r="A34" s="67" t="s">
        <v>10111</v>
      </c>
      <c r="D34" t="s">
        <v>10112</v>
      </c>
    </row>
    <row r="35" spans="1:4">
      <c r="A35" s="67" t="s">
        <v>5806</v>
      </c>
      <c r="D35" t="s">
        <v>10113</v>
      </c>
    </row>
    <row r="36" spans="1:4">
      <c r="A36" s="67" t="s">
        <v>10114</v>
      </c>
      <c r="D36" t="s">
        <v>10115</v>
      </c>
    </row>
    <row r="37" spans="1:4">
      <c r="A37" s="67" t="s">
        <v>10116</v>
      </c>
      <c r="C37" t="s">
        <v>10117</v>
      </c>
      <c r="D37" t="s">
        <v>10118</v>
      </c>
    </row>
    <row r="38" spans="1:4">
      <c r="A38" s="67" t="s">
        <v>10119</v>
      </c>
      <c r="D38" t="s">
        <v>10120</v>
      </c>
    </row>
    <row r="39" spans="1:4">
      <c r="A39" s="67" t="s">
        <v>10121</v>
      </c>
      <c r="D39" t="s">
        <v>10122</v>
      </c>
    </row>
    <row r="40" spans="1:4">
      <c r="A40" s="67" t="s">
        <v>5500</v>
      </c>
      <c r="D40" t="s">
        <v>10123</v>
      </c>
    </row>
    <row r="41" spans="1:4">
      <c r="A41" s="67" t="s">
        <v>5516</v>
      </c>
      <c r="D41" t="s">
        <v>10124</v>
      </c>
    </row>
    <row r="42" spans="1:4">
      <c r="A42" s="67" t="s">
        <v>10125</v>
      </c>
      <c r="D42" t="s">
        <v>10126</v>
      </c>
    </row>
    <row r="43" spans="1:4">
      <c r="A43" s="67" t="s">
        <v>10127</v>
      </c>
      <c r="D43" t="s">
        <v>10128</v>
      </c>
    </row>
    <row r="44" spans="1:4">
      <c r="A44" s="67" t="s">
        <v>5518</v>
      </c>
      <c r="D44" t="s">
        <v>10129</v>
      </c>
    </row>
    <row r="45" spans="1:4">
      <c r="A45" s="67" t="s">
        <v>5523</v>
      </c>
      <c r="B45" t="s">
        <v>10130</v>
      </c>
      <c r="C45" t="s">
        <v>10131</v>
      </c>
      <c r="D45" t="s">
        <v>10132</v>
      </c>
    </row>
    <row r="46" spans="1:4">
      <c r="A46" s="67" t="s">
        <v>6625</v>
      </c>
      <c r="D46" t="s">
        <v>10133</v>
      </c>
    </row>
    <row r="47" spans="1:4">
      <c r="A47" s="67" t="s">
        <v>10134</v>
      </c>
      <c r="D47" t="s">
        <v>10135</v>
      </c>
    </row>
    <row r="48" spans="1:4">
      <c r="A48" s="67" t="s">
        <v>10136</v>
      </c>
      <c r="D48" t="s">
        <v>10137</v>
      </c>
    </row>
    <row r="49" spans="1:4">
      <c r="A49" s="67" t="s">
        <v>10138</v>
      </c>
      <c r="D49" t="s">
        <v>10139</v>
      </c>
    </row>
    <row r="50" spans="1:4">
      <c r="A50" s="67" t="s">
        <v>10140</v>
      </c>
      <c r="D50" t="s">
        <v>10141</v>
      </c>
    </row>
    <row r="51" spans="1:4">
      <c r="A51" s="67" t="s">
        <v>8756</v>
      </c>
      <c r="D51" t="s">
        <v>10142</v>
      </c>
    </row>
    <row r="52" spans="1:4">
      <c r="A52" s="67" t="s">
        <v>8257</v>
      </c>
      <c r="C52" t="s">
        <v>10143</v>
      </c>
      <c r="D52" t="s">
        <v>10144</v>
      </c>
    </row>
    <row r="53" spans="1:4">
      <c r="A53" s="67" t="s">
        <v>10145</v>
      </c>
      <c r="C53" t="s">
        <v>10146</v>
      </c>
      <c r="D53" t="s">
        <v>10147</v>
      </c>
    </row>
    <row r="54" spans="1:4">
      <c r="A54" s="67" t="s">
        <v>8260</v>
      </c>
      <c r="C54" t="s">
        <v>10148</v>
      </c>
      <c r="D54" t="s">
        <v>10149</v>
      </c>
    </row>
    <row r="55" spans="1:4">
      <c r="A55" s="67" t="s">
        <v>5545</v>
      </c>
      <c r="D55" t="s">
        <v>10150</v>
      </c>
    </row>
    <row r="56" spans="1:4">
      <c r="A56" s="67" t="s">
        <v>10151</v>
      </c>
      <c r="D56" t="s">
        <v>10152</v>
      </c>
    </row>
    <row r="57" spans="1:4">
      <c r="A57" s="67" t="s">
        <v>10153</v>
      </c>
      <c r="D57" t="s">
        <v>10154</v>
      </c>
    </row>
    <row r="58" spans="1:4">
      <c r="A58" s="67" t="s">
        <v>6684</v>
      </c>
      <c r="D58" t="s">
        <v>10155</v>
      </c>
    </row>
    <row r="59" spans="1:4">
      <c r="A59" s="67" t="s">
        <v>6313</v>
      </c>
      <c r="D59" t="s">
        <v>10156</v>
      </c>
    </row>
    <row r="60" spans="1:4">
      <c r="A60" s="67" t="s">
        <v>10157</v>
      </c>
      <c r="D60" t="s">
        <v>10158</v>
      </c>
    </row>
    <row r="61" spans="1:4">
      <c r="A61" s="67" t="s">
        <v>5558</v>
      </c>
      <c r="B61" t="s">
        <v>10159</v>
      </c>
      <c r="D61" t="s">
        <v>10160</v>
      </c>
    </row>
    <row r="62" spans="1:4">
      <c r="A62" s="67" t="s">
        <v>8267</v>
      </c>
      <c r="C62" t="s">
        <v>10161</v>
      </c>
      <c r="D62" t="s">
        <v>10162</v>
      </c>
    </row>
    <row r="63" spans="1:4">
      <c r="A63" s="67" t="s">
        <v>10163</v>
      </c>
      <c r="B63" t="s">
        <v>10164</v>
      </c>
      <c r="C63" t="s">
        <v>10165</v>
      </c>
      <c r="D63" t="s">
        <v>10166</v>
      </c>
    </row>
    <row r="64" spans="1:4">
      <c r="A64" s="67" t="s">
        <v>10167</v>
      </c>
      <c r="D64" t="s">
        <v>10168</v>
      </c>
    </row>
    <row r="65" spans="1:4">
      <c r="A65" s="67" t="s">
        <v>10169</v>
      </c>
      <c r="D65" t="s">
        <v>10170</v>
      </c>
    </row>
    <row r="66" spans="1:4">
      <c r="A66" s="67" t="s">
        <v>10171</v>
      </c>
      <c r="D66" t="s">
        <v>10172</v>
      </c>
    </row>
    <row r="67" spans="1:4">
      <c r="A67" s="67" t="s">
        <v>10173</v>
      </c>
      <c r="D67" t="s">
        <v>10174</v>
      </c>
    </row>
    <row r="68" spans="1:4">
      <c r="A68" s="67" t="s">
        <v>5962</v>
      </c>
      <c r="D68" t="s">
        <v>10175</v>
      </c>
    </row>
    <row r="69" spans="1:4">
      <c r="A69" s="67" t="s">
        <v>10176</v>
      </c>
      <c r="D69" t="s">
        <v>10177</v>
      </c>
    </row>
    <row r="71" spans="1:4">
      <c r="A71" s="79" t="s">
        <v>333</v>
      </c>
      <c r="B71" s="79" t="s">
        <v>147</v>
      </c>
      <c r="C71" s="79" t="s">
        <v>148</v>
      </c>
      <c r="D71" s="79" t="s">
        <v>182</v>
      </c>
    </row>
    <row r="72" spans="1:4">
      <c r="A72" s="67" t="s">
        <v>10178</v>
      </c>
    </row>
    <row r="73" spans="1:4">
      <c r="A73" s="67" t="s">
        <v>8280</v>
      </c>
      <c r="B73" t="s">
        <v>10179</v>
      </c>
      <c r="C73" t="s">
        <v>10180</v>
      </c>
      <c r="D73" t="s">
        <v>10181</v>
      </c>
    </row>
    <row r="74" spans="1:4">
      <c r="A74" s="67" t="s">
        <v>10182</v>
      </c>
      <c r="B74" t="s">
        <v>10183</v>
      </c>
      <c r="D74" t="s">
        <v>10184</v>
      </c>
    </row>
    <row r="75" spans="1:4">
      <c r="A75" s="67" t="s">
        <v>10185</v>
      </c>
      <c r="D75" t="s">
        <v>10186</v>
      </c>
    </row>
    <row r="76" spans="1:4">
      <c r="A76" s="67" t="s">
        <v>8702</v>
      </c>
      <c r="D76" t="s">
        <v>10187</v>
      </c>
    </row>
    <row r="77" spans="1:4">
      <c r="A77" s="67" t="s">
        <v>8286</v>
      </c>
      <c r="B77" t="s">
        <v>10188</v>
      </c>
      <c r="D77" t="s">
        <v>10189</v>
      </c>
    </row>
    <row r="78" spans="1:4">
      <c r="A78" s="67" t="s">
        <v>3068</v>
      </c>
      <c r="B78" t="s">
        <v>10190</v>
      </c>
      <c r="C78" t="s">
        <v>10191</v>
      </c>
      <c r="D78" t="s">
        <v>3071</v>
      </c>
    </row>
    <row r="79" spans="1:4" ht="15" customHeight="1">
      <c r="A79" t="s">
        <v>10192</v>
      </c>
      <c r="B79" t="s">
        <v>10193</v>
      </c>
      <c r="D79" t="s">
        <v>10194</v>
      </c>
    </row>
    <row r="80" spans="1:4">
      <c r="A80" s="79" t="s">
        <v>878</v>
      </c>
      <c r="B80" s="79" t="s">
        <v>147</v>
      </c>
      <c r="C80" s="79" t="s">
        <v>148</v>
      </c>
      <c r="D80" s="79" t="s">
        <v>182</v>
      </c>
    </row>
    <row r="81" spans="1:4">
      <c r="A81" s="67" t="s">
        <v>10195</v>
      </c>
      <c r="D81" t="s">
        <v>10196</v>
      </c>
    </row>
    <row r="82" spans="1:4">
      <c r="A82" s="67" t="s">
        <v>10197</v>
      </c>
      <c r="D82" t="s">
        <v>10198</v>
      </c>
    </row>
    <row r="83" spans="1:4">
      <c r="A83" s="67" t="s">
        <v>10199</v>
      </c>
      <c r="D83" t="s">
        <v>10200</v>
      </c>
    </row>
    <row r="84" spans="1:4">
      <c r="A84" s="67" t="s">
        <v>10201</v>
      </c>
      <c r="D84" t="s">
        <v>10202</v>
      </c>
    </row>
    <row r="85" spans="1:4">
      <c r="A85" s="67" t="s">
        <v>10203</v>
      </c>
      <c r="D85" t="s">
        <v>10204</v>
      </c>
    </row>
    <row r="86" spans="1:4">
      <c r="A86" s="67" t="s">
        <v>10205</v>
      </c>
      <c r="D86" t="s">
        <v>10206</v>
      </c>
    </row>
    <row r="87" spans="1:4">
      <c r="A87" s="67" t="s">
        <v>10207</v>
      </c>
      <c r="D87" t="s">
        <v>10208</v>
      </c>
    </row>
    <row r="88" spans="1:4">
      <c r="A88" s="67" t="s">
        <v>10209</v>
      </c>
      <c r="D88" t="s">
        <v>10210</v>
      </c>
    </row>
    <row r="89" spans="1:4">
      <c r="A89" s="67" t="s">
        <v>10211</v>
      </c>
      <c r="D89" t="s">
        <v>10212</v>
      </c>
    </row>
    <row r="90" spans="1:4">
      <c r="A90" s="67" t="s">
        <v>10213</v>
      </c>
      <c r="D90" t="s">
        <v>10214</v>
      </c>
    </row>
    <row r="91" spans="1:4">
      <c r="A91" s="67" t="s">
        <v>10215</v>
      </c>
      <c r="D91" t="s">
        <v>10216</v>
      </c>
    </row>
    <row r="92" spans="1:4">
      <c r="A92" s="67" t="s">
        <v>10217</v>
      </c>
      <c r="D92" t="s">
        <v>10218</v>
      </c>
    </row>
    <row r="93" spans="1:4">
      <c r="A93" s="67" t="s">
        <v>10219</v>
      </c>
      <c r="D93" t="s">
        <v>10220</v>
      </c>
    </row>
    <row r="94" spans="1:4">
      <c r="A94" s="67" t="s">
        <v>10221</v>
      </c>
      <c r="D94" t="s">
        <v>10222</v>
      </c>
    </row>
    <row r="95" spans="1:4">
      <c r="A95" s="67" t="s">
        <v>10223</v>
      </c>
      <c r="D95" t="s">
        <v>10224</v>
      </c>
    </row>
    <row r="96" spans="1:4">
      <c r="A96" s="67" t="s">
        <v>10225</v>
      </c>
      <c r="D96" t="s">
        <v>10226</v>
      </c>
    </row>
    <row r="97" spans="1:4">
      <c r="A97" s="67" t="s">
        <v>10227</v>
      </c>
      <c r="D97" t="s">
        <v>10218</v>
      </c>
    </row>
    <row r="98" spans="1:4">
      <c r="A98" s="67" t="s">
        <v>10228</v>
      </c>
      <c r="D98" t="s">
        <v>10229</v>
      </c>
    </row>
    <row r="99" spans="1:4">
      <c r="A99" s="67" t="s">
        <v>10230</v>
      </c>
      <c r="D99" t="s">
        <v>10231</v>
      </c>
    </row>
    <row r="100" spans="1:4">
      <c r="A100" s="67" t="s">
        <v>10232</v>
      </c>
      <c r="D100" t="s">
        <v>10233</v>
      </c>
    </row>
    <row r="101" spans="1:4">
      <c r="A101" s="67" t="s">
        <v>10234</v>
      </c>
      <c r="D101" t="s">
        <v>10235</v>
      </c>
    </row>
    <row r="102" spans="1:4">
      <c r="A102" s="67" t="s">
        <v>10236</v>
      </c>
      <c r="D102" t="s">
        <v>10237</v>
      </c>
    </row>
    <row r="103" spans="1:4">
      <c r="A103" s="67" t="s">
        <v>10238</v>
      </c>
      <c r="D103" t="s">
        <v>10239</v>
      </c>
    </row>
    <row r="104" spans="1:4">
      <c r="A104" s="67" t="s">
        <v>10240</v>
      </c>
      <c r="D104" t="s">
        <v>10241</v>
      </c>
    </row>
    <row r="105" spans="1:4">
      <c r="A105" s="67" t="s">
        <v>10242</v>
      </c>
      <c r="D105" t="s">
        <v>10243</v>
      </c>
    </row>
    <row r="106" spans="1:4">
      <c r="A106" s="67" t="s">
        <v>10244</v>
      </c>
      <c r="D106" t="s">
        <v>10245</v>
      </c>
    </row>
    <row r="107" spans="1:4">
      <c r="A107" s="67" t="s">
        <v>10246</v>
      </c>
      <c r="D107" t="s">
        <v>10247</v>
      </c>
    </row>
    <row r="108" spans="1:4">
      <c r="A108" s="67" t="s">
        <v>10248</v>
      </c>
      <c r="D108" t="s">
        <v>10249</v>
      </c>
    </row>
    <row r="109" spans="1:4">
      <c r="A109" s="67" t="s">
        <v>10250</v>
      </c>
      <c r="D109" t="s">
        <v>10251</v>
      </c>
    </row>
    <row r="110" spans="1:4">
      <c r="A110" s="67" t="s">
        <v>10252</v>
      </c>
      <c r="D110" t="s">
        <v>10253</v>
      </c>
    </row>
    <row r="111" spans="1:4">
      <c r="A111" s="67" t="s">
        <v>10254</v>
      </c>
      <c r="D111" t="s">
        <v>10255</v>
      </c>
    </row>
    <row r="112" spans="1:4">
      <c r="A112" s="67" t="s">
        <v>10256</v>
      </c>
      <c r="D112" t="s">
        <v>10257</v>
      </c>
    </row>
    <row r="113" spans="1:4">
      <c r="A113" s="67" t="s">
        <v>10258</v>
      </c>
      <c r="D113" t="s">
        <v>10259</v>
      </c>
    </row>
    <row r="114" spans="1:4">
      <c r="A114" s="67" t="s">
        <v>10260</v>
      </c>
      <c r="D114" t="s">
        <v>10261</v>
      </c>
    </row>
    <row r="115" spans="1:4">
      <c r="A115" s="67" t="s">
        <v>10262</v>
      </c>
      <c r="D115" t="s">
        <v>10263</v>
      </c>
    </row>
    <row r="116" spans="1:4">
      <c r="A116" s="67" t="s">
        <v>10264</v>
      </c>
      <c r="D116" t="s">
        <v>10265</v>
      </c>
    </row>
    <row r="117" spans="1:4">
      <c r="A117" s="67" t="s">
        <v>10266</v>
      </c>
      <c r="D117" t="s">
        <v>10267</v>
      </c>
    </row>
    <row r="118" spans="1:4">
      <c r="A118" s="67" t="s">
        <v>10268</v>
      </c>
      <c r="D118" t="s">
        <v>10269</v>
      </c>
    </row>
    <row r="119" spans="1:4">
      <c r="A119" s="67" t="s">
        <v>10270</v>
      </c>
      <c r="D119" t="s">
        <v>10271</v>
      </c>
    </row>
    <row r="120" spans="1:4">
      <c r="A120" s="67" t="s">
        <v>10272</v>
      </c>
      <c r="D120" t="s">
        <v>10273</v>
      </c>
    </row>
    <row r="121" spans="1:4">
      <c r="A121" s="67" t="s">
        <v>10274</v>
      </c>
      <c r="D121" t="s">
        <v>10275</v>
      </c>
    </row>
    <row r="122" spans="1:4">
      <c r="A122" s="67" t="s">
        <v>10276</v>
      </c>
      <c r="D122" t="s">
        <v>10277</v>
      </c>
    </row>
    <row r="123" spans="1:4">
      <c r="A123" s="67" t="s">
        <v>10278</v>
      </c>
      <c r="D123" t="s">
        <v>10279</v>
      </c>
    </row>
    <row r="124" spans="1:4">
      <c r="A124" s="67" t="s">
        <v>10280</v>
      </c>
      <c r="D124" t="s">
        <v>10281</v>
      </c>
    </row>
    <row r="125" spans="1:4">
      <c r="A125" s="67" t="s">
        <v>10282</v>
      </c>
      <c r="D125" t="s">
        <v>10283</v>
      </c>
    </row>
    <row r="126" spans="1:4">
      <c r="A126" s="67" t="s">
        <v>10284</v>
      </c>
      <c r="D126" t="s">
        <v>10285</v>
      </c>
    </row>
    <row r="127" spans="1:4">
      <c r="A127" s="67" t="s">
        <v>10286</v>
      </c>
      <c r="D127" t="s">
        <v>10287</v>
      </c>
    </row>
    <row r="128" spans="1:4">
      <c r="A128" s="67" t="s">
        <v>10288</v>
      </c>
      <c r="D128" t="s">
        <v>10289</v>
      </c>
    </row>
    <row r="129" spans="1:4">
      <c r="A129" s="67" t="s">
        <v>10290</v>
      </c>
      <c r="D129" t="s">
        <v>10291</v>
      </c>
    </row>
    <row r="130" spans="1:4">
      <c r="A130" s="67" t="s">
        <v>10292</v>
      </c>
      <c r="B130" t="s">
        <v>10293</v>
      </c>
      <c r="C130" t="s">
        <v>10294</v>
      </c>
      <c r="D130" t="s">
        <v>10295</v>
      </c>
    </row>
    <row r="131" spans="1:4">
      <c r="A131" s="67" t="s">
        <v>10296</v>
      </c>
      <c r="B131" t="s">
        <v>10297</v>
      </c>
      <c r="C131" t="s">
        <v>10298</v>
      </c>
      <c r="D131" t="s">
        <v>10299</v>
      </c>
    </row>
    <row r="132" spans="1:4">
      <c r="A132" s="67" t="s">
        <v>10300</v>
      </c>
      <c r="D132" t="s">
        <v>10301</v>
      </c>
    </row>
    <row r="133" spans="1:4">
      <c r="A133" s="67" t="s">
        <v>10302</v>
      </c>
      <c r="D133" t="s">
        <v>10303</v>
      </c>
    </row>
    <row r="135" spans="1:4">
      <c r="A135" s="79" t="s">
        <v>428</v>
      </c>
      <c r="B135" s="79" t="s">
        <v>147</v>
      </c>
      <c r="C135" s="79" t="s">
        <v>148</v>
      </c>
      <c r="D135" s="79" t="s">
        <v>182</v>
      </c>
    </row>
    <row r="136" spans="1:4" ht="15" customHeight="1">
      <c r="A136" t="s">
        <v>10304</v>
      </c>
      <c r="D136" t="s">
        <v>10305</v>
      </c>
    </row>
    <row r="137" spans="1:4" ht="15" customHeight="1">
      <c r="A137" t="s">
        <v>10306</v>
      </c>
      <c r="D137" t="s">
        <v>10307</v>
      </c>
    </row>
    <row r="138" spans="1:4" ht="15" customHeight="1">
      <c r="A138" t="s">
        <v>10308</v>
      </c>
      <c r="B138" t="s">
        <v>10309</v>
      </c>
      <c r="C138" t="s">
        <v>10310</v>
      </c>
      <c r="D138" t="s">
        <v>10311</v>
      </c>
    </row>
    <row r="139" spans="1:4" ht="15" customHeight="1">
      <c r="A139" t="s">
        <v>10312</v>
      </c>
      <c r="C139" t="s">
        <v>10313</v>
      </c>
      <c r="D139" t="s">
        <v>10314</v>
      </c>
    </row>
    <row r="140" spans="1:4" ht="15" customHeight="1">
      <c r="A140" t="s">
        <v>10315</v>
      </c>
      <c r="C140" t="s">
        <v>10316</v>
      </c>
      <c r="D140" t="s">
        <v>10317</v>
      </c>
    </row>
    <row r="141" spans="1:4" ht="15" customHeight="1">
      <c r="A141" t="s">
        <v>10318</v>
      </c>
      <c r="C141" t="s">
        <v>10319</v>
      </c>
      <c r="D141" t="s">
        <v>10320</v>
      </c>
    </row>
    <row r="142" spans="1:4" ht="15" customHeight="1">
      <c r="A142" t="s">
        <v>10321</v>
      </c>
      <c r="C142" t="s">
        <v>10322</v>
      </c>
      <c r="D142" t="s">
        <v>10323</v>
      </c>
    </row>
    <row r="143" spans="1:4" ht="15" customHeight="1">
      <c r="A143" t="s">
        <v>10324</v>
      </c>
      <c r="B143" t="s">
        <v>10325</v>
      </c>
      <c r="D143" t="s">
        <v>10326</v>
      </c>
    </row>
    <row r="144" spans="1:4" ht="15" customHeight="1">
      <c r="A144" t="s">
        <v>10327</v>
      </c>
      <c r="C144" t="s">
        <v>10328</v>
      </c>
      <c r="D144" t="s">
        <v>10329</v>
      </c>
    </row>
    <row r="145" spans="1:4" ht="15" customHeight="1">
      <c r="A145" t="s">
        <v>10330</v>
      </c>
      <c r="D145" t="s">
        <v>10331</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T5"/>
  <sheetViews>
    <sheetView workbookViewId="0"/>
  </sheetViews>
  <sheetFormatPr defaultColWidth="17.140625" defaultRowHeight="12.75" customHeight="1"/>
  <cols>
    <col min="2" max="2" width="34.7109375" customWidth="1"/>
    <col min="3" max="3" width="51.140625" customWidth="1"/>
  </cols>
  <sheetData>
    <row r="3" spans="1:20">
      <c r="A3" s="105" t="s">
        <v>143</v>
      </c>
      <c r="B3" s="105"/>
      <c r="C3" s="73" t="s">
        <v>144</v>
      </c>
      <c r="D3" s="73"/>
      <c r="E3" s="73"/>
      <c r="F3" s="73"/>
      <c r="G3" s="73"/>
      <c r="H3" s="73"/>
      <c r="I3" s="73"/>
      <c r="J3" s="73"/>
      <c r="K3" s="73"/>
      <c r="L3" s="73"/>
      <c r="M3" s="73"/>
      <c r="N3" s="73"/>
      <c r="O3" s="73"/>
      <c r="P3" s="73"/>
      <c r="Q3" s="73"/>
      <c r="R3" s="73"/>
      <c r="S3" s="73"/>
      <c r="T3" s="73"/>
    </row>
    <row r="5" spans="1:20" ht="12.75" customHeight="1">
      <c r="A5" s="106" t="s">
        <v>145</v>
      </c>
      <c r="B5" s="106"/>
      <c r="C5" s="106"/>
      <c r="D5" s="107"/>
    </row>
  </sheetData>
  <customSheetViews>
    <customSheetView guid="{617856E6-44D1-4ADD-8CA5-796514BA6839}">
      <pageMargins left="0.7" right="0.7" top="0.75" bottom="0.75" header="0.3" footer="0.3"/>
    </customSheetView>
  </customSheetViews>
  <mergeCells count="2">
    <mergeCell ref="A3:B3"/>
    <mergeCell ref="A5:D5"/>
  </mergeCell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D230"/>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42" t="s">
        <v>147</v>
      </c>
      <c r="C1" s="79" t="s">
        <v>148</v>
      </c>
      <c r="D1" s="79" t="s">
        <v>182</v>
      </c>
    </row>
    <row r="2" spans="1:4">
      <c r="A2" s="67" t="s">
        <v>10332</v>
      </c>
      <c r="B2" s="22" t="s">
        <v>10333</v>
      </c>
      <c r="D2" s="67" t="s">
        <v>10334</v>
      </c>
    </row>
    <row r="3" spans="1:4">
      <c r="A3" s="67" t="s">
        <v>10335</v>
      </c>
      <c r="B3" s="22" t="s">
        <v>10336</v>
      </c>
      <c r="C3" s="67" t="s">
        <v>10337</v>
      </c>
      <c r="D3" s="11" t="s">
        <v>10338</v>
      </c>
    </row>
    <row r="4" spans="1:4">
      <c r="A4" s="67" t="s">
        <v>10339</v>
      </c>
      <c r="B4" s="22" t="s">
        <v>10340</v>
      </c>
      <c r="C4" s="67" t="s">
        <v>10341</v>
      </c>
      <c r="D4" s="11" t="s">
        <v>10342</v>
      </c>
    </row>
    <row r="5" spans="1:4">
      <c r="A5" s="67" t="s">
        <v>10343</v>
      </c>
      <c r="B5" s="71"/>
      <c r="D5" s="11" t="s">
        <v>10344</v>
      </c>
    </row>
    <row r="6" spans="1:4" ht="15" customHeight="1">
      <c r="B6" s="71"/>
    </row>
    <row r="7" spans="1:4">
      <c r="A7" s="79" t="s">
        <v>209</v>
      </c>
      <c r="B7" s="42" t="s">
        <v>147</v>
      </c>
      <c r="C7" s="79" t="s">
        <v>148</v>
      </c>
      <c r="D7" s="79" t="s">
        <v>182</v>
      </c>
    </row>
    <row r="8" spans="1:4">
      <c r="A8" s="67" t="s">
        <v>5376</v>
      </c>
      <c r="B8" s="71"/>
    </row>
    <row r="9" spans="1:4">
      <c r="A9" s="67" t="s">
        <v>5743</v>
      </c>
      <c r="B9" s="71"/>
      <c r="D9" t="s">
        <v>10345</v>
      </c>
    </row>
    <row r="10" spans="1:4">
      <c r="A10" s="67" t="s">
        <v>10346</v>
      </c>
      <c r="B10" s="71"/>
      <c r="D10" t="s">
        <v>10347</v>
      </c>
    </row>
    <row r="11" spans="1:4">
      <c r="A11" s="67" t="s">
        <v>10348</v>
      </c>
      <c r="B11" s="71" t="s">
        <v>10349</v>
      </c>
      <c r="C11" t="s">
        <v>10350</v>
      </c>
      <c r="D11" t="s">
        <v>10351</v>
      </c>
    </row>
    <row r="12" spans="1:4">
      <c r="A12" s="67" t="s">
        <v>10352</v>
      </c>
      <c r="B12" s="71" t="s">
        <v>10353</v>
      </c>
      <c r="C12" t="s">
        <v>10354</v>
      </c>
      <c r="D12" t="s">
        <v>10355</v>
      </c>
    </row>
    <row r="13" spans="1:4">
      <c r="A13" s="67" t="s">
        <v>10356</v>
      </c>
      <c r="B13" s="71" t="s">
        <v>10357</v>
      </c>
      <c r="C13" t="s">
        <v>10358</v>
      </c>
      <c r="D13" t="s">
        <v>10359</v>
      </c>
    </row>
    <row r="14" spans="1:4">
      <c r="A14" s="67" t="s">
        <v>10360</v>
      </c>
      <c r="B14" s="71"/>
      <c r="C14" t="s">
        <v>10361</v>
      </c>
      <c r="D14" t="s">
        <v>10362</v>
      </c>
    </row>
    <row r="15" spans="1:4">
      <c r="A15" s="67" t="s">
        <v>5385</v>
      </c>
      <c r="B15" s="71"/>
      <c r="C15" t="s">
        <v>10363</v>
      </c>
      <c r="D15" t="s">
        <v>10364</v>
      </c>
    </row>
    <row r="16" spans="1:4">
      <c r="A16" s="67" t="s">
        <v>6120</v>
      </c>
      <c r="B16" s="71"/>
      <c r="C16" t="s">
        <v>10363</v>
      </c>
      <c r="D16" t="s">
        <v>10365</v>
      </c>
    </row>
    <row r="17" spans="1:4">
      <c r="A17" s="67" t="s">
        <v>5391</v>
      </c>
      <c r="B17" s="71"/>
      <c r="C17" t="s">
        <v>10366</v>
      </c>
      <c r="D17" t="s">
        <v>10367</v>
      </c>
    </row>
    <row r="18" spans="1:4">
      <c r="A18" s="67" t="s">
        <v>5395</v>
      </c>
      <c r="B18" s="71"/>
      <c r="C18" t="s">
        <v>10368</v>
      </c>
      <c r="D18" t="s">
        <v>10369</v>
      </c>
    </row>
    <row r="19" spans="1:4">
      <c r="A19" s="67" t="s">
        <v>5401</v>
      </c>
      <c r="B19" s="71"/>
      <c r="C19" t="s">
        <v>10370</v>
      </c>
      <c r="D19" t="s">
        <v>10371</v>
      </c>
    </row>
    <row r="20" spans="1:4">
      <c r="A20" s="67" t="s">
        <v>10372</v>
      </c>
      <c r="B20" s="71" t="s">
        <v>10373</v>
      </c>
      <c r="C20" t="s">
        <v>10374</v>
      </c>
      <c r="D20" t="s">
        <v>10375</v>
      </c>
    </row>
    <row r="21" spans="1:4">
      <c r="A21" s="67" t="s">
        <v>5405</v>
      </c>
      <c r="B21" s="71" t="s">
        <v>10376</v>
      </c>
      <c r="C21" t="s">
        <v>10377</v>
      </c>
      <c r="D21" t="s">
        <v>10378</v>
      </c>
    </row>
    <row r="22" spans="1:4">
      <c r="A22" s="67" t="s">
        <v>10379</v>
      </c>
      <c r="B22" s="71"/>
      <c r="C22" t="s">
        <v>10380</v>
      </c>
      <c r="D22" t="s">
        <v>10381</v>
      </c>
    </row>
    <row r="23" spans="1:4">
      <c r="A23" s="67" t="s">
        <v>10382</v>
      </c>
      <c r="B23" s="71" t="s">
        <v>10383</v>
      </c>
      <c r="C23" t="s">
        <v>10384</v>
      </c>
      <c r="D23" t="s">
        <v>10385</v>
      </c>
    </row>
    <row r="24" spans="1:4">
      <c r="A24" s="67" t="s">
        <v>5413</v>
      </c>
      <c r="B24" s="71"/>
      <c r="C24" t="s">
        <v>10386</v>
      </c>
      <c r="D24" t="s">
        <v>10387</v>
      </c>
    </row>
    <row r="25" spans="1:4">
      <c r="A25" s="67" t="s">
        <v>10388</v>
      </c>
      <c r="B25" s="71" t="s">
        <v>10389</v>
      </c>
      <c r="C25" t="s">
        <v>10390</v>
      </c>
      <c r="D25" t="s">
        <v>10391</v>
      </c>
    </row>
    <row r="26" spans="1:4">
      <c r="A26" s="67" t="s">
        <v>10392</v>
      </c>
      <c r="B26" s="71"/>
      <c r="C26" t="s">
        <v>10393</v>
      </c>
      <c r="D26" t="s">
        <v>10394</v>
      </c>
    </row>
    <row r="27" spans="1:4">
      <c r="A27" s="67" t="s">
        <v>10395</v>
      </c>
      <c r="B27" s="71"/>
      <c r="C27" t="s">
        <v>10396</v>
      </c>
      <c r="D27" t="s">
        <v>10397</v>
      </c>
    </row>
    <row r="28" spans="1:4">
      <c r="A28" s="67" t="s">
        <v>5783</v>
      </c>
      <c r="B28" s="71" t="s">
        <v>10398</v>
      </c>
      <c r="C28" t="s">
        <v>10399</v>
      </c>
      <c r="D28" t="s">
        <v>10400</v>
      </c>
    </row>
    <row r="29" spans="1:4">
      <c r="A29" s="67" t="s">
        <v>9579</v>
      </c>
      <c r="B29" s="71"/>
      <c r="D29" t="s">
        <v>10401</v>
      </c>
    </row>
    <row r="30" spans="1:4">
      <c r="A30" s="67" t="s">
        <v>10402</v>
      </c>
      <c r="B30" s="71"/>
      <c r="C30" t="s">
        <v>10403</v>
      </c>
      <c r="D30" t="s">
        <v>10404</v>
      </c>
    </row>
    <row r="31" spans="1:4">
      <c r="A31" s="67" t="s">
        <v>5436</v>
      </c>
      <c r="B31" s="71"/>
      <c r="C31" t="s">
        <v>10405</v>
      </c>
    </row>
    <row r="32" spans="1:4">
      <c r="A32" s="67" t="s">
        <v>5441</v>
      </c>
      <c r="B32" s="71" t="s">
        <v>10406</v>
      </c>
      <c r="C32" t="s">
        <v>10407</v>
      </c>
      <c r="D32" t="s">
        <v>10408</v>
      </c>
    </row>
    <row r="33" spans="1:4">
      <c r="A33" s="67" t="s">
        <v>5444</v>
      </c>
      <c r="B33" s="71"/>
      <c r="C33" t="s">
        <v>10409</v>
      </c>
      <c r="D33" t="s">
        <v>10410</v>
      </c>
    </row>
    <row r="34" spans="1:4">
      <c r="A34" s="67" t="s">
        <v>10411</v>
      </c>
      <c r="B34" s="71"/>
      <c r="C34" t="s">
        <v>10412</v>
      </c>
      <c r="D34" t="s">
        <v>10413</v>
      </c>
    </row>
    <row r="35" spans="1:4">
      <c r="A35" s="67" t="s">
        <v>10414</v>
      </c>
      <c r="B35" s="71"/>
      <c r="C35" t="s">
        <v>10415</v>
      </c>
      <c r="D35" t="s">
        <v>10416</v>
      </c>
    </row>
    <row r="36" spans="1:4">
      <c r="A36" s="67" t="s">
        <v>5449</v>
      </c>
      <c r="B36" s="71"/>
      <c r="C36" t="s">
        <v>10417</v>
      </c>
      <c r="D36" t="s">
        <v>10418</v>
      </c>
    </row>
    <row r="37" spans="1:4">
      <c r="A37" s="67" t="s">
        <v>10419</v>
      </c>
      <c r="B37" s="71"/>
      <c r="C37" t="s">
        <v>10420</v>
      </c>
      <c r="D37" t="s">
        <v>10421</v>
      </c>
    </row>
    <row r="38" spans="1:4">
      <c r="A38" s="67" t="s">
        <v>5453</v>
      </c>
      <c r="B38" s="71" t="s">
        <v>10422</v>
      </c>
      <c r="C38" t="s">
        <v>10423</v>
      </c>
      <c r="D38" t="s">
        <v>10424</v>
      </c>
    </row>
    <row r="39" spans="1:4">
      <c r="A39" s="67" t="s">
        <v>5455</v>
      </c>
      <c r="B39" s="71"/>
      <c r="C39" t="s">
        <v>10425</v>
      </c>
      <c r="D39" t="s">
        <v>10426</v>
      </c>
    </row>
    <row r="40" spans="1:4">
      <c r="A40" s="67" t="s">
        <v>5457</v>
      </c>
      <c r="B40" s="71"/>
      <c r="C40" t="s">
        <v>10427</v>
      </c>
      <c r="D40" t="s">
        <v>10428</v>
      </c>
    </row>
    <row r="41" spans="1:4">
      <c r="A41" s="67" t="s">
        <v>6202</v>
      </c>
      <c r="B41" s="71" t="s">
        <v>10429</v>
      </c>
      <c r="D41" t="s">
        <v>10430</v>
      </c>
    </row>
    <row r="42" spans="1:4">
      <c r="A42" s="67" t="s">
        <v>5461</v>
      </c>
      <c r="B42" s="71"/>
      <c r="C42" t="s">
        <v>10431</v>
      </c>
      <c r="D42" t="s">
        <v>10432</v>
      </c>
    </row>
    <row r="43" spans="1:4">
      <c r="A43" s="67" t="s">
        <v>10433</v>
      </c>
      <c r="B43" s="71"/>
      <c r="C43" t="s">
        <v>10434</v>
      </c>
      <c r="D43" t="s">
        <v>10435</v>
      </c>
    </row>
    <row r="44" spans="1:4">
      <c r="A44" s="67" t="s">
        <v>10436</v>
      </c>
      <c r="B44" s="71"/>
      <c r="C44" t="s">
        <v>10437</v>
      </c>
      <c r="D44" t="s">
        <v>10438</v>
      </c>
    </row>
    <row r="45" spans="1:4">
      <c r="A45" s="67" t="s">
        <v>8395</v>
      </c>
      <c r="B45" s="71"/>
      <c r="C45" t="s">
        <v>10439</v>
      </c>
      <c r="D45" t="s">
        <v>10440</v>
      </c>
    </row>
    <row r="46" spans="1:4">
      <c r="A46" s="67" t="s">
        <v>8112</v>
      </c>
      <c r="B46" s="71"/>
      <c r="C46" t="s">
        <v>10441</v>
      </c>
      <c r="D46" t="s">
        <v>10442</v>
      </c>
    </row>
    <row r="47" spans="1:4">
      <c r="A47" s="67" t="s">
        <v>5466</v>
      </c>
      <c r="B47" s="71"/>
      <c r="C47" t="s">
        <v>10443</v>
      </c>
      <c r="D47" t="s">
        <v>10444</v>
      </c>
    </row>
    <row r="48" spans="1:4">
      <c r="A48" s="67" t="s">
        <v>5187</v>
      </c>
      <c r="B48" s="71"/>
      <c r="C48" t="s">
        <v>10445</v>
      </c>
      <c r="D48" t="s">
        <v>10446</v>
      </c>
    </row>
    <row r="49" spans="1:4">
      <c r="A49" s="67" t="s">
        <v>5484</v>
      </c>
      <c r="B49" s="71" t="s">
        <v>10447</v>
      </c>
      <c r="C49" t="s">
        <v>10448</v>
      </c>
      <c r="D49" t="s">
        <v>10449</v>
      </c>
    </row>
    <row r="50" spans="1:4">
      <c r="A50" s="67" t="s">
        <v>5486</v>
      </c>
      <c r="B50" s="71" t="s">
        <v>10450</v>
      </c>
      <c r="D50" t="s">
        <v>10451</v>
      </c>
    </row>
    <row r="51" spans="1:4">
      <c r="A51" s="67" t="s">
        <v>5494</v>
      </c>
      <c r="B51" s="71"/>
      <c r="C51" t="s">
        <v>10452</v>
      </c>
      <c r="D51" t="s">
        <v>10453</v>
      </c>
    </row>
    <row r="52" spans="1:4">
      <c r="A52" s="67" t="s">
        <v>10454</v>
      </c>
      <c r="B52" s="71"/>
      <c r="D52" t="s">
        <v>10455</v>
      </c>
    </row>
    <row r="53" spans="1:4">
      <c r="A53" s="67" t="s">
        <v>5500</v>
      </c>
      <c r="B53" s="71" t="s">
        <v>10456</v>
      </c>
      <c r="C53" t="s">
        <v>10457</v>
      </c>
      <c r="D53" t="s">
        <v>10458</v>
      </c>
    </row>
    <row r="54" spans="1:4">
      <c r="A54" s="67" t="s">
        <v>10459</v>
      </c>
      <c r="B54" s="71" t="s">
        <v>10460</v>
      </c>
      <c r="C54" t="s">
        <v>10461</v>
      </c>
      <c r="D54" t="s">
        <v>10462</v>
      </c>
    </row>
    <row r="55" spans="1:4">
      <c r="A55" s="67" t="s">
        <v>6243</v>
      </c>
      <c r="B55" s="71"/>
      <c r="C55" t="s">
        <v>10463</v>
      </c>
      <c r="D55" t="s">
        <v>10464</v>
      </c>
    </row>
    <row r="56" spans="1:4">
      <c r="A56" s="67" t="s">
        <v>5209</v>
      </c>
      <c r="B56" s="71" t="s">
        <v>10465</v>
      </c>
      <c r="C56" t="s">
        <v>10466</v>
      </c>
      <c r="D56" t="s">
        <v>10467</v>
      </c>
    </row>
    <row r="57" spans="1:4">
      <c r="A57" s="67" t="s">
        <v>10468</v>
      </c>
      <c r="B57" s="71"/>
      <c r="C57" t="s">
        <v>10469</v>
      </c>
      <c r="D57" t="s">
        <v>10470</v>
      </c>
    </row>
    <row r="58" spans="1:4">
      <c r="A58" s="67" t="s">
        <v>5507</v>
      </c>
      <c r="B58" s="71"/>
      <c r="C58" t="s">
        <v>10471</v>
      </c>
      <c r="D58" t="s">
        <v>10472</v>
      </c>
    </row>
    <row r="59" spans="1:4">
      <c r="A59" s="67" t="s">
        <v>10473</v>
      </c>
      <c r="B59" s="71" t="s">
        <v>10474</v>
      </c>
      <c r="C59" t="s">
        <v>10475</v>
      </c>
      <c r="D59" t="s">
        <v>10476</v>
      </c>
    </row>
    <row r="60" spans="1:4">
      <c r="A60" s="67" t="s">
        <v>10477</v>
      </c>
      <c r="B60" s="71"/>
    </row>
    <row r="61" spans="1:4">
      <c r="A61" s="67" t="s">
        <v>5523</v>
      </c>
      <c r="B61" s="71"/>
      <c r="C61" t="s">
        <v>10478</v>
      </c>
      <c r="D61" t="s">
        <v>10479</v>
      </c>
    </row>
    <row r="62" spans="1:4">
      <c r="A62" s="67" t="s">
        <v>5870</v>
      </c>
      <c r="B62" s="71"/>
      <c r="C62" t="s">
        <v>10480</v>
      </c>
      <c r="D62" t="s">
        <v>10481</v>
      </c>
    </row>
    <row r="63" spans="1:4">
      <c r="A63" s="67" t="s">
        <v>5524</v>
      </c>
      <c r="B63" s="71"/>
    </row>
    <row r="64" spans="1:4">
      <c r="A64" s="67" t="s">
        <v>5526</v>
      </c>
      <c r="B64" s="71" t="s">
        <v>10482</v>
      </c>
      <c r="C64" t="s">
        <v>10483</v>
      </c>
      <c r="D64" t="s">
        <v>10484</v>
      </c>
    </row>
    <row r="65" spans="1:4">
      <c r="A65" s="67" t="s">
        <v>5527</v>
      </c>
      <c r="B65" s="71"/>
    </row>
    <row r="66" spans="1:4">
      <c r="A66" s="67" t="s">
        <v>10485</v>
      </c>
      <c r="B66" s="71"/>
      <c r="C66" t="s">
        <v>10486</v>
      </c>
      <c r="D66" t="s">
        <v>10487</v>
      </c>
    </row>
    <row r="67" spans="1:4">
      <c r="A67" s="67" t="s">
        <v>10488</v>
      </c>
      <c r="B67" s="71"/>
      <c r="C67" t="s">
        <v>10489</v>
      </c>
      <c r="D67" t="s">
        <v>10490</v>
      </c>
    </row>
    <row r="68" spans="1:4">
      <c r="A68" s="67" t="s">
        <v>5882</v>
      </c>
      <c r="B68" s="71"/>
    </row>
    <row r="69" spans="1:4">
      <c r="A69" s="67" t="s">
        <v>6640</v>
      </c>
      <c r="B69" s="71"/>
      <c r="C69" t="s">
        <v>10491</v>
      </c>
      <c r="D69" t="s">
        <v>10492</v>
      </c>
    </row>
    <row r="70" spans="1:4">
      <c r="A70" s="67" t="s">
        <v>10493</v>
      </c>
      <c r="B70" s="71"/>
    </row>
    <row r="71" spans="1:4">
      <c r="A71" s="67" t="s">
        <v>5533</v>
      </c>
      <c r="B71" s="71"/>
    </row>
    <row r="72" spans="1:4">
      <c r="A72" s="67" t="s">
        <v>10494</v>
      </c>
      <c r="B72" s="71"/>
    </row>
    <row r="73" spans="1:4">
      <c r="A73" s="67" t="s">
        <v>5536</v>
      </c>
      <c r="B73" s="71"/>
    </row>
    <row r="74" spans="1:4">
      <c r="A74" s="67" t="s">
        <v>10495</v>
      </c>
      <c r="B74" s="71"/>
      <c r="D74" t="s">
        <v>10496</v>
      </c>
    </row>
    <row r="75" spans="1:4">
      <c r="A75" s="67" t="s">
        <v>10497</v>
      </c>
      <c r="B75" s="71"/>
    </row>
    <row r="76" spans="1:4">
      <c r="A76" s="67" t="s">
        <v>5541</v>
      </c>
      <c r="B76" s="71"/>
    </row>
    <row r="77" spans="1:4">
      <c r="A77" s="67" t="s">
        <v>5545</v>
      </c>
      <c r="B77" s="71"/>
    </row>
    <row r="78" spans="1:4">
      <c r="A78" s="67" t="s">
        <v>10498</v>
      </c>
      <c r="B78" s="71"/>
      <c r="C78" t="s">
        <v>10499</v>
      </c>
      <c r="D78" t="s">
        <v>10500</v>
      </c>
    </row>
    <row r="79" spans="1:4">
      <c r="A79" s="67" t="s">
        <v>10501</v>
      </c>
      <c r="B79" s="71"/>
      <c r="C79" t="s">
        <v>10502</v>
      </c>
      <c r="D79" t="s">
        <v>10503</v>
      </c>
    </row>
    <row r="80" spans="1:4">
      <c r="A80" s="67" t="s">
        <v>10504</v>
      </c>
      <c r="B80" s="71"/>
      <c r="C80" t="s">
        <v>10505</v>
      </c>
      <c r="D80" t="s">
        <v>10506</v>
      </c>
    </row>
    <row r="81" spans="1:4">
      <c r="A81" s="67" t="s">
        <v>9635</v>
      </c>
      <c r="B81" s="71"/>
    </row>
    <row r="82" spans="1:4">
      <c r="A82" s="67" t="s">
        <v>5554</v>
      </c>
      <c r="B82" s="71"/>
      <c r="C82" t="s">
        <v>10507</v>
      </c>
      <c r="D82" t="s">
        <v>10508</v>
      </c>
    </row>
    <row r="83" spans="1:4">
      <c r="A83" s="67" t="s">
        <v>5558</v>
      </c>
      <c r="B83" s="71"/>
    </row>
    <row r="84" spans="1:4">
      <c r="A84" s="67" t="s">
        <v>10509</v>
      </c>
      <c r="B84" s="71"/>
    </row>
    <row r="85" spans="1:4">
      <c r="A85" s="67" t="s">
        <v>10510</v>
      </c>
      <c r="B85" s="71"/>
    </row>
    <row r="86" spans="1:4">
      <c r="A86" s="67" t="s">
        <v>10511</v>
      </c>
      <c r="B86" s="71"/>
    </row>
    <row r="87" spans="1:4">
      <c r="A87" s="67" t="s">
        <v>5564</v>
      </c>
      <c r="B87" s="71"/>
    </row>
    <row r="88" spans="1:4">
      <c r="A88" s="67" t="s">
        <v>10512</v>
      </c>
      <c r="B88" s="71"/>
    </row>
    <row r="89" spans="1:4">
      <c r="A89" s="67" t="s">
        <v>10513</v>
      </c>
      <c r="B89" s="71"/>
    </row>
    <row r="90" spans="1:4">
      <c r="A90" s="67" t="s">
        <v>5571</v>
      </c>
      <c r="B90" s="71"/>
    </row>
    <row r="91" spans="1:4">
      <c r="A91" s="67" t="s">
        <v>117</v>
      </c>
      <c r="B91" s="71"/>
    </row>
    <row r="92" spans="1:4">
      <c r="A92" s="67" t="s">
        <v>5573</v>
      </c>
      <c r="B92" s="71"/>
    </row>
    <row r="93" spans="1:4">
      <c r="A93" s="67" t="s">
        <v>10176</v>
      </c>
      <c r="B93" s="71"/>
    </row>
    <row r="94" spans="1:4">
      <c r="A94" s="67" t="s">
        <v>10514</v>
      </c>
      <c r="B94" s="71"/>
    </row>
    <row r="95" spans="1:4">
      <c r="A95" s="67" t="s">
        <v>10515</v>
      </c>
      <c r="B95" s="71"/>
    </row>
    <row r="96" spans="1:4" ht="15" customHeight="1">
      <c r="B96" s="71"/>
    </row>
    <row r="97" spans="1:4">
      <c r="A97" s="79" t="s">
        <v>333</v>
      </c>
      <c r="B97" s="42" t="s">
        <v>147</v>
      </c>
      <c r="C97" s="79" t="s">
        <v>148</v>
      </c>
      <c r="D97" s="79" t="s">
        <v>182</v>
      </c>
    </row>
    <row r="98" spans="1:4">
      <c r="A98" s="67" t="s">
        <v>10516</v>
      </c>
      <c r="B98" s="71"/>
    </row>
    <row r="99" spans="1:4">
      <c r="A99" s="67" t="s">
        <v>10517</v>
      </c>
      <c r="B99" s="71"/>
    </row>
    <row r="100" spans="1:4">
      <c r="A100" s="67" t="s">
        <v>5989</v>
      </c>
      <c r="B100" s="71"/>
    </row>
    <row r="101" spans="1:4">
      <c r="A101" s="67" t="s">
        <v>10518</v>
      </c>
      <c r="B101" s="71"/>
    </row>
    <row r="102" spans="1:4">
      <c r="A102" s="67" t="s">
        <v>10519</v>
      </c>
      <c r="B102" s="71"/>
    </row>
    <row r="103" spans="1:4">
      <c r="A103" s="67" t="s">
        <v>10520</v>
      </c>
      <c r="B103" s="71"/>
    </row>
    <row r="104" spans="1:4">
      <c r="A104" s="67" t="s">
        <v>10521</v>
      </c>
      <c r="B104" s="71"/>
    </row>
    <row r="105" spans="1:4">
      <c r="A105" s="67" t="s">
        <v>10522</v>
      </c>
      <c r="B105" s="71"/>
    </row>
    <row r="106" spans="1:4">
      <c r="A106" s="67" t="s">
        <v>10523</v>
      </c>
      <c r="B106" s="71"/>
    </row>
    <row r="107" spans="1:4">
      <c r="A107" s="67" t="s">
        <v>10524</v>
      </c>
      <c r="B107" s="71"/>
    </row>
    <row r="108" spans="1:4">
      <c r="A108" s="67" t="s">
        <v>10525</v>
      </c>
      <c r="B108" s="71"/>
    </row>
    <row r="109" spans="1:4">
      <c r="A109" s="67" t="s">
        <v>10526</v>
      </c>
      <c r="B109" s="71"/>
    </row>
    <row r="110" spans="1:4">
      <c r="A110" s="67" t="s">
        <v>10527</v>
      </c>
      <c r="B110" s="71"/>
    </row>
    <row r="111" spans="1:4">
      <c r="A111" s="67" t="s">
        <v>10528</v>
      </c>
      <c r="B111" s="71"/>
    </row>
    <row r="112" spans="1:4">
      <c r="A112" s="67" t="s">
        <v>10529</v>
      </c>
      <c r="B112" s="71"/>
    </row>
    <row r="113" spans="1:4">
      <c r="A113" s="67" t="s">
        <v>10530</v>
      </c>
      <c r="B113" s="71"/>
    </row>
    <row r="114" spans="1:4">
      <c r="A114" s="67" t="s">
        <v>10531</v>
      </c>
      <c r="B114" s="71"/>
    </row>
    <row r="115" spans="1:4">
      <c r="A115" s="67" t="s">
        <v>10532</v>
      </c>
      <c r="B115" s="71"/>
    </row>
    <row r="116" spans="1:4">
      <c r="A116" s="67" t="s">
        <v>10533</v>
      </c>
      <c r="B116" s="71"/>
    </row>
    <row r="117" spans="1:4">
      <c r="A117" s="67" t="s">
        <v>10534</v>
      </c>
      <c r="B117" s="71"/>
    </row>
    <row r="118" spans="1:4">
      <c r="A118" s="67" t="s">
        <v>10535</v>
      </c>
      <c r="B118" s="71"/>
    </row>
    <row r="119" spans="1:4">
      <c r="A119" s="67" t="s">
        <v>10536</v>
      </c>
      <c r="B119" s="71"/>
    </row>
    <row r="120" spans="1:4">
      <c r="A120" s="67" t="s">
        <v>10537</v>
      </c>
      <c r="B120" s="71"/>
    </row>
    <row r="121" spans="1:4">
      <c r="A121" s="67" t="s">
        <v>10538</v>
      </c>
      <c r="B121" s="71"/>
    </row>
    <row r="122" spans="1:4">
      <c r="A122" s="67" t="s">
        <v>10539</v>
      </c>
      <c r="B122" s="71"/>
    </row>
    <row r="123" spans="1:4">
      <c r="A123" s="67" t="s">
        <v>10540</v>
      </c>
      <c r="B123" s="71"/>
    </row>
    <row r="124" spans="1:4">
      <c r="A124" s="67" t="s">
        <v>10541</v>
      </c>
      <c r="B124" s="71"/>
    </row>
    <row r="125" spans="1:4">
      <c r="A125" s="67" t="s">
        <v>10542</v>
      </c>
      <c r="B125" s="71"/>
    </row>
    <row r="126" spans="1:4">
      <c r="A126" s="67" t="s">
        <v>10543</v>
      </c>
      <c r="B126" s="71"/>
    </row>
    <row r="127" spans="1:4" ht="15" customHeight="1">
      <c r="B127" s="71"/>
    </row>
    <row r="128" spans="1:4">
      <c r="A128" s="79" t="s">
        <v>394</v>
      </c>
      <c r="B128" s="42" t="s">
        <v>147</v>
      </c>
      <c r="C128" s="79" t="s">
        <v>148</v>
      </c>
      <c r="D128" s="79" t="s">
        <v>182</v>
      </c>
    </row>
    <row r="129" spans="1:2">
      <c r="A129" s="67" t="s">
        <v>10544</v>
      </c>
      <c r="B129" s="71"/>
    </row>
    <row r="130" spans="1:2">
      <c r="A130" s="67" t="s">
        <v>10545</v>
      </c>
      <c r="B130" s="71"/>
    </row>
    <row r="131" spans="1:2">
      <c r="A131" s="67" t="s">
        <v>10546</v>
      </c>
      <c r="B131" s="71"/>
    </row>
    <row r="132" spans="1:2">
      <c r="A132" s="67" t="s">
        <v>10547</v>
      </c>
      <c r="B132" s="71"/>
    </row>
    <row r="133" spans="1:2">
      <c r="A133" s="67" t="s">
        <v>10548</v>
      </c>
      <c r="B133" s="71"/>
    </row>
    <row r="134" spans="1:2">
      <c r="A134" s="67" t="s">
        <v>10549</v>
      </c>
      <c r="B134" s="71"/>
    </row>
    <row r="135" spans="1:2">
      <c r="A135" s="67" t="s">
        <v>10550</v>
      </c>
      <c r="B135" s="71"/>
    </row>
    <row r="136" spans="1:2">
      <c r="A136" s="67" t="s">
        <v>10551</v>
      </c>
      <c r="B136" s="71"/>
    </row>
    <row r="137" spans="1:2">
      <c r="A137" s="67" t="s">
        <v>10552</v>
      </c>
      <c r="B137" s="71"/>
    </row>
    <row r="138" spans="1:2">
      <c r="A138" s="67" t="s">
        <v>10553</v>
      </c>
      <c r="B138" s="71"/>
    </row>
    <row r="139" spans="1:2">
      <c r="A139" s="67" t="s">
        <v>10554</v>
      </c>
      <c r="B139" s="71"/>
    </row>
    <row r="140" spans="1:2">
      <c r="A140" s="67" t="s">
        <v>10555</v>
      </c>
      <c r="B140" s="71"/>
    </row>
    <row r="141" spans="1:2">
      <c r="A141" s="67" t="s">
        <v>10556</v>
      </c>
      <c r="B141" s="71"/>
    </row>
    <row r="142" spans="1:2">
      <c r="A142" s="67" t="s">
        <v>10557</v>
      </c>
      <c r="B142" s="71"/>
    </row>
    <row r="143" spans="1:2">
      <c r="A143" s="67" t="s">
        <v>10558</v>
      </c>
      <c r="B143" s="71"/>
    </row>
    <row r="144" spans="1:2">
      <c r="A144" s="67" t="s">
        <v>10559</v>
      </c>
      <c r="B144" s="71"/>
    </row>
    <row r="145" spans="1:2">
      <c r="A145" s="67" t="s">
        <v>10560</v>
      </c>
      <c r="B145" s="71"/>
    </row>
    <row r="146" spans="1:2">
      <c r="A146" s="67" t="s">
        <v>10561</v>
      </c>
      <c r="B146" s="71"/>
    </row>
    <row r="147" spans="1:2">
      <c r="A147" s="67" t="s">
        <v>10562</v>
      </c>
      <c r="B147" s="71"/>
    </row>
    <row r="148" spans="1:2">
      <c r="A148" s="67" t="s">
        <v>10563</v>
      </c>
      <c r="B148" s="71"/>
    </row>
    <row r="149" spans="1:2">
      <c r="A149" s="67" t="s">
        <v>10564</v>
      </c>
      <c r="B149" s="71"/>
    </row>
    <row r="150" spans="1:2">
      <c r="A150" s="67" t="s">
        <v>10565</v>
      </c>
      <c r="B150" s="71"/>
    </row>
    <row r="151" spans="1:2">
      <c r="A151" s="67" t="s">
        <v>10566</v>
      </c>
      <c r="B151" s="71"/>
    </row>
    <row r="152" spans="1:2">
      <c r="A152" s="67" t="s">
        <v>10567</v>
      </c>
      <c r="B152" s="71"/>
    </row>
    <row r="153" spans="1:2">
      <c r="A153" s="67" t="s">
        <v>10568</v>
      </c>
      <c r="B153" s="71"/>
    </row>
    <row r="154" spans="1:2">
      <c r="A154" s="67" t="s">
        <v>10569</v>
      </c>
      <c r="B154" s="71"/>
    </row>
    <row r="155" spans="1:2">
      <c r="A155" s="67" t="s">
        <v>10570</v>
      </c>
      <c r="B155" s="71"/>
    </row>
    <row r="156" spans="1:2">
      <c r="A156" s="67" t="s">
        <v>10571</v>
      </c>
      <c r="B156" s="71"/>
    </row>
    <row r="157" spans="1:2">
      <c r="A157" s="67" t="s">
        <v>10572</v>
      </c>
      <c r="B157" s="71"/>
    </row>
    <row r="158" spans="1:2">
      <c r="A158" s="67" t="s">
        <v>10573</v>
      </c>
      <c r="B158" s="71"/>
    </row>
    <row r="159" spans="1:2">
      <c r="A159" s="67" t="s">
        <v>10574</v>
      </c>
      <c r="B159" s="71"/>
    </row>
    <row r="160" spans="1:2">
      <c r="A160" s="67" t="s">
        <v>10575</v>
      </c>
      <c r="B160" s="71"/>
    </row>
    <row r="161" spans="1:2">
      <c r="A161" s="67" t="s">
        <v>10576</v>
      </c>
      <c r="B161" s="71"/>
    </row>
    <row r="162" spans="1:2">
      <c r="A162" s="67" t="s">
        <v>10577</v>
      </c>
      <c r="B162" s="71"/>
    </row>
    <row r="163" spans="1:2">
      <c r="A163" s="67" t="s">
        <v>10578</v>
      </c>
      <c r="B163" s="71"/>
    </row>
    <row r="164" spans="1:2">
      <c r="A164" s="67" t="s">
        <v>10579</v>
      </c>
      <c r="B164" s="71"/>
    </row>
    <row r="165" spans="1:2">
      <c r="A165" s="67" t="s">
        <v>10580</v>
      </c>
      <c r="B165" s="71"/>
    </row>
    <row r="166" spans="1:2">
      <c r="A166" s="67" t="s">
        <v>10581</v>
      </c>
      <c r="B166" s="71"/>
    </row>
    <row r="167" spans="1:2">
      <c r="A167" s="67" t="s">
        <v>10582</v>
      </c>
      <c r="B167" s="71"/>
    </row>
    <row r="168" spans="1:2">
      <c r="A168" s="67" t="s">
        <v>10583</v>
      </c>
      <c r="B168" s="71"/>
    </row>
    <row r="169" spans="1:2">
      <c r="A169" s="67" t="s">
        <v>10584</v>
      </c>
      <c r="B169" s="71"/>
    </row>
    <row r="170" spans="1:2">
      <c r="A170" s="67" t="s">
        <v>10585</v>
      </c>
      <c r="B170" s="71"/>
    </row>
    <row r="171" spans="1:2">
      <c r="A171" s="67" t="s">
        <v>10586</v>
      </c>
      <c r="B171" s="71"/>
    </row>
    <row r="172" spans="1:2">
      <c r="A172" s="67" t="s">
        <v>10587</v>
      </c>
      <c r="B172" s="71"/>
    </row>
    <row r="173" spans="1:2">
      <c r="A173" s="67" t="s">
        <v>10588</v>
      </c>
      <c r="B173" s="71"/>
    </row>
    <row r="174" spans="1:2">
      <c r="A174" s="67" t="s">
        <v>10589</v>
      </c>
      <c r="B174" s="71"/>
    </row>
    <row r="175" spans="1:2">
      <c r="A175" s="67" t="s">
        <v>10590</v>
      </c>
      <c r="B175" s="71"/>
    </row>
    <row r="176" spans="1:2">
      <c r="A176" s="67" t="s">
        <v>10591</v>
      </c>
      <c r="B176" s="71"/>
    </row>
    <row r="177" spans="1:2">
      <c r="A177" s="67" t="s">
        <v>10592</v>
      </c>
      <c r="B177" s="71"/>
    </row>
    <row r="178" spans="1:2">
      <c r="A178" s="67" t="s">
        <v>10593</v>
      </c>
      <c r="B178" s="71"/>
    </row>
    <row r="179" spans="1:2">
      <c r="A179" s="67" t="s">
        <v>10594</v>
      </c>
      <c r="B179" s="71"/>
    </row>
    <row r="180" spans="1:2">
      <c r="A180" s="67" t="s">
        <v>10595</v>
      </c>
      <c r="B180" s="71"/>
    </row>
    <row r="181" spans="1:2">
      <c r="A181" s="67" t="s">
        <v>10596</v>
      </c>
      <c r="B181" s="71"/>
    </row>
    <row r="182" spans="1:2">
      <c r="A182" s="67" t="s">
        <v>10597</v>
      </c>
      <c r="B182" s="71"/>
    </row>
    <row r="183" spans="1:2">
      <c r="A183" s="67" t="s">
        <v>10598</v>
      </c>
      <c r="B183" s="71"/>
    </row>
    <row r="184" spans="1:2">
      <c r="A184" s="67" t="s">
        <v>10599</v>
      </c>
      <c r="B184" s="71"/>
    </row>
    <row r="185" spans="1:2">
      <c r="A185" s="67" t="s">
        <v>10600</v>
      </c>
      <c r="B185" s="71"/>
    </row>
    <row r="186" spans="1:2">
      <c r="A186" s="67" t="s">
        <v>10601</v>
      </c>
      <c r="B186" s="71"/>
    </row>
    <row r="187" spans="1:2">
      <c r="A187" s="67" t="s">
        <v>10602</v>
      </c>
      <c r="B187" s="71"/>
    </row>
    <row r="188" spans="1:2">
      <c r="A188" s="67" t="s">
        <v>10603</v>
      </c>
      <c r="B188" s="71"/>
    </row>
    <row r="189" spans="1:2">
      <c r="A189" s="67" t="s">
        <v>10604</v>
      </c>
      <c r="B189" s="71"/>
    </row>
    <row r="190" spans="1:2">
      <c r="A190" s="67" t="s">
        <v>10605</v>
      </c>
      <c r="B190" s="71"/>
    </row>
    <row r="191" spans="1:2">
      <c r="A191" s="67" t="s">
        <v>10606</v>
      </c>
      <c r="B191" s="71"/>
    </row>
    <row r="192" spans="1:2">
      <c r="A192" s="67" t="s">
        <v>10607</v>
      </c>
      <c r="B192" s="71"/>
    </row>
    <row r="193" spans="1:2">
      <c r="A193" s="67" t="s">
        <v>10608</v>
      </c>
      <c r="B193" s="71"/>
    </row>
    <row r="194" spans="1:2">
      <c r="A194" s="67" t="s">
        <v>10609</v>
      </c>
      <c r="B194" s="71"/>
    </row>
    <row r="195" spans="1:2">
      <c r="A195" s="67" t="s">
        <v>10610</v>
      </c>
      <c r="B195" s="71"/>
    </row>
    <row r="196" spans="1:2">
      <c r="A196" s="67" t="s">
        <v>10611</v>
      </c>
      <c r="B196" s="71"/>
    </row>
    <row r="197" spans="1:2">
      <c r="A197" s="67" t="s">
        <v>10612</v>
      </c>
      <c r="B197" s="71"/>
    </row>
    <row r="198" spans="1:2">
      <c r="A198" s="67" t="s">
        <v>10613</v>
      </c>
      <c r="B198" s="71"/>
    </row>
    <row r="199" spans="1:2">
      <c r="A199" s="67" t="s">
        <v>10614</v>
      </c>
      <c r="B199" s="71"/>
    </row>
    <row r="200" spans="1:2">
      <c r="A200" s="67" t="s">
        <v>10615</v>
      </c>
      <c r="B200" s="71"/>
    </row>
    <row r="201" spans="1:2">
      <c r="A201" s="67" t="s">
        <v>10616</v>
      </c>
      <c r="B201" s="71"/>
    </row>
    <row r="202" spans="1:2">
      <c r="A202" s="67" t="s">
        <v>10617</v>
      </c>
      <c r="B202" s="71"/>
    </row>
    <row r="203" spans="1:2">
      <c r="A203" s="67" t="s">
        <v>10618</v>
      </c>
      <c r="B203" s="71"/>
    </row>
    <row r="204" spans="1:2">
      <c r="A204" s="67" t="s">
        <v>10619</v>
      </c>
      <c r="B204" s="71"/>
    </row>
    <row r="205" spans="1:2">
      <c r="A205" s="67" t="s">
        <v>10620</v>
      </c>
      <c r="B205" s="71"/>
    </row>
    <row r="206" spans="1:2">
      <c r="A206" s="67" t="s">
        <v>10621</v>
      </c>
      <c r="B206" s="71"/>
    </row>
    <row r="207" spans="1:2">
      <c r="A207" s="67" t="s">
        <v>10622</v>
      </c>
      <c r="B207" s="71"/>
    </row>
    <row r="208" spans="1:2">
      <c r="A208" s="67" t="s">
        <v>10623</v>
      </c>
      <c r="B208" s="71"/>
    </row>
    <row r="209" spans="1:2">
      <c r="A209" s="67" t="s">
        <v>10624</v>
      </c>
      <c r="B209" s="71"/>
    </row>
    <row r="210" spans="1:2">
      <c r="A210" s="67" t="s">
        <v>10625</v>
      </c>
      <c r="B210" s="71"/>
    </row>
    <row r="211" spans="1:2">
      <c r="A211" s="67" t="s">
        <v>10626</v>
      </c>
      <c r="B211" s="71"/>
    </row>
    <row r="212" spans="1:2">
      <c r="A212" s="67" t="s">
        <v>10627</v>
      </c>
      <c r="B212" s="71"/>
    </row>
    <row r="213" spans="1:2">
      <c r="A213" s="67" t="s">
        <v>10628</v>
      </c>
      <c r="B213" s="71"/>
    </row>
    <row r="214" spans="1:2">
      <c r="A214" s="67" t="s">
        <v>10629</v>
      </c>
      <c r="B214" s="71"/>
    </row>
    <row r="215" spans="1:2">
      <c r="A215" s="67" t="s">
        <v>10630</v>
      </c>
      <c r="B215" s="71"/>
    </row>
    <row r="216" spans="1:2">
      <c r="A216" s="67" t="s">
        <v>10631</v>
      </c>
      <c r="B216" s="71"/>
    </row>
    <row r="217" spans="1:2">
      <c r="A217" s="67" t="s">
        <v>10632</v>
      </c>
      <c r="B217" s="71"/>
    </row>
    <row r="218" spans="1:2">
      <c r="A218" s="67" t="s">
        <v>10633</v>
      </c>
      <c r="B218" s="71"/>
    </row>
    <row r="219" spans="1:2">
      <c r="A219" s="67" t="s">
        <v>10634</v>
      </c>
      <c r="B219" s="71"/>
    </row>
    <row r="220" spans="1:2">
      <c r="A220" s="67" t="s">
        <v>10635</v>
      </c>
      <c r="B220" s="71"/>
    </row>
    <row r="221" spans="1:2">
      <c r="A221" s="67" t="s">
        <v>10636</v>
      </c>
      <c r="B221" s="71"/>
    </row>
    <row r="222" spans="1:2">
      <c r="A222" s="67" t="s">
        <v>10637</v>
      </c>
      <c r="B222" s="71"/>
    </row>
    <row r="223" spans="1:2">
      <c r="A223" s="67" t="s">
        <v>10638</v>
      </c>
      <c r="B223" s="71"/>
    </row>
    <row r="224" spans="1:2">
      <c r="A224" s="67" t="s">
        <v>10639</v>
      </c>
      <c r="B224" s="71"/>
    </row>
    <row r="225" spans="1:4">
      <c r="A225" s="67" t="s">
        <v>10640</v>
      </c>
      <c r="B225" s="71"/>
    </row>
    <row r="226" spans="1:4">
      <c r="A226" s="67" t="s">
        <v>10641</v>
      </c>
      <c r="B226" s="71"/>
    </row>
    <row r="227" spans="1:4">
      <c r="A227" s="67" t="s">
        <v>10642</v>
      </c>
      <c r="B227" s="71"/>
    </row>
    <row r="228" spans="1:4">
      <c r="A228" s="67" t="s">
        <v>10643</v>
      </c>
      <c r="B228" s="71"/>
    </row>
    <row r="229" spans="1:4" ht="15" customHeight="1">
      <c r="B229" s="71"/>
    </row>
    <row r="230" spans="1:4">
      <c r="A230" s="79" t="s">
        <v>428</v>
      </c>
      <c r="B230" s="42" t="s">
        <v>147</v>
      </c>
      <c r="C230" s="79" t="s">
        <v>148</v>
      </c>
      <c r="D230"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E22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10644</v>
      </c>
      <c r="B2" s="70" t="s">
        <v>10645</v>
      </c>
      <c r="C2" s="67" t="s">
        <v>10646</v>
      </c>
      <c r="D2" s="67" t="s">
        <v>10647</v>
      </c>
    </row>
    <row r="3" spans="1:4">
      <c r="A3" s="67" t="s">
        <v>10648</v>
      </c>
      <c r="B3" s="70" t="s">
        <v>10649</v>
      </c>
      <c r="C3" s="67" t="s">
        <v>10650</v>
      </c>
      <c r="D3" s="67" t="s">
        <v>10651</v>
      </c>
    </row>
    <row r="4" spans="1:4">
      <c r="A4" s="67" t="s">
        <v>10652</v>
      </c>
      <c r="B4" t="s">
        <v>10649</v>
      </c>
      <c r="C4" s="34" t="s">
        <v>10653</v>
      </c>
      <c r="D4" s="40" t="s">
        <v>10654</v>
      </c>
    </row>
    <row r="5" spans="1:4">
      <c r="A5" s="67" t="s">
        <v>10655</v>
      </c>
      <c r="C5" s="34"/>
      <c r="D5" s="11" t="s">
        <v>10656</v>
      </c>
    </row>
    <row r="6" spans="1:4" ht="15" customHeight="1">
      <c r="A6" t="s">
        <v>10657</v>
      </c>
      <c r="B6" t="s">
        <v>10658</v>
      </c>
      <c r="C6" s="34"/>
      <c r="D6" t="s">
        <v>10659</v>
      </c>
    </row>
    <row r="7" spans="1:4" ht="15" customHeight="1">
      <c r="C7" s="34"/>
    </row>
    <row r="8" spans="1:4">
      <c r="A8" s="79" t="s">
        <v>209</v>
      </c>
      <c r="B8" s="79" t="s">
        <v>147</v>
      </c>
      <c r="C8" s="79" t="s">
        <v>148</v>
      </c>
      <c r="D8" s="79" t="s">
        <v>182</v>
      </c>
    </row>
    <row r="9" spans="1:4">
      <c r="A9" s="67" t="s">
        <v>6085</v>
      </c>
      <c r="C9" s="34"/>
    </row>
    <row r="10" spans="1:4">
      <c r="A10" s="67" t="s">
        <v>10660</v>
      </c>
      <c r="C10" s="34"/>
    </row>
    <row r="11" spans="1:4">
      <c r="A11" s="67" t="s">
        <v>10661</v>
      </c>
      <c r="C11" s="34"/>
      <c r="D11" t="s">
        <v>10662</v>
      </c>
    </row>
    <row r="12" spans="1:4">
      <c r="A12" s="67" t="s">
        <v>10663</v>
      </c>
      <c r="B12" t="s">
        <v>10664</v>
      </c>
      <c r="C12" s="34"/>
      <c r="D12" t="s">
        <v>10665</v>
      </c>
    </row>
    <row r="13" spans="1:4">
      <c r="A13" s="67" t="s">
        <v>10666</v>
      </c>
      <c r="B13" t="s">
        <v>10667</v>
      </c>
      <c r="C13" s="34"/>
      <c r="D13" t="s">
        <v>10668</v>
      </c>
    </row>
    <row r="14" spans="1:4">
      <c r="A14" s="67" t="s">
        <v>8656</v>
      </c>
      <c r="C14" s="34"/>
    </row>
    <row r="15" spans="1:4">
      <c r="A15" s="67" t="s">
        <v>10669</v>
      </c>
      <c r="C15" s="34"/>
    </row>
    <row r="16" spans="1:4">
      <c r="A16" s="67" t="s">
        <v>7243</v>
      </c>
      <c r="C16" s="34"/>
    </row>
    <row r="17" spans="1:4">
      <c r="A17" s="67" t="s">
        <v>10670</v>
      </c>
      <c r="C17" s="34" t="s">
        <v>10671</v>
      </c>
      <c r="D17" t="s">
        <v>10672</v>
      </c>
    </row>
    <row r="18" spans="1:4">
      <c r="A18" s="67" t="s">
        <v>8512</v>
      </c>
      <c r="C18" s="34"/>
      <c r="D18" t="s">
        <v>10673</v>
      </c>
    </row>
    <row r="19" spans="1:4">
      <c r="A19" s="67" t="s">
        <v>6138</v>
      </c>
      <c r="C19" s="34"/>
    </row>
    <row r="20" spans="1:4">
      <c r="A20" s="67" t="s">
        <v>8364</v>
      </c>
      <c r="C20" s="34" t="s">
        <v>10674</v>
      </c>
      <c r="D20" t="s">
        <v>10675</v>
      </c>
    </row>
    <row r="21" spans="1:4">
      <c r="A21" s="67" t="s">
        <v>10676</v>
      </c>
      <c r="C21" s="34"/>
    </row>
    <row r="22" spans="1:4">
      <c r="A22" s="67" t="s">
        <v>10677</v>
      </c>
      <c r="B22" t="s">
        <v>10678</v>
      </c>
      <c r="C22" s="34" t="s">
        <v>10679</v>
      </c>
      <c r="D22" t="s">
        <v>10680</v>
      </c>
    </row>
    <row r="23" spans="1:4">
      <c r="A23" s="67" t="s">
        <v>10681</v>
      </c>
      <c r="C23" s="34"/>
    </row>
    <row r="24" spans="1:4">
      <c r="A24" s="67" t="s">
        <v>6521</v>
      </c>
      <c r="B24" t="s">
        <v>10682</v>
      </c>
      <c r="C24" s="34" t="s">
        <v>10683</v>
      </c>
      <c r="D24" t="s">
        <v>10684</v>
      </c>
    </row>
    <row r="25" spans="1:4">
      <c r="A25" s="67" t="s">
        <v>10685</v>
      </c>
      <c r="C25" s="34"/>
    </row>
    <row r="26" spans="1:4">
      <c r="A26" s="67" t="s">
        <v>10686</v>
      </c>
      <c r="C26" s="34"/>
    </row>
    <row r="27" spans="1:4">
      <c r="A27" s="67" t="s">
        <v>10687</v>
      </c>
      <c r="B27" t="s">
        <v>10688</v>
      </c>
      <c r="C27" s="34" t="s">
        <v>10689</v>
      </c>
      <c r="D27" t="s">
        <v>10690</v>
      </c>
    </row>
    <row r="28" spans="1:4">
      <c r="A28" s="67" t="s">
        <v>8661</v>
      </c>
      <c r="B28" t="s">
        <v>10691</v>
      </c>
      <c r="C28" s="34"/>
      <c r="D28" t="s">
        <v>10692</v>
      </c>
    </row>
    <row r="29" spans="1:4">
      <c r="A29" s="67" t="s">
        <v>5783</v>
      </c>
      <c r="C29" s="34"/>
      <c r="D29" t="s">
        <v>10693</v>
      </c>
    </row>
    <row r="30" spans="1:4">
      <c r="A30" s="67" t="s">
        <v>10694</v>
      </c>
      <c r="C30" s="34"/>
    </row>
    <row r="31" spans="1:4">
      <c r="A31" s="67" t="s">
        <v>6541</v>
      </c>
      <c r="C31" s="34" t="s">
        <v>10695</v>
      </c>
    </row>
    <row r="32" spans="1:4">
      <c r="A32" s="67" t="s">
        <v>8668</v>
      </c>
      <c r="C32" s="34" t="s">
        <v>10696</v>
      </c>
      <c r="D32" t="s">
        <v>10697</v>
      </c>
    </row>
    <row r="33" spans="1:4">
      <c r="A33" s="67" t="s">
        <v>10698</v>
      </c>
      <c r="C33" s="34"/>
    </row>
    <row r="34" spans="1:4">
      <c r="A34" s="67" t="s">
        <v>10699</v>
      </c>
      <c r="B34" t="s">
        <v>10700</v>
      </c>
      <c r="C34" s="34"/>
      <c r="D34" t="s">
        <v>10701</v>
      </c>
    </row>
    <row r="35" spans="1:4">
      <c r="A35" s="67" t="s">
        <v>5806</v>
      </c>
      <c r="C35" s="34"/>
      <c r="D35" t="s">
        <v>10702</v>
      </c>
    </row>
    <row r="36" spans="1:4">
      <c r="A36" s="67" t="s">
        <v>10703</v>
      </c>
      <c r="C36" s="34"/>
      <c r="D36" t="s">
        <v>10704</v>
      </c>
    </row>
    <row r="37" spans="1:4">
      <c r="A37" s="67" t="s">
        <v>10705</v>
      </c>
      <c r="C37" s="34"/>
    </row>
    <row r="38" spans="1:4">
      <c r="A38" s="67" t="s">
        <v>6570</v>
      </c>
      <c r="C38" s="34"/>
      <c r="D38" t="s">
        <v>10706</v>
      </c>
    </row>
    <row r="39" spans="1:4">
      <c r="A39" s="67" t="s">
        <v>6575</v>
      </c>
      <c r="C39" s="34"/>
    </row>
    <row r="40" spans="1:4">
      <c r="A40" s="67" t="s">
        <v>10707</v>
      </c>
      <c r="C40" s="34"/>
    </row>
    <row r="41" spans="1:4">
      <c r="A41" s="67" t="s">
        <v>5466</v>
      </c>
      <c r="C41" s="34"/>
      <c r="D41" t="s">
        <v>10708</v>
      </c>
    </row>
    <row r="42" spans="1:4">
      <c r="A42" s="67" t="s">
        <v>5187</v>
      </c>
      <c r="C42" s="34"/>
      <c r="D42" t="s">
        <v>10709</v>
      </c>
    </row>
    <row r="43" spans="1:4">
      <c r="A43" s="67" t="s">
        <v>9916</v>
      </c>
      <c r="C43" s="34"/>
    </row>
    <row r="44" spans="1:4">
      <c r="A44" s="67" t="s">
        <v>10710</v>
      </c>
      <c r="B44" t="s">
        <v>10711</v>
      </c>
      <c r="C44" s="34"/>
      <c r="D44" t="s">
        <v>10712</v>
      </c>
    </row>
    <row r="45" spans="1:4">
      <c r="A45" s="67" t="s">
        <v>10713</v>
      </c>
      <c r="C45" s="34" t="s">
        <v>10714</v>
      </c>
      <c r="D45" t="s">
        <v>10715</v>
      </c>
    </row>
    <row r="46" spans="1:4">
      <c r="A46" s="67" t="s">
        <v>6592</v>
      </c>
      <c r="B46" t="s">
        <v>10716</v>
      </c>
      <c r="C46" s="34"/>
    </row>
    <row r="47" spans="1:4">
      <c r="A47" s="67" t="s">
        <v>10717</v>
      </c>
      <c r="C47" s="34"/>
    </row>
    <row r="48" spans="1:4">
      <c r="A48" s="67" t="s">
        <v>10718</v>
      </c>
      <c r="B48" t="s">
        <v>10719</v>
      </c>
      <c r="C48" s="34"/>
    </row>
    <row r="49" spans="1:4">
      <c r="A49" s="67" t="s">
        <v>5206</v>
      </c>
      <c r="B49" t="s">
        <v>10720</v>
      </c>
      <c r="C49" s="34" t="s">
        <v>10721</v>
      </c>
    </row>
    <row r="50" spans="1:4">
      <c r="A50" s="67" t="s">
        <v>5500</v>
      </c>
      <c r="C50" s="34"/>
      <c r="D50" t="s">
        <v>10722</v>
      </c>
    </row>
    <row r="51" spans="1:4">
      <c r="A51" s="67" t="s">
        <v>10723</v>
      </c>
      <c r="C51" s="34"/>
      <c r="D51" t="s">
        <v>10724</v>
      </c>
    </row>
    <row r="52" spans="1:4">
      <c r="A52" s="67" t="s">
        <v>10725</v>
      </c>
      <c r="C52" s="34"/>
    </row>
    <row r="53" spans="1:4">
      <c r="A53" s="67" t="s">
        <v>5509</v>
      </c>
      <c r="C53" s="34"/>
      <c r="D53" t="s">
        <v>10726</v>
      </c>
    </row>
    <row r="54" spans="1:4">
      <c r="A54" s="67" t="s">
        <v>10727</v>
      </c>
      <c r="C54" s="34"/>
      <c r="D54" t="s">
        <v>10728</v>
      </c>
    </row>
    <row r="55" spans="1:4">
      <c r="A55" s="67" t="s">
        <v>10729</v>
      </c>
      <c r="B55" t="s">
        <v>10730</v>
      </c>
      <c r="C55" s="34"/>
      <c r="D55" t="s">
        <v>10731</v>
      </c>
    </row>
    <row r="56" spans="1:4">
      <c r="A56" s="67" t="s">
        <v>10732</v>
      </c>
      <c r="C56" s="34"/>
      <c r="D56" t="s">
        <v>10733</v>
      </c>
    </row>
    <row r="57" spans="1:4">
      <c r="A57" s="67" t="s">
        <v>10125</v>
      </c>
      <c r="C57" s="34"/>
    </row>
    <row r="58" spans="1:4">
      <c r="A58" s="67" t="s">
        <v>8248</v>
      </c>
      <c r="C58" s="34"/>
      <c r="D58" t="s">
        <v>10734</v>
      </c>
    </row>
    <row r="59" spans="1:4">
      <c r="A59" s="67" t="s">
        <v>10735</v>
      </c>
      <c r="C59" s="34"/>
      <c r="D59" t="s">
        <v>10736</v>
      </c>
    </row>
    <row r="60" spans="1:4">
      <c r="A60" s="67" t="s">
        <v>10737</v>
      </c>
      <c r="C60" s="34"/>
      <c r="D60" t="s">
        <v>10738</v>
      </c>
    </row>
    <row r="61" spans="1:4">
      <c r="A61" s="67" t="s">
        <v>10739</v>
      </c>
      <c r="C61" s="34"/>
      <c r="D61" t="s">
        <v>10740</v>
      </c>
    </row>
    <row r="62" spans="1:4">
      <c r="A62" s="67" t="s">
        <v>10741</v>
      </c>
      <c r="C62" s="34" t="s">
        <v>10689</v>
      </c>
    </row>
    <row r="63" spans="1:4">
      <c r="A63" s="67" t="s">
        <v>95</v>
      </c>
      <c r="B63" t="s">
        <v>10742</v>
      </c>
      <c r="C63" s="34" t="s">
        <v>10743</v>
      </c>
      <c r="D63" t="s">
        <v>10744</v>
      </c>
    </row>
    <row r="64" spans="1:4">
      <c r="A64" s="67" t="s">
        <v>10745</v>
      </c>
      <c r="B64" t="s">
        <v>10746</v>
      </c>
      <c r="C64" s="34" t="s">
        <v>10747</v>
      </c>
      <c r="D64" t="s">
        <v>10748</v>
      </c>
    </row>
    <row r="65" spans="1:4">
      <c r="A65" s="67" t="s">
        <v>6636</v>
      </c>
      <c r="C65" s="34"/>
    </row>
    <row r="66" spans="1:4">
      <c r="A66" s="67" t="s">
        <v>6640</v>
      </c>
      <c r="C66" s="34"/>
      <c r="D66" t="s">
        <v>10749</v>
      </c>
    </row>
    <row r="67" spans="1:4">
      <c r="A67" s="67" t="s">
        <v>6642</v>
      </c>
      <c r="C67" s="34"/>
      <c r="D67" t="s">
        <v>10750</v>
      </c>
    </row>
    <row r="68" spans="1:4">
      <c r="A68" s="67" t="s">
        <v>10751</v>
      </c>
      <c r="C68" s="34"/>
      <c r="D68" t="s">
        <v>10752</v>
      </c>
    </row>
    <row r="69" spans="1:4">
      <c r="A69" s="67" t="s">
        <v>10753</v>
      </c>
      <c r="C69" s="34"/>
      <c r="D69" t="s">
        <v>10754</v>
      </c>
    </row>
    <row r="70" spans="1:4">
      <c r="A70" s="67" t="s">
        <v>10755</v>
      </c>
      <c r="B70" t="s">
        <v>10756</v>
      </c>
      <c r="C70" s="34"/>
      <c r="D70" t="s">
        <v>10757</v>
      </c>
    </row>
    <row r="71" spans="1:4">
      <c r="A71" s="67" t="s">
        <v>10758</v>
      </c>
      <c r="B71" t="s">
        <v>10759</v>
      </c>
      <c r="C71" s="34"/>
      <c r="D71" t="s">
        <v>10760</v>
      </c>
    </row>
    <row r="72" spans="1:4">
      <c r="A72" s="67" t="s">
        <v>10761</v>
      </c>
      <c r="C72" s="34" t="s">
        <v>10762</v>
      </c>
    </row>
    <row r="73" spans="1:4">
      <c r="A73" s="67" t="s">
        <v>10763</v>
      </c>
      <c r="C73" s="34"/>
      <c r="D73" t="s">
        <v>10764</v>
      </c>
    </row>
    <row r="74" spans="1:4">
      <c r="A74" s="67" t="s">
        <v>10765</v>
      </c>
      <c r="C74" s="34"/>
      <c r="D74" t="s">
        <v>10766</v>
      </c>
    </row>
    <row r="75" spans="1:4">
      <c r="A75" s="67" t="s">
        <v>10767</v>
      </c>
      <c r="C75" s="34"/>
      <c r="D75" t="s">
        <v>10768</v>
      </c>
    </row>
    <row r="76" spans="1:4">
      <c r="A76" s="67" t="s">
        <v>10769</v>
      </c>
      <c r="C76" s="34" t="s">
        <v>10770</v>
      </c>
    </row>
    <row r="77" spans="1:4">
      <c r="A77" s="67" t="s">
        <v>10771</v>
      </c>
      <c r="C77" s="34"/>
      <c r="D77" t="s">
        <v>10772</v>
      </c>
    </row>
    <row r="78" spans="1:4">
      <c r="A78" s="67" t="s">
        <v>109</v>
      </c>
      <c r="C78" s="34"/>
      <c r="D78" t="s">
        <v>10773</v>
      </c>
    </row>
    <row r="79" spans="1:4">
      <c r="A79" s="67" t="s">
        <v>10774</v>
      </c>
      <c r="C79" s="34"/>
      <c r="D79" t="s">
        <v>10775</v>
      </c>
    </row>
    <row r="80" spans="1:4">
      <c r="A80" s="67" t="s">
        <v>10776</v>
      </c>
      <c r="B80" t="s">
        <v>10777</v>
      </c>
      <c r="C80" s="34" t="s">
        <v>10778</v>
      </c>
      <c r="D80" t="s">
        <v>10779</v>
      </c>
    </row>
    <row r="81" spans="1:4">
      <c r="A81" s="67" t="s">
        <v>10780</v>
      </c>
      <c r="C81" s="34"/>
      <c r="D81" t="s">
        <v>10781</v>
      </c>
    </row>
    <row r="82" spans="1:4">
      <c r="A82" s="67" t="s">
        <v>117</v>
      </c>
      <c r="C82" s="34" t="s">
        <v>10782</v>
      </c>
      <c r="D82" t="s">
        <v>10783</v>
      </c>
    </row>
    <row r="83" spans="1:4">
      <c r="A83" s="67" t="s">
        <v>10784</v>
      </c>
      <c r="C83" s="34"/>
    </row>
    <row r="84" spans="1:4">
      <c r="A84" s="67" t="s">
        <v>10785</v>
      </c>
      <c r="B84" t="s">
        <v>10786</v>
      </c>
      <c r="C84" s="34"/>
    </row>
    <row r="85" spans="1:4">
      <c r="A85" s="67" t="s">
        <v>10787</v>
      </c>
      <c r="C85" s="34" t="s">
        <v>10788</v>
      </c>
      <c r="D85" t="s">
        <v>10789</v>
      </c>
    </row>
    <row r="86" spans="1:4" ht="15" customHeight="1">
      <c r="C86" s="34"/>
    </row>
    <row r="87" spans="1:4">
      <c r="A87" s="79" t="s">
        <v>333</v>
      </c>
      <c r="B87" s="72"/>
      <c r="C87" s="89"/>
      <c r="D87" s="72"/>
    </row>
    <row r="88" spans="1:4">
      <c r="A88" s="12" t="s">
        <v>10790</v>
      </c>
      <c r="C88" s="34"/>
      <c r="D88" t="s">
        <v>10791</v>
      </c>
    </row>
    <row r="89" spans="1:4">
      <c r="A89" s="12" t="s">
        <v>10792</v>
      </c>
      <c r="C89" s="34"/>
      <c r="D89" t="s">
        <v>10793</v>
      </c>
    </row>
    <row r="90" spans="1:4">
      <c r="A90" s="12" t="s">
        <v>10794</v>
      </c>
      <c r="C90" s="34"/>
      <c r="D90" t="s">
        <v>10795</v>
      </c>
    </row>
    <row r="91" spans="1:4">
      <c r="A91" s="67" t="s">
        <v>10796</v>
      </c>
      <c r="C91" s="34"/>
      <c r="D91" t="s">
        <v>10797</v>
      </c>
    </row>
    <row r="92" spans="1:4">
      <c r="A92" s="67" t="s">
        <v>10798</v>
      </c>
      <c r="B92" t="s">
        <v>10799</v>
      </c>
      <c r="C92" s="34" t="s">
        <v>6757</v>
      </c>
      <c r="D92" t="s">
        <v>10800</v>
      </c>
    </row>
    <row r="93" spans="1:4">
      <c r="A93" s="67" t="s">
        <v>10801</v>
      </c>
      <c r="C93" s="34"/>
      <c r="D93" t="s">
        <v>10802</v>
      </c>
    </row>
    <row r="94" spans="1:4">
      <c r="A94" s="67" t="s">
        <v>10803</v>
      </c>
      <c r="B94" t="s">
        <v>10804</v>
      </c>
      <c r="C94" s="34" t="s">
        <v>10805</v>
      </c>
      <c r="D94" t="s">
        <v>10806</v>
      </c>
    </row>
    <row r="95" spans="1:4">
      <c r="A95" s="67" t="s">
        <v>10807</v>
      </c>
      <c r="B95" t="s">
        <v>10808</v>
      </c>
      <c r="C95" s="34" t="s">
        <v>10809</v>
      </c>
      <c r="D95" t="s">
        <v>10810</v>
      </c>
    </row>
    <row r="96" spans="1:4">
      <c r="A96" s="67" t="s">
        <v>5989</v>
      </c>
      <c r="B96" t="s">
        <v>5990</v>
      </c>
      <c r="C96" s="34" t="s">
        <v>5991</v>
      </c>
      <c r="D96" t="s">
        <v>5992</v>
      </c>
    </row>
    <row r="97" spans="1:4">
      <c r="A97" s="67" t="s">
        <v>10811</v>
      </c>
      <c r="B97" t="s">
        <v>10812</v>
      </c>
      <c r="C97" s="34"/>
      <c r="D97" t="s">
        <v>10813</v>
      </c>
    </row>
    <row r="98" spans="1:4" ht="15" customHeight="1">
      <c r="A98" t="s">
        <v>10814</v>
      </c>
      <c r="B98" t="s">
        <v>10815</v>
      </c>
      <c r="C98" s="34"/>
      <c r="D98" t="s">
        <v>10816</v>
      </c>
    </row>
    <row r="99" spans="1:4" ht="15" customHeight="1">
      <c r="A99" t="s">
        <v>10817</v>
      </c>
      <c r="C99" s="34"/>
      <c r="D99" t="s">
        <v>10818</v>
      </c>
    </row>
    <row r="100" spans="1:4" ht="15" customHeight="1">
      <c r="A100" t="s">
        <v>10819</v>
      </c>
      <c r="B100" t="s">
        <v>10820</v>
      </c>
      <c r="C100" s="34" t="s">
        <v>10821</v>
      </c>
      <c r="D100" t="s">
        <v>10822</v>
      </c>
    </row>
    <row r="101" spans="1:4" ht="15" customHeight="1">
      <c r="C101" s="34"/>
    </row>
    <row r="102" spans="1:4">
      <c r="A102" s="79" t="s">
        <v>878</v>
      </c>
      <c r="B102" s="72"/>
      <c r="C102" s="89"/>
      <c r="D102" s="72"/>
    </row>
    <row r="103" spans="1:4">
      <c r="A103" s="67" t="s">
        <v>10823</v>
      </c>
      <c r="C103" s="34"/>
      <c r="D103" t="s">
        <v>10824</v>
      </c>
    </row>
    <row r="104" spans="1:4">
      <c r="A104" s="67" t="s">
        <v>10825</v>
      </c>
      <c r="C104" s="34"/>
      <c r="D104" t="s">
        <v>10826</v>
      </c>
    </row>
    <row r="105" spans="1:4">
      <c r="A105" s="67" t="s">
        <v>10827</v>
      </c>
      <c r="C105" s="34"/>
    </row>
    <row r="106" spans="1:4">
      <c r="A106" s="67" t="s">
        <v>10828</v>
      </c>
      <c r="C106" s="34"/>
      <c r="D106" t="s">
        <v>10829</v>
      </c>
    </row>
    <row r="107" spans="1:4">
      <c r="A107" s="67" t="s">
        <v>10830</v>
      </c>
      <c r="C107" s="34"/>
      <c r="D107" t="s">
        <v>10829</v>
      </c>
    </row>
    <row r="108" spans="1:4">
      <c r="A108" s="67" t="s">
        <v>10831</v>
      </c>
      <c r="C108" s="34"/>
      <c r="D108" t="s">
        <v>10832</v>
      </c>
    </row>
    <row r="109" spans="1:4">
      <c r="A109" s="67" t="s">
        <v>10833</v>
      </c>
      <c r="C109" s="34"/>
      <c r="D109" t="s">
        <v>10834</v>
      </c>
    </row>
    <row r="110" spans="1:4">
      <c r="A110" s="67" t="s">
        <v>10835</v>
      </c>
      <c r="C110" s="34"/>
      <c r="D110" t="s">
        <v>10836</v>
      </c>
    </row>
    <row r="111" spans="1:4">
      <c r="A111" s="67" t="s">
        <v>10837</v>
      </c>
      <c r="C111" s="34"/>
      <c r="D111" t="s">
        <v>10838</v>
      </c>
    </row>
    <row r="112" spans="1:4">
      <c r="A112" s="67" t="s">
        <v>10839</v>
      </c>
      <c r="C112" s="34"/>
      <c r="D112" t="s">
        <v>10840</v>
      </c>
    </row>
    <row r="113" spans="1:5">
      <c r="A113" s="67" t="s">
        <v>10841</v>
      </c>
      <c r="C113" s="34"/>
      <c r="D113" t="s">
        <v>10842</v>
      </c>
    </row>
    <row r="114" spans="1:5">
      <c r="A114" s="67" t="s">
        <v>10843</v>
      </c>
      <c r="C114" s="34"/>
      <c r="D114" t="s">
        <v>10844</v>
      </c>
    </row>
    <row r="115" spans="1:5">
      <c r="A115" s="67" t="s">
        <v>10845</v>
      </c>
      <c r="C115" s="34"/>
      <c r="D115" t="s">
        <v>10846</v>
      </c>
    </row>
    <row r="116" spans="1:5">
      <c r="A116" s="67" t="s">
        <v>10847</v>
      </c>
      <c r="C116" s="34"/>
      <c r="D116" t="s">
        <v>10848</v>
      </c>
      <c r="E116" t="s">
        <v>10849</v>
      </c>
    </row>
    <row r="117" spans="1:5">
      <c r="A117" s="67" t="s">
        <v>10850</v>
      </c>
      <c r="C117" s="34"/>
      <c r="D117" t="s">
        <v>10851</v>
      </c>
    </row>
    <row r="118" spans="1:5">
      <c r="A118" s="67" t="s">
        <v>10852</v>
      </c>
      <c r="C118" s="34"/>
      <c r="D118" t="s">
        <v>10853</v>
      </c>
    </row>
    <row r="119" spans="1:5">
      <c r="A119" s="67" t="s">
        <v>10854</v>
      </c>
      <c r="C119" s="34"/>
      <c r="D119" t="s">
        <v>10855</v>
      </c>
    </row>
    <row r="120" spans="1:5">
      <c r="A120" s="67" t="s">
        <v>10856</v>
      </c>
      <c r="C120" s="34"/>
      <c r="D120" t="s">
        <v>10857</v>
      </c>
    </row>
    <row r="121" spans="1:5">
      <c r="A121" s="67" t="s">
        <v>10858</v>
      </c>
      <c r="C121" s="34"/>
      <c r="D121" t="s">
        <v>10859</v>
      </c>
    </row>
    <row r="122" spans="1:5">
      <c r="A122" s="67" t="s">
        <v>10860</v>
      </c>
      <c r="C122" s="34"/>
      <c r="D122" t="s">
        <v>10861</v>
      </c>
    </row>
    <row r="123" spans="1:5">
      <c r="A123" s="67" t="s">
        <v>10862</v>
      </c>
      <c r="C123" s="34"/>
      <c r="D123" t="s">
        <v>10863</v>
      </c>
    </row>
    <row r="124" spans="1:5">
      <c r="A124" s="67" t="s">
        <v>10864</v>
      </c>
      <c r="C124" s="34"/>
      <c r="D124" t="s">
        <v>10865</v>
      </c>
    </row>
    <row r="125" spans="1:5">
      <c r="A125" s="67" t="s">
        <v>10866</v>
      </c>
      <c r="C125" s="34"/>
      <c r="D125" t="s">
        <v>10867</v>
      </c>
    </row>
    <row r="126" spans="1:5">
      <c r="A126" s="67" t="s">
        <v>10868</v>
      </c>
      <c r="C126" s="34"/>
      <c r="D126" t="s">
        <v>10869</v>
      </c>
    </row>
    <row r="127" spans="1:5">
      <c r="A127" s="67" t="s">
        <v>10870</v>
      </c>
      <c r="C127" s="34"/>
      <c r="D127" t="s">
        <v>10871</v>
      </c>
    </row>
    <row r="128" spans="1:5">
      <c r="A128" s="67" t="s">
        <v>10872</v>
      </c>
      <c r="C128" s="34"/>
      <c r="D128" t="s">
        <v>10873</v>
      </c>
    </row>
    <row r="129" spans="1:4">
      <c r="A129" s="67" t="s">
        <v>10874</v>
      </c>
      <c r="C129" s="34"/>
      <c r="D129" t="s">
        <v>10875</v>
      </c>
    </row>
    <row r="130" spans="1:4">
      <c r="A130" s="67" t="s">
        <v>10876</v>
      </c>
      <c r="C130" s="34"/>
      <c r="D130" t="s">
        <v>10877</v>
      </c>
    </row>
    <row r="131" spans="1:4">
      <c r="A131" s="67" t="s">
        <v>10878</v>
      </c>
      <c r="C131" s="34"/>
      <c r="D131" t="s">
        <v>10879</v>
      </c>
    </row>
    <row r="132" spans="1:4">
      <c r="A132" s="67" t="s">
        <v>10880</v>
      </c>
      <c r="C132" s="34"/>
      <c r="D132" t="s">
        <v>10881</v>
      </c>
    </row>
    <row r="133" spans="1:4">
      <c r="A133" s="67" t="s">
        <v>10882</v>
      </c>
      <c r="C133" s="34"/>
      <c r="D133" t="s">
        <v>10883</v>
      </c>
    </row>
    <row r="134" spans="1:4">
      <c r="A134" s="67" t="s">
        <v>10884</v>
      </c>
      <c r="C134" s="34"/>
      <c r="D134" t="s">
        <v>10885</v>
      </c>
    </row>
    <row r="135" spans="1:4">
      <c r="A135" s="67" t="s">
        <v>10886</v>
      </c>
      <c r="C135" s="34"/>
      <c r="D135" t="s">
        <v>10887</v>
      </c>
    </row>
    <row r="136" spans="1:4">
      <c r="A136" s="67" t="s">
        <v>10888</v>
      </c>
      <c r="C136" s="34"/>
      <c r="D136" t="s">
        <v>10889</v>
      </c>
    </row>
    <row r="137" spans="1:4">
      <c r="A137" s="67" t="s">
        <v>10890</v>
      </c>
      <c r="C137" s="34"/>
      <c r="D137" t="s">
        <v>10891</v>
      </c>
    </row>
    <row r="138" spans="1:4">
      <c r="A138" s="67" t="s">
        <v>10892</v>
      </c>
      <c r="C138" s="34"/>
      <c r="D138" t="s">
        <v>10893</v>
      </c>
    </row>
    <row r="139" spans="1:4">
      <c r="A139" s="67" t="s">
        <v>10894</v>
      </c>
      <c r="C139" s="34"/>
      <c r="D139" t="s">
        <v>10895</v>
      </c>
    </row>
    <row r="140" spans="1:4">
      <c r="A140" s="67" t="s">
        <v>10896</v>
      </c>
      <c r="C140" s="34"/>
      <c r="D140" t="s">
        <v>10897</v>
      </c>
    </row>
    <row r="141" spans="1:4">
      <c r="A141" s="67" t="s">
        <v>10898</v>
      </c>
      <c r="C141" s="34"/>
      <c r="D141" t="s">
        <v>10899</v>
      </c>
    </row>
    <row r="142" spans="1:4">
      <c r="A142" s="67" t="s">
        <v>10900</v>
      </c>
      <c r="C142" s="34"/>
      <c r="D142" t="s">
        <v>10901</v>
      </c>
    </row>
    <row r="143" spans="1:4">
      <c r="A143" s="67" t="s">
        <v>10902</v>
      </c>
      <c r="C143" s="34"/>
      <c r="D143" t="s">
        <v>10903</v>
      </c>
    </row>
    <row r="144" spans="1:4">
      <c r="A144" s="67" t="s">
        <v>10904</v>
      </c>
      <c r="C144" s="34"/>
      <c r="D144" t="s">
        <v>10905</v>
      </c>
    </row>
    <row r="145" spans="1:4">
      <c r="A145" s="67" t="s">
        <v>10906</v>
      </c>
      <c r="C145" s="34"/>
      <c r="D145" t="s">
        <v>10907</v>
      </c>
    </row>
    <row r="146" spans="1:4">
      <c r="A146" s="67" t="s">
        <v>10908</v>
      </c>
      <c r="C146" s="34"/>
      <c r="D146" t="s">
        <v>10909</v>
      </c>
    </row>
    <row r="147" spans="1:4">
      <c r="A147" s="67" t="s">
        <v>10910</v>
      </c>
      <c r="C147" s="34"/>
      <c r="D147" t="s">
        <v>10911</v>
      </c>
    </row>
    <row r="148" spans="1:4">
      <c r="A148" s="67" t="s">
        <v>10912</v>
      </c>
      <c r="C148" s="34"/>
      <c r="D148" t="s">
        <v>10913</v>
      </c>
    </row>
    <row r="149" spans="1:4">
      <c r="A149" s="67" t="s">
        <v>10914</v>
      </c>
      <c r="C149" s="34"/>
      <c r="D149" t="s">
        <v>10915</v>
      </c>
    </row>
    <row r="150" spans="1:4">
      <c r="A150" s="67" t="s">
        <v>10916</v>
      </c>
      <c r="C150" s="34"/>
      <c r="D150" t="s">
        <v>10917</v>
      </c>
    </row>
    <row r="151" spans="1:4">
      <c r="A151" s="67" t="s">
        <v>10918</v>
      </c>
      <c r="C151" s="34"/>
      <c r="D151" t="s">
        <v>10919</v>
      </c>
    </row>
    <row r="152" spans="1:4">
      <c r="A152" s="67" t="s">
        <v>10920</v>
      </c>
      <c r="C152" s="34"/>
      <c r="D152" t="s">
        <v>10824</v>
      </c>
    </row>
    <row r="153" spans="1:4">
      <c r="A153" s="67" t="s">
        <v>10921</v>
      </c>
      <c r="C153" s="34"/>
      <c r="D153" t="s">
        <v>10922</v>
      </c>
    </row>
    <row r="154" spans="1:4">
      <c r="A154" s="67" t="s">
        <v>10923</v>
      </c>
      <c r="C154" s="34"/>
      <c r="D154" t="s">
        <v>10924</v>
      </c>
    </row>
    <row r="155" spans="1:4">
      <c r="A155" s="67" t="s">
        <v>10925</v>
      </c>
      <c r="C155" s="34"/>
      <c r="D155" t="s">
        <v>10926</v>
      </c>
    </row>
    <row r="156" spans="1:4">
      <c r="A156" s="67" t="s">
        <v>10927</v>
      </c>
      <c r="C156" s="34"/>
      <c r="D156" t="s">
        <v>10928</v>
      </c>
    </row>
    <row r="157" spans="1:4">
      <c r="A157" s="67" t="s">
        <v>10929</v>
      </c>
      <c r="C157" s="34"/>
      <c r="D157" t="s">
        <v>10930</v>
      </c>
    </row>
    <row r="158" spans="1:4">
      <c r="A158" s="67" t="s">
        <v>10931</v>
      </c>
      <c r="C158" s="34"/>
      <c r="D158" t="s">
        <v>10932</v>
      </c>
    </row>
    <row r="159" spans="1:4">
      <c r="A159" s="67" t="s">
        <v>10933</v>
      </c>
      <c r="C159" s="34"/>
      <c r="D159" t="s">
        <v>10934</v>
      </c>
    </row>
    <row r="160" spans="1:4">
      <c r="A160" s="67" t="s">
        <v>10935</v>
      </c>
      <c r="C160" s="34"/>
      <c r="D160" t="s">
        <v>10936</v>
      </c>
    </row>
    <row r="161" spans="1:4">
      <c r="A161" s="67" t="s">
        <v>10937</v>
      </c>
      <c r="C161" s="34"/>
      <c r="D161" t="s">
        <v>10938</v>
      </c>
    </row>
    <row r="162" spans="1:4">
      <c r="A162" s="67" t="s">
        <v>10939</v>
      </c>
      <c r="C162" s="34"/>
      <c r="D162" t="s">
        <v>10940</v>
      </c>
    </row>
    <row r="163" spans="1:4">
      <c r="A163" s="67" t="s">
        <v>10941</v>
      </c>
      <c r="C163" s="34"/>
      <c r="D163" t="s">
        <v>10942</v>
      </c>
    </row>
    <row r="164" spans="1:4">
      <c r="A164" s="67" t="s">
        <v>10943</v>
      </c>
      <c r="C164" s="34"/>
      <c r="D164" t="s">
        <v>10944</v>
      </c>
    </row>
    <row r="165" spans="1:4">
      <c r="A165" s="67" t="s">
        <v>10945</v>
      </c>
      <c r="C165" s="34"/>
      <c r="D165" t="s">
        <v>10946</v>
      </c>
    </row>
    <row r="166" spans="1:4">
      <c r="A166" s="67" t="s">
        <v>10947</v>
      </c>
      <c r="C166" s="34"/>
      <c r="D166" t="s">
        <v>10948</v>
      </c>
    </row>
    <row r="167" spans="1:4">
      <c r="A167" s="67" t="s">
        <v>10949</v>
      </c>
      <c r="C167" s="34"/>
      <c r="D167" t="s">
        <v>10950</v>
      </c>
    </row>
    <row r="168" spans="1:4">
      <c r="A168" s="67" t="s">
        <v>10951</v>
      </c>
      <c r="C168" s="34"/>
      <c r="D168" t="s">
        <v>10952</v>
      </c>
    </row>
    <row r="169" spans="1:4">
      <c r="A169" s="67" t="s">
        <v>10953</v>
      </c>
      <c r="C169" s="34"/>
      <c r="D169" t="s">
        <v>10954</v>
      </c>
    </row>
    <row r="170" spans="1:4">
      <c r="A170" s="67" t="s">
        <v>10955</v>
      </c>
      <c r="C170" s="34"/>
      <c r="D170" t="s">
        <v>10956</v>
      </c>
    </row>
    <row r="171" spans="1:4">
      <c r="A171" s="67" t="s">
        <v>10957</v>
      </c>
      <c r="C171" s="34"/>
      <c r="D171" t="s">
        <v>10958</v>
      </c>
    </row>
    <row r="172" spans="1:4">
      <c r="A172" s="67" t="s">
        <v>10959</v>
      </c>
      <c r="C172" s="34"/>
      <c r="D172" t="s">
        <v>10960</v>
      </c>
    </row>
    <row r="173" spans="1:4">
      <c r="A173" s="67" t="s">
        <v>10961</v>
      </c>
      <c r="C173" s="34"/>
      <c r="D173" t="s">
        <v>10962</v>
      </c>
    </row>
    <row r="174" spans="1:4">
      <c r="A174" s="67" t="s">
        <v>10963</v>
      </c>
      <c r="C174" s="34"/>
      <c r="D174" t="s">
        <v>10964</v>
      </c>
    </row>
    <row r="175" spans="1:4">
      <c r="A175" s="67" t="s">
        <v>10965</v>
      </c>
      <c r="C175" s="34"/>
      <c r="D175" t="s">
        <v>10966</v>
      </c>
    </row>
    <row r="176" spans="1:4">
      <c r="A176" s="67" t="s">
        <v>10967</v>
      </c>
      <c r="C176" s="34"/>
      <c r="D176" t="s">
        <v>10824</v>
      </c>
    </row>
    <row r="177" spans="1:4">
      <c r="A177" s="67" t="s">
        <v>10968</v>
      </c>
      <c r="C177" s="34"/>
      <c r="D177" t="s">
        <v>10969</v>
      </c>
    </row>
    <row r="178" spans="1:4">
      <c r="A178" s="67" t="s">
        <v>10970</v>
      </c>
      <c r="C178" s="34"/>
      <c r="D178" t="s">
        <v>10971</v>
      </c>
    </row>
    <row r="179" spans="1:4">
      <c r="A179" s="67" t="s">
        <v>10972</v>
      </c>
      <c r="C179" s="34"/>
      <c r="D179" t="s">
        <v>10973</v>
      </c>
    </row>
    <row r="180" spans="1:4">
      <c r="A180" s="67" t="s">
        <v>10974</v>
      </c>
      <c r="C180" s="34"/>
      <c r="D180" t="s">
        <v>10975</v>
      </c>
    </row>
    <row r="181" spans="1:4">
      <c r="A181" s="67" t="s">
        <v>10976</v>
      </c>
      <c r="C181" s="34"/>
      <c r="D181" t="s">
        <v>10977</v>
      </c>
    </row>
    <row r="182" spans="1:4">
      <c r="A182" s="67" t="s">
        <v>10978</v>
      </c>
      <c r="C182" s="34"/>
      <c r="D182" t="s">
        <v>10979</v>
      </c>
    </row>
    <row r="183" spans="1:4">
      <c r="A183" s="67" t="s">
        <v>10980</v>
      </c>
      <c r="C183" s="34"/>
      <c r="D183" t="s">
        <v>10981</v>
      </c>
    </row>
    <row r="184" spans="1:4">
      <c r="A184" s="67" t="s">
        <v>10982</v>
      </c>
      <c r="C184" s="34"/>
      <c r="D184" t="s">
        <v>10983</v>
      </c>
    </row>
    <row r="185" spans="1:4">
      <c r="A185" s="67" t="s">
        <v>10984</v>
      </c>
      <c r="C185" s="34"/>
      <c r="D185" t="s">
        <v>10985</v>
      </c>
    </row>
    <row r="186" spans="1:4">
      <c r="A186" s="67" t="s">
        <v>10986</v>
      </c>
      <c r="C186" s="34"/>
      <c r="D186" t="s">
        <v>10987</v>
      </c>
    </row>
    <row r="187" spans="1:4">
      <c r="A187" s="67" t="s">
        <v>10988</v>
      </c>
      <c r="C187" s="34"/>
      <c r="D187" t="s">
        <v>10824</v>
      </c>
    </row>
    <row r="188" spans="1:4">
      <c r="A188" s="67" t="s">
        <v>10989</v>
      </c>
      <c r="C188" s="34"/>
      <c r="D188" t="s">
        <v>10990</v>
      </c>
    </row>
    <row r="189" spans="1:4">
      <c r="A189" s="67" t="s">
        <v>10991</v>
      </c>
      <c r="C189" s="34"/>
      <c r="D189" t="s">
        <v>10990</v>
      </c>
    </row>
    <row r="190" spans="1:4">
      <c r="A190" s="67" t="s">
        <v>10992</v>
      </c>
      <c r="C190" s="34"/>
      <c r="D190" t="s">
        <v>10993</v>
      </c>
    </row>
    <row r="191" spans="1:4">
      <c r="A191" s="67" t="s">
        <v>10994</v>
      </c>
      <c r="C191" s="34"/>
      <c r="D191" t="s">
        <v>10995</v>
      </c>
    </row>
    <row r="192" spans="1:4">
      <c r="A192" s="67" t="s">
        <v>10996</v>
      </c>
      <c r="C192" s="34"/>
      <c r="D192" t="s">
        <v>10997</v>
      </c>
    </row>
    <row r="193" spans="1:4">
      <c r="A193" s="67" t="s">
        <v>10998</v>
      </c>
      <c r="C193" s="34"/>
      <c r="D193" t="s">
        <v>10999</v>
      </c>
    </row>
    <row r="194" spans="1:4">
      <c r="A194" s="67" t="s">
        <v>11000</v>
      </c>
      <c r="C194" s="34"/>
      <c r="D194" t="s">
        <v>11001</v>
      </c>
    </row>
    <row r="195" spans="1:4">
      <c r="A195" s="67" t="s">
        <v>11002</v>
      </c>
      <c r="C195" s="34"/>
      <c r="D195" t="s">
        <v>11003</v>
      </c>
    </row>
    <row r="196" spans="1:4">
      <c r="A196" s="67" t="s">
        <v>11004</v>
      </c>
      <c r="C196" s="34"/>
      <c r="D196" t="s">
        <v>11005</v>
      </c>
    </row>
    <row r="197" spans="1:4">
      <c r="A197" s="67" t="s">
        <v>11006</v>
      </c>
      <c r="C197" s="34"/>
      <c r="D197" t="s">
        <v>11007</v>
      </c>
    </row>
    <row r="198" spans="1:4">
      <c r="A198" s="67" t="s">
        <v>11008</v>
      </c>
      <c r="C198" s="34"/>
      <c r="D198" t="s">
        <v>11009</v>
      </c>
    </row>
    <row r="199" spans="1:4">
      <c r="A199" s="67" t="s">
        <v>11010</v>
      </c>
      <c r="C199" s="34"/>
      <c r="D199" t="s">
        <v>11011</v>
      </c>
    </row>
    <row r="200" spans="1:4">
      <c r="A200" s="67" t="s">
        <v>11012</v>
      </c>
      <c r="C200" s="34"/>
      <c r="D200" t="s">
        <v>11013</v>
      </c>
    </row>
    <row r="201" spans="1:4">
      <c r="A201" s="67" t="s">
        <v>11014</v>
      </c>
      <c r="C201" s="34"/>
      <c r="D201" t="s">
        <v>11015</v>
      </c>
    </row>
    <row r="202" spans="1:4">
      <c r="A202" s="67" t="s">
        <v>11016</v>
      </c>
      <c r="C202" s="34"/>
      <c r="D202" t="s">
        <v>11017</v>
      </c>
    </row>
    <row r="203" spans="1:4">
      <c r="A203" s="67" t="s">
        <v>11018</v>
      </c>
      <c r="C203" s="34"/>
      <c r="D203" t="s">
        <v>11019</v>
      </c>
    </row>
    <row r="204" spans="1:4">
      <c r="A204" s="67" t="s">
        <v>11020</v>
      </c>
      <c r="C204" s="34"/>
      <c r="D204" t="s">
        <v>11021</v>
      </c>
    </row>
    <row r="205" spans="1:4">
      <c r="A205" s="67" t="s">
        <v>11022</v>
      </c>
      <c r="C205" s="34"/>
      <c r="D205" t="s">
        <v>11023</v>
      </c>
    </row>
    <row r="206" spans="1:4">
      <c r="A206" s="67" t="s">
        <v>11024</v>
      </c>
      <c r="C206" s="34"/>
      <c r="D206" t="s">
        <v>11025</v>
      </c>
    </row>
    <row r="207" spans="1:4">
      <c r="A207" s="67" t="s">
        <v>11026</v>
      </c>
      <c r="C207" s="34"/>
      <c r="D207" t="s">
        <v>11027</v>
      </c>
    </row>
    <row r="208" spans="1:4" ht="15" customHeight="1">
      <c r="C208" s="34"/>
    </row>
    <row r="209" spans="1:4">
      <c r="A209" s="79" t="s">
        <v>428</v>
      </c>
      <c r="C209" s="34"/>
    </row>
    <row r="210" spans="1:4">
      <c r="A210" s="97" t="s">
        <v>11028</v>
      </c>
      <c r="C210" s="34"/>
      <c r="D210" t="s">
        <v>11029</v>
      </c>
    </row>
    <row r="211" spans="1:4">
      <c r="A211" s="97" t="s">
        <v>11030</v>
      </c>
      <c r="C211" s="34"/>
      <c r="D211" t="s">
        <v>11031</v>
      </c>
    </row>
    <row r="212" spans="1:4">
      <c r="A212" s="97" t="s">
        <v>11032</v>
      </c>
      <c r="C212" s="34"/>
      <c r="D212" t="s">
        <v>11033</v>
      </c>
    </row>
    <row r="213" spans="1:4">
      <c r="A213" s="97" t="s">
        <v>11034</v>
      </c>
      <c r="C213" s="34"/>
      <c r="D213" t="s">
        <v>11035</v>
      </c>
    </row>
    <row r="214" spans="1:4">
      <c r="A214" s="97" t="s">
        <v>11036</v>
      </c>
      <c r="C214" s="34"/>
      <c r="D214" t="s">
        <v>11037</v>
      </c>
    </row>
    <row r="215" spans="1:4">
      <c r="A215" s="97" t="s">
        <v>11038</v>
      </c>
      <c r="C215" s="34"/>
      <c r="D215" t="s">
        <v>11039</v>
      </c>
    </row>
    <row r="216" spans="1:4">
      <c r="A216" s="97" t="s">
        <v>11040</v>
      </c>
      <c r="C216" s="34"/>
      <c r="D216" t="s">
        <v>11041</v>
      </c>
    </row>
    <row r="217" spans="1:4">
      <c r="A217" s="97" t="s">
        <v>11042</v>
      </c>
      <c r="C217" s="34"/>
      <c r="D217" t="s">
        <v>11043</v>
      </c>
    </row>
    <row r="218" spans="1:4">
      <c r="A218" s="97" t="s">
        <v>11044</v>
      </c>
      <c r="C218" s="34"/>
      <c r="D218" t="s">
        <v>11045</v>
      </c>
    </row>
    <row r="219" spans="1:4">
      <c r="A219" s="97" t="s">
        <v>11046</v>
      </c>
      <c r="C219" s="34"/>
      <c r="D219" t="s">
        <v>11047</v>
      </c>
    </row>
    <row r="220" spans="1:4">
      <c r="A220" s="97" t="s">
        <v>11048</v>
      </c>
      <c r="C220" s="34"/>
      <c r="D220" t="s">
        <v>11049</v>
      </c>
    </row>
    <row r="221" spans="1:4">
      <c r="A221" s="97" t="s">
        <v>11050</v>
      </c>
      <c r="C221" s="34"/>
      <c r="D221" t="s">
        <v>11051</v>
      </c>
    </row>
    <row r="222" spans="1:4">
      <c r="A222" s="97" t="s">
        <v>11052</v>
      </c>
      <c r="C222" s="34"/>
      <c r="D222" t="s">
        <v>11053</v>
      </c>
    </row>
    <row r="223" spans="1:4">
      <c r="A223" s="31"/>
      <c r="C223" s="34"/>
    </row>
    <row r="224" spans="1:4">
      <c r="A224" s="31"/>
      <c r="C224" s="34"/>
    </row>
    <row r="225" spans="1:3">
      <c r="A225" s="31"/>
      <c r="C225" s="34"/>
    </row>
    <row r="226" spans="1:3">
      <c r="A226" s="31"/>
      <c r="C226" s="34"/>
    </row>
    <row r="227" spans="1:3">
      <c r="A227" s="31"/>
      <c r="C227" s="34"/>
    </row>
    <row r="228" spans="1:3">
      <c r="A228" s="31"/>
      <c r="C228"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D127"/>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11054</v>
      </c>
      <c r="C2" s="67" t="s">
        <v>11055</v>
      </c>
      <c r="D2" s="67" t="s">
        <v>11056</v>
      </c>
    </row>
    <row r="3" spans="1:4">
      <c r="A3" s="67" t="s">
        <v>11057</v>
      </c>
      <c r="B3" s="58" t="s">
        <v>11058</v>
      </c>
      <c r="D3" s="11" t="str">
        <f>HYPERLINK("http://www.oregon.gov/OMD/OEM/","http://www.oregon.gov/OMD/OEM/ ")</f>
        <v xml:space="preserve">http://www.oregon.gov/OMD/OEM/ </v>
      </c>
    </row>
    <row r="4" spans="1:4">
      <c r="A4" s="67" t="s">
        <v>11059</v>
      </c>
      <c r="C4" s="67" t="s">
        <v>11060</v>
      </c>
      <c r="D4" s="11" t="str">
        <f>HYPERLINK("http://www.oregon.gov/OMD/","http://www.oregon.gov/OMD/")</f>
        <v>http://www.oregon.gov/OMD/</v>
      </c>
    </row>
    <row r="5" spans="1:4">
      <c r="A5" s="67" t="s">
        <v>11061</v>
      </c>
      <c r="D5" s="11" t="str">
        <f>HYPERLINK("http://wildlife.rescueshelter.com/Oregon","http://wildlife.rescueshelter.com/Oregon")</f>
        <v>http://wildlife.rescueshelter.com/Oregon</v>
      </c>
    </row>
    <row r="7" spans="1:4">
      <c r="A7" s="79" t="s">
        <v>209</v>
      </c>
      <c r="B7" s="79" t="s">
        <v>147</v>
      </c>
      <c r="C7" s="79" t="s">
        <v>148</v>
      </c>
      <c r="D7" s="79" t="s">
        <v>182</v>
      </c>
    </row>
    <row r="8" spans="1:4">
      <c r="A8" s="67" t="s">
        <v>11062</v>
      </c>
      <c r="C8" t="s">
        <v>11063</v>
      </c>
      <c r="D8" t="s">
        <v>11064</v>
      </c>
    </row>
    <row r="9" spans="1:4">
      <c r="A9" s="67" t="s">
        <v>5752</v>
      </c>
      <c r="B9" t="s">
        <v>11065</v>
      </c>
      <c r="C9" t="s">
        <v>11066</v>
      </c>
      <c r="D9" t="s">
        <v>11067</v>
      </c>
    </row>
    <row r="10" spans="1:4">
      <c r="A10" s="67" t="s">
        <v>11068</v>
      </c>
      <c r="B10" t="s">
        <v>11069</v>
      </c>
      <c r="C10" t="s">
        <v>11070</v>
      </c>
      <c r="D10" t="s">
        <v>11071</v>
      </c>
    </row>
    <row r="11" spans="1:4">
      <c r="A11" s="67" t="s">
        <v>11072</v>
      </c>
      <c r="B11" t="s">
        <v>11073</v>
      </c>
      <c r="C11" t="s">
        <v>11074</v>
      </c>
      <c r="D11" t="s">
        <v>11075</v>
      </c>
    </row>
    <row r="12" spans="1:4">
      <c r="A12" s="67" t="s">
        <v>9570</v>
      </c>
      <c r="B12" t="s">
        <v>11076</v>
      </c>
      <c r="C12" t="s">
        <v>11077</v>
      </c>
      <c r="D12" t="s">
        <v>11078</v>
      </c>
    </row>
    <row r="13" spans="1:4">
      <c r="A13" s="67" t="s">
        <v>8862</v>
      </c>
      <c r="B13" t="s">
        <v>11079</v>
      </c>
      <c r="C13" t="s">
        <v>11080</v>
      </c>
      <c r="D13" t="s">
        <v>11081</v>
      </c>
    </row>
    <row r="14" spans="1:4">
      <c r="A14" s="67" t="s">
        <v>11082</v>
      </c>
      <c r="C14" t="s">
        <v>11083</v>
      </c>
      <c r="D14" t="s">
        <v>11084</v>
      </c>
    </row>
    <row r="15" spans="1:4">
      <c r="A15" s="67" t="s">
        <v>9123</v>
      </c>
      <c r="C15" t="s">
        <v>11085</v>
      </c>
      <c r="D15" t="s">
        <v>11086</v>
      </c>
    </row>
    <row r="16" spans="1:4">
      <c r="A16" s="67" t="s">
        <v>11087</v>
      </c>
      <c r="B16" t="s">
        <v>11088</v>
      </c>
      <c r="C16" t="s">
        <v>11089</v>
      </c>
      <c r="D16" t="s">
        <v>11090</v>
      </c>
    </row>
    <row r="17" spans="1:4">
      <c r="A17" s="67" t="s">
        <v>5422</v>
      </c>
      <c r="B17" t="s">
        <v>2967</v>
      </c>
      <c r="C17" t="s">
        <v>11091</v>
      </c>
      <c r="D17" t="s">
        <v>11092</v>
      </c>
    </row>
    <row r="18" spans="1:4">
      <c r="A18" s="67" t="s">
        <v>11093</v>
      </c>
      <c r="C18" t="s">
        <v>11094</v>
      </c>
      <c r="D18" t="s">
        <v>11095</v>
      </c>
    </row>
    <row r="19" spans="1:4">
      <c r="A19" s="67" t="s">
        <v>5806</v>
      </c>
      <c r="C19" t="s">
        <v>11096</v>
      </c>
      <c r="D19" t="s">
        <v>11097</v>
      </c>
    </row>
    <row r="20" spans="1:4">
      <c r="A20" s="67" t="s">
        <v>11098</v>
      </c>
      <c r="C20" t="s">
        <v>11099</v>
      </c>
      <c r="D20" t="s">
        <v>11100</v>
      </c>
    </row>
    <row r="21" spans="1:4">
      <c r="A21" s="67" t="s">
        <v>11101</v>
      </c>
      <c r="B21" t="s">
        <v>11102</v>
      </c>
      <c r="C21" t="s">
        <v>11103</v>
      </c>
      <c r="D21" t="s">
        <v>11104</v>
      </c>
    </row>
    <row r="22" spans="1:4">
      <c r="A22" s="67" t="s">
        <v>5466</v>
      </c>
      <c r="B22" t="s">
        <v>11105</v>
      </c>
      <c r="C22" t="s">
        <v>11106</v>
      </c>
      <c r="D22" t="s">
        <v>11107</v>
      </c>
    </row>
    <row r="23" spans="1:4">
      <c r="A23" s="67" t="s">
        <v>5187</v>
      </c>
      <c r="C23" t="s">
        <v>11108</v>
      </c>
      <c r="D23" t="s">
        <v>11109</v>
      </c>
    </row>
    <row r="24" spans="1:4">
      <c r="A24" s="67" t="s">
        <v>11110</v>
      </c>
      <c r="B24" t="s">
        <v>11111</v>
      </c>
      <c r="C24" t="s">
        <v>11112</v>
      </c>
      <c r="D24" t="s">
        <v>11113</v>
      </c>
    </row>
    <row r="25" spans="1:4">
      <c r="A25" s="67" t="s">
        <v>11114</v>
      </c>
      <c r="B25" t="s">
        <v>11115</v>
      </c>
      <c r="C25" t="s">
        <v>11116</v>
      </c>
      <c r="D25" t="s">
        <v>11117</v>
      </c>
    </row>
    <row r="26" spans="1:4">
      <c r="A26" s="67" t="s">
        <v>5486</v>
      </c>
      <c r="C26" t="s">
        <v>11118</v>
      </c>
      <c r="D26" t="s">
        <v>11119</v>
      </c>
    </row>
    <row r="27" spans="1:4">
      <c r="A27" s="67" t="s">
        <v>6596</v>
      </c>
      <c r="B27" t="s">
        <v>11120</v>
      </c>
      <c r="C27" t="s">
        <v>11121</v>
      </c>
      <c r="D27" t="s">
        <v>11122</v>
      </c>
    </row>
    <row r="28" spans="1:4">
      <c r="A28" s="67" t="s">
        <v>5206</v>
      </c>
      <c r="C28" t="s">
        <v>11123</v>
      </c>
      <c r="D28" t="s">
        <v>11124</v>
      </c>
    </row>
    <row r="29" spans="1:4">
      <c r="A29" s="67" t="s">
        <v>6236</v>
      </c>
      <c r="C29" t="s">
        <v>11125</v>
      </c>
      <c r="D29" t="s">
        <v>11126</v>
      </c>
    </row>
    <row r="30" spans="1:4">
      <c r="A30" s="67" t="s">
        <v>11127</v>
      </c>
      <c r="C30" t="s">
        <v>11128</v>
      </c>
      <c r="D30" t="s">
        <v>11129</v>
      </c>
    </row>
    <row r="31" spans="1:4">
      <c r="A31" s="67" t="s">
        <v>5507</v>
      </c>
      <c r="C31" t="s">
        <v>11130</v>
      </c>
      <c r="D31" t="s">
        <v>11131</v>
      </c>
    </row>
    <row r="32" spans="1:4">
      <c r="A32" s="67" t="s">
        <v>10485</v>
      </c>
      <c r="C32" t="s">
        <v>11132</v>
      </c>
      <c r="D32" t="s">
        <v>11133</v>
      </c>
    </row>
    <row r="33" spans="1:4">
      <c r="A33" s="67" t="s">
        <v>11134</v>
      </c>
      <c r="B33" t="s">
        <v>11135</v>
      </c>
      <c r="C33" t="s">
        <v>11136</v>
      </c>
      <c r="D33" t="s">
        <v>11137</v>
      </c>
    </row>
    <row r="34" spans="1:4">
      <c r="A34" s="67" t="s">
        <v>6290</v>
      </c>
      <c r="C34" t="s">
        <v>11138</v>
      </c>
      <c r="D34" t="s">
        <v>11139</v>
      </c>
    </row>
    <row r="35" spans="1:4">
      <c r="A35" s="67" t="s">
        <v>6687</v>
      </c>
      <c r="C35" t="s">
        <v>11140</v>
      </c>
      <c r="D35" t="s">
        <v>11141</v>
      </c>
    </row>
    <row r="36" spans="1:4">
      <c r="A36" s="67" t="s">
        <v>11142</v>
      </c>
      <c r="B36" t="s">
        <v>11143</v>
      </c>
      <c r="C36" t="s">
        <v>11144</v>
      </c>
      <c r="D36" t="s">
        <v>11145</v>
      </c>
    </row>
    <row r="37" spans="1:4">
      <c r="A37" s="67" t="s">
        <v>11146</v>
      </c>
      <c r="C37" t="s">
        <v>11147</v>
      </c>
      <c r="D37" t="s">
        <v>11148</v>
      </c>
    </row>
    <row r="38" spans="1:4">
      <c r="A38" s="67" t="s">
        <v>5564</v>
      </c>
      <c r="C38" t="s">
        <v>11149</v>
      </c>
    </row>
    <row r="39" spans="1:4">
      <c r="A39" s="67" t="s">
        <v>11150</v>
      </c>
      <c r="C39" t="s">
        <v>11151</v>
      </c>
      <c r="D39" t="s">
        <v>11152</v>
      </c>
    </row>
    <row r="40" spans="1:4">
      <c r="A40" s="67" t="s">
        <v>11153</v>
      </c>
      <c r="C40" t="s">
        <v>11154</v>
      </c>
      <c r="D40" t="s">
        <v>11155</v>
      </c>
    </row>
    <row r="41" spans="1:4">
      <c r="A41" s="67" t="s">
        <v>117</v>
      </c>
      <c r="C41" t="s">
        <v>11156</v>
      </c>
      <c r="D41" t="s">
        <v>11157</v>
      </c>
    </row>
    <row r="42" spans="1:4">
      <c r="A42" s="67" t="s">
        <v>8764</v>
      </c>
      <c r="C42" t="s">
        <v>11158</v>
      </c>
      <c r="D42" t="s">
        <v>11159</v>
      </c>
    </row>
    <row r="43" spans="1:4">
      <c r="A43" s="67" t="s">
        <v>11160</v>
      </c>
      <c r="C43" t="s">
        <v>11161</v>
      </c>
      <c r="D43" t="s">
        <v>11162</v>
      </c>
    </row>
    <row r="45" spans="1:4">
      <c r="A45" s="79" t="s">
        <v>333</v>
      </c>
    </row>
    <row r="46" spans="1:4">
      <c r="A46" s="67" t="s">
        <v>11163</v>
      </c>
    </row>
    <row r="47" spans="1:4">
      <c r="A47" s="67" t="s">
        <v>11164</v>
      </c>
    </row>
    <row r="48" spans="1:4">
      <c r="A48" s="67" t="s">
        <v>11165</v>
      </c>
    </row>
    <row r="49" spans="1:1">
      <c r="A49" s="67" t="s">
        <v>11166</v>
      </c>
    </row>
    <row r="50" spans="1:1">
      <c r="A50" s="67" t="s">
        <v>11167</v>
      </c>
    </row>
    <row r="51" spans="1:1">
      <c r="A51" s="67" t="s">
        <v>11168</v>
      </c>
    </row>
    <row r="52" spans="1:1">
      <c r="A52" s="67" t="s">
        <v>11169</v>
      </c>
    </row>
    <row r="53" spans="1:1">
      <c r="A53" s="67" t="s">
        <v>11170</v>
      </c>
    </row>
    <row r="54" spans="1:1">
      <c r="A54" s="67" t="s">
        <v>11171</v>
      </c>
    </row>
    <row r="55" spans="1:1">
      <c r="A55" s="67" t="s">
        <v>11172</v>
      </c>
    </row>
    <row r="56" spans="1:1">
      <c r="A56" s="67" t="s">
        <v>11173</v>
      </c>
    </row>
    <row r="57" spans="1:1">
      <c r="A57" s="67" t="s">
        <v>11174</v>
      </c>
    </row>
    <row r="58" spans="1:1">
      <c r="A58" s="67" t="s">
        <v>11175</v>
      </c>
    </row>
    <row r="59" spans="1:1">
      <c r="A59" s="67" t="s">
        <v>11176</v>
      </c>
    </row>
    <row r="60" spans="1:1">
      <c r="A60" s="67" t="s">
        <v>11177</v>
      </c>
    </row>
    <row r="61" spans="1:1">
      <c r="A61" s="67" t="s">
        <v>11178</v>
      </c>
    </row>
    <row r="62" spans="1:1">
      <c r="A62" s="67" t="s">
        <v>11179</v>
      </c>
    </row>
    <row r="63" spans="1:1">
      <c r="A63" s="67" t="s">
        <v>11180</v>
      </c>
    </row>
    <row r="64" spans="1:1">
      <c r="A64" s="67" t="s">
        <v>11181</v>
      </c>
    </row>
    <row r="65" spans="1:1">
      <c r="A65" s="67" t="s">
        <v>11182</v>
      </c>
    </row>
    <row r="66" spans="1:1">
      <c r="A66" s="67" t="s">
        <v>11183</v>
      </c>
    </row>
    <row r="68" spans="1:1">
      <c r="A68" s="79" t="s">
        <v>878</v>
      </c>
    </row>
    <row r="69" spans="1:1">
      <c r="A69" s="67" t="s">
        <v>11184</v>
      </c>
    </row>
    <row r="70" spans="1:1">
      <c r="A70" s="67" t="s">
        <v>11185</v>
      </c>
    </row>
    <row r="71" spans="1:1">
      <c r="A71" s="67" t="s">
        <v>11186</v>
      </c>
    </row>
    <row r="72" spans="1:1">
      <c r="A72" s="67" t="s">
        <v>11187</v>
      </c>
    </row>
    <row r="73" spans="1:1">
      <c r="A73" s="67" t="s">
        <v>11188</v>
      </c>
    </row>
    <row r="74" spans="1:1">
      <c r="A74" s="67" t="s">
        <v>11189</v>
      </c>
    </row>
    <row r="75" spans="1:1">
      <c r="A75" s="67" t="s">
        <v>11190</v>
      </c>
    </row>
    <row r="76" spans="1:1">
      <c r="A76" s="67" t="s">
        <v>11191</v>
      </c>
    </row>
    <row r="77" spans="1:1">
      <c r="A77" s="67" t="s">
        <v>11192</v>
      </c>
    </row>
    <row r="78" spans="1:1">
      <c r="A78" s="67" t="s">
        <v>11193</v>
      </c>
    </row>
    <row r="79" spans="1:1">
      <c r="A79" s="67" t="s">
        <v>11194</v>
      </c>
    </row>
    <row r="80" spans="1:1">
      <c r="A80" s="67" t="s">
        <v>11195</v>
      </c>
    </row>
    <row r="81" spans="1:1">
      <c r="A81" s="67" t="s">
        <v>11196</v>
      </c>
    </row>
    <row r="82" spans="1:1">
      <c r="A82" s="67" t="s">
        <v>11197</v>
      </c>
    </row>
    <row r="83" spans="1:1">
      <c r="A83" s="67" t="s">
        <v>11198</v>
      </c>
    </row>
    <row r="84" spans="1:1">
      <c r="A84" s="67" t="s">
        <v>11199</v>
      </c>
    </row>
    <row r="85" spans="1:1">
      <c r="A85" s="67" t="s">
        <v>11200</v>
      </c>
    </row>
    <row r="86" spans="1:1">
      <c r="A86" s="67" t="s">
        <v>11201</v>
      </c>
    </row>
    <row r="87" spans="1:1">
      <c r="A87" s="67" t="s">
        <v>11202</v>
      </c>
    </row>
    <row r="88" spans="1:1">
      <c r="A88" s="67" t="s">
        <v>11203</v>
      </c>
    </row>
    <row r="89" spans="1:1">
      <c r="A89" s="67" t="s">
        <v>11204</v>
      </c>
    </row>
    <row r="90" spans="1:1">
      <c r="A90" s="67" t="s">
        <v>11205</v>
      </c>
    </row>
    <row r="91" spans="1:1">
      <c r="A91" s="67" t="s">
        <v>11206</v>
      </c>
    </row>
    <row r="92" spans="1:1">
      <c r="A92" s="67" t="s">
        <v>11207</v>
      </c>
    </row>
    <row r="93" spans="1:1">
      <c r="A93" s="67" t="s">
        <v>11208</v>
      </c>
    </row>
    <row r="94" spans="1:1">
      <c r="A94" s="67" t="s">
        <v>11209</v>
      </c>
    </row>
    <row r="95" spans="1:1">
      <c r="A95" s="67" t="s">
        <v>11210</v>
      </c>
    </row>
    <row r="96" spans="1:1">
      <c r="A96" s="67" t="s">
        <v>11211</v>
      </c>
    </row>
    <row r="97" spans="1:1">
      <c r="A97" s="67" t="s">
        <v>11212</v>
      </c>
    </row>
    <row r="98" spans="1:1">
      <c r="A98" s="67" t="s">
        <v>11213</v>
      </c>
    </row>
    <row r="99" spans="1:1">
      <c r="A99" s="67" t="s">
        <v>11214</v>
      </c>
    </row>
    <row r="100" spans="1:1">
      <c r="A100" s="67" t="s">
        <v>11215</v>
      </c>
    </row>
    <row r="101" spans="1:1">
      <c r="A101" s="67" t="s">
        <v>11216</v>
      </c>
    </row>
    <row r="102" spans="1:1">
      <c r="A102" s="67" t="s">
        <v>11217</v>
      </c>
    </row>
    <row r="103" spans="1:1">
      <c r="A103" s="67" t="s">
        <v>11218</v>
      </c>
    </row>
    <row r="104" spans="1:1">
      <c r="A104" s="67" t="s">
        <v>11219</v>
      </c>
    </row>
    <row r="105" spans="1:1">
      <c r="A105" s="67" t="s">
        <v>11220</v>
      </c>
    </row>
    <row r="106" spans="1:1">
      <c r="A106" s="67" t="s">
        <v>11221</v>
      </c>
    </row>
    <row r="107" spans="1:1">
      <c r="A107" s="67" t="s">
        <v>11222</v>
      </c>
    </row>
    <row r="108" spans="1:1">
      <c r="A108" s="67" t="s">
        <v>11223</v>
      </c>
    </row>
    <row r="109" spans="1:1">
      <c r="A109" s="67" t="s">
        <v>11224</v>
      </c>
    </row>
    <row r="110" spans="1:1">
      <c r="A110" s="67" t="s">
        <v>11225</v>
      </c>
    </row>
    <row r="111" spans="1:1">
      <c r="A111" s="67" t="s">
        <v>11226</v>
      </c>
    </row>
    <row r="112" spans="1:1">
      <c r="A112" s="67" t="s">
        <v>11227</v>
      </c>
    </row>
    <row r="113" spans="1:1">
      <c r="A113" s="67" t="s">
        <v>11228</v>
      </c>
    </row>
    <row r="114" spans="1:1">
      <c r="A114" s="67" t="s">
        <v>11229</v>
      </c>
    </row>
    <row r="115" spans="1:1">
      <c r="A115" s="67" t="s">
        <v>11230</v>
      </c>
    </row>
    <row r="116" spans="1:1">
      <c r="A116" s="67" t="s">
        <v>11231</v>
      </c>
    </row>
    <row r="117" spans="1:1">
      <c r="A117" s="67" t="s">
        <v>11232</v>
      </c>
    </row>
    <row r="118" spans="1:1">
      <c r="A118" s="67" t="s">
        <v>11233</v>
      </c>
    </row>
    <row r="119" spans="1:1">
      <c r="A119" s="67" t="s">
        <v>11234</v>
      </c>
    </row>
    <row r="120" spans="1:1">
      <c r="A120" s="67" t="s">
        <v>11235</v>
      </c>
    </row>
    <row r="121" spans="1:1">
      <c r="A121" s="67" t="s">
        <v>11236</v>
      </c>
    </row>
    <row r="122" spans="1:1">
      <c r="A122" s="67" t="s">
        <v>11237</v>
      </c>
    </row>
    <row r="123" spans="1:1">
      <c r="A123" s="67" t="s">
        <v>11238</v>
      </c>
    </row>
    <row r="124" spans="1:1">
      <c r="A124" s="67" t="s">
        <v>11239</v>
      </c>
    </row>
    <row r="125" spans="1:1">
      <c r="A125" s="67" t="s">
        <v>11240</v>
      </c>
    </row>
    <row r="127" spans="1:1">
      <c r="A127"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D127"/>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11241</v>
      </c>
      <c r="B2" s="58" t="s">
        <v>11242</v>
      </c>
      <c r="C2" s="67" t="s">
        <v>11243</v>
      </c>
      <c r="D2" s="11" t="str">
        <f>HYPERLINK("http://www.pa.gov/","www.pa.gov")</f>
        <v>www.pa.gov</v>
      </c>
    </row>
    <row r="3" spans="1:4">
      <c r="A3" s="67" t="s">
        <v>11244</v>
      </c>
      <c r="D3" s="11" t="str">
        <f>HYPERLINK("http://www.pema.state.pa.us/portal/server.pt/community/pema_home/4463","http://www.pema.state.pa.us/portal/server.pt/community/pema_home/4463")</f>
        <v>http://www.pema.state.pa.us/portal/server.pt/community/pema_home/4463</v>
      </c>
    </row>
    <row r="4" spans="1:4">
      <c r="A4" s="67" t="s">
        <v>11245</v>
      </c>
      <c r="D4" s="11" t="str">
        <f>HYPERLINK("http://www.homelandsecurity.state.pa.us/portal/server.pt/community/homeland_security/20282","http://www.homelandsecurity.state.pa.us/portal/server.pt/community/homeland_security/20282")</f>
        <v>http://www.homelandsecurity.state.pa.us/portal/server.pt/community/homeland_security/20282</v>
      </c>
    </row>
    <row r="5" spans="1:4">
      <c r="A5" s="67" t="s">
        <v>11246</v>
      </c>
      <c r="D5" s="11" t="str">
        <f>HYPERLINK("http://wildlife.rescueshelter.com/Pennsylvania","http://wildlife.rescueshelter.com/Pennsylvania")</f>
        <v>http://wildlife.rescueshelter.com/Pennsylvania</v>
      </c>
    </row>
    <row r="7" spans="1:4">
      <c r="A7" s="79" t="s">
        <v>209</v>
      </c>
      <c r="B7" s="46" t="s">
        <v>147</v>
      </c>
      <c r="C7" s="79" t="s">
        <v>148</v>
      </c>
      <c r="D7" s="79" t="s">
        <v>182</v>
      </c>
    </row>
    <row r="8" spans="1:4">
      <c r="A8" s="67" t="s">
        <v>5376</v>
      </c>
      <c r="D8" s="67" t="s">
        <v>11247</v>
      </c>
    </row>
    <row r="9" spans="1:4">
      <c r="A9" s="67" t="s">
        <v>11248</v>
      </c>
      <c r="B9" s="58" t="s">
        <v>11249</v>
      </c>
      <c r="C9" s="67" t="s">
        <v>11250</v>
      </c>
      <c r="D9" s="67" t="s">
        <v>11251</v>
      </c>
    </row>
    <row r="10" spans="1:4">
      <c r="A10" s="67" t="s">
        <v>11252</v>
      </c>
      <c r="D10" s="67" t="s">
        <v>11253</v>
      </c>
    </row>
    <row r="11" spans="1:4">
      <c r="A11" s="67" t="s">
        <v>10663</v>
      </c>
      <c r="D11" s="67" t="s">
        <v>11254</v>
      </c>
    </row>
    <row r="12" spans="1:4">
      <c r="A12" s="67" t="s">
        <v>11255</v>
      </c>
      <c r="D12" s="67" t="s">
        <v>11256</v>
      </c>
    </row>
    <row r="13" spans="1:4">
      <c r="A13" s="67" t="s">
        <v>11257</v>
      </c>
      <c r="D13" s="67" t="s">
        <v>11258</v>
      </c>
    </row>
    <row r="14" spans="1:4">
      <c r="A14" s="67" t="s">
        <v>11259</v>
      </c>
      <c r="D14" s="67" t="s">
        <v>11260</v>
      </c>
    </row>
    <row r="15" spans="1:4">
      <c r="A15" s="67" t="s">
        <v>11261</v>
      </c>
      <c r="B15" s="58" t="s">
        <v>11262</v>
      </c>
      <c r="C15" s="67" t="s">
        <v>11263</v>
      </c>
      <c r="D15" s="67" t="s">
        <v>11264</v>
      </c>
    </row>
    <row r="16" spans="1:4">
      <c r="A16" s="67" t="s">
        <v>11265</v>
      </c>
      <c r="B16" s="58" t="s">
        <v>11266</v>
      </c>
      <c r="C16" s="67" t="s">
        <v>11267</v>
      </c>
      <c r="D16" s="67" t="s">
        <v>11268</v>
      </c>
    </row>
    <row r="17" spans="1:4">
      <c r="A17" s="67" t="s">
        <v>6120</v>
      </c>
      <c r="D17" s="67" t="s">
        <v>11269</v>
      </c>
    </row>
    <row r="18" spans="1:4">
      <c r="A18" s="67" t="s">
        <v>11270</v>
      </c>
      <c r="B18" s="58" t="s">
        <v>11271</v>
      </c>
      <c r="C18" s="67" t="s">
        <v>11272</v>
      </c>
      <c r="D18" s="67" t="s">
        <v>11273</v>
      </c>
    </row>
    <row r="19" spans="1:4">
      <c r="A19" s="67" t="s">
        <v>7250</v>
      </c>
      <c r="D19" s="67" t="s">
        <v>11274</v>
      </c>
    </row>
    <row r="20" spans="1:4">
      <c r="A20" s="67" t="s">
        <v>8658</v>
      </c>
      <c r="D20" s="67" t="s">
        <v>11275</v>
      </c>
    </row>
    <row r="21" spans="1:4">
      <c r="A21" s="67" t="s">
        <v>11276</v>
      </c>
      <c r="D21" s="67" t="s">
        <v>11277</v>
      </c>
    </row>
    <row r="22" spans="1:4">
      <c r="A22" s="67" t="s">
        <v>11278</v>
      </c>
      <c r="B22" s="58" t="s">
        <v>11279</v>
      </c>
      <c r="C22" s="67" t="s">
        <v>11280</v>
      </c>
      <c r="D22" s="67" t="s">
        <v>11281</v>
      </c>
    </row>
    <row r="23" spans="1:4">
      <c r="A23" s="67" t="s">
        <v>11282</v>
      </c>
      <c r="D23" s="67" t="s">
        <v>11283</v>
      </c>
    </row>
    <row r="24" spans="1:4">
      <c r="A24" s="67" t="s">
        <v>11284</v>
      </c>
      <c r="D24" s="67" t="s">
        <v>11285</v>
      </c>
    </row>
    <row r="25" spans="1:4">
      <c r="A25" s="67" t="s">
        <v>5405</v>
      </c>
      <c r="D25" s="67" t="s">
        <v>11286</v>
      </c>
    </row>
    <row r="26" spans="1:4">
      <c r="A26" s="67" t="s">
        <v>9570</v>
      </c>
      <c r="B26" s="70" t="s">
        <v>11287</v>
      </c>
      <c r="D26" s="67" t="s">
        <v>11288</v>
      </c>
    </row>
    <row r="27" spans="1:4">
      <c r="A27" s="67" t="s">
        <v>5413</v>
      </c>
      <c r="D27" s="67" t="s">
        <v>11289</v>
      </c>
    </row>
    <row r="28" spans="1:4">
      <c r="A28" s="67" t="s">
        <v>5415</v>
      </c>
      <c r="B28" s="58" t="s">
        <v>11290</v>
      </c>
      <c r="C28" s="67" t="s">
        <v>11291</v>
      </c>
      <c r="D28" s="67" t="s">
        <v>11292</v>
      </c>
    </row>
    <row r="29" spans="1:4">
      <c r="A29" s="67" t="s">
        <v>11293</v>
      </c>
      <c r="B29" s="58" t="s">
        <v>11294</v>
      </c>
      <c r="D29" s="67" t="s">
        <v>11295</v>
      </c>
    </row>
    <row r="30" spans="1:4">
      <c r="A30" s="67" t="s">
        <v>5783</v>
      </c>
      <c r="D30" s="67" t="s">
        <v>11296</v>
      </c>
    </row>
    <row r="31" spans="1:4">
      <c r="A31" s="67" t="s">
        <v>6539</v>
      </c>
      <c r="D31" s="67" t="s">
        <v>11297</v>
      </c>
    </row>
    <row r="32" spans="1:4">
      <c r="A32" s="67" t="s">
        <v>9579</v>
      </c>
      <c r="D32" s="67" t="s">
        <v>11298</v>
      </c>
    </row>
    <row r="33" spans="1:4">
      <c r="A33" s="67" t="s">
        <v>5436</v>
      </c>
      <c r="B33" s="58" t="s">
        <v>11299</v>
      </c>
      <c r="C33" s="67" t="s">
        <v>11300</v>
      </c>
      <c r="D33" s="67" t="s">
        <v>11301</v>
      </c>
    </row>
    <row r="34" spans="1:4">
      <c r="A34" s="67" t="s">
        <v>11302</v>
      </c>
      <c r="D34" s="67" t="s">
        <v>11303</v>
      </c>
    </row>
    <row r="35" spans="1:4">
      <c r="A35" s="67" t="s">
        <v>5441</v>
      </c>
      <c r="B35" s="58" t="s">
        <v>11304</v>
      </c>
      <c r="D35" s="67" t="s">
        <v>11305</v>
      </c>
    </row>
    <row r="36" spans="1:4">
      <c r="A36" s="67" t="s">
        <v>5444</v>
      </c>
      <c r="D36" s="67" t="s">
        <v>11306</v>
      </c>
    </row>
    <row r="37" spans="1:4">
      <c r="A37" s="67" t="s">
        <v>5449</v>
      </c>
      <c r="C37" s="67" t="s">
        <v>11307</v>
      </c>
      <c r="D37" s="67" t="s">
        <v>11308</v>
      </c>
    </row>
    <row r="38" spans="1:4">
      <c r="A38" s="67" t="s">
        <v>11309</v>
      </c>
      <c r="B38" s="70" t="s">
        <v>11310</v>
      </c>
      <c r="D38" s="67" t="s">
        <v>11311</v>
      </c>
    </row>
    <row r="39" spans="1:4">
      <c r="A39" s="67" t="s">
        <v>51</v>
      </c>
      <c r="D39" s="67" t="s">
        <v>11312</v>
      </c>
    </row>
    <row r="40" spans="1:4">
      <c r="A40" s="67" t="s">
        <v>5187</v>
      </c>
      <c r="D40" s="67" t="s">
        <v>11313</v>
      </c>
    </row>
    <row r="41" spans="1:4">
      <c r="A41" s="67" t="s">
        <v>11314</v>
      </c>
      <c r="D41" s="67" t="s">
        <v>11315</v>
      </c>
    </row>
    <row r="42" spans="1:4">
      <c r="A42" s="67" t="s">
        <v>11316</v>
      </c>
      <c r="C42" s="67" t="s">
        <v>11317</v>
      </c>
      <c r="D42" s="67" t="s">
        <v>11318</v>
      </c>
    </row>
    <row r="43" spans="1:4">
      <c r="A43" s="67" t="s">
        <v>8748</v>
      </c>
      <c r="B43" s="58" t="s">
        <v>11319</v>
      </c>
      <c r="C43" s="67" t="s">
        <v>11320</v>
      </c>
      <c r="D43" s="67" t="s">
        <v>11321</v>
      </c>
    </row>
    <row r="44" spans="1:4">
      <c r="A44" s="67" t="s">
        <v>5494</v>
      </c>
      <c r="B44" s="58" t="s">
        <v>11322</v>
      </c>
      <c r="C44" s="67" t="s">
        <v>11323</v>
      </c>
      <c r="D44" s="67" t="s">
        <v>11324</v>
      </c>
    </row>
    <row r="45" spans="1:4">
      <c r="A45" s="67" t="s">
        <v>11325</v>
      </c>
      <c r="D45" s="67" t="s">
        <v>11326</v>
      </c>
    </row>
    <row r="46" spans="1:4">
      <c r="A46" s="67" t="s">
        <v>11327</v>
      </c>
      <c r="D46" s="67" t="s">
        <v>11328</v>
      </c>
    </row>
    <row r="47" spans="1:4">
      <c r="A47" s="67" t="s">
        <v>11329</v>
      </c>
      <c r="D47" s="67" t="s">
        <v>11330</v>
      </c>
    </row>
    <row r="48" spans="1:4">
      <c r="A48" s="67" t="s">
        <v>11331</v>
      </c>
      <c r="D48" s="67" t="s">
        <v>11332</v>
      </c>
    </row>
    <row r="49" spans="1:4">
      <c r="A49" s="67" t="s">
        <v>11333</v>
      </c>
      <c r="D49" s="67" t="s">
        <v>11334</v>
      </c>
    </row>
    <row r="50" spans="1:4">
      <c r="A50" s="67" t="s">
        <v>5523</v>
      </c>
      <c r="D50" s="67" t="s">
        <v>11335</v>
      </c>
    </row>
    <row r="51" spans="1:4">
      <c r="A51" s="67" t="s">
        <v>11336</v>
      </c>
      <c r="B51" s="58" t="s">
        <v>11337</v>
      </c>
      <c r="D51" s="67" t="s">
        <v>11338</v>
      </c>
    </row>
    <row r="52" spans="1:4">
      <c r="A52" s="67" t="s">
        <v>5524</v>
      </c>
      <c r="D52" s="67" t="s">
        <v>11339</v>
      </c>
    </row>
    <row r="53" spans="1:4">
      <c r="A53" s="67" t="s">
        <v>5526</v>
      </c>
      <c r="D53" s="67" t="s">
        <v>11340</v>
      </c>
    </row>
    <row r="54" spans="1:4">
      <c r="A54" s="67" t="s">
        <v>11341</v>
      </c>
      <c r="D54" s="67" t="s">
        <v>11342</v>
      </c>
    </row>
    <row r="55" spans="1:4">
      <c r="A55" s="67" t="s">
        <v>9923</v>
      </c>
      <c r="B55" s="58" t="s">
        <v>11343</v>
      </c>
      <c r="C55" s="67" t="s">
        <v>11344</v>
      </c>
      <c r="D55" s="67" t="s">
        <v>11345</v>
      </c>
    </row>
    <row r="56" spans="1:4">
      <c r="A56" s="67" t="s">
        <v>11346</v>
      </c>
      <c r="D56" s="67" t="s">
        <v>11347</v>
      </c>
    </row>
    <row r="57" spans="1:4">
      <c r="A57" s="67" t="s">
        <v>5533</v>
      </c>
      <c r="D57" s="67" t="s">
        <v>11348</v>
      </c>
    </row>
    <row r="58" spans="1:4">
      <c r="A58" s="67" t="s">
        <v>11349</v>
      </c>
      <c r="B58" s="58" t="s">
        <v>11350</v>
      </c>
      <c r="C58" s="67" t="s">
        <v>11351</v>
      </c>
      <c r="D58" s="67" t="s">
        <v>11352</v>
      </c>
    </row>
    <row r="59" spans="1:4">
      <c r="A59" s="67" t="s">
        <v>5536</v>
      </c>
      <c r="D59" s="67" t="s">
        <v>11353</v>
      </c>
    </row>
    <row r="60" spans="1:4">
      <c r="A60" s="67" t="s">
        <v>11354</v>
      </c>
      <c r="D60" s="67" t="s">
        <v>11355</v>
      </c>
    </row>
    <row r="61" spans="1:4">
      <c r="A61" s="67" t="s">
        <v>11356</v>
      </c>
      <c r="D61" s="67" t="s">
        <v>11357</v>
      </c>
    </row>
    <row r="62" spans="1:4">
      <c r="A62" s="67" t="s">
        <v>11358</v>
      </c>
      <c r="D62" s="11" t="str">
        <f>HYPERLINK("http://www.snydercounty911.org/","http://www.snydercounty911.org/")</f>
        <v>http://www.snydercounty911.org/</v>
      </c>
    </row>
    <row r="63" spans="1:4">
      <c r="A63" s="67" t="s">
        <v>7497</v>
      </c>
      <c r="D63" s="67" t="s">
        <v>11359</v>
      </c>
    </row>
    <row r="64" spans="1:4">
      <c r="A64" s="67" t="s">
        <v>8595</v>
      </c>
      <c r="D64" s="67" t="s">
        <v>11360</v>
      </c>
    </row>
    <row r="65" spans="1:4">
      <c r="A65" s="67" t="s">
        <v>11361</v>
      </c>
      <c r="D65" s="67" t="s">
        <v>11362</v>
      </c>
    </row>
    <row r="66" spans="1:4">
      <c r="A66" s="67" t="s">
        <v>9643</v>
      </c>
      <c r="D66" s="67" t="s">
        <v>11363</v>
      </c>
    </row>
    <row r="67" spans="1:4">
      <c r="A67" s="67" t="s">
        <v>5564</v>
      </c>
      <c r="D67" s="67" t="s">
        <v>11364</v>
      </c>
    </row>
    <row r="68" spans="1:4">
      <c r="A68" s="67" t="s">
        <v>11365</v>
      </c>
      <c r="D68" s="67" t="s">
        <v>11366</v>
      </c>
    </row>
    <row r="69" spans="1:4">
      <c r="A69" s="67" t="s">
        <v>5571</v>
      </c>
      <c r="D69" s="67" t="s">
        <v>11367</v>
      </c>
    </row>
    <row r="70" spans="1:4">
      <c r="A70" s="67" t="s">
        <v>117</v>
      </c>
      <c r="D70" s="67" t="s">
        <v>11368</v>
      </c>
    </row>
    <row r="71" spans="1:4">
      <c r="A71" s="67" t="s">
        <v>5573</v>
      </c>
      <c r="D71" s="67" t="s">
        <v>11369</v>
      </c>
    </row>
    <row r="72" spans="1:4">
      <c r="A72" s="67" t="s">
        <v>11370</v>
      </c>
      <c r="C72" s="67" t="s">
        <v>11371</v>
      </c>
      <c r="D72" s="67" t="s">
        <v>11372</v>
      </c>
    </row>
    <row r="73" spans="1:4">
      <c r="A73" s="67" t="s">
        <v>123</v>
      </c>
    </row>
    <row r="74" spans="1:4">
      <c r="A74" s="67" t="s">
        <v>7502</v>
      </c>
      <c r="B74" s="67" t="s">
        <v>11373</v>
      </c>
      <c r="C74" s="67" t="s">
        <v>11374</v>
      </c>
      <c r="D74" s="67" t="s">
        <v>11375</v>
      </c>
    </row>
    <row r="76" spans="1:4">
      <c r="A76" s="79" t="s">
        <v>333</v>
      </c>
      <c r="B76" s="79" t="s">
        <v>147</v>
      </c>
      <c r="C76" s="79" t="s">
        <v>148</v>
      </c>
      <c r="D76" s="79" t="s">
        <v>182</v>
      </c>
    </row>
    <row r="77" spans="1:4">
      <c r="A77" s="67" t="s">
        <v>11376</v>
      </c>
    </row>
    <row r="78" spans="1:4">
      <c r="A78" s="67" t="s">
        <v>11377</v>
      </c>
    </row>
    <row r="79" spans="1:4">
      <c r="A79" s="67" t="s">
        <v>11378</v>
      </c>
    </row>
    <row r="80" spans="1:4">
      <c r="A80" s="67" t="s">
        <v>11379</v>
      </c>
    </row>
    <row r="81" spans="1:1">
      <c r="A81" s="67" t="s">
        <v>11380</v>
      </c>
    </row>
    <row r="82" spans="1:1">
      <c r="A82" s="67" t="s">
        <v>11381</v>
      </c>
    </row>
    <row r="83" spans="1:1">
      <c r="A83" s="67" t="s">
        <v>11382</v>
      </c>
    </row>
    <row r="84" spans="1:1">
      <c r="A84" s="67" t="s">
        <v>11383</v>
      </c>
    </row>
    <row r="85" spans="1:1">
      <c r="A85" s="67" t="s">
        <v>11384</v>
      </c>
    </row>
    <row r="86" spans="1:1">
      <c r="A86" s="67" t="s">
        <v>11385</v>
      </c>
    </row>
    <row r="87" spans="1:1">
      <c r="A87" s="67" t="s">
        <v>11386</v>
      </c>
    </row>
    <row r="88" spans="1:1">
      <c r="A88" s="67" t="s">
        <v>11387</v>
      </c>
    </row>
    <row r="89" spans="1:1">
      <c r="A89" s="67" t="s">
        <v>11388</v>
      </c>
    </row>
    <row r="90" spans="1:1">
      <c r="A90" s="67" t="s">
        <v>11389</v>
      </c>
    </row>
    <row r="91" spans="1:1">
      <c r="A91" s="67" t="s">
        <v>11390</v>
      </c>
    </row>
    <row r="92" spans="1:1">
      <c r="A92" s="67" t="s">
        <v>11391</v>
      </c>
    </row>
    <row r="93" spans="1:1">
      <c r="A93" s="67" t="s">
        <v>11392</v>
      </c>
    </row>
    <row r="94" spans="1:1">
      <c r="A94" s="67" t="s">
        <v>11393</v>
      </c>
    </row>
    <row r="95" spans="1:1">
      <c r="A95" s="67" t="s">
        <v>11394</v>
      </c>
    </row>
    <row r="96" spans="1:1">
      <c r="A96" s="67" t="s">
        <v>11395</v>
      </c>
    </row>
    <row r="97" spans="1:1">
      <c r="A97" s="67" t="s">
        <v>11396</v>
      </c>
    </row>
    <row r="98" spans="1:1">
      <c r="A98" s="67" t="s">
        <v>11397</v>
      </c>
    </row>
    <row r="99" spans="1:1">
      <c r="A99" s="67" t="s">
        <v>11398</v>
      </c>
    </row>
    <row r="100" spans="1:1">
      <c r="A100" s="67" t="s">
        <v>11399</v>
      </c>
    </row>
    <row r="101" spans="1:1">
      <c r="A101" s="67" t="s">
        <v>11400</v>
      </c>
    </row>
    <row r="102" spans="1:1">
      <c r="A102" s="67" t="s">
        <v>11401</v>
      </c>
    </row>
    <row r="103" spans="1:1">
      <c r="A103" s="67" t="s">
        <v>11402</v>
      </c>
    </row>
    <row r="104" spans="1:1">
      <c r="A104" s="67" t="s">
        <v>11403</v>
      </c>
    </row>
    <row r="105" spans="1:1">
      <c r="A105" s="67" t="s">
        <v>11404</v>
      </c>
    </row>
    <row r="106" spans="1:1">
      <c r="A106" s="67" t="s">
        <v>9671</v>
      </c>
    </row>
    <row r="107" spans="1:1">
      <c r="A107" s="67" t="s">
        <v>11405</v>
      </c>
    </row>
    <row r="108" spans="1:1">
      <c r="A108" s="67" t="s">
        <v>11406</v>
      </c>
    </row>
    <row r="109" spans="1:1">
      <c r="A109" s="67" t="s">
        <v>11407</v>
      </c>
    </row>
    <row r="110" spans="1:1">
      <c r="A110" s="67" t="s">
        <v>11408</v>
      </c>
    </row>
    <row r="111" spans="1:1">
      <c r="A111" s="67" t="s">
        <v>11409</v>
      </c>
    </row>
    <row r="112" spans="1:1">
      <c r="A112" s="67" t="s">
        <v>11410</v>
      </c>
    </row>
    <row r="113" spans="1:4">
      <c r="A113" s="67" t="s">
        <v>11411</v>
      </c>
    </row>
    <row r="114" spans="1:4">
      <c r="A114" s="67" t="s">
        <v>11412</v>
      </c>
    </row>
    <row r="116" spans="1:4">
      <c r="A116" s="79" t="s">
        <v>878</v>
      </c>
      <c r="B116" s="79" t="s">
        <v>147</v>
      </c>
      <c r="C116" s="79" t="s">
        <v>148</v>
      </c>
      <c r="D116" s="79" t="s">
        <v>182</v>
      </c>
    </row>
    <row r="117" spans="1:4">
      <c r="A117" s="67" t="s">
        <v>11413</v>
      </c>
      <c r="B117" s="58" t="s">
        <v>11414</v>
      </c>
      <c r="C117" s="67" t="s">
        <v>11415</v>
      </c>
      <c r="D117" s="67" t="s">
        <v>11416</v>
      </c>
    </row>
    <row r="118" spans="1:4">
      <c r="A118" s="67" t="s">
        <v>11417</v>
      </c>
      <c r="D118" s="67" t="s">
        <v>11418</v>
      </c>
    </row>
    <row r="119" spans="1:4">
      <c r="A119" s="67" t="s">
        <v>11419</v>
      </c>
      <c r="B119" s="58" t="s">
        <v>11420</v>
      </c>
      <c r="C119" s="67" t="s">
        <v>11421</v>
      </c>
      <c r="D119" s="67" t="s">
        <v>11422</v>
      </c>
    </row>
    <row r="120" spans="1:4">
      <c r="A120" s="67" t="s">
        <v>11423</v>
      </c>
      <c r="D120" s="67" t="s">
        <v>11424</v>
      </c>
    </row>
    <row r="121" spans="1:4">
      <c r="A121" s="67" t="s">
        <v>11425</v>
      </c>
      <c r="B121" s="58" t="s">
        <v>11426</v>
      </c>
      <c r="D121" s="67" t="s">
        <v>11427</v>
      </c>
    </row>
    <row r="122" spans="1:4">
      <c r="A122" s="67" t="s">
        <v>11428</v>
      </c>
      <c r="B122" s="70" t="s">
        <v>11429</v>
      </c>
      <c r="D122" s="67" t="s">
        <v>11430</v>
      </c>
    </row>
    <row r="123" spans="1:4">
      <c r="A123" s="67" t="s">
        <v>11431</v>
      </c>
      <c r="B123" s="58" t="s">
        <v>11432</v>
      </c>
      <c r="C123" s="67" t="s">
        <v>11433</v>
      </c>
      <c r="D123" s="67" t="s">
        <v>11434</v>
      </c>
    </row>
    <row r="124" spans="1:4">
      <c r="A124" s="67" t="s">
        <v>11435</v>
      </c>
      <c r="D124" s="67" t="s">
        <v>11436</v>
      </c>
    </row>
    <row r="125" spans="1:4">
      <c r="A125" s="67" t="s">
        <v>11437</v>
      </c>
      <c r="C125" s="67" t="s">
        <v>11438</v>
      </c>
      <c r="D125" s="67" t="s">
        <v>11436</v>
      </c>
    </row>
    <row r="127" spans="1:4">
      <c r="A127" s="79" t="s">
        <v>428</v>
      </c>
      <c r="B127" s="79" t="s">
        <v>147</v>
      </c>
      <c r="C127" s="79" t="s">
        <v>148</v>
      </c>
      <c r="D127"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D26"/>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11439</v>
      </c>
      <c r="B2" s="70" t="s">
        <v>11440</v>
      </c>
      <c r="C2" s="67" t="s">
        <v>11441</v>
      </c>
      <c r="D2" s="67" t="s">
        <v>11442</v>
      </c>
    </row>
    <row r="3" spans="1:4">
      <c r="A3" s="67" t="s">
        <v>11443</v>
      </c>
      <c r="B3" s="70" t="s">
        <v>11444</v>
      </c>
      <c r="C3" s="67" t="s">
        <v>11445</v>
      </c>
      <c r="D3" s="67" t="s">
        <v>11446</v>
      </c>
    </row>
    <row r="4" spans="1:4">
      <c r="A4" s="67" t="s">
        <v>11447</v>
      </c>
      <c r="D4" s="11" t="str">
        <f>HYPERLINK("http://wildlife.rescueshelter.com/RhodeIsland","http://wildlife.rescueshelter.com/RhodeIsland")</f>
        <v>http://wildlife.rescueshelter.com/RhodeIsland</v>
      </c>
    </row>
    <row r="6" spans="1:4">
      <c r="A6" s="79" t="s">
        <v>209</v>
      </c>
      <c r="B6" s="79" t="s">
        <v>147</v>
      </c>
      <c r="C6" s="79" t="s">
        <v>148</v>
      </c>
      <c r="D6" s="79" t="s">
        <v>182</v>
      </c>
    </row>
    <row r="7" spans="1:4">
      <c r="A7" s="67" t="s">
        <v>7954</v>
      </c>
      <c r="D7" s="67" t="s">
        <v>11448</v>
      </c>
    </row>
    <row r="8" spans="1:4">
      <c r="A8" s="67" t="s">
        <v>8120</v>
      </c>
      <c r="D8" s="67" t="s">
        <v>11449</v>
      </c>
    </row>
    <row r="9" spans="1:4">
      <c r="A9" s="67" t="s">
        <v>11450</v>
      </c>
      <c r="B9" s="70" t="s">
        <v>11451</v>
      </c>
      <c r="C9" s="67" t="s">
        <v>11452</v>
      </c>
      <c r="D9" s="67" t="s">
        <v>11453</v>
      </c>
    </row>
    <row r="10" spans="1:4">
      <c r="A10" s="67" t="s">
        <v>11454</v>
      </c>
      <c r="D10" s="67" t="s">
        <v>11455</v>
      </c>
    </row>
    <row r="11" spans="1:4">
      <c r="A11" s="67" t="s">
        <v>117</v>
      </c>
    </row>
    <row r="13" spans="1:4">
      <c r="A13" s="79" t="s">
        <v>333</v>
      </c>
      <c r="B13" s="79" t="s">
        <v>147</v>
      </c>
      <c r="C13" s="79" t="s">
        <v>148</v>
      </c>
      <c r="D13" s="79" t="s">
        <v>182</v>
      </c>
    </row>
    <row r="14" spans="1:4">
      <c r="A14" s="67" t="s">
        <v>11456</v>
      </c>
      <c r="B14" s="70" t="s">
        <v>7990</v>
      </c>
      <c r="C14" s="67" t="s">
        <v>7991</v>
      </c>
      <c r="D14" s="67" t="s">
        <v>11457</v>
      </c>
    </row>
    <row r="16" spans="1:4">
      <c r="A16" s="79" t="s">
        <v>878</v>
      </c>
      <c r="B16" s="79" t="s">
        <v>147</v>
      </c>
      <c r="C16" s="79" t="s">
        <v>148</v>
      </c>
      <c r="D16" s="79" t="s">
        <v>182</v>
      </c>
    </row>
    <row r="17" spans="1:4">
      <c r="A17" s="67" t="s">
        <v>11458</v>
      </c>
      <c r="C17" s="67" t="s">
        <v>11459</v>
      </c>
      <c r="D17" s="67" t="s">
        <v>11460</v>
      </c>
    </row>
    <row r="19" spans="1:4">
      <c r="A19" s="79" t="s">
        <v>428</v>
      </c>
      <c r="B19" s="79" t="s">
        <v>147</v>
      </c>
      <c r="C19" s="79" t="s">
        <v>148</v>
      </c>
      <c r="D19" s="79" t="s">
        <v>182</v>
      </c>
    </row>
    <row r="20" spans="1:4">
      <c r="A20" s="67" t="s">
        <v>11461</v>
      </c>
      <c r="B20" s="70" t="s">
        <v>11462</v>
      </c>
      <c r="C20" s="67" t="s">
        <v>11463</v>
      </c>
      <c r="D20" s="67" t="s">
        <v>11464</v>
      </c>
    </row>
    <row r="21" spans="1:4">
      <c r="A21" s="67" t="s">
        <v>11465</v>
      </c>
      <c r="B21" s="70" t="s">
        <v>11466</v>
      </c>
      <c r="C21" s="67" t="s">
        <v>11467</v>
      </c>
      <c r="D21" s="67" t="s">
        <v>11468</v>
      </c>
    </row>
    <row r="22" spans="1:4">
      <c r="A22" s="67" t="s">
        <v>11469</v>
      </c>
      <c r="C22" s="67" t="s">
        <v>11470</v>
      </c>
      <c r="D22" s="67" t="s">
        <v>11471</v>
      </c>
    </row>
    <row r="23" spans="1:4">
      <c r="A23" s="67" t="s">
        <v>11472</v>
      </c>
      <c r="B23" s="70" t="s">
        <v>11473</v>
      </c>
      <c r="C23" s="67" t="s">
        <v>11474</v>
      </c>
      <c r="D23" s="67" t="s">
        <v>11475</v>
      </c>
    </row>
    <row r="24" spans="1:4">
      <c r="A24" s="67" t="s">
        <v>11476</v>
      </c>
      <c r="B24" s="70" t="s">
        <v>11477</v>
      </c>
      <c r="C24" s="67" t="s">
        <v>11478</v>
      </c>
      <c r="D24" s="67" t="s">
        <v>11479</v>
      </c>
    </row>
    <row r="25" spans="1:4">
      <c r="A25" s="67" t="s">
        <v>11480</v>
      </c>
      <c r="B25" s="70" t="s">
        <v>11481</v>
      </c>
      <c r="C25" s="67" t="s">
        <v>11482</v>
      </c>
      <c r="D25" s="67" t="s">
        <v>11483</v>
      </c>
    </row>
    <row r="26" spans="1:4">
      <c r="A26" s="67" t="s">
        <v>11484</v>
      </c>
      <c r="B26" s="70" t="s">
        <v>11485</v>
      </c>
      <c r="C26" s="67" t="s">
        <v>11486</v>
      </c>
      <c r="D26" s="67" t="s">
        <v>11487</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E8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6" max="6" width="22.85546875" customWidth="1"/>
  </cols>
  <sheetData>
    <row r="1" spans="1:5">
      <c r="A1" s="79" t="s">
        <v>146</v>
      </c>
      <c r="B1" s="79" t="s">
        <v>147</v>
      </c>
      <c r="C1" s="79" t="s">
        <v>148</v>
      </c>
      <c r="D1" s="79" t="s">
        <v>182</v>
      </c>
    </row>
    <row r="2" spans="1:5">
      <c r="A2" s="67" t="s">
        <v>11488</v>
      </c>
      <c r="B2" s="67" t="s">
        <v>11489</v>
      </c>
      <c r="C2" s="67" t="s">
        <v>11490</v>
      </c>
      <c r="D2" s="67" t="s">
        <v>11491</v>
      </c>
    </row>
    <row r="3" spans="1:5">
      <c r="A3" s="67" t="s">
        <v>11492</v>
      </c>
      <c r="D3" s="67" t="s">
        <v>11493</v>
      </c>
    </row>
    <row r="4" spans="1:5">
      <c r="A4" s="67" t="s">
        <v>11494</v>
      </c>
      <c r="D4" s="11" t="s">
        <v>11495</v>
      </c>
    </row>
    <row r="5" spans="1:5">
      <c r="A5" s="67" t="s">
        <v>11496</v>
      </c>
      <c r="D5" s="11" t="s">
        <v>11497</v>
      </c>
    </row>
    <row r="7" spans="1:5">
      <c r="A7" s="79" t="s">
        <v>209</v>
      </c>
      <c r="B7" s="79" t="s">
        <v>147</v>
      </c>
      <c r="C7" s="79" t="s">
        <v>148</v>
      </c>
      <c r="D7" s="79" t="s">
        <v>182</v>
      </c>
    </row>
    <row r="8" spans="1:5">
      <c r="A8" s="67" t="s">
        <v>11498</v>
      </c>
      <c r="D8" s="67" t="s">
        <v>11499</v>
      </c>
    </row>
    <row r="9" spans="1:5" ht="30" customHeight="1">
      <c r="A9" s="67" t="s">
        <v>11500</v>
      </c>
      <c r="B9" s="12" t="s">
        <v>11501</v>
      </c>
      <c r="C9" s="67" t="s">
        <v>11502</v>
      </c>
      <c r="D9" s="67" t="s">
        <v>11503</v>
      </c>
    </row>
    <row r="10" spans="1:5">
      <c r="A10" s="67" t="s">
        <v>11504</v>
      </c>
      <c r="D10" s="67" t="s">
        <v>11505</v>
      </c>
    </row>
    <row r="11" spans="1:5">
      <c r="A11" s="67" t="s">
        <v>11506</v>
      </c>
      <c r="B11" s="67" t="s">
        <v>11507</v>
      </c>
      <c r="C11" s="67" t="s">
        <v>11508</v>
      </c>
      <c r="D11" s="67" t="s">
        <v>11509</v>
      </c>
    </row>
    <row r="12" spans="1:5">
      <c r="A12" s="67" t="s">
        <v>11510</v>
      </c>
      <c r="D12" s="67" t="s">
        <v>11511</v>
      </c>
    </row>
    <row r="13" spans="1:5">
      <c r="A13" s="67" t="s">
        <v>11512</v>
      </c>
      <c r="D13" s="67" t="s">
        <v>11513</v>
      </c>
    </row>
    <row r="14" spans="1:5">
      <c r="A14" s="67" t="s">
        <v>9833</v>
      </c>
      <c r="B14" s="67" t="s">
        <v>11514</v>
      </c>
      <c r="C14" s="67" t="s">
        <v>11515</v>
      </c>
      <c r="D14" s="67" t="s">
        <v>11516</v>
      </c>
    </row>
    <row r="15" spans="1:5">
      <c r="A15" s="67" t="s">
        <v>11517</v>
      </c>
      <c r="C15" s="67" t="s">
        <v>11518</v>
      </c>
      <c r="D15" s="67" t="s">
        <v>11519</v>
      </c>
      <c r="E15" s="67" t="s">
        <v>11520</v>
      </c>
    </row>
    <row r="16" spans="1:5">
      <c r="A16" s="67" t="s">
        <v>5389</v>
      </c>
      <c r="D16" s="67" t="s">
        <v>11521</v>
      </c>
    </row>
    <row r="17" spans="1:4">
      <c r="A17" s="67" t="s">
        <v>11522</v>
      </c>
      <c r="B17" s="67" t="s">
        <v>11523</v>
      </c>
      <c r="C17" s="67" t="s">
        <v>11524</v>
      </c>
      <c r="D17" s="67" t="s">
        <v>11525</v>
      </c>
    </row>
    <row r="18" spans="1:4">
      <c r="A18" s="67" t="s">
        <v>6138</v>
      </c>
      <c r="D18" s="67" t="s">
        <v>11526</v>
      </c>
    </row>
    <row r="19" spans="1:4">
      <c r="A19" s="67" t="s">
        <v>11278</v>
      </c>
      <c r="D19" s="67" t="s">
        <v>11527</v>
      </c>
    </row>
    <row r="20" spans="1:4">
      <c r="A20" s="67" t="s">
        <v>11528</v>
      </c>
      <c r="D20" s="67" t="s">
        <v>11529</v>
      </c>
    </row>
    <row r="21" spans="1:4">
      <c r="A21" s="67" t="s">
        <v>11530</v>
      </c>
      <c r="D21" s="67" t="s">
        <v>11531</v>
      </c>
    </row>
    <row r="22" spans="1:4">
      <c r="A22" s="67" t="s">
        <v>11532</v>
      </c>
      <c r="B22" s="67" t="s">
        <v>11533</v>
      </c>
      <c r="C22" s="67" t="s">
        <v>11534</v>
      </c>
      <c r="D22" s="67" t="s">
        <v>11535</v>
      </c>
    </row>
    <row r="23" spans="1:4">
      <c r="A23" s="67" t="s">
        <v>11536</v>
      </c>
      <c r="D23" s="67" t="s">
        <v>11537</v>
      </c>
    </row>
    <row r="24" spans="1:4">
      <c r="A24" s="67" t="s">
        <v>11538</v>
      </c>
      <c r="D24" s="67" t="s">
        <v>11539</v>
      </c>
    </row>
    <row r="25" spans="1:4">
      <c r="A25" s="67" t="s">
        <v>11540</v>
      </c>
      <c r="D25" s="67" t="s">
        <v>11541</v>
      </c>
    </row>
    <row r="26" spans="1:4">
      <c r="A26" s="67" t="s">
        <v>11542</v>
      </c>
      <c r="D26" s="67" t="s">
        <v>11543</v>
      </c>
    </row>
    <row r="27" spans="1:4">
      <c r="A27" s="67" t="s">
        <v>10402</v>
      </c>
      <c r="D27" s="67" t="s">
        <v>11544</v>
      </c>
    </row>
    <row r="28" spans="1:4">
      <c r="A28" s="67" t="s">
        <v>11545</v>
      </c>
      <c r="D28" s="67" t="s">
        <v>11546</v>
      </c>
    </row>
    <row r="29" spans="1:4">
      <c r="A29" s="67" t="s">
        <v>11547</v>
      </c>
      <c r="D29" s="67" t="s">
        <v>11548</v>
      </c>
    </row>
    <row r="30" spans="1:4">
      <c r="A30" s="67" t="s">
        <v>11549</v>
      </c>
      <c r="B30" s="67" t="s">
        <v>11550</v>
      </c>
      <c r="D30" s="67" t="s">
        <v>11551</v>
      </c>
    </row>
    <row r="31" spans="1:4">
      <c r="A31" s="67" t="s">
        <v>6567</v>
      </c>
      <c r="C31" s="67" t="s">
        <v>11552</v>
      </c>
      <c r="D31" s="67" t="s">
        <v>11553</v>
      </c>
    </row>
    <row r="32" spans="1:4">
      <c r="A32" s="67" t="s">
        <v>11554</v>
      </c>
      <c r="D32" s="67" t="s">
        <v>11555</v>
      </c>
    </row>
    <row r="33" spans="1:4">
      <c r="A33" s="67" t="s">
        <v>11556</v>
      </c>
      <c r="D33" s="67" t="s">
        <v>11557</v>
      </c>
    </row>
    <row r="34" spans="1:4">
      <c r="A34" s="67" t="s">
        <v>5468</v>
      </c>
      <c r="D34" s="67" t="s">
        <v>11558</v>
      </c>
    </row>
    <row r="35" spans="1:4">
      <c r="A35" s="67" t="s">
        <v>11559</v>
      </c>
      <c r="C35" s="67" t="s">
        <v>11560</v>
      </c>
      <c r="D35" s="67" t="s">
        <v>11561</v>
      </c>
    </row>
    <row r="36" spans="1:4">
      <c r="A36" s="67" t="s">
        <v>8748</v>
      </c>
      <c r="D36" s="67" t="s">
        <v>11562</v>
      </c>
    </row>
    <row r="37" spans="1:4">
      <c r="A37" s="67" t="s">
        <v>11563</v>
      </c>
      <c r="D37" s="67" t="s">
        <v>11564</v>
      </c>
    </row>
    <row r="38" spans="1:4">
      <c r="A38" s="67" t="s">
        <v>5496</v>
      </c>
      <c r="D38" s="67" t="s">
        <v>11565</v>
      </c>
    </row>
    <row r="39" spans="1:4">
      <c r="A39" s="67" t="s">
        <v>11566</v>
      </c>
      <c r="D39" s="67" t="s">
        <v>11567</v>
      </c>
    </row>
    <row r="40" spans="1:4">
      <c r="A40" s="67" t="s">
        <v>5507</v>
      </c>
      <c r="D40" s="67" t="s">
        <v>11568</v>
      </c>
    </row>
    <row r="41" spans="1:4">
      <c r="A41" s="67" t="s">
        <v>11569</v>
      </c>
      <c r="D41" s="67" t="s">
        <v>11570</v>
      </c>
    </row>
    <row r="42" spans="1:4">
      <c r="A42" s="67" t="s">
        <v>11571</v>
      </c>
      <c r="D42" s="67" t="s">
        <v>11572</v>
      </c>
    </row>
    <row r="43" spans="1:4">
      <c r="A43" s="67" t="s">
        <v>11573</v>
      </c>
      <c r="D43" s="67" t="s">
        <v>11574</v>
      </c>
    </row>
    <row r="44" spans="1:4">
      <c r="A44" s="67" t="s">
        <v>11575</v>
      </c>
      <c r="D44" s="67" t="s">
        <v>11576</v>
      </c>
    </row>
    <row r="45" spans="1:4">
      <c r="A45" s="67" t="s">
        <v>11577</v>
      </c>
      <c r="D45" s="67" t="s">
        <v>11578</v>
      </c>
    </row>
    <row r="46" spans="1:4">
      <c r="A46" s="67" t="s">
        <v>11579</v>
      </c>
      <c r="B46" s="67" t="s">
        <v>11580</v>
      </c>
      <c r="C46" s="67" t="s">
        <v>11581</v>
      </c>
      <c r="D46" s="67" t="s">
        <v>11582</v>
      </c>
    </row>
    <row r="47" spans="1:4">
      <c r="A47" s="67" t="s">
        <v>5545</v>
      </c>
      <c r="D47" s="67" t="s">
        <v>11583</v>
      </c>
    </row>
    <row r="48" spans="1:4">
      <c r="A48" s="67" t="s">
        <v>11584</v>
      </c>
      <c r="D48" s="67" t="s">
        <v>11585</v>
      </c>
    </row>
    <row r="49" spans="1:4">
      <c r="A49" s="67" t="s">
        <v>11586</v>
      </c>
      <c r="D49" s="67" t="s">
        <v>11587</v>
      </c>
    </row>
    <row r="50" spans="1:4">
      <c r="A50" s="67" t="s">
        <v>11588</v>
      </c>
      <c r="D50" s="67" t="s">
        <v>11587</v>
      </c>
    </row>
    <row r="51" spans="1:4">
      <c r="A51" s="67" t="s">
        <v>5564</v>
      </c>
      <c r="D51" s="67" t="s">
        <v>11589</v>
      </c>
    </row>
    <row r="52" spans="1:4">
      <c r="A52" s="67" t="s">
        <v>11590</v>
      </c>
      <c r="C52" s="67" t="s">
        <v>11591</v>
      </c>
      <c r="D52" s="67" t="s">
        <v>11592</v>
      </c>
    </row>
    <row r="53" spans="1:4">
      <c r="A53" s="67" t="s">
        <v>7502</v>
      </c>
      <c r="D53" s="67" t="s">
        <v>11593</v>
      </c>
    </row>
    <row r="55" spans="1:4">
      <c r="A55" s="79" t="s">
        <v>333</v>
      </c>
      <c r="B55" s="79" t="s">
        <v>147</v>
      </c>
      <c r="C55" s="79" t="s">
        <v>148</v>
      </c>
      <c r="D55" s="79" t="s">
        <v>182</v>
      </c>
    </row>
    <row r="56" spans="1:4">
      <c r="A56" s="67" t="s">
        <v>11594</v>
      </c>
      <c r="B56" s="67" t="s">
        <v>11595</v>
      </c>
      <c r="C56" s="67" t="s">
        <v>11596</v>
      </c>
      <c r="D56" s="67" t="s">
        <v>11597</v>
      </c>
    </row>
    <row r="57" spans="1:4" ht="29.25" customHeight="1">
      <c r="A57" s="67" t="s">
        <v>11598</v>
      </c>
      <c r="B57" s="12" t="s">
        <v>11599</v>
      </c>
      <c r="C57" s="67" t="s">
        <v>11600</v>
      </c>
      <c r="D57" s="67" t="s">
        <v>11601</v>
      </c>
    </row>
    <row r="58" spans="1:4">
      <c r="A58" s="67" t="s">
        <v>11602</v>
      </c>
      <c r="D58" s="67" t="s">
        <v>11603</v>
      </c>
    </row>
    <row r="59" spans="1:4">
      <c r="A59" s="67" t="s">
        <v>9963</v>
      </c>
      <c r="B59" s="67" t="s">
        <v>11604</v>
      </c>
      <c r="C59" s="67" t="s">
        <v>11605</v>
      </c>
      <c r="D59" s="67" t="s">
        <v>11606</v>
      </c>
    </row>
    <row r="60" spans="1:4">
      <c r="A60" s="67" t="s">
        <v>11607</v>
      </c>
      <c r="B60" s="67" t="s">
        <v>11608</v>
      </c>
      <c r="C60" s="67" t="s">
        <v>11609</v>
      </c>
      <c r="D60" s="67" t="s">
        <v>11610</v>
      </c>
    </row>
    <row r="61" spans="1:4">
      <c r="A61" s="67" t="s">
        <v>11611</v>
      </c>
      <c r="D61" s="67" t="s">
        <v>11612</v>
      </c>
    </row>
    <row r="62" spans="1:4">
      <c r="A62" s="67" t="s">
        <v>11613</v>
      </c>
      <c r="B62" s="67" t="s">
        <v>11614</v>
      </c>
      <c r="C62" s="67" t="s">
        <v>11615</v>
      </c>
      <c r="D62" s="67" t="s">
        <v>11616</v>
      </c>
    </row>
    <row r="63" spans="1:4">
      <c r="A63" s="67" t="s">
        <v>11617</v>
      </c>
    </row>
    <row r="64" spans="1:4">
      <c r="A64" s="67" t="s">
        <v>11618</v>
      </c>
    </row>
    <row r="65" spans="1:4">
      <c r="A65" s="67" t="s">
        <v>11619</v>
      </c>
    </row>
    <row r="66" spans="1:4">
      <c r="A66" s="67" t="s">
        <v>11620</v>
      </c>
    </row>
    <row r="67" spans="1:4">
      <c r="A67" s="67" t="s">
        <v>11621</v>
      </c>
    </row>
    <row r="68" spans="1:4">
      <c r="A68" s="67" t="s">
        <v>11622</v>
      </c>
    </row>
    <row r="69" spans="1:4">
      <c r="A69" s="67" t="s">
        <v>11623</v>
      </c>
    </row>
    <row r="70" spans="1:4">
      <c r="A70" s="67" t="s">
        <v>11624</v>
      </c>
    </row>
    <row r="71" spans="1:4">
      <c r="A71" s="67" t="s">
        <v>11625</v>
      </c>
    </row>
    <row r="72" spans="1:4">
      <c r="A72" s="67" t="s">
        <v>11626</v>
      </c>
    </row>
    <row r="73" spans="1:4">
      <c r="A73" s="67" t="s">
        <v>11627</v>
      </c>
    </row>
    <row r="75" spans="1:4">
      <c r="A75" s="79" t="s">
        <v>878</v>
      </c>
      <c r="B75" s="79" t="s">
        <v>147</v>
      </c>
      <c r="C75" s="79" t="s">
        <v>148</v>
      </c>
      <c r="D75" s="79" t="s">
        <v>182</v>
      </c>
    </row>
    <row r="76" spans="1:4">
      <c r="A76" s="67" t="s">
        <v>11628</v>
      </c>
      <c r="B76" s="58" t="s">
        <v>11629</v>
      </c>
      <c r="C76" s="67" t="s">
        <v>11630</v>
      </c>
      <c r="D76" s="67" t="s">
        <v>11631</v>
      </c>
    </row>
    <row r="77" spans="1:4">
      <c r="A77" s="67" t="s">
        <v>11632</v>
      </c>
      <c r="D77" s="67" t="s">
        <v>11633</v>
      </c>
    </row>
    <row r="78" spans="1:4">
      <c r="A78" s="67" t="s">
        <v>11634</v>
      </c>
      <c r="B78" s="58" t="s">
        <v>11635</v>
      </c>
      <c r="C78" s="67" t="s">
        <v>11636</v>
      </c>
      <c r="D78" s="67" t="s">
        <v>11637</v>
      </c>
    </row>
    <row r="79" spans="1:4">
      <c r="A79" s="67" t="s">
        <v>11638</v>
      </c>
      <c r="D79" s="67" t="s">
        <v>11639</v>
      </c>
    </row>
    <row r="80" spans="1:4">
      <c r="A80" s="67" t="s">
        <v>11640</v>
      </c>
      <c r="D80" s="67" t="s">
        <v>11641</v>
      </c>
    </row>
    <row r="82" spans="1:4">
      <c r="A82" s="79" t="s">
        <v>428</v>
      </c>
      <c r="B82" s="79" t="s">
        <v>147</v>
      </c>
      <c r="C82" s="79" t="s">
        <v>148</v>
      </c>
      <c r="D82"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D90"/>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11642</v>
      </c>
      <c r="B2" s="70" t="s">
        <v>11643</v>
      </c>
      <c r="C2" s="67" t="s">
        <v>11644</v>
      </c>
      <c r="D2" s="67" t="s">
        <v>11645</v>
      </c>
    </row>
    <row r="3" spans="1:4">
      <c r="A3" s="67" t="s">
        <v>11646</v>
      </c>
      <c r="B3" s="67" t="s">
        <v>11647</v>
      </c>
      <c r="D3" s="67" t="s">
        <v>11648</v>
      </c>
    </row>
    <row r="4" spans="1:4">
      <c r="A4" s="67" t="s">
        <v>11649</v>
      </c>
      <c r="D4" s="11" t="str">
        <f>HYPERLINK("http://dps.sd.gov/homeland_security/default.aspx","http://dps.sd.gov/homeland_security/default.aspx")</f>
        <v>http://dps.sd.gov/homeland_security/default.aspx</v>
      </c>
    </row>
    <row r="5" spans="1:4">
      <c r="A5" s="67" t="s">
        <v>11650</v>
      </c>
      <c r="D5" s="11" t="str">
        <f>HYPERLINK("http://wildlife.rescueshelter.com/SouthDakota","http://wildlife.rescueshelter.com/SouthDakota")</f>
        <v>http://wildlife.rescueshelter.com/SouthDakota</v>
      </c>
    </row>
    <row r="6" spans="1:4">
      <c r="A6" s="79" t="s">
        <v>209</v>
      </c>
      <c r="B6" s="79" t="s">
        <v>147</v>
      </c>
      <c r="C6" s="79" t="s">
        <v>148</v>
      </c>
      <c r="D6" s="79" t="s">
        <v>182</v>
      </c>
    </row>
    <row r="7" spans="1:4">
      <c r="A7" s="67" t="s">
        <v>11651</v>
      </c>
      <c r="D7" t="s">
        <v>11652</v>
      </c>
    </row>
    <row r="8" spans="1:4">
      <c r="A8" s="67" t="s">
        <v>11653</v>
      </c>
      <c r="D8" t="s">
        <v>11654</v>
      </c>
    </row>
    <row r="9" spans="1:4">
      <c r="A9" s="67" t="s">
        <v>11655</v>
      </c>
    </row>
    <row r="10" spans="1:4">
      <c r="A10" s="67" t="s">
        <v>11656</v>
      </c>
    </row>
    <row r="11" spans="1:4">
      <c r="A11" s="67" t="s">
        <v>11657</v>
      </c>
      <c r="D11" t="s">
        <v>11658</v>
      </c>
    </row>
    <row r="12" spans="1:4">
      <c r="A12" s="67" t="s">
        <v>5385</v>
      </c>
    </row>
    <row r="13" spans="1:4">
      <c r="A13" s="67" t="s">
        <v>11659</v>
      </c>
    </row>
    <row r="14" spans="1:4">
      <c r="A14" s="67" t="s">
        <v>8725</v>
      </c>
    </row>
    <row r="15" spans="1:4">
      <c r="A15" s="67" t="s">
        <v>11660</v>
      </c>
    </row>
    <row r="16" spans="1:4">
      <c r="A16" s="67" t="s">
        <v>11661</v>
      </c>
    </row>
    <row r="17" spans="1:4">
      <c r="A17" s="67" t="s">
        <v>11662</v>
      </c>
    </row>
    <row r="18" spans="1:4">
      <c r="A18" s="67" t="s">
        <v>5401</v>
      </c>
    </row>
    <row r="19" spans="1:4">
      <c r="A19" s="67" t="s">
        <v>5403</v>
      </c>
      <c r="B19" t="s">
        <v>11663</v>
      </c>
      <c r="C19" t="s">
        <v>11664</v>
      </c>
      <c r="D19" t="s">
        <v>11665</v>
      </c>
    </row>
    <row r="20" spans="1:4">
      <c r="A20" s="67" t="s">
        <v>11666</v>
      </c>
      <c r="D20" t="s">
        <v>11667</v>
      </c>
    </row>
    <row r="21" spans="1:4">
      <c r="A21" s="67" t="s">
        <v>11668</v>
      </c>
    </row>
    <row r="22" spans="1:4">
      <c r="A22" s="67" t="s">
        <v>8661</v>
      </c>
      <c r="D22" t="s">
        <v>11669</v>
      </c>
    </row>
    <row r="23" spans="1:4">
      <c r="A23" s="67" t="s">
        <v>11670</v>
      </c>
      <c r="D23" t="s">
        <v>11671</v>
      </c>
    </row>
    <row r="24" spans="1:4">
      <c r="A24" s="67" t="s">
        <v>11672</v>
      </c>
    </row>
    <row r="25" spans="1:4">
      <c r="A25" s="67" t="s">
        <v>8731</v>
      </c>
    </row>
    <row r="26" spans="1:4">
      <c r="A26" s="67" t="s">
        <v>10694</v>
      </c>
    </row>
    <row r="27" spans="1:4">
      <c r="A27" s="67" t="s">
        <v>5422</v>
      </c>
    </row>
    <row r="28" spans="1:4">
      <c r="A28" s="67" t="s">
        <v>11673</v>
      </c>
    </row>
    <row r="29" spans="1:4">
      <c r="A29" s="67" t="s">
        <v>11674</v>
      </c>
      <c r="C29" t="s">
        <v>11675</v>
      </c>
      <c r="D29" t="s">
        <v>11676</v>
      </c>
    </row>
    <row r="30" spans="1:4">
      <c r="A30" s="67" t="s">
        <v>11677</v>
      </c>
    </row>
    <row r="31" spans="1:4">
      <c r="A31" s="67" t="s">
        <v>5806</v>
      </c>
    </row>
    <row r="32" spans="1:4">
      <c r="A32" s="67" t="s">
        <v>11678</v>
      </c>
    </row>
    <row r="33" spans="1:4">
      <c r="A33" s="67" t="s">
        <v>11679</v>
      </c>
    </row>
    <row r="34" spans="1:4">
      <c r="A34" s="67" t="s">
        <v>11680</v>
      </c>
    </row>
    <row r="35" spans="1:4">
      <c r="A35" s="67" t="s">
        <v>11681</v>
      </c>
      <c r="C35" t="s">
        <v>11682</v>
      </c>
      <c r="D35" t="s">
        <v>11683</v>
      </c>
    </row>
    <row r="36" spans="1:4">
      <c r="A36" s="67" t="s">
        <v>11684</v>
      </c>
    </row>
    <row r="37" spans="1:4">
      <c r="A37" s="67" t="s">
        <v>9138</v>
      </c>
    </row>
    <row r="38" spans="1:4">
      <c r="A38" s="67" t="s">
        <v>10707</v>
      </c>
      <c r="D38" t="s">
        <v>11685</v>
      </c>
    </row>
    <row r="39" spans="1:4">
      <c r="A39" s="67" t="s">
        <v>11686</v>
      </c>
    </row>
    <row r="40" spans="1:4">
      <c r="A40" s="67" t="s">
        <v>9914</v>
      </c>
    </row>
    <row r="41" spans="1:4">
      <c r="A41" s="67" t="s">
        <v>5466</v>
      </c>
    </row>
    <row r="42" spans="1:4">
      <c r="A42" s="67" t="s">
        <v>11687</v>
      </c>
    </row>
    <row r="43" spans="1:4">
      <c r="A43" s="67" t="s">
        <v>6225</v>
      </c>
    </row>
    <row r="44" spans="1:4">
      <c r="A44" s="67" t="s">
        <v>11688</v>
      </c>
    </row>
    <row r="45" spans="1:4">
      <c r="A45" s="67" t="s">
        <v>5486</v>
      </c>
      <c r="D45" t="s">
        <v>11689</v>
      </c>
    </row>
    <row r="46" spans="1:4">
      <c r="A46" s="67" t="s">
        <v>5494</v>
      </c>
      <c r="D46" t="s">
        <v>11690</v>
      </c>
    </row>
    <row r="47" spans="1:4">
      <c r="A47" s="67" t="s">
        <v>5206</v>
      </c>
      <c r="D47" t="s">
        <v>11691</v>
      </c>
    </row>
    <row r="48" spans="1:4">
      <c r="A48" s="67" t="s">
        <v>11692</v>
      </c>
      <c r="D48" t="s">
        <v>11693</v>
      </c>
    </row>
    <row r="49" spans="1:4">
      <c r="A49" s="67" t="s">
        <v>5509</v>
      </c>
    </row>
    <row r="50" spans="1:4">
      <c r="A50" s="67" t="s">
        <v>11694</v>
      </c>
    </row>
    <row r="51" spans="1:4">
      <c r="A51" s="67" t="s">
        <v>6610</v>
      </c>
    </row>
    <row r="52" spans="1:4">
      <c r="A52" s="67" t="s">
        <v>6612</v>
      </c>
      <c r="C52" t="s">
        <v>11695</v>
      </c>
      <c r="D52" t="s">
        <v>11696</v>
      </c>
    </row>
    <row r="53" spans="1:4">
      <c r="A53" s="67" t="s">
        <v>11697</v>
      </c>
    </row>
    <row r="54" spans="1:4">
      <c r="A54" s="67" t="s">
        <v>11698</v>
      </c>
      <c r="D54" t="s">
        <v>11699</v>
      </c>
    </row>
    <row r="55" spans="1:4">
      <c r="A55" s="67" t="s">
        <v>11700</v>
      </c>
      <c r="D55" t="s">
        <v>11701</v>
      </c>
    </row>
    <row r="56" spans="1:4">
      <c r="A56" s="67" t="s">
        <v>11702</v>
      </c>
      <c r="D56" t="s">
        <v>11703</v>
      </c>
    </row>
    <row r="57" spans="1:4">
      <c r="A57" s="67" t="s">
        <v>8254</v>
      </c>
      <c r="D57" t="s">
        <v>11704</v>
      </c>
    </row>
    <row r="58" spans="1:4">
      <c r="A58" s="67" t="s">
        <v>8755</v>
      </c>
    </row>
    <row r="59" spans="1:4">
      <c r="A59" s="67" t="s">
        <v>11354</v>
      </c>
    </row>
    <row r="60" spans="1:4">
      <c r="A60" s="67" t="s">
        <v>11705</v>
      </c>
    </row>
    <row r="61" spans="1:4">
      <c r="A61" s="67" t="s">
        <v>11706</v>
      </c>
    </row>
    <row r="62" spans="1:4">
      <c r="A62" s="67" t="s">
        <v>8591</v>
      </c>
    </row>
    <row r="63" spans="1:4">
      <c r="A63" s="67" t="s">
        <v>11707</v>
      </c>
      <c r="D63" t="s">
        <v>11708</v>
      </c>
    </row>
    <row r="64" spans="1:4">
      <c r="A64" s="67" t="s">
        <v>11709</v>
      </c>
    </row>
    <row r="65" spans="1:4">
      <c r="A65" s="67" t="s">
        <v>11710</v>
      </c>
      <c r="D65" t="s">
        <v>11711</v>
      </c>
    </row>
    <row r="66" spans="1:4">
      <c r="A66" s="67" t="s">
        <v>8269</v>
      </c>
    </row>
    <row r="67" spans="1:4">
      <c r="A67" s="67" t="s">
        <v>11712</v>
      </c>
    </row>
    <row r="68" spans="1:4">
      <c r="A68" s="67" t="s">
        <v>11713</v>
      </c>
    </row>
    <row r="69" spans="1:4">
      <c r="A69" s="67" t="s">
        <v>5564</v>
      </c>
    </row>
    <row r="70" spans="1:4">
      <c r="A70" s="67" t="s">
        <v>11714</v>
      </c>
    </row>
    <row r="71" spans="1:4">
      <c r="A71" s="67" t="s">
        <v>11715</v>
      </c>
      <c r="D71" t="s">
        <v>11716</v>
      </c>
    </row>
    <row r="72" spans="1:4">
      <c r="A72" s="67" t="s">
        <v>11717</v>
      </c>
    </row>
    <row r="74" spans="1:4">
      <c r="A74" s="79" t="s">
        <v>333</v>
      </c>
    </row>
    <row r="75" spans="1:4">
      <c r="A75" s="67" t="s">
        <v>11718</v>
      </c>
    </row>
    <row r="76" spans="1:4">
      <c r="A76" s="67" t="s">
        <v>3068</v>
      </c>
    </row>
    <row r="77" spans="1:4">
      <c r="A77" s="67" t="s">
        <v>8286</v>
      </c>
    </row>
    <row r="78" spans="1:4">
      <c r="A78" s="67" t="s">
        <v>11719</v>
      </c>
    </row>
    <row r="79" spans="1:4">
      <c r="A79" s="67" t="s">
        <v>8701</v>
      </c>
    </row>
    <row r="80" spans="1:4">
      <c r="A80" s="67" t="s">
        <v>11720</v>
      </c>
    </row>
    <row r="81" spans="1:1">
      <c r="A81" s="67" t="s">
        <v>11721</v>
      </c>
    </row>
    <row r="82" spans="1:1">
      <c r="A82" s="67" t="s">
        <v>11722</v>
      </c>
    </row>
    <row r="84" spans="1:1">
      <c r="A84" s="79" t="s">
        <v>878</v>
      </c>
    </row>
    <row r="85" spans="1:1">
      <c r="A85" s="67" t="s">
        <v>11723</v>
      </c>
    </row>
    <row r="86" spans="1:1">
      <c r="A86" s="67" t="s">
        <v>11724</v>
      </c>
    </row>
    <row r="87" spans="1:1">
      <c r="A87" s="67" t="s">
        <v>11725</v>
      </c>
    </row>
    <row r="88" spans="1:1">
      <c r="A88" s="67" t="s">
        <v>11726</v>
      </c>
    </row>
    <row r="90" spans="1:1">
      <c r="A90"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D13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11727</v>
      </c>
      <c r="B2" s="70" t="s">
        <v>11728</v>
      </c>
      <c r="C2" s="67" t="s">
        <v>11729</v>
      </c>
      <c r="D2" s="67" t="s">
        <v>11730</v>
      </c>
    </row>
    <row r="3" spans="1:4">
      <c r="A3" s="67" t="s">
        <v>11731</v>
      </c>
      <c r="B3" s="70" t="s">
        <v>11732</v>
      </c>
      <c r="C3" s="67" t="s">
        <v>11733</v>
      </c>
      <c r="D3" s="11" t="str">
        <f>HYPERLINK("http://www.tnema.org/","http://www.tnema.org ")</f>
        <v xml:space="preserve">http://www.tnema.org </v>
      </c>
    </row>
    <row r="4" spans="1:4">
      <c r="A4" s="67" t="s">
        <v>11734</v>
      </c>
      <c r="C4" s="67" t="s">
        <v>11735</v>
      </c>
      <c r="D4" s="11" t="str">
        <f>HYPERLINK("http://www.tn.gov/homelandsecurity","http://www.tn.gov/homelandsecurity")</f>
        <v>http://www.tn.gov/homelandsecurity</v>
      </c>
    </row>
    <row r="5" spans="1:4">
      <c r="A5" s="67" t="s">
        <v>11736</v>
      </c>
      <c r="D5" s="11" t="str">
        <f>HYPERLINK("http://wildlife.rescueshelter.com/Tennessee","http://wildlife.rescueshelter.com/Tennessee")</f>
        <v>http://wildlife.rescueshelter.com/Tennessee</v>
      </c>
    </row>
    <row r="7" spans="1:4">
      <c r="A7" s="79" t="s">
        <v>209</v>
      </c>
      <c r="B7" s="79" t="s">
        <v>147</v>
      </c>
      <c r="C7" s="79" t="s">
        <v>148</v>
      </c>
      <c r="D7" s="79" t="s">
        <v>182</v>
      </c>
    </row>
    <row r="8" spans="1:4">
      <c r="A8" s="67" t="s">
        <v>11506</v>
      </c>
    </row>
    <row r="9" spans="1:4">
      <c r="A9" s="67" t="s">
        <v>11255</v>
      </c>
    </row>
    <row r="10" spans="1:4">
      <c r="A10" s="67" t="s">
        <v>5752</v>
      </c>
    </row>
    <row r="11" spans="1:4">
      <c r="A11" s="67" t="s">
        <v>11737</v>
      </c>
    </row>
    <row r="12" spans="1:4">
      <c r="A12" s="67" t="s">
        <v>11738</v>
      </c>
    </row>
    <row r="13" spans="1:4">
      <c r="A13" s="67" t="s">
        <v>11739</v>
      </c>
    </row>
    <row r="14" spans="1:4">
      <c r="A14" s="67" t="s">
        <v>11661</v>
      </c>
    </row>
    <row r="15" spans="1:4">
      <c r="A15" s="67" t="s">
        <v>11740</v>
      </c>
    </row>
    <row r="16" spans="1:4">
      <c r="A16" s="67" t="s">
        <v>5391</v>
      </c>
    </row>
    <row r="17" spans="1:1">
      <c r="A17" s="67" t="s">
        <v>8512</v>
      </c>
    </row>
    <row r="18" spans="1:1">
      <c r="A18" s="67" t="s">
        <v>11741</v>
      </c>
    </row>
    <row r="19" spans="1:1">
      <c r="A19" s="67" t="s">
        <v>11278</v>
      </c>
    </row>
    <row r="20" spans="1:1">
      <c r="A20" s="67" t="s">
        <v>7253</v>
      </c>
    </row>
    <row r="21" spans="1:1">
      <c r="A21" s="67" t="s">
        <v>5403</v>
      </c>
    </row>
    <row r="22" spans="1:1">
      <c r="A22" s="67" t="s">
        <v>11742</v>
      </c>
    </row>
    <row r="23" spans="1:1">
      <c r="A23" s="67" t="s">
        <v>11743</v>
      </c>
    </row>
    <row r="24" spans="1:1">
      <c r="A24" s="67" t="s">
        <v>11744</v>
      </c>
    </row>
    <row r="25" spans="1:1">
      <c r="A25" s="67" t="s">
        <v>5415</v>
      </c>
    </row>
    <row r="26" spans="1:1">
      <c r="A26" s="67" t="s">
        <v>9887</v>
      </c>
    </row>
    <row r="27" spans="1:1">
      <c r="A27" s="67" t="s">
        <v>5778</v>
      </c>
    </row>
    <row r="28" spans="1:1">
      <c r="A28" s="67" t="s">
        <v>5417</v>
      </c>
    </row>
    <row r="29" spans="1:1">
      <c r="A29" s="67" t="s">
        <v>11745</v>
      </c>
    </row>
    <row r="30" spans="1:1">
      <c r="A30" s="67" t="s">
        <v>11746</v>
      </c>
    </row>
    <row r="31" spans="1:1">
      <c r="A31" s="67" t="s">
        <v>5436</v>
      </c>
    </row>
    <row r="32" spans="1:1">
      <c r="A32" s="67" t="s">
        <v>11747</v>
      </c>
    </row>
    <row r="33" spans="1:1">
      <c r="A33" s="67" t="s">
        <v>5441</v>
      </c>
    </row>
    <row r="34" spans="1:1">
      <c r="A34" s="67" t="s">
        <v>5803</v>
      </c>
    </row>
    <row r="35" spans="1:1">
      <c r="A35" s="67" t="s">
        <v>11748</v>
      </c>
    </row>
    <row r="36" spans="1:1">
      <c r="A36" s="67" t="s">
        <v>11749</v>
      </c>
    </row>
    <row r="37" spans="1:1">
      <c r="A37" s="67" t="s">
        <v>5449</v>
      </c>
    </row>
    <row r="38" spans="1:1">
      <c r="A38" s="67" t="s">
        <v>5451</v>
      </c>
    </row>
    <row r="39" spans="1:1">
      <c r="A39" s="67" t="s">
        <v>11750</v>
      </c>
    </row>
    <row r="40" spans="1:1">
      <c r="A40" s="67" t="s">
        <v>5453</v>
      </c>
    </row>
    <row r="41" spans="1:1">
      <c r="A41" s="67" t="s">
        <v>5455</v>
      </c>
    </row>
    <row r="42" spans="1:1">
      <c r="A42" s="67" t="s">
        <v>11751</v>
      </c>
    </row>
    <row r="43" spans="1:1">
      <c r="A43" s="67" t="s">
        <v>5457</v>
      </c>
    </row>
    <row r="44" spans="1:1">
      <c r="A44" s="67" t="s">
        <v>11752</v>
      </c>
    </row>
    <row r="45" spans="1:1">
      <c r="A45" s="67" t="s">
        <v>9911</v>
      </c>
    </row>
    <row r="46" spans="1:1">
      <c r="A46" s="67" t="s">
        <v>5459</v>
      </c>
    </row>
    <row r="47" spans="1:1">
      <c r="A47" s="67" t="s">
        <v>5461</v>
      </c>
    </row>
    <row r="48" spans="1:1">
      <c r="A48" s="67" t="s">
        <v>11753</v>
      </c>
    </row>
    <row r="49" spans="1:1">
      <c r="A49" s="67" t="s">
        <v>8231</v>
      </c>
    </row>
    <row r="50" spans="1:1">
      <c r="A50" s="67" t="s">
        <v>8397</v>
      </c>
    </row>
    <row r="51" spans="1:1">
      <c r="A51" s="67" t="s">
        <v>5466</v>
      </c>
    </row>
    <row r="52" spans="1:1">
      <c r="A52" s="67" t="s">
        <v>5187</v>
      </c>
    </row>
    <row r="53" spans="1:1">
      <c r="A53" s="67" t="s">
        <v>5475</v>
      </c>
    </row>
    <row r="54" spans="1:1">
      <c r="A54" s="67" t="s">
        <v>5484</v>
      </c>
    </row>
    <row r="55" spans="1:1">
      <c r="A55" s="67" t="s">
        <v>5486</v>
      </c>
    </row>
    <row r="56" spans="1:1">
      <c r="A56" s="67" t="s">
        <v>8415</v>
      </c>
    </row>
    <row r="57" spans="1:1">
      <c r="A57" s="67" t="s">
        <v>5494</v>
      </c>
    </row>
    <row r="58" spans="1:1">
      <c r="A58" s="67" t="s">
        <v>5203</v>
      </c>
    </row>
    <row r="59" spans="1:1">
      <c r="A59" s="67" t="s">
        <v>5206</v>
      </c>
    </row>
    <row r="60" spans="1:1">
      <c r="A60" s="67" t="s">
        <v>11754</v>
      </c>
    </row>
    <row r="61" spans="1:1">
      <c r="A61" s="67" t="s">
        <v>5502</v>
      </c>
    </row>
    <row r="62" spans="1:1">
      <c r="A62" s="67" t="s">
        <v>5209</v>
      </c>
    </row>
    <row r="63" spans="1:1">
      <c r="A63" s="67" t="s">
        <v>5507</v>
      </c>
    </row>
    <row r="64" spans="1:1">
      <c r="A64" s="67" t="s">
        <v>5509</v>
      </c>
    </row>
    <row r="65" spans="1:1">
      <c r="A65" s="67" t="s">
        <v>11755</v>
      </c>
    </row>
    <row r="66" spans="1:1">
      <c r="A66" s="67" t="s">
        <v>11756</v>
      </c>
    </row>
    <row r="67" spans="1:1">
      <c r="A67" s="67" t="s">
        <v>11757</v>
      </c>
    </row>
    <row r="68" spans="1:1">
      <c r="A68" s="67" t="s">
        <v>10477</v>
      </c>
    </row>
    <row r="69" spans="1:1">
      <c r="A69" s="67" t="s">
        <v>5524</v>
      </c>
    </row>
    <row r="70" spans="1:1">
      <c r="A70" s="67" t="s">
        <v>5526</v>
      </c>
    </row>
    <row r="71" spans="1:1">
      <c r="A71" s="67" t="s">
        <v>9920</v>
      </c>
    </row>
    <row r="72" spans="1:1">
      <c r="A72" s="67" t="s">
        <v>5527</v>
      </c>
    </row>
    <row r="73" spans="1:1">
      <c r="A73" s="67" t="s">
        <v>11758</v>
      </c>
    </row>
    <row r="74" spans="1:1">
      <c r="A74" s="67" t="s">
        <v>11759</v>
      </c>
    </row>
    <row r="75" spans="1:1">
      <c r="A75" s="67" t="s">
        <v>5533</v>
      </c>
    </row>
    <row r="76" spans="1:1">
      <c r="A76" s="67" t="s">
        <v>11760</v>
      </c>
    </row>
    <row r="77" spans="1:1">
      <c r="A77" s="67" t="s">
        <v>6290</v>
      </c>
    </row>
    <row r="78" spans="1:1">
      <c r="A78" s="67" t="s">
        <v>5541</v>
      </c>
    </row>
    <row r="79" spans="1:1">
      <c r="A79" s="67" t="s">
        <v>11761</v>
      </c>
    </row>
    <row r="80" spans="1:1">
      <c r="A80" s="67" t="s">
        <v>11762</v>
      </c>
    </row>
    <row r="81" spans="1:1">
      <c r="A81" s="67" t="s">
        <v>11763</v>
      </c>
    </row>
    <row r="82" spans="1:1">
      <c r="A82" s="67" t="s">
        <v>9934</v>
      </c>
    </row>
    <row r="83" spans="1:1">
      <c r="A83" s="67" t="s">
        <v>5553</v>
      </c>
    </row>
    <row r="84" spans="1:1">
      <c r="A84" s="67" t="s">
        <v>11764</v>
      </c>
    </row>
    <row r="85" spans="1:1">
      <c r="A85" s="67" t="s">
        <v>11765</v>
      </c>
    </row>
    <row r="86" spans="1:1">
      <c r="A86" s="67" t="s">
        <v>5554</v>
      </c>
    </row>
    <row r="87" spans="1:1">
      <c r="A87" s="67" t="s">
        <v>6689</v>
      </c>
    </row>
    <row r="88" spans="1:1">
      <c r="A88" s="67" t="s">
        <v>11766</v>
      </c>
    </row>
    <row r="89" spans="1:1">
      <c r="A89" s="67" t="s">
        <v>8595</v>
      </c>
    </row>
    <row r="90" spans="1:1">
      <c r="A90" s="67" t="s">
        <v>6698</v>
      </c>
    </row>
    <row r="91" spans="1:1">
      <c r="A91" s="67" t="s">
        <v>5937</v>
      </c>
    </row>
    <row r="92" spans="1:1">
      <c r="A92" s="67" t="s">
        <v>11767</v>
      </c>
    </row>
    <row r="93" spans="1:1">
      <c r="A93" s="67" t="s">
        <v>11768</v>
      </c>
    </row>
    <row r="94" spans="1:1">
      <c r="A94" s="67" t="s">
        <v>5564</v>
      </c>
    </row>
    <row r="95" spans="1:1">
      <c r="A95" s="67" t="s">
        <v>6334</v>
      </c>
    </row>
    <row r="96" spans="1:1">
      <c r="A96" s="67" t="s">
        <v>5571</v>
      </c>
    </row>
    <row r="97" spans="1:1">
      <c r="A97" s="67" t="s">
        <v>117</v>
      </c>
    </row>
    <row r="98" spans="1:1">
      <c r="A98" s="67" t="s">
        <v>5573</v>
      </c>
    </row>
    <row r="99" spans="1:1">
      <c r="A99" s="67" t="s">
        <v>11769</v>
      </c>
    </row>
    <row r="100" spans="1:1">
      <c r="A100" s="67" t="s">
        <v>5574</v>
      </c>
    </row>
    <row r="101" spans="1:1">
      <c r="A101" s="67" t="s">
        <v>5580</v>
      </c>
    </row>
    <row r="102" spans="1:1">
      <c r="A102" s="67" t="s">
        <v>6711</v>
      </c>
    </row>
    <row r="104" spans="1:1">
      <c r="A104" s="79" t="s">
        <v>333</v>
      </c>
    </row>
    <row r="105" spans="1:1">
      <c r="A105" s="67" t="s">
        <v>11770</v>
      </c>
    </row>
    <row r="106" spans="1:1">
      <c r="A106" s="67" t="s">
        <v>11771</v>
      </c>
    </row>
    <row r="107" spans="1:1">
      <c r="A107" s="67" t="s">
        <v>11772</v>
      </c>
    </row>
    <row r="108" spans="1:1">
      <c r="A108" s="67" t="s">
        <v>11773</v>
      </c>
    </row>
    <row r="109" spans="1:1">
      <c r="A109" s="67" t="s">
        <v>11774</v>
      </c>
    </row>
    <row r="110" spans="1:1">
      <c r="A110" s="67" t="s">
        <v>11775</v>
      </c>
    </row>
    <row r="111" spans="1:1">
      <c r="A111" s="67" t="s">
        <v>11776</v>
      </c>
    </row>
    <row r="112" spans="1:1">
      <c r="A112" s="67" t="s">
        <v>7151</v>
      </c>
    </row>
    <row r="113" spans="1:1">
      <c r="A113" s="67" t="s">
        <v>11777</v>
      </c>
    </row>
    <row r="114" spans="1:1">
      <c r="A114" s="67" t="s">
        <v>11778</v>
      </c>
    </row>
    <row r="115" spans="1:1">
      <c r="A115" s="67" t="s">
        <v>11779</v>
      </c>
    </row>
    <row r="116" spans="1:1">
      <c r="A116" s="67" t="s">
        <v>11780</v>
      </c>
    </row>
    <row r="117" spans="1:1">
      <c r="A117" s="67" t="s">
        <v>11781</v>
      </c>
    </row>
    <row r="118" spans="1:1">
      <c r="A118" s="67" t="s">
        <v>11782</v>
      </c>
    </row>
    <row r="119" spans="1:1">
      <c r="A119" s="67" t="s">
        <v>11783</v>
      </c>
    </row>
    <row r="120" spans="1:1">
      <c r="A120" s="67" t="s">
        <v>11784</v>
      </c>
    </row>
    <row r="121" spans="1:1">
      <c r="A121" s="67" t="s">
        <v>11785</v>
      </c>
    </row>
    <row r="122" spans="1:1">
      <c r="A122" s="67" t="s">
        <v>11786</v>
      </c>
    </row>
    <row r="123" spans="1:1">
      <c r="A123" s="67" t="s">
        <v>11787</v>
      </c>
    </row>
    <row r="124" spans="1:1">
      <c r="A124" s="67" t="s">
        <v>11788</v>
      </c>
    </row>
    <row r="125" spans="1:1">
      <c r="A125" s="67" t="s">
        <v>11789</v>
      </c>
    </row>
    <row r="126" spans="1:1">
      <c r="A126" s="67" t="s">
        <v>11790</v>
      </c>
    </row>
    <row r="127" spans="1:1">
      <c r="A127" s="67" t="s">
        <v>11791</v>
      </c>
    </row>
    <row r="128" spans="1:1">
      <c r="A128" s="67" t="s">
        <v>11792</v>
      </c>
    </row>
    <row r="129" spans="1:1">
      <c r="A129" s="67" t="s">
        <v>11793</v>
      </c>
    </row>
    <row r="131" spans="1:1">
      <c r="A131" s="79" t="s">
        <v>878</v>
      </c>
    </row>
    <row r="132" spans="1:1">
      <c r="A132" s="67" t="s">
        <v>11794</v>
      </c>
    </row>
    <row r="133" spans="1:1">
      <c r="A133" s="67" t="s">
        <v>11795</v>
      </c>
    </row>
    <row r="134" spans="1:1">
      <c r="A134" s="67" t="s">
        <v>11796</v>
      </c>
    </row>
    <row r="135" spans="1:1">
      <c r="A135" s="67" t="s">
        <v>11797</v>
      </c>
    </row>
    <row r="136" spans="1:1">
      <c r="A136" s="67" t="s">
        <v>11798</v>
      </c>
    </row>
    <row r="138" spans="1:1">
      <c r="A138"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D344"/>
  <sheetViews>
    <sheetView workbookViewId="0">
      <pane ySplit="7" topLeftCell="A8" activePane="bottomLeft" state="frozen"/>
      <selection pane="bottomLeft" activeCell="A8" sqref="A8"/>
    </sheetView>
  </sheetViews>
  <sheetFormatPr defaultColWidth="9.140625" defaultRowHeight="15" customHeight="1"/>
  <cols>
    <col min="1" max="1" width="26.7109375" customWidth="1"/>
    <col min="2" max="2" width="17.85546875" customWidth="1"/>
    <col min="3" max="3" width="39" customWidth="1"/>
    <col min="4" max="4" width="35.28515625" customWidth="1"/>
  </cols>
  <sheetData>
    <row r="1" spans="1:4">
      <c r="A1" s="79" t="s">
        <v>146</v>
      </c>
      <c r="B1" s="79" t="s">
        <v>147</v>
      </c>
      <c r="C1" s="79" t="s">
        <v>148</v>
      </c>
      <c r="D1" s="79" t="s">
        <v>182</v>
      </c>
    </row>
    <row r="2" spans="1:4">
      <c r="A2" s="67" t="s">
        <v>11799</v>
      </c>
      <c r="B2" s="70" t="s">
        <v>11800</v>
      </c>
      <c r="C2" s="67" t="s">
        <v>11801</v>
      </c>
      <c r="D2" s="67" t="s">
        <v>11802</v>
      </c>
    </row>
    <row r="3" spans="1:4">
      <c r="A3" s="67" t="s">
        <v>11803</v>
      </c>
      <c r="D3" s="67" t="s">
        <v>11804</v>
      </c>
    </row>
    <row r="4" spans="1:4">
      <c r="A4" s="67" t="s">
        <v>11805</v>
      </c>
      <c r="D4" s="11" t="s">
        <v>11806</v>
      </c>
    </row>
    <row r="5" spans="1:4">
      <c r="A5" s="67" t="s">
        <v>11807</v>
      </c>
      <c r="B5" s="70"/>
      <c r="C5" s="67"/>
      <c r="D5" s="11" t="str">
        <f>HYPERLINK("http://wildlife.rescueshelter.com/Texas","http://wildlife.rescueshelter.com/Texas")</f>
        <v>http://wildlife.rescueshelter.com/Texas</v>
      </c>
    </row>
    <row r="6" spans="1:4" ht="15" customHeight="1">
      <c r="A6" t="s">
        <v>11808</v>
      </c>
      <c r="B6" t="s">
        <v>11809</v>
      </c>
      <c r="C6" t="s">
        <v>11810</v>
      </c>
      <c r="D6" t="s">
        <v>11811</v>
      </c>
    </row>
    <row r="7" spans="1:4">
      <c r="A7" s="79" t="s">
        <v>209</v>
      </c>
      <c r="B7" s="79" t="s">
        <v>147</v>
      </c>
      <c r="C7" s="79" t="s">
        <v>148</v>
      </c>
      <c r="D7" s="79" t="s">
        <v>182</v>
      </c>
    </row>
    <row r="8" spans="1:4">
      <c r="A8" s="67" t="s">
        <v>11506</v>
      </c>
      <c r="D8" t="s">
        <v>11812</v>
      </c>
    </row>
    <row r="9" spans="1:4">
      <c r="A9" s="67" t="s">
        <v>11813</v>
      </c>
      <c r="D9" t="s">
        <v>11814</v>
      </c>
    </row>
    <row r="10" spans="1:4">
      <c r="A10" s="67" t="s">
        <v>11815</v>
      </c>
      <c r="B10" t="s">
        <v>11816</v>
      </c>
      <c r="C10" t="s">
        <v>11817</v>
      </c>
      <c r="D10" t="s">
        <v>11818</v>
      </c>
    </row>
    <row r="11" spans="1:4">
      <c r="A11" s="67" t="s">
        <v>11819</v>
      </c>
      <c r="C11" t="s">
        <v>11820</v>
      </c>
      <c r="D11" t="s">
        <v>11821</v>
      </c>
    </row>
    <row r="12" spans="1:4">
      <c r="A12" s="67" t="s">
        <v>11822</v>
      </c>
      <c r="D12" t="s">
        <v>11823</v>
      </c>
    </row>
    <row r="13" spans="1:4">
      <c r="A13" s="67" t="s">
        <v>11252</v>
      </c>
      <c r="D13" t="s">
        <v>11824</v>
      </c>
    </row>
    <row r="14" spans="1:4">
      <c r="A14" s="67" t="s">
        <v>11825</v>
      </c>
      <c r="D14" t="s">
        <v>11826</v>
      </c>
    </row>
    <row r="15" spans="1:4">
      <c r="A15" s="67" t="s">
        <v>11827</v>
      </c>
      <c r="B15" t="s">
        <v>11828</v>
      </c>
      <c r="C15" t="s">
        <v>11829</v>
      </c>
      <c r="D15" t="s">
        <v>11830</v>
      </c>
    </row>
    <row r="16" spans="1:4">
      <c r="A16" s="67" t="s">
        <v>11831</v>
      </c>
      <c r="B16" t="s">
        <v>11832</v>
      </c>
      <c r="D16" t="s">
        <v>11833</v>
      </c>
    </row>
    <row r="17" spans="1:4">
      <c r="A17" s="67" t="s">
        <v>11834</v>
      </c>
      <c r="C17" t="s">
        <v>11835</v>
      </c>
      <c r="D17" t="s">
        <v>11836</v>
      </c>
    </row>
    <row r="18" spans="1:4">
      <c r="A18" s="67" t="s">
        <v>11837</v>
      </c>
      <c r="B18" t="s">
        <v>11838</v>
      </c>
      <c r="C18" t="s">
        <v>11839</v>
      </c>
      <c r="D18" t="s">
        <v>11840</v>
      </c>
    </row>
    <row r="19" spans="1:4">
      <c r="A19" s="67" t="s">
        <v>11841</v>
      </c>
      <c r="D19" t="s">
        <v>11842</v>
      </c>
    </row>
    <row r="20" spans="1:4">
      <c r="A20" s="67" t="s">
        <v>11843</v>
      </c>
      <c r="D20" t="s">
        <v>11844</v>
      </c>
    </row>
    <row r="21" spans="1:4">
      <c r="A21" s="67" t="s">
        <v>11845</v>
      </c>
      <c r="B21" t="s">
        <v>11846</v>
      </c>
      <c r="C21" t="s">
        <v>11847</v>
      </c>
      <c r="D21" t="s">
        <v>11848</v>
      </c>
    </row>
    <row r="22" spans="1:4">
      <c r="A22" s="67" t="s">
        <v>11849</v>
      </c>
      <c r="B22" t="s">
        <v>11850</v>
      </c>
      <c r="C22" t="s">
        <v>11851</v>
      </c>
      <c r="D22" t="s">
        <v>11852</v>
      </c>
    </row>
    <row r="23" spans="1:4">
      <c r="A23" s="67" t="s">
        <v>11853</v>
      </c>
      <c r="D23" t="s">
        <v>11854</v>
      </c>
    </row>
    <row r="24" spans="1:4">
      <c r="A24" s="67" t="s">
        <v>11855</v>
      </c>
      <c r="D24" t="s">
        <v>11856</v>
      </c>
    </row>
    <row r="25" spans="1:4">
      <c r="A25" s="67" t="s">
        <v>11857</v>
      </c>
      <c r="D25" t="s">
        <v>11858</v>
      </c>
    </row>
    <row r="26" spans="1:4">
      <c r="A26" s="67" t="s">
        <v>11859</v>
      </c>
      <c r="D26" t="s">
        <v>11860</v>
      </c>
    </row>
    <row r="27" spans="1:4">
      <c r="A27" s="67" t="s">
        <v>11861</v>
      </c>
      <c r="B27" t="s">
        <v>11862</v>
      </c>
      <c r="C27" t="s">
        <v>11863</v>
      </c>
      <c r="D27" t="s">
        <v>11864</v>
      </c>
    </row>
    <row r="28" spans="1:4">
      <c r="A28" s="67" t="s">
        <v>11865</v>
      </c>
      <c r="C28" t="s">
        <v>11866</v>
      </c>
      <c r="D28" t="s">
        <v>11867</v>
      </c>
    </row>
    <row r="29" spans="1:4">
      <c r="A29" s="67" t="s">
        <v>11868</v>
      </c>
      <c r="C29" t="s">
        <v>11869</v>
      </c>
      <c r="D29" t="s">
        <v>11870</v>
      </c>
    </row>
    <row r="30" spans="1:4">
      <c r="A30" s="67" t="s">
        <v>11871</v>
      </c>
      <c r="D30" t="s">
        <v>11872</v>
      </c>
    </row>
    <row r="31" spans="1:4">
      <c r="A31" s="67" t="s">
        <v>11873</v>
      </c>
      <c r="D31" t="s">
        <v>11874</v>
      </c>
    </row>
    <row r="32" spans="1:4">
      <c r="A32" s="67" t="s">
        <v>5385</v>
      </c>
      <c r="D32" t="s">
        <v>11875</v>
      </c>
    </row>
    <row r="33" spans="1:4">
      <c r="A33" s="67" t="s">
        <v>11876</v>
      </c>
      <c r="B33" t="s">
        <v>11877</v>
      </c>
      <c r="C33" t="s">
        <v>11878</v>
      </c>
      <c r="D33" t="s">
        <v>11879</v>
      </c>
    </row>
    <row r="34" spans="1:4">
      <c r="A34" s="67" t="s">
        <v>11880</v>
      </c>
      <c r="B34" t="s">
        <v>11881</v>
      </c>
      <c r="C34" t="s">
        <v>11882</v>
      </c>
      <c r="D34" t="s">
        <v>11883</v>
      </c>
    </row>
    <row r="35" spans="1:4">
      <c r="A35" s="67" t="s">
        <v>7248</v>
      </c>
      <c r="C35" t="s">
        <v>11884</v>
      </c>
      <c r="D35" t="s">
        <v>11885</v>
      </c>
    </row>
    <row r="36" spans="1:4">
      <c r="A36" s="67" t="s">
        <v>5389</v>
      </c>
      <c r="D36" t="s">
        <v>11886</v>
      </c>
    </row>
    <row r="37" spans="1:4">
      <c r="A37" s="67" t="s">
        <v>11887</v>
      </c>
      <c r="D37" t="s">
        <v>11888</v>
      </c>
    </row>
    <row r="38" spans="1:4">
      <c r="A38" s="67" t="s">
        <v>7250</v>
      </c>
      <c r="D38" t="s">
        <v>11889</v>
      </c>
    </row>
    <row r="39" spans="1:4">
      <c r="A39" s="67" t="s">
        <v>11890</v>
      </c>
      <c r="D39" t="s">
        <v>11891</v>
      </c>
    </row>
    <row r="40" spans="1:4">
      <c r="A40" s="67" t="s">
        <v>11892</v>
      </c>
      <c r="D40" t="s">
        <v>11893</v>
      </c>
    </row>
    <row r="41" spans="1:4">
      <c r="A41" s="67" t="s">
        <v>5393</v>
      </c>
      <c r="D41" t="s">
        <v>11894</v>
      </c>
    </row>
    <row r="42" spans="1:4">
      <c r="A42" s="67" t="s">
        <v>11895</v>
      </c>
      <c r="D42" t="s">
        <v>11896</v>
      </c>
    </row>
    <row r="43" spans="1:4">
      <c r="A43" s="67" t="s">
        <v>11897</v>
      </c>
    </row>
    <row r="44" spans="1:4">
      <c r="A44" s="67" t="s">
        <v>6138</v>
      </c>
    </row>
    <row r="45" spans="1:4">
      <c r="A45" s="67" t="s">
        <v>11898</v>
      </c>
    </row>
    <row r="46" spans="1:4">
      <c r="A46" s="67" t="s">
        <v>5403</v>
      </c>
    </row>
    <row r="47" spans="1:4">
      <c r="A47" s="67" t="s">
        <v>11899</v>
      </c>
    </row>
    <row r="48" spans="1:4">
      <c r="A48" s="67" t="s">
        <v>11900</v>
      </c>
    </row>
    <row r="49" spans="1:1">
      <c r="A49" s="67" t="s">
        <v>11901</v>
      </c>
    </row>
    <row r="50" spans="1:1">
      <c r="A50" s="67" t="s">
        <v>11902</v>
      </c>
    </row>
    <row r="51" spans="1:1">
      <c r="A51" s="67" t="s">
        <v>11903</v>
      </c>
    </row>
    <row r="52" spans="1:1">
      <c r="A52" s="67" t="s">
        <v>33</v>
      </c>
    </row>
    <row r="53" spans="1:1">
      <c r="A53" s="67" t="s">
        <v>11904</v>
      </c>
    </row>
    <row r="54" spans="1:1">
      <c r="A54" s="67" t="s">
        <v>6521</v>
      </c>
    </row>
    <row r="55" spans="1:1">
      <c r="A55" s="67" t="s">
        <v>11905</v>
      </c>
    </row>
    <row r="56" spans="1:1">
      <c r="A56" s="67" t="s">
        <v>11906</v>
      </c>
    </row>
    <row r="57" spans="1:1">
      <c r="A57" s="67" t="s">
        <v>11907</v>
      </c>
    </row>
    <row r="58" spans="1:1">
      <c r="A58" s="67" t="s">
        <v>11908</v>
      </c>
    </row>
    <row r="59" spans="1:1">
      <c r="A59" s="67" t="s">
        <v>11909</v>
      </c>
    </row>
    <row r="60" spans="1:1">
      <c r="A60" s="67" t="s">
        <v>11744</v>
      </c>
    </row>
    <row r="61" spans="1:1">
      <c r="A61" s="67" t="s">
        <v>11910</v>
      </c>
    </row>
    <row r="62" spans="1:1">
      <c r="A62" s="67" t="s">
        <v>11911</v>
      </c>
    </row>
    <row r="63" spans="1:1">
      <c r="A63" s="67" t="s">
        <v>11912</v>
      </c>
    </row>
    <row r="64" spans="1:1">
      <c r="A64" s="67" t="s">
        <v>6156</v>
      </c>
    </row>
    <row r="65" spans="1:1">
      <c r="A65" s="67" t="s">
        <v>8663</v>
      </c>
    </row>
    <row r="66" spans="1:1">
      <c r="A66" s="67" t="s">
        <v>11913</v>
      </c>
    </row>
    <row r="67" spans="1:1">
      <c r="A67" s="67" t="s">
        <v>8103</v>
      </c>
    </row>
    <row r="68" spans="1:1">
      <c r="A68" s="67" t="s">
        <v>11914</v>
      </c>
    </row>
    <row r="69" spans="1:1">
      <c r="A69" s="67" t="s">
        <v>5420</v>
      </c>
    </row>
    <row r="70" spans="1:1">
      <c r="A70" s="67" t="s">
        <v>11915</v>
      </c>
    </row>
    <row r="71" spans="1:1">
      <c r="A71" s="67" t="s">
        <v>11916</v>
      </c>
    </row>
    <row r="72" spans="1:1">
      <c r="A72" s="67" t="s">
        <v>11917</v>
      </c>
    </row>
    <row r="73" spans="1:1">
      <c r="A73" s="67" t="s">
        <v>11918</v>
      </c>
    </row>
    <row r="74" spans="1:1">
      <c r="A74" s="67" t="s">
        <v>11919</v>
      </c>
    </row>
    <row r="75" spans="1:1">
      <c r="A75" s="67" t="s">
        <v>11920</v>
      </c>
    </row>
    <row r="76" spans="1:1">
      <c r="A76" s="67" t="s">
        <v>5430</v>
      </c>
    </row>
    <row r="77" spans="1:1">
      <c r="A77" s="67" t="s">
        <v>11921</v>
      </c>
    </row>
    <row r="78" spans="1:1">
      <c r="A78" s="67" t="s">
        <v>6541</v>
      </c>
    </row>
    <row r="79" spans="1:1">
      <c r="A79" s="67" t="s">
        <v>11922</v>
      </c>
    </row>
    <row r="80" spans="1:1">
      <c r="A80" s="67" t="s">
        <v>11923</v>
      </c>
    </row>
    <row r="81" spans="1:1">
      <c r="A81" s="67" t="s">
        <v>11924</v>
      </c>
    </row>
    <row r="82" spans="1:1">
      <c r="A82" s="67" t="s">
        <v>5436</v>
      </c>
    </row>
    <row r="83" spans="1:1">
      <c r="A83" s="67" t="s">
        <v>11925</v>
      </c>
    </row>
    <row r="84" spans="1:1">
      <c r="A84" s="67" t="s">
        <v>5795</v>
      </c>
    </row>
    <row r="85" spans="1:1">
      <c r="A85" s="67" t="s">
        <v>11926</v>
      </c>
    </row>
    <row r="86" spans="1:1">
      <c r="A86" s="67" t="s">
        <v>11927</v>
      </c>
    </row>
    <row r="87" spans="1:1">
      <c r="A87" s="67" t="s">
        <v>5441</v>
      </c>
    </row>
    <row r="88" spans="1:1">
      <c r="A88" s="67" t="s">
        <v>11928</v>
      </c>
    </row>
    <row r="89" spans="1:1">
      <c r="A89" s="67" t="s">
        <v>11929</v>
      </c>
    </row>
    <row r="90" spans="1:1">
      <c r="A90" s="67" t="s">
        <v>11930</v>
      </c>
    </row>
    <row r="91" spans="1:1">
      <c r="A91" s="67" t="s">
        <v>11931</v>
      </c>
    </row>
    <row r="92" spans="1:1">
      <c r="A92" s="67" t="s">
        <v>11932</v>
      </c>
    </row>
    <row r="93" spans="1:1">
      <c r="A93" s="67" t="s">
        <v>11933</v>
      </c>
    </row>
    <row r="94" spans="1:1">
      <c r="A94" s="67" t="s">
        <v>11934</v>
      </c>
    </row>
    <row r="95" spans="1:1">
      <c r="A95" s="67" t="s">
        <v>11935</v>
      </c>
    </row>
    <row r="96" spans="1:1">
      <c r="A96" s="67" t="s">
        <v>11936</v>
      </c>
    </row>
    <row r="97" spans="1:1">
      <c r="A97" s="67" t="s">
        <v>6562</v>
      </c>
    </row>
    <row r="98" spans="1:1">
      <c r="A98" s="67" t="s">
        <v>11937</v>
      </c>
    </row>
    <row r="99" spans="1:1">
      <c r="A99" s="67" t="s">
        <v>11938</v>
      </c>
    </row>
    <row r="100" spans="1:1">
      <c r="A100" s="67" t="s">
        <v>11939</v>
      </c>
    </row>
    <row r="101" spans="1:1">
      <c r="A101" s="67" t="s">
        <v>9136</v>
      </c>
    </row>
    <row r="102" spans="1:1">
      <c r="A102" s="67" t="s">
        <v>11940</v>
      </c>
    </row>
    <row r="103" spans="1:1">
      <c r="A103" s="67" t="s">
        <v>8739</v>
      </c>
    </row>
    <row r="104" spans="1:1">
      <c r="A104" s="67" t="s">
        <v>5453</v>
      </c>
    </row>
    <row r="105" spans="1:1">
      <c r="A105" s="67" t="s">
        <v>11941</v>
      </c>
    </row>
    <row r="106" spans="1:1">
      <c r="A106" s="67" t="s">
        <v>11751</v>
      </c>
    </row>
    <row r="107" spans="1:1">
      <c r="A107" s="67" t="s">
        <v>5457</v>
      </c>
    </row>
    <row r="108" spans="1:1">
      <c r="A108" s="67" t="s">
        <v>11942</v>
      </c>
    </row>
    <row r="109" spans="1:1">
      <c r="A109" s="67" t="s">
        <v>6202</v>
      </c>
    </row>
    <row r="110" spans="1:1">
      <c r="A110" s="67" t="s">
        <v>11943</v>
      </c>
    </row>
    <row r="111" spans="1:1">
      <c r="A111" s="67" t="s">
        <v>6575</v>
      </c>
    </row>
    <row r="112" spans="1:1">
      <c r="A112" s="67" t="s">
        <v>11944</v>
      </c>
    </row>
    <row r="113" spans="1:1">
      <c r="A113" s="67" t="s">
        <v>11945</v>
      </c>
    </row>
    <row r="114" spans="1:1">
      <c r="A114" s="67" t="s">
        <v>5459</v>
      </c>
    </row>
    <row r="115" spans="1:1">
      <c r="A115" s="67" t="s">
        <v>9140</v>
      </c>
    </row>
    <row r="116" spans="1:1">
      <c r="A116" s="67" t="s">
        <v>8672</v>
      </c>
    </row>
    <row r="117" spans="1:1">
      <c r="A117" s="67" t="s">
        <v>11946</v>
      </c>
    </row>
    <row r="118" spans="1:1">
      <c r="A118" s="67" t="s">
        <v>11947</v>
      </c>
    </row>
    <row r="119" spans="1:1">
      <c r="A119" s="67" t="s">
        <v>11948</v>
      </c>
    </row>
    <row r="120" spans="1:1">
      <c r="A120" s="67" t="s">
        <v>8231</v>
      </c>
    </row>
    <row r="121" spans="1:1">
      <c r="A121" s="67" t="s">
        <v>5822</v>
      </c>
    </row>
    <row r="122" spans="1:1">
      <c r="A122" s="67" t="s">
        <v>11949</v>
      </c>
    </row>
    <row r="123" spans="1:1">
      <c r="A123" s="67" t="s">
        <v>11950</v>
      </c>
    </row>
    <row r="124" spans="1:1">
      <c r="A124" s="67" t="s">
        <v>11686</v>
      </c>
    </row>
    <row r="125" spans="1:1">
      <c r="A125" s="67" t="s">
        <v>11951</v>
      </c>
    </row>
    <row r="126" spans="1:1">
      <c r="A126" s="67" t="s">
        <v>11952</v>
      </c>
    </row>
    <row r="127" spans="1:1">
      <c r="A127" s="67" t="s">
        <v>5466</v>
      </c>
    </row>
    <row r="128" spans="1:1">
      <c r="A128" s="67" t="s">
        <v>5468</v>
      </c>
    </row>
    <row r="129" spans="1:1">
      <c r="A129" s="67" t="s">
        <v>11953</v>
      </c>
    </row>
    <row r="130" spans="1:1">
      <c r="A130" s="67" t="s">
        <v>5187</v>
      </c>
    </row>
    <row r="131" spans="1:1">
      <c r="A131" s="67" t="s">
        <v>11954</v>
      </c>
    </row>
    <row r="132" spans="1:1">
      <c r="A132" s="67" t="s">
        <v>11955</v>
      </c>
    </row>
    <row r="133" spans="1:1">
      <c r="A133" s="67" t="s">
        <v>5475</v>
      </c>
    </row>
    <row r="134" spans="1:1">
      <c r="A134" s="67" t="s">
        <v>6225</v>
      </c>
    </row>
    <row r="135" spans="1:1">
      <c r="A135" s="67" t="s">
        <v>11956</v>
      </c>
    </row>
    <row r="136" spans="1:1">
      <c r="A136" s="67" t="s">
        <v>11957</v>
      </c>
    </row>
    <row r="137" spans="1:1">
      <c r="A137" s="67" t="s">
        <v>5482</v>
      </c>
    </row>
    <row r="138" spans="1:1">
      <c r="A138" s="67" t="s">
        <v>11958</v>
      </c>
    </row>
    <row r="139" spans="1:1">
      <c r="A139" s="67" t="s">
        <v>8120</v>
      </c>
    </row>
    <row r="140" spans="1:1">
      <c r="A140" s="67" t="s">
        <v>11959</v>
      </c>
    </row>
    <row r="141" spans="1:1">
      <c r="A141" s="67" t="s">
        <v>11960</v>
      </c>
    </row>
    <row r="142" spans="1:1">
      <c r="A142" s="67" t="s">
        <v>11961</v>
      </c>
    </row>
    <row r="143" spans="1:1">
      <c r="A143" s="67" t="s">
        <v>11962</v>
      </c>
    </row>
    <row r="144" spans="1:1">
      <c r="A144" s="67" t="s">
        <v>11963</v>
      </c>
    </row>
    <row r="145" spans="1:1">
      <c r="A145" s="67" t="s">
        <v>5484</v>
      </c>
    </row>
    <row r="146" spans="1:1">
      <c r="A146" s="67" t="s">
        <v>7278</v>
      </c>
    </row>
    <row r="147" spans="1:1">
      <c r="A147" s="67" t="s">
        <v>8412</v>
      </c>
    </row>
    <row r="148" spans="1:1">
      <c r="A148" s="67" t="s">
        <v>11964</v>
      </c>
    </row>
    <row r="149" spans="1:1">
      <c r="A149" s="67" t="s">
        <v>11965</v>
      </c>
    </row>
    <row r="150" spans="1:1">
      <c r="A150" s="67" t="s">
        <v>11966</v>
      </c>
    </row>
    <row r="151" spans="1:1">
      <c r="A151" s="67" t="s">
        <v>5496</v>
      </c>
    </row>
    <row r="152" spans="1:1">
      <c r="A152" s="67" t="s">
        <v>11967</v>
      </c>
    </row>
    <row r="153" spans="1:1">
      <c r="A153" s="67" t="s">
        <v>8675</v>
      </c>
    </row>
    <row r="154" spans="1:1">
      <c r="A154" s="67" t="s">
        <v>11968</v>
      </c>
    </row>
    <row r="155" spans="1:1">
      <c r="A155" s="67" t="s">
        <v>11969</v>
      </c>
    </row>
    <row r="156" spans="1:1">
      <c r="A156" s="67" t="s">
        <v>11970</v>
      </c>
    </row>
    <row r="157" spans="1:1">
      <c r="A157" s="67" t="s">
        <v>11971</v>
      </c>
    </row>
    <row r="158" spans="1:1">
      <c r="A158" s="67" t="s">
        <v>11972</v>
      </c>
    </row>
    <row r="159" spans="1:1">
      <c r="A159" s="67" t="s">
        <v>11973</v>
      </c>
    </row>
    <row r="160" spans="1:1">
      <c r="A160" s="67" t="s">
        <v>11974</v>
      </c>
    </row>
    <row r="161" spans="1:1">
      <c r="A161" s="67" t="s">
        <v>5209</v>
      </c>
    </row>
    <row r="162" spans="1:1">
      <c r="A162" s="67" t="s">
        <v>5507</v>
      </c>
    </row>
    <row r="163" spans="1:1">
      <c r="A163" s="67" t="s">
        <v>5869</v>
      </c>
    </row>
    <row r="164" spans="1:1">
      <c r="A164" s="67" t="s">
        <v>5511</v>
      </c>
    </row>
    <row r="165" spans="1:1">
      <c r="A165" s="67" t="s">
        <v>11975</v>
      </c>
    </row>
    <row r="166" spans="1:1">
      <c r="A166" s="67" t="s">
        <v>11976</v>
      </c>
    </row>
    <row r="167" spans="1:1">
      <c r="A167" s="67" t="s">
        <v>11977</v>
      </c>
    </row>
    <row r="168" spans="1:1">
      <c r="A168" s="67" t="s">
        <v>11978</v>
      </c>
    </row>
    <row r="169" spans="1:1">
      <c r="A169" s="67" t="s">
        <v>11979</v>
      </c>
    </row>
    <row r="170" spans="1:1">
      <c r="A170" s="67" t="s">
        <v>10473</v>
      </c>
    </row>
    <row r="171" spans="1:1">
      <c r="A171" s="67" t="s">
        <v>5521</v>
      </c>
    </row>
    <row r="172" spans="1:1">
      <c r="A172" s="67" t="s">
        <v>8132</v>
      </c>
    </row>
    <row r="173" spans="1:1">
      <c r="A173" s="67" t="s">
        <v>11980</v>
      </c>
    </row>
    <row r="174" spans="1:1">
      <c r="A174" s="67" t="s">
        <v>6256</v>
      </c>
    </row>
    <row r="175" spans="1:1">
      <c r="A175" s="67" t="s">
        <v>6259</v>
      </c>
    </row>
    <row r="176" spans="1:1">
      <c r="A176" s="67" t="s">
        <v>11981</v>
      </c>
    </row>
    <row r="177" spans="1:1">
      <c r="A177" s="67" t="s">
        <v>5526</v>
      </c>
    </row>
    <row r="178" spans="1:1">
      <c r="A178" s="67" t="s">
        <v>9920</v>
      </c>
    </row>
    <row r="179" spans="1:1">
      <c r="A179" s="67" t="s">
        <v>6623</v>
      </c>
    </row>
    <row r="180" spans="1:1">
      <c r="A180" s="67" t="s">
        <v>11982</v>
      </c>
    </row>
    <row r="181" spans="1:1">
      <c r="A181" s="67" t="s">
        <v>11983</v>
      </c>
    </row>
    <row r="182" spans="1:1">
      <c r="A182" s="67" t="s">
        <v>11984</v>
      </c>
    </row>
    <row r="183" spans="1:1">
      <c r="A183" s="67" t="s">
        <v>5879</v>
      </c>
    </row>
    <row r="184" spans="1:1">
      <c r="A184" s="67" t="s">
        <v>11985</v>
      </c>
    </row>
    <row r="185" spans="1:1">
      <c r="A185" s="67" t="s">
        <v>11986</v>
      </c>
    </row>
    <row r="186" spans="1:1">
      <c r="A186" s="67" t="s">
        <v>11987</v>
      </c>
    </row>
    <row r="187" spans="1:1">
      <c r="A187" s="67" t="s">
        <v>11988</v>
      </c>
    </row>
    <row r="188" spans="1:1">
      <c r="A188" s="67" t="s">
        <v>5885</v>
      </c>
    </row>
    <row r="189" spans="1:1">
      <c r="A189" s="67" t="s">
        <v>11989</v>
      </c>
    </row>
    <row r="190" spans="1:1">
      <c r="A190" s="67" t="s">
        <v>8439</v>
      </c>
    </row>
    <row r="191" spans="1:1">
      <c r="A191" s="67" t="s">
        <v>11990</v>
      </c>
    </row>
    <row r="192" spans="1:1">
      <c r="A192" s="67" t="s">
        <v>11991</v>
      </c>
    </row>
    <row r="193" spans="1:1">
      <c r="A193" s="67" t="s">
        <v>11992</v>
      </c>
    </row>
    <row r="194" spans="1:1">
      <c r="A194" s="67" t="s">
        <v>6290</v>
      </c>
    </row>
    <row r="195" spans="1:1">
      <c r="A195" s="67" t="s">
        <v>11354</v>
      </c>
    </row>
    <row r="196" spans="1:1">
      <c r="A196" s="67" t="s">
        <v>11993</v>
      </c>
    </row>
    <row r="197" spans="1:1">
      <c r="A197" s="67" t="s">
        <v>11994</v>
      </c>
    </row>
    <row r="198" spans="1:1">
      <c r="A198" s="67" t="s">
        <v>11995</v>
      </c>
    </row>
    <row r="199" spans="1:1">
      <c r="A199" s="67" t="s">
        <v>11996</v>
      </c>
    </row>
    <row r="200" spans="1:1">
      <c r="A200" s="67" t="s">
        <v>11997</v>
      </c>
    </row>
    <row r="201" spans="1:1">
      <c r="A201" s="67" t="s">
        <v>7307</v>
      </c>
    </row>
    <row r="202" spans="1:1">
      <c r="A202" s="67" t="s">
        <v>11998</v>
      </c>
    </row>
    <row r="203" spans="1:1">
      <c r="A203" s="67" t="s">
        <v>11999</v>
      </c>
    </row>
    <row r="204" spans="1:1">
      <c r="A204" s="67" t="s">
        <v>12000</v>
      </c>
    </row>
    <row r="205" spans="1:1">
      <c r="A205" s="67" t="s">
        <v>11705</v>
      </c>
    </row>
    <row r="206" spans="1:1">
      <c r="A206" s="67" t="s">
        <v>11763</v>
      </c>
    </row>
    <row r="207" spans="1:1">
      <c r="A207" s="67" t="s">
        <v>12001</v>
      </c>
    </row>
    <row r="208" spans="1:1">
      <c r="A208" s="67" t="s">
        <v>12002</v>
      </c>
    </row>
    <row r="209" spans="1:1">
      <c r="A209" s="67" t="s">
        <v>12003</v>
      </c>
    </row>
    <row r="210" spans="1:1">
      <c r="A210" s="67" t="s">
        <v>7309</v>
      </c>
    </row>
    <row r="211" spans="1:1">
      <c r="A211" s="67" t="s">
        <v>12004</v>
      </c>
    </row>
    <row r="212" spans="1:1">
      <c r="A212" s="67" t="s">
        <v>12005</v>
      </c>
    </row>
    <row r="213" spans="1:1">
      <c r="A213" s="67" t="s">
        <v>12006</v>
      </c>
    </row>
    <row r="214" spans="1:1">
      <c r="A214" s="67" t="s">
        <v>12007</v>
      </c>
    </row>
    <row r="215" spans="1:1">
      <c r="A215" s="67" t="s">
        <v>12008</v>
      </c>
    </row>
    <row r="216" spans="1:1">
      <c r="A216" s="67" t="s">
        <v>12009</v>
      </c>
    </row>
    <row r="217" spans="1:1">
      <c r="A217" s="67" t="s">
        <v>12010</v>
      </c>
    </row>
    <row r="218" spans="1:1">
      <c r="A218" s="67" t="s">
        <v>5554</v>
      </c>
    </row>
    <row r="219" spans="1:1">
      <c r="A219" s="67" t="s">
        <v>6687</v>
      </c>
    </row>
    <row r="220" spans="1:1">
      <c r="A220" s="67" t="s">
        <v>6689</v>
      </c>
    </row>
    <row r="221" spans="1:1">
      <c r="A221" s="67" t="s">
        <v>12011</v>
      </c>
    </row>
    <row r="222" spans="1:1">
      <c r="A222" s="67" t="s">
        <v>12012</v>
      </c>
    </row>
    <row r="223" spans="1:1">
      <c r="A223" s="67" t="s">
        <v>10771</v>
      </c>
    </row>
    <row r="224" spans="1:1">
      <c r="A224" s="67" t="s">
        <v>12013</v>
      </c>
    </row>
    <row r="225" spans="1:1">
      <c r="A225" s="67" t="s">
        <v>12014</v>
      </c>
    </row>
    <row r="226" spans="1:1">
      <c r="A226" s="67" t="s">
        <v>12015</v>
      </c>
    </row>
    <row r="227" spans="1:1">
      <c r="A227" s="67" t="s">
        <v>12016</v>
      </c>
    </row>
    <row r="228" spans="1:1">
      <c r="A228" s="67" t="s">
        <v>12017</v>
      </c>
    </row>
    <row r="229" spans="1:1">
      <c r="A229" s="67" t="s">
        <v>6327</v>
      </c>
    </row>
    <row r="230" spans="1:1">
      <c r="A230" s="67" t="s">
        <v>12018</v>
      </c>
    </row>
    <row r="231" spans="1:1">
      <c r="A231" s="67" t="s">
        <v>12019</v>
      </c>
    </row>
    <row r="232" spans="1:1">
      <c r="A232" s="67" t="s">
        <v>12020</v>
      </c>
    </row>
    <row r="233" spans="1:1">
      <c r="A233" s="67" t="s">
        <v>12021</v>
      </c>
    </row>
    <row r="234" spans="1:1">
      <c r="A234" s="67" t="s">
        <v>12022</v>
      </c>
    </row>
    <row r="235" spans="1:1">
      <c r="A235" s="67" t="s">
        <v>12023</v>
      </c>
    </row>
    <row r="236" spans="1:1">
      <c r="A236" s="67" t="s">
        <v>12024</v>
      </c>
    </row>
    <row r="237" spans="1:1">
      <c r="A237" s="67" t="s">
        <v>12025</v>
      </c>
    </row>
    <row r="238" spans="1:1">
      <c r="A238" s="67" t="s">
        <v>12026</v>
      </c>
    </row>
    <row r="239" spans="1:1">
      <c r="A239" s="67" t="s">
        <v>12027</v>
      </c>
    </row>
    <row r="240" spans="1:1">
      <c r="A240" s="67" t="s">
        <v>12028</v>
      </c>
    </row>
    <row r="241" spans="1:1">
      <c r="A241" s="67" t="s">
        <v>12029</v>
      </c>
    </row>
    <row r="242" spans="1:1">
      <c r="A242" s="67" t="s">
        <v>12030</v>
      </c>
    </row>
    <row r="243" spans="1:1">
      <c r="A243" s="67" t="s">
        <v>12031</v>
      </c>
    </row>
    <row r="244" spans="1:1">
      <c r="A244" s="67" t="s">
        <v>12032</v>
      </c>
    </row>
    <row r="245" spans="1:1">
      <c r="A245" s="67" t="s">
        <v>12033</v>
      </c>
    </row>
    <row r="246" spans="1:1">
      <c r="A246" s="67" t="s">
        <v>10173</v>
      </c>
    </row>
    <row r="247" spans="1:1">
      <c r="A247" s="67" t="s">
        <v>117</v>
      </c>
    </row>
    <row r="248" spans="1:1">
      <c r="A248" s="67" t="s">
        <v>12034</v>
      </c>
    </row>
    <row r="249" spans="1:1">
      <c r="A249" s="67" t="s">
        <v>12035</v>
      </c>
    </row>
    <row r="250" spans="1:1">
      <c r="A250" s="67" t="s">
        <v>8764</v>
      </c>
    </row>
    <row r="251" spans="1:1">
      <c r="A251" s="67" t="s">
        <v>12036</v>
      </c>
    </row>
    <row r="252" spans="1:1">
      <c r="A252" s="67" t="s">
        <v>12037</v>
      </c>
    </row>
    <row r="253" spans="1:1">
      <c r="A253" s="67" t="s">
        <v>12038</v>
      </c>
    </row>
    <row r="254" spans="1:1">
      <c r="A254" s="67" t="s">
        <v>5580</v>
      </c>
    </row>
    <row r="255" spans="1:1">
      <c r="A255" s="67" t="s">
        <v>6711</v>
      </c>
    </row>
    <row r="256" spans="1:1">
      <c r="A256" s="67" t="s">
        <v>12039</v>
      </c>
    </row>
    <row r="257" spans="1:4">
      <c r="A257" s="67" t="s">
        <v>12040</v>
      </c>
    </row>
    <row r="258" spans="1:4">
      <c r="A258" s="67" t="s">
        <v>10514</v>
      </c>
    </row>
    <row r="259" spans="1:4">
      <c r="A259" s="67" t="s">
        <v>12041</v>
      </c>
    </row>
    <row r="260" spans="1:4">
      <c r="A260" s="67" t="s">
        <v>12042</v>
      </c>
    </row>
    <row r="261" spans="1:4">
      <c r="A261" s="67" t="s">
        <v>12043</v>
      </c>
    </row>
    <row r="262" spans="1:4">
      <c r="A262" s="67" t="s">
        <v>12044</v>
      </c>
    </row>
    <row r="264" spans="1:4">
      <c r="A264" s="79" t="s">
        <v>333</v>
      </c>
    </row>
    <row r="265" spans="1:4">
      <c r="A265" s="67" t="s">
        <v>12045</v>
      </c>
      <c r="D265" t="s">
        <v>12046</v>
      </c>
    </row>
    <row r="266" spans="1:4">
      <c r="A266" s="67" t="s">
        <v>12047</v>
      </c>
      <c r="B266" t="s">
        <v>12048</v>
      </c>
      <c r="D266" t="s">
        <v>12049</v>
      </c>
    </row>
    <row r="267" spans="1:4">
      <c r="A267" s="67" t="s">
        <v>12050</v>
      </c>
      <c r="B267" t="s">
        <v>12051</v>
      </c>
      <c r="C267" t="s">
        <v>12052</v>
      </c>
      <c r="D267" t="s">
        <v>12053</v>
      </c>
    </row>
    <row r="268" spans="1:4">
      <c r="A268" s="67" t="s">
        <v>12054</v>
      </c>
      <c r="D268" t="s">
        <v>12055</v>
      </c>
    </row>
    <row r="269" spans="1:4">
      <c r="A269" s="67" t="s">
        <v>12056</v>
      </c>
      <c r="B269" t="s">
        <v>12057</v>
      </c>
      <c r="C269" t="s">
        <v>12058</v>
      </c>
      <c r="D269" t="s">
        <v>12059</v>
      </c>
    </row>
    <row r="270" spans="1:4">
      <c r="A270" s="67" t="s">
        <v>12060</v>
      </c>
      <c r="B270" t="s">
        <v>12061</v>
      </c>
      <c r="D270" t="s">
        <v>12062</v>
      </c>
    </row>
    <row r="271" spans="1:4">
      <c r="A271" s="67" t="s">
        <v>12063</v>
      </c>
      <c r="B271" t="s">
        <v>12064</v>
      </c>
      <c r="C271" t="s">
        <v>12065</v>
      </c>
      <c r="D271" t="s">
        <v>12066</v>
      </c>
    </row>
    <row r="272" spans="1:4">
      <c r="A272" s="67" t="s">
        <v>11778</v>
      </c>
      <c r="C272" t="s">
        <v>12067</v>
      </c>
      <c r="D272" s="67" t="s">
        <v>12068</v>
      </c>
    </row>
    <row r="273" spans="1:4">
      <c r="A273" s="67" t="s">
        <v>12069</v>
      </c>
      <c r="D273" s="67" t="s">
        <v>12070</v>
      </c>
    </row>
    <row r="274" spans="1:4">
      <c r="A274" s="67" t="s">
        <v>12071</v>
      </c>
      <c r="D274" t="s">
        <v>12072</v>
      </c>
    </row>
    <row r="275" spans="1:4">
      <c r="A275" s="67" t="s">
        <v>12073</v>
      </c>
      <c r="D275" t="s">
        <v>12074</v>
      </c>
    </row>
    <row r="276" spans="1:4">
      <c r="A276" s="67" t="s">
        <v>12075</v>
      </c>
      <c r="C276" t="s">
        <v>12076</v>
      </c>
      <c r="D276" t="s">
        <v>12077</v>
      </c>
    </row>
    <row r="277" spans="1:4">
      <c r="A277" s="67" t="s">
        <v>12078</v>
      </c>
      <c r="D277" t="s">
        <v>12079</v>
      </c>
    </row>
    <row r="278" spans="1:4">
      <c r="A278" s="67" t="s">
        <v>12080</v>
      </c>
      <c r="C278" t="s">
        <v>12081</v>
      </c>
      <c r="D278" t="s">
        <v>12082</v>
      </c>
    </row>
    <row r="279" spans="1:4">
      <c r="A279" s="67" t="s">
        <v>12083</v>
      </c>
      <c r="B279" t="s">
        <v>12084</v>
      </c>
      <c r="C279" t="s">
        <v>12085</v>
      </c>
      <c r="D279" t="s">
        <v>12086</v>
      </c>
    </row>
    <row r="280" spans="1:4">
      <c r="A280" s="67" t="s">
        <v>12087</v>
      </c>
      <c r="D280" t="s">
        <v>12088</v>
      </c>
    </row>
    <row r="281" spans="1:4">
      <c r="A281" s="67" t="s">
        <v>12089</v>
      </c>
      <c r="B281" t="s">
        <v>12090</v>
      </c>
      <c r="D281" t="s">
        <v>12091</v>
      </c>
    </row>
    <row r="282" spans="1:4">
      <c r="A282" s="67" t="s">
        <v>12092</v>
      </c>
      <c r="B282" t="s">
        <v>12093</v>
      </c>
      <c r="C282" t="s">
        <v>12094</v>
      </c>
      <c r="D282" t="s">
        <v>12095</v>
      </c>
    </row>
    <row r="283" spans="1:4">
      <c r="A283" s="67" t="s">
        <v>12096</v>
      </c>
    </row>
    <row r="284" spans="1:4">
      <c r="A284" s="67" t="s">
        <v>12097</v>
      </c>
    </row>
    <row r="285" spans="1:4">
      <c r="A285" s="67" t="s">
        <v>12098</v>
      </c>
    </row>
    <row r="286" spans="1:4">
      <c r="A286" s="67" t="s">
        <v>12099</v>
      </c>
    </row>
    <row r="287" spans="1:4">
      <c r="A287" s="67" t="s">
        <v>12100</v>
      </c>
    </row>
    <row r="288" spans="1:4">
      <c r="A288" s="67" t="s">
        <v>12101</v>
      </c>
    </row>
    <row r="289" spans="1:1">
      <c r="A289" s="67" t="s">
        <v>12102</v>
      </c>
    </row>
    <row r="290" spans="1:1">
      <c r="A290" s="67" t="s">
        <v>12103</v>
      </c>
    </row>
    <row r="291" spans="1:1">
      <c r="A291" s="67" t="s">
        <v>12104</v>
      </c>
    </row>
    <row r="292" spans="1:1">
      <c r="A292" s="67" t="s">
        <v>12105</v>
      </c>
    </row>
    <row r="293" spans="1:1">
      <c r="A293" s="67" t="s">
        <v>12106</v>
      </c>
    </row>
    <row r="294" spans="1:1">
      <c r="A294" s="67" t="s">
        <v>12107</v>
      </c>
    </row>
    <row r="295" spans="1:1">
      <c r="A295" s="67" t="s">
        <v>12108</v>
      </c>
    </row>
    <row r="296" spans="1:1">
      <c r="A296" s="67" t="s">
        <v>12109</v>
      </c>
    </row>
    <row r="297" spans="1:1">
      <c r="A297" s="67" t="s">
        <v>5989</v>
      </c>
    </row>
    <row r="298" spans="1:1">
      <c r="A298" s="67" t="s">
        <v>12110</v>
      </c>
    </row>
    <row r="299" spans="1:1">
      <c r="A299" s="67" t="s">
        <v>12111</v>
      </c>
    </row>
    <row r="300" spans="1:1">
      <c r="A300" s="67" t="s">
        <v>12112</v>
      </c>
    </row>
    <row r="301" spans="1:1">
      <c r="A301" s="67" t="s">
        <v>12113</v>
      </c>
    </row>
    <row r="302" spans="1:1">
      <c r="A302" s="67" t="s">
        <v>9671</v>
      </c>
    </row>
    <row r="303" spans="1:1">
      <c r="A303" s="67" t="s">
        <v>12114</v>
      </c>
    </row>
    <row r="304" spans="1:1">
      <c r="A304" s="67" t="s">
        <v>12115</v>
      </c>
    </row>
    <row r="305" spans="1:1">
      <c r="A305" s="67" t="s">
        <v>12116</v>
      </c>
    </row>
    <row r="306" spans="1:1">
      <c r="A306" s="67" t="s">
        <v>12117</v>
      </c>
    </row>
    <row r="307" spans="1:1">
      <c r="A307" s="67" t="s">
        <v>12118</v>
      </c>
    </row>
    <row r="308" spans="1:1">
      <c r="A308" s="67" t="s">
        <v>12119</v>
      </c>
    </row>
    <row r="309" spans="1:1">
      <c r="A309" s="67" t="s">
        <v>12120</v>
      </c>
    </row>
    <row r="310" spans="1:1">
      <c r="A310" s="67" t="s">
        <v>12121</v>
      </c>
    </row>
    <row r="311" spans="1:1">
      <c r="A311" s="67" t="s">
        <v>12122</v>
      </c>
    </row>
    <row r="312" spans="1:1">
      <c r="A312" s="67" t="s">
        <v>12123</v>
      </c>
    </row>
    <row r="313" spans="1:1">
      <c r="A313" s="67" t="s">
        <v>1507</v>
      </c>
    </row>
    <row r="314" spans="1:1">
      <c r="A314" s="67" t="s">
        <v>12124</v>
      </c>
    </row>
    <row r="315" spans="1:1">
      <c r="A315" s="67" t="s">
        <v>12125</v>
      </c>
    </row>
    <row r="317" spans="1:1">
      <c r="A317" s="79" t="s">
        <v>878</v>
      </c>
    </row>
    <row r="318" spans="1:1">
      <c r="A318" s="67" t="s">
        <v>12126</v>
      </c>
    </row>
    <row r="319" spans="1:1">
      <c r="A319" s="67" t="s">
        <v>12127</v>
      </c>
    </row>
    <row r="320" spans="1:1">
      <c r="A320" s="67" t="s">
        <v>12128</v>
      </c>
    </row>
    <row r="321" spans="1:1">
      <c r="A321" s="67" t="s">
        <v>12129</v>
      </c>
    </row>
    <row r="322" spans="1:1">
      <c r="A322" s="67" t="s">
        <v>12130</v>
      </c>
    </row>
    <row r="323" spans="1:1">
      <c r="A323" s="67" t="s">
        <v>12131</v>
      </c>
    </row>
    <row r="324" spans="1:1">
      <c r="A324" s="67" t="s">
        <v>12132</v>
      </c>
    </row>
    <row r="325" spans="1:1">
      <c r="A325" s="67" t="s">
        <v>12133</v>
      </c>
    </row>
    <row r="326" spans="1:1">
      <c r="A326" s="67" t="s">
        <v>12134</v>
      </c>
    </row>
    <row r="327" spans="1:1">
      <c r="A327" s="67" t="s">
        <v>12135</v>
      </c>
    </row>
    <row r="328" spans="1:1">
      <c r="A328" s="67" t="s">
        <v>12136</v>
      </c>
    </row>
    <row r="329" spans="1:1">
      <c r="A329" s="67" t="s">
        <v>12137</v>
      </c>
    </row>
    <row r="330" spans="1:1">
      <c r="A330" s="67" t="s">
        <v>12138</v>
      </c>
    </row>
    <row r="331" spans="1:1">
      <c r="A331" s="67" t="s">
        <v>12139</v>
      </c>
    </row>
    <row r="332" spans="1:1">
      <c r="A332" s="67" t="s">
        <v>12140</v>
      </c>
    </row>
    <row r="333" spans="1:1">
      <c r="A333" s="67" t="s">
        <v>12141</v>
      </c>
    </row>
    <row r="334" spans="1:1">
      <c r="A334" s="67" t="s">
        <v>12142</v>
      </c>
    </row>
    <row r="335" spans="1:1">
      <c r="A335" s="67" t="s">
        <v>12143</v>
      </c>
    </row>
    <row r="336" spans="1:1">
      <c r="A336" s="67" t="s">
        <v>12144</v>
      </c>
    </row>
    <row r="337" spans="1:1">
      <c r="A337" s="67" t="s">
        <v>12145</v>
      </c>
    </row>
    <row r="338" spans="1:1">
      <c r="A338" s="67" t="s">
        <v>12146</v>
      </c>
    </row>
    <row r="339" spans="1:1">
      <c r="A339" s="67" t="s">
        <v>12147</v>
      </c>
    </row>
    <row r="340" spans="1:1">
      <c r="A340" s="67" t="s">
        <v>12148</v>
      </c>
    </row>
    <row r="341" spans="1:1">
      <c r="A341" s="67" t="s">
        <v>12149</v>
      </c>
    </row>
    <row r="342" spans="1:1">
      <c r="A342" s="67" t="s">
        <v>12150</v>
      </c>
    </row>
    <row r="344" spans="1:1">
      <c r="A344" s="79" t="s">
        <v>428</v>
      </c>
    </row>
  </sheetData>
  <customSheetViews>
    <customSheetView guid="{617856E6-44D1-4ADD-8CA5-796514BA6839}">
      <pane ySplit="7" topLeftCell="A8" activePane="bottomLeft" state="frozen"/>
      <selection pane="bottomLeft" activeCell="A8" sqref="A8"/>
      <pageMargins left="0.7" right="0.7" top="0.75" bottom="0.75" header="0.3" footer="0.3"/>
    </customSheetView>
  </customSheetViews>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D5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12151</v>
      </c>
      <c r="B2" s="58" t="s">
        <v>12152</v>
      </c>
      <c r="C2" s="67" t="s">
        <v>12153</v>
      </c>
      <c r="D2" s="67" t="s">
        <v>12154</v>
      </c>
    </row>
    <row r="3" spans="1:4">
      <c r="A3" s="67" t="s">
        <v>12155</v>
      </c>
      <c r="B3" s="58" t="s">
        <v>12156</v>
      </c>
      <c r="C3" s="67" t="s">
        <v>12157</v>
      </c>
      <c r="D3" s="11" t="str">
        <f>HYPERLINK("http://publicsafety.utah.gov/","http://publicsafety.utah.gov/")</f>
        <v>http://publicsafety.utah.gov/</v>
      </c>
    </row>
    <row r="4" spans="1:4">
      <c r="A4" s="67" t="s">
        <v>12158</v>
      </c>
      <c r="D4" s="11" t="str">
        <f>HYPERLINK("http://wildlife.rescueshelter.com/Utah","http://wildlife.rescueshelter.com/Utah")</f>
        <v>http://wildlife.rescueshelter.com/Utah</v>
      </c>
    </row>
    <row r="6" spans="1:4">
      <c r="A6" s="79" t="s">
        <v>209</v>
      </c>
      <c r="B6" s="79" t="s">
        <v>147</v>
      </c>
      <c r="C6" s="79" t="s">
        <v>148</v>
      </c>
      <c r="D6" s="79" t="s">
        <v>182</v>
      </c>
    </row>
    <row r="7" spans="1:4">
      <c r="A7" s="67" t="s">
        <v>10663</v>
      </c>
      <c r="D7" s="67" t="s">
        <v>12159</v>
      </c>
    </row>
    <row r="8" spans="1:4">
      <c r="A8" s="67" t="s">
        <v>12160</v>
      </c>
      <c r="D8" s="67" t="s">
        <v>12161</v>
      </c>
    </row>
    <row r="9" spans="1:4">
      <c r="A9" s="67" t="s">
        <v>12162</v>
      </c>
      <c r="D9" s="67" t="s">
        <v>12163</v>
      </c>
    </row>
    <row r="10" spans="1:4">
      <c r="A10" s="67" t="s">
        <v>8658</v>
      </c>
      <c r="D10" s="67" t="s">
        <v>12164</v>
      </c>
    </row>
    <row r="11" spans="1:4">
      <c r="A11" s="67" t="s">
        <v>12165</v>
      </c>
      <c r="D11" s="67" t="s">
        <v>12166</v>
      </c>
    </row>
    <row r="12" spans="1:4">
      <c r="A12" s="67" t="s">
        <v>6159</v>
      </c>
      <c r="D12" s="67" t="s">
        <v>12167</v>
      </c>
    </row>
    <row r="13" spans="1:4">
      <c r="A13" s="67" t="s">
        <v>12168</v>
      </c>
      <c r="D13" s="67" t="s">
        <v>12169</v>
      </c>
    </row>
    <row r="14" spans="1:4">
      <c r="A14" s="67" t="s">
        <v>12170</v>
      </c>
      <c r="D14" s="67" t="s">
        <v>12171</v>
      </c>
    </row>
    <row r="15" spans="1:4">
      <c r="A15" s="67" t="s">
        <v>8668</v>
      </c>
      <c r="D15" s="67" t="s">
        <v>12172</v>
      </c>
    </row>
    <row r="16" spans="1:4">
      <c r="A16" s="67" t="s">
        <v>12173</v>
      </c>
      <c r="D16" s="67" t="s">
        <v>12174</v>
      </c>
    </row>
    <row r="17" spans="1:4">
      <c r="A17" s="67" t="s">
        <v>8116</v>
      </c>
      <c r="D17" s="67" t="s">
        <v>12175</v>
      </c>
    </row>
    <row r="18" spans="1:4">
      <c r="A18" s="67" t="s">
        <v>12176</v>
      </c>
      <c r="D18" s="67" t="s">
        <v>12177</v>
      </c>
    </row>
    <row r="19" spans="1:4">
      <c r="A19" s="67" t="s">
        <v>5478</v>
      </c>
      <c r="D19" s="67" t="s">
        <v>12178</v>
      </c>
    </row>
    <row r="20" spans="1:4">
      <c r="A20" s="67" t="s">
        <v>12179</v>
      </c>
      <c r="D20" s="67" t="s">
        <v>12180</v>
      </c>
    </row>
    <row r="21" spans="1:4">
      <c r="A21" s="67" t="s">
        <v>5527</v>
      </c>
      <c r="D21" s="67" t="s">
        <v>12181</v>
      </c>
    </row>
    <row r="22" spans="1:4">
      <c r="A22" s="67" t="s">
        <v>12182</v>
      </c>
    </row>
    <row r="23" spans="1:4">
      <c r="A23" s="67" t="s">
        <v>12183</v>
      </c>
      <c r="D23" s="67" t="s">
        <v>12184</v>
      </c>
    </row>
    <row r="24" spans="1:4">
      <c r="A24" s="67" t="s">
        <v>12185</v>
      </c>
      <c r="B24" s="58" t="s">
        <v>12186</v>
      </c>
      <c r="D24" s="67" t="s">
        <v>12187</v>
      </c>
    </row>
    <row r="25" spans="1:4">
      <c r="A25" s="67" t="s">
        <v>9166</v>
      </c>
      <c r="D25" s="67" t="s">
        <v>12188</v>
      </c>
    </row>
    <row r="26" spans="1:4">
      <c r="A26" s="67" t="s">
        <v>12189</v>
      </c>
      <c r="B26" s="58" t="s">
        <v>12190</v>
      </c>
      <c r="D26" s="67" t="s">
        <v>12191</v>
      </c>
    </row>
    <row r="27" spans="1:4">
      <c r="A27" s="67" t="s">
        <v>11765</v>
      </c>
      <c r="D27" s="67" t="s">
        <v>12192</v>
      </c>
    </row>
    <row r="28" spans="1:4">
      <c r="A28" s="67" t="s">
        <v>10509</v>
      </c>
      <c r="B28" s="70" t="s">
        <v>12193</v>
      </c>
      <c r="D28" s="67" t="s">
        <v>12194</v>
      </c>
    </row>
    <row r="29" spans="1:4">
      <c r="A29" s="67" t="s">
        <v>12195</v>
      </c>
      <c r="D29" s="67" t="s">
        <v>12196</v>
      </c>
    </row>
    <row r="30" spans="1:4">
      <c r="A30" s="67" t="s">
        <v>12197</v>
      </c>
      <c r="D30" s="67" t="s">
        <v>12198</v>
      </c>
    </row>
    <row r="31" spans="1:4">
      <c r="A31" s="67" t="s">
        <v>111</v>
      </c>
      <c r="B31" s="58" t="s">
        <v>12199</v>
      </c>
      <c r="C31" s="67" t="s">
        <v>12200</v>
      </c>
      <c r="D31" s="67" t="s">
        <v>12201</v>
      </c>
    </row>
    <row r="32" spans="1:4">
      <c r="A32" s="67" t="s">
        <v>12202</v>
      </c>
      <c r="B32" s="58" t="s">
        <v>12203</v>
      </c>
      <c r="C32" s="67" t="s">
        <v>12204</v>
      </c>
      <c r="D32" s="67" t="s">
        <v>12205</v>
      </c>
    </row>
    <row r="33" spans="1:4">
      <c r="A33" s="67" t="s">
        <v>117</v>
      </c>
      <c r="D33" s="67" t="s">
        <v>12206</v>
      </c>
    </row>
    <row r="34" spans="1:4">
      <c r="A34" s="67" t="s">
        <v>5573</v>
      </c>
      <c r="D34" s="67" t="s">
        <v>12207</v>
      </c>
    </row>
    <row r="35" spans="1:4">
      <c r="A35" s="67" t="s">
        <v>12208</v>
      </c>
      <c r="D35" s="67" t="s">
        <v>12209</v>
      </c>
    </row>
    <row r="37" spans="1:4">
      <c r="A37" s="79" t="s">
        <v>333</v>
      </c>
    </row>
    <row r="38" spans="1:4">
      <c r="A38" s="67" t="s">
        <v>12210</v>
      </c>
      <c r="D38" s="67" t="s">
        <v>12211</v>
      </c>
    </row>
    <row r="39" spans="1:4">
      <c r="A39" s="67" t="s">
        <v>12212</v>
      </c>
      <c r="D39" s="67" t="s">
        <v>12213</v>
      </c>
    </row>
    <row r="40" spans="1:4">
      <c r="A40" s="67" t="s">
        <v>12214</v>
      </c>
      <c r="D40" s="67" t="s">
        <v>12215</v>
      </c>
    </row>
    <row r="41" spans="1:4">
      <c r="A41" s="67" t="s">
        <v>12216</v>
      </c>
      <c r="D41" s="67" t="s">
        <v>12217</v>
      </c>
    </row>
    <row r="42" spans="1:4">
      <c r="A42" s="67" t="s">
        <v>12218</v>
      </c>
      <c r="B42" s="58" t="s">
        <v>12219</v>
      </c>
      <c r="C42" s="67" t="s">
        <v>12220</v>
      </c>
      <c r="D42" s="67" t="s">
        <v>12221</v>
      </c>
    </row>
    <row r="43" spans="1:4">
      <c r="A43" s="67" t="s">
        <v>12222</v>
      </c>
      <c r="B43" s="58" t="s">
        <v>12223</v>
      </c>
      <c r="C43" s="67" t="s">
        <v>12224</v>
      </c>
      <c r="D43" s="67" t="s">
        <v>12225</v>
      </c>
    </row>
    <row r="44" spans="1:4">
      <c r="A44" s="67" t="s">
        <v>12226</v>
      </c>
      <c r="B44" s="58" t="s">
        <v>12227</v>
      </c>
      <c r="C44" s="67" t="s">
        <v>12228</v>
      </c>
      <c r="D44" s="67" t="s">
        <v>5256</v>
      </c>
    </row>
    <row r="45" spans="1:4">
      <c r="A45" s="67" t="s">
        <v>12229</v>
      </c>
      <c r="D45" s="67" t="s">
        <v>12230</v>
      </c>
    </row>
    <row r="47" spans="1:4">
      <c r="A47" s="79" t="s">
        <v>878</v>
      </c>
    </row>
    <row r="48" spans="1:4">
      <c r="A48" s="67" t="s">
        <v>12231</v>
      </c>
      <c r="D48" s="67" t="s">
        <v>12232</v>
      </c>
    </row>
    <row r="49" spans="1:4">
      <c r="A49" s="67" t="s">
        <v>12233</v>
      </c>
      <c r="D49" s="67" t="s">
        <v>12234</v>
      </c>
    </row>
    <row r="50" spans="1:4">
      <c r="A50" s="67" t="s">
        <v>12235</v>
      </c>
      <c r="D50" s="67" t="s">
        <v>12236</v>
      </c>
    </row>
    <row r="52" spans="1:4">
      <c r="A52" s="79" t="s">
        <v>428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13"/>
  <sheetViews>
    <sheetView workbookViewId="0"/>
  </sheetViews>
  <sheetFormatPr defaultColWidth="9.140625" defaultRowHeight="15" customHeight="1"/>
  <cols>
    <col min="1" max="1" width="26.7109375" customWidth="1"/>
    <col min="2" max="2" width="17.85546875" customWidth="1"/>
    <col min="3" max="3" width="14" customWidth="1"/>
    <col min="4" max="4" width="26.5703125" customWidth="1"/>
    <col min="5" max="5" width="21.7109375" customWidth="1"/>
    <col min="6" max="6" width="22.5703125" customWidth="1"/>
  </cols>
  <sheetData>
    <row r="1" spans="1:6">
      <c r="A1" s="95" t="s">
        <v>146</v>
      </c>
      <c r="B1" s="5" t="s">
        <v>147</v>
      </c>
      <c r="C1" s="79" t="s">
        <v>148</v>
      </c>
      <c r="D1" s="79" t="s">
        <v>149</v>
      </c>
      <c r="E1" s="79" t="s">
        <v>150</v>
      </c>
      <c r="F1" s="14"/>
    </row>
    <row r="2" spans="1:6">
      <c r="A2" s="15" t="s">
        <v>151</v>
      </c>
      <c r="B2" s="45" t="s">
        <v>152</v>
      </c>
      <c r="C2" s="67" t="s">
        <v>153</v>
      </c>
      <c r="D2" s="67" t="s">
        <v>154</v>
      </c>
      <c r="F2" s="65"/>
    </row>
    <row r="3" spans="1:6">
      <c r="A3" s="15" t="s">
        <v>155</v>
      </c>
      <c r="B3" s="45" t="s">
        <v>156</v>
      </c>
      <c r="C3" s="67" t="s">
        <v>157</v>
      </c>
      <c r="D3" s="67" t="s">
        <v>158</v>
      </c>
      <c r="E3" t="str">
        <f>HYPERLINK("http://ema.alabama.gov/county.cfm","County EMA Directory")</f>
        <v>County EMA Directory</v>
      </c>
      <c r="F3" s="65"/>
    </row>
    <row r="4" spans="1:6">
      <c r="A4" s="15" t="s">
        <v>159</v>
      </c>
      <c r="B4" s="45" t="s">
        <v>160</v>
      </c>
      <c r="C4" s="67" t="s">
        <v>161</v>
      </c>
      <c r="D4" s="67" t="s">
        <v>162</v>
      </c>
      <c r="F4" s="65"/>
    </row>
    <row r="5" spans="1:6">
      <c r="A5" s="15" t="s">
        <v>163</v>
      </c>
      <c r="B5" s="39" t="s">
        <v>164</v>
      </c>
      <c r="C5" t="s">
        <v>164</v>
      </c>
      <c r="D5" s="67" t="s">
        <v>165</v>
      </c>
      <c r="F5" s="65"/>
    </row>
    <row r="6" spans="1:6" ht="12.75">
      <c r="A6" s="39" t="s">
        <v>166</v>
      </c>
      <c r="B6" s="39" t="s">
        <v>167</v>
      </c>
      <c r="C6" s="34" t="s">
        <v>168</v>
      </c>
      <c r="D6" s="34" t="s">
        <v>169</v>
      </c>
      <c r="F6" s="65"/>
    </row>
    <row r="7" spans="1:6" ht="12.75">
      <c r="A7" s="39" t="s">
        <v>170</v>
      </c>
      <c r="B7" s="39"/>
      <c r="C7" s="34" t="s">
        <v>171</v>
      </c>
      <c r="D7" s="34" t="s">
        <v>172</v>
      </c>
      <c r="F7" s="65"/>
    </row>
    <row r="8" spans="1:6" ht="24">
      <c r="A8" s="39" t="s">
        <v>173</v>
      </c>
      <c r="B8" s="39" t="s">
        <v>164</v>
      </c>
      <c r="C8" s="34" t="s">
        <v>174</v>
      </c>
      <c r="D8" s="34" t="s">
        <v>175</v>
      </c>
      <c r="F8" s="65"/>
    </row>
    <row r="9" spans="1:6" ht="25.5">
      <c r="A9" s="39" t="s">
        <v>176</v>
      </c>
      <c r="B9" s="39" t="s">
        <v>177</v>
      </c>
      <c r="C9" s="34" t="s">
        <v>178</v>
      </c>
      <c r="D9" s="34" t="s">
        <v>179</v>
      </c>
      <c r="E9" t="str">
        <f>HYPERLINK("http://www.alabama.gov/sliverheader/Welcome.do?url=http://www.alsde.edu","School Information: Education Directory")</f>
        <v>School Information: Education Directory</v>
      </c>
      <c r="F9" s="65"/>
    </row>
    <row r="10" spans="1:6" ht="36">
      <c r="A10" s="7" t="s">
        <v>180</v>
      </c>
      <c r="B10" s="39"/>
      <c r="C10" s="34"/>
      <c r="D10" s="34"/>
      <c r="F10" s="65"/>
    </row>
    <row r="11" spans="1:6" ht="12.75">
      <c r="A11" s="3" t="s">
        <v>181</v>
      </c>
      <c r="B11" s="3" t="s">
        <v>147</v>
      </c>
      <c r="C11" s="77" t="s">
        <v>148</v>
      </c>
      <c r="D11" s="77" t="s">
        <v>182</v>
      </c>
      <c r="E11" s="14" t="s">
        <v>183</v>
      </c>
      <c r="F11" s="61" t="s">
        <v>184</v>
      </c>
    </row>
    <row r="12" spans="1:6" ht="38.25">
      <c r="A12" s="39" t="str">
        <f>HYPERLINK("http://en.wikipedia.org/wiki/Birmingham,_Alabama","Birmingham")</f>
        <v>Birmingham</v>
      </c>
      <c r="B12" s="39" t="s">
        <v>185</v>
      </c>
      <c r="C12" s="34" t="s">
        <v>186</v>
      </c>
      <c r="D12" s="34" t="s">
        <v>187</v>
      </c>
      <c r="E12" t="s">
        <v>188</v>
      </c>
      <c r="F12" s="65" t="s">
        <v>189</v>
      </c>
    </row>
    <row r="13" spans="1:6" ht="12.75">
      <c r="A13" s="39" t="str">
        <f>HYPERLINK("http://en.wikipedia.org/wiki/Montgomery,_Alabama","Montgomery")</f>
        <v>Montgomery</v>
      </c>
      <c r="B13" s="39" t="s">
        <v>190</v>
      </c>
      <c r="C13" s="34" t="s">
        <v>164</v>
      </c>
      <c r="D13" s="34" t="s">
        <v>191</v>
      </c>
      <c r="E13" s="34" t="s">
        <v>192</v>
      </c>
      <c r="F13" s="65" t="s">
        <v>193</v>
      </c>
    </row>
    <row r="14" spans="1:6" ht="25.5">
      <c r="A14" s="39" t="str">
        <f>HYPERLINK("http://en.wikipedia.org/wiki/Mobile,_Alabama","Mobile")</f>
        <v>Mobile</v>
      </c>
      <c r="B14" s="39" t="s">
        <v>194</v>
      </c>
      <c r="C14" s="34" t="s">
        <v>195</v>
      </c>
      <c r="D14" s="34" t="s">
        <v>196</v>
      </c>
      <c r="E14" t="s">
        <v>197</v>
      </c>
      <c r="F14" s="65" t="s">
        <v>198</v>
      </c>
    </row>
    <row r="15" spans="1:6" ht="25.5">
      <c r="A15" s="39" t="str">
        <f>HYPERLINK("http://en.wikipedia.org/wiki/Huntsville,_Alabama","Huntsville")</f>
        <v>Huntsville</v>
      </c>
      <c r="B15" s="39" t="s">
        <v>199</v>
      </c>
      <c r="C15" s="34" t="s">
        <v>200</v>
      </c>
      <c r="D15" s="34" t="s">
        <v>201</v>
      </c>
      <c r="E15" t="s">
        <v>202</v>
      </c>
      <c r="F15" s="65" t="s">
        <v>203</v>
      </c>
    </row>
    <row r="16" spans="1:6" ht="12.75">
      <c r="A16" s="39" t="str">
        <f>HYPERLINK("http://en.wikipedia.org/wiki/Tuscaloosa,_Alabama","Tuscaloosa")</f>
        <v>Tuscaloosa</v>
      </c>
      <c r="B16" s="39" t="s">
        <v>204</v>
      </c>
      <c r="C16" s="34" t="s">
        <v>205</v>
      </c>
      <c r="D16" s="34" t="s">
        <v>206</v>
      </c>
      <c r="E16" s="34" t="s">
        <v>207</v>
      </c>
      <c r="F16" s="39" t="s">
        <v>208</v>
      </c>
    </row>
    <row r="17" spans="1:7" ht="12.75">
      <c r="A17" s="39"/>
      <c r="B17" s="39"/>
      <c r="C17" s="34"/>
      <c r="D17" s="34"/>
      <c r="F17" s="65"/>
    </row>
    <row r="18" spans="1:7">
      <c r="A18" s="14" t="s">
        <v>209</v>
      </c>
      <c r="B18" s="38" t="s">
        <v>147</v>
      </c>
      <c r="C18" s="79" t="s">
        <v>210</v>
      </c>
      <c r="D18" s="79" t="s">
        <v>182</v>
      </c>
      <c r="E18" s="79" t="s">
        <v>211</v>
      </c>
      <c r="F18" s="14" t="s">
        <v>183</v>
      </c>
      <c r="G18" s="33"/>
    </row>
    <row r="19" spans="1:7" ht="26.25">
      <c r="A19" s="50" t="s">
        <v>212</v>
      </c>
      <c r="B19" s="7"/>
      <c r="C19" s="13"/>
      <c r="D19" s="30" t="s">
        <v>213</v>
      </c>
      <c r="E19" s="13" t="s">
        <v>214</v>
      </c>
      <c r="F19" s="94"/>
      <c r="G19" s="13"/>
    </row>
    <row r="20" spans="1:7">
      <c r="B20" s="39"/>
      <c r="D20" s="85"/>
      <c r="E20" s="12"/>
      <c r="F20" s="65"/>
    </row>
    <row r="21" spans="1:7">
      <c r="A21" s="39" t="str">
        <f>HYPERLINK("http://en.wikipedia.org/wiki/Autauga_County,_Alabama","AUTAUGA")</f>
        <v>AUTAUGA</v>
      </c>
      <c r="B21" s="39" t="s">
        <v>215</v>
      </c>
      <c r="D21" s="67" t="s">
        <v>216</v>
      </c>
      <c r="F21" s="65" t="str">
        <f>HYPERLINK("http://www.facebook.com/AutaugaEMA)","Autauga EMA")</f>
        <v>Autauga EMA</v>
      </c>
    </row>
    <row r="22" spans="1:7">
      <c r="A22" s="15" t="str">
        <f>HYPERLINK("http://en.wikipedia.org/wiki/Baldwin_County,_Alabama)","Baldwin")</f>
        <v>Baldwin</v>
      </c>
      <c r="B22" s="35" t="s">
        <v>217</v>
      </c>
      <c r="C22" s="67" t="s">
        <v>218</v>
      </c>
      <c r="D22" s="67" t="s">
        <v>219</v>
      </c>
      <c r="F22" s="65"/>
    </row>
    <row r="23" spans="1:7">
      <c r="A23" s="15" t="str">
        <f>HYPERLINK("http://en.wikipedia.org/wiki/Barbour_County,_Alabama)"," Barbour")</f>
        <v xml:space="preserve"> Barbour</v>
      </c>
      <c r="B23" s="39" t="s">
        <v>220</v>
      </c>
      <c r="C23" t="s">
        <v>164</v>
      </c>
      <c r="D23" s="34" t="s">
        <v>164</v>
      </c>
      <c r="E23" s="67" t="str">
        <f>HYPERLINK("http://www.barbourcountyema.org/","BARBOUR COUNTY EMA")</f>
        <v>BARBOUR COUNTY EMA</v>
      </c>
      <c r="F23" s="15" t="str">
        <f>HYPERLINK("http://www.facebook.com/BarbourCountyEMA","Barbour County EMA Facebook")</f>
        <v>Barbour County EMA Facebook</v>
      </c>
    </row>
    <row r="24" spans="1:7">
      <c r="A24" s="15" t="str">
        <f>HYPERLINK("http://en.wikipedia.org/wiki/Bibb_County,_Alabama","Bibb")</f>
        <v>Bibb</v>
      </c>
      <c r="B24" s="39" t="s">
        <v>164</v>
      </c>
      <c r="C24" s="34" t="s">
        <v>164</v>
      </c>
      <c r="D24" s="67" t="s">
        <v>221</v>
      </c>
      <c r="F24" s="65" t="str">
        <f>HYPERLINK("http://www.facebook.com/pages/Bibb-County-Sheriffs-Department-Alabama/218025048309832?fref=ts","BIBB COUNTY SHERIFF")</f>
        <v>BIBB COUNTY SHERIFF</v>
      </c>
    </row>
    <row r="25" spans="1:7">
      <c r="A25" s="15" t="str">
        <f>HYPERLINK("http://en.wikipedia.org/wiki/Blount_County,_Alabama","Blount")</f>
        <v>Blount</v>
      </c>
      <c r="B25" s="39" t="s">
        <v>164</v>
      </c>
      <c r="C25" t="s">
        <v>164</v>
      </c>
      <c r="D25" s="67" t="s">
        <v>222</v>
      </c>
      <c r="E25" s="67" t="str">
        <f>HYPERLINK("http://butlercountyal.com/dept_contacts","BUTLER COUNTY CONTACTS")</f>
        <v>BUTLER COUNTY CONTACTS</v>
      </c>
      <c r="F25" s="65" t="str">
        <f>HYPERLINK("http://www.facebook.com/pages/Blount-County-Sheriffs-Department/149373418457964?ref=ts&amp;fref=ts","BLOUNT COUNTY SHERIFF")</f>
        <v>BLOUNT COUNTY SHERIFF</v>
      </c>
    </row>
    <row r="26" spans="1:7">
      <c r="A26" s="15" t="str">
        <f>HYPERLINK("http://en.wikipedia.org/wiki/Bullock_County,_Alabama","Bullock")</f>
        <v>Bullock</v>
      </c>
      <c r="B26" s="39" t="s">
        <v>164</v>
      </c>
      <c r="C26" t="s">
        <v>164</v>
      </c>
      <c r="D26" s="34" t="s">
        <v>164</v>
      </c>
      <c r="E26" s="67" t="str">
        <f>HYPERLINK("http://www.facebook.com/pages/Bullock-County-EMA/132527093476581","BULLOCK EMA - FACEBOOK")</f>
        <v>BULLOCK EMA - FACEBOOK</v>
      </c>
      <c r="F26" s="68" t="str">
        <f>HYPERLINK("http://www.bullockema.com/","BULLOCK EMA")</f>
        <v>BULLOCK EMA</v>
      </c>
    </row>
    <row r="27" spans="1:7">
      <c r="A27" s="15" t="str">
        <f>HYPERLINK("http://en.wikipedia.org/wiki/Butler_County,_Alabama","Butler")</f>
        <v>Butler</v>
      </c>
      <c r="B27" s="39" t="s">
        <v>164</v>
      </c>
      <c r="C27" t="s">
        <v>164</v>
      </c>
      <c r="D27" s="67" t="s">
        <v>223</v>
      </c>
      <c r="E27" s="34" t="str">
        <f>HYPERLINK("http://www.greenville-alabama.com/Default.asp?ID=2&amp;pg=Welcome+to+Greenville","GREENVILLE")</f>
        <v>GREENVILLE</v>
      </c>
      <c r="F27" s="39" t="str">
        <f>HYPERLINK("http://butlercountyal.com/dept_contacts","Butler Dept. Contacts")</f>
        <v>Butler Dept. Contacts</v>
      </c>
    </row>
    <row r="28" spans="1:7">
      <c r="A28" s="15" t="str">
        <f>HYPERLINK("http://en.wikipedia.org/wiki/Calhoun_County,_Alabama","Calhoun")</f>
        <v>Calhoun</v>
      </c>
      <c r="B28" s="23" t="s">
        <v>224</v>
      </c>
      <c r="C28" t="s">
        <v>164</v>
      </c>
      <c r="D28" s="67" t="s">
        <v>225</v>
      </c>
      <c r="E28" s="67" t="str">
        <f>HYPERLINK("https://www.facebook.com/CalhounCountyEMA","CALHOUN EMA FACEBOOK")</f>
        <v>CALHOUN EMA FACEBOOK</v>
      </c>
      <c r="F28" s="65" t="str">
        <f>HYPERLINK("http://www.calhounema.org/","CALHOUN EMA")</f>
        <v>CALHOUN EMA</v>
      </c>
    </row>
    <row r="29" spans="1:7">
      <c r="A29" s="15" t="str">
        <f>HYPERLINK("http://en.wikipedia.org/wiki/Chambers_County,_Alabama","Chambers")</f>
        <v>Chambers</v>
      </c>
      <c r="B29" s="39" t="s">
        <v>164</v>
      </c>
      <c r="C29" s="34" t="s">
        <v>226</v>
      </c>
      <c r="D29" s="67" t="s">
        <v>227</v>
      </c>
      <c r="F29" s="65"/>
    </row>
    <row r="30" spans="1:7">
      <c r="A30" s="15" t="str">
        <f>HYPERLINK("http://en.wikipedia.org/wiki/Cherokee_County,_Alabama","Cherokee")</f>
        <v>Cherokee</v>
      </c>
      <c r="B30" s="39" t="s">
        <v>164</v>
      </c>
      <c r="C30" s="34" t="s">
        <v>228</v>
      </c>
      <c r="D30" s="67" t="s">
        <v>229</v>
      </c>
      <c r="F30" s="65"/>
    </row>
    <row r="31" spans="1:7">
      <c r="A31" s="15" t="str">
        <f>HYPERLINK("http://en.wikipedia.org/wiki/Chilton_County,_Alabama","Chilton")</f>
        <v>Chilton</v>
      </c>
      <c r="B31" s="23" t="s">
        <v>230</v>
      </c>
      <c r="C31" s="34" t="s">
        <v>231</v>
      </c>
      <c r="D31" s="67" t="s">
        <v>232</v>
      </c>
      <c r="F31" s="65" t="str">
        <f>HYPERLINK("http://www.newchiltoncounty.org/EMA.htm","CHILTON EMA")</f>
        <v>CHILTON EMA</v>
      </c>
    </row>
    <row r="32" spans="1:7" ht="15" hidden="1" customHeight="1">
      <c r="A32" s="15" t="s">
        <v>233</v>
      </c>
      <c r="B32" s="39"/>
      <c r="D32" s="34"/>
      <c r="F32" s="65"/>
    </row>
    <row r="33" spans="1:6">
      <c r="A33" s="15" t="str">
        <f>HYPERLINK("http://en.wikipedia.org/wiki/Clarke_County,_Alabama","CLARKE")</f>
        <v>CLARKE</v>
      </c>
      <c r="B33" s="39" t="s">
        <v>164</v>
      </c>
      <c r="C33" s="34" t="s">
        <v>234</v>
      </c>
      <c r="D33" s="67" t="s">
        <v>235</v>
      </c>
      <c r="F33" s="65"/>
    </row>
    <row r="34" spans="1:6" ht="15" hidden="1" customHeight="1">
      <c r="A34" s="15" t="s">
        <v>236</v>
      </c>
      <c r="B34" s="39"/>
      <c r="D34" s="34"/>
      <c r="F34" s="65"/>
    </row>
    <row r="35" spans="1:6">
      <c r="A35" s="15" t="str">
        <f>HYPERLINK("http://en.wikipedia.org/wiki/Cleburne_County,_Alabama","CLEBURNE")</f>
        <v>CLEBURNE</v>
      </c>
      <c r="B35" s="23" t="s">
        <v>237</v>
      </c>
      <c r="C35" s="67" t="s">
        <v>238</v>
      </c>
      <c r="D35" s="67" t="s">
        <v>239</v>
      </c>
      <c r="F35" s="65"/>
    </row>
    <row r="36" spans="1:6">
      <c r="A36" s="15" t="str">
        <f>HYPERLINK("http://en.wikipedia.org/wiki/Coffee_County,_Alabama","COFFEE")</f>
        <v>COFFEE</v>
      </c>
      <c r="B36" s="39" t="s">
        <v>164</v>
      </c>
      <c r="C36" s="67" t="s">
        <v>164</v>
      </c>
      <c r="D36" s="67" t="s">
        <v>240</v>
      </c>
      <c r="F36" s="65"/>
    </row>
    <row r="37" spans="1:6">
      <c r="A37" s="15" t="str">
        <f>HYPERLINK("http://en.wikipedia.org/wiki/Colbert_County,_Alabama","COLBERT")</f>
        <v>COLBERT</v>
      </c>
      <c r="B37" s="35" t="s">
        <v>241</v>
      </c>
      <c r="C37" s="34" t="s">
        <v>242</v>
      </c>
      <c r="D37" s="67" t="s">
        <v>243</v>
      </c>
      <c r="E37" s="34" t="str">
        <f>HYPERLINK("http://www.colbertcounty.org/ema/index.html","COLBERT EMA")</f>
        <v>COLBERT EMA</v>
      </c>
      <c r="F37" s="65"/>
    </row>
    <row r="38" spans="1:6" ht="15" hidden="1" customHeight="1">
      <c r="A38" s="15" t="s">
        <v>244</v>
      </c>
      <c r="B38" s="39"/>
      <c r="D38" s="34"/>
      <c r="F38" s="65"/>
    </row>
    <row r="39" spans="1:6" ht="15" hidden="1" customHeight="1">
      <c r="A39" s="15" t="s">
        <v>245</v>
      </c>
      <c r="B39" s="39"/>
      <c r="D39" s="34"/>
      <c r="F39" s="65"/>
    </row>
    <row r="40" spans="1:6">
      <c r="A40" s="15" t="str">
        <f>HYPERLINK("http://en.wikipedia.org/wiki/Covington_County,_Alabama","COVINGTON")</f>
        <v>COVINGTON</v>
      </c>
      <c r="B40" s="39" t="s">
        <v>164</v>
      </c>
      <c r="C40" s="34" t="s">
        <v>246</v>
      </c>
      <c r="D40" s="67" t="s">
        <v>247</v>
      </c>
      <c r="F40" s="65"/>
    </row>
    <row r="41" spans="1:6" ht="15" hidden="1" customHeight="1">
      <c r="A41" s="15" t="s">
        <v>248</v>
      </c>
      <c r="B41" s="39"/>
      <c r="D41" s="34"/>
      <c r="F41" s="65"/>
    </row>
    <row r="42" spans="1:6">
      <c r="A42" s="15" t="str">
        <f>HYPERLINK("http://en.wikipedia.org/wiki/Cullman_County,_Alabama","CULLMAN")</f>
        <v>CULLMAN</v>
      </c>
      <c r="B42" s="39" t="s">
        <v>164</v>
      </c>
      <c r="C42" s="67" t="s">
        <v>249</v>
      </c>
      <c r="D42" s="67" t="s">
        <v>250</v>
      </c>
      <c r="F42" s="65" t="str">
        <f>HYPERLINK("http://www.cullmanema.org/index.html","CULLMAN EMA")</f>
        <v>CULLMAN EMA</v>
      </c>
    </row>
    <row r="43" spans="1:6" ht="15" hidden="1" customHeight="1">
      <c r="A43" s="15" t="s">
        <v>251</v>
      </c>
      <c r="B43" s="39"/>
      <c r="D43" s="34"/>
      <c r="F43" s="65"/>
    </row>
    <row r="44" spans="1:6">
      <c r="A44" s="15" t="str">
        <f>HYPERLINK("http://en.wikipedia.org/wiki/Dallas_County,_Alabama","DALLAS")</f>
        <v>DALLAS</v>
      </c>
      <c r="B44" s="39" t="s">
        <v>164</v>
      </c>
      <c r="C44" t="s">
        <v>164</v>
      </c>
      <c r="D44" s="67" t="s">
        <v>252</v>
      </c>
      <c r="F44" s="65" t="str">
        <f>HYPERLINK("http://www.dallascounty-al.org/secondary.aspx?pageID=12","DALLAS COUNTY EMA")</f>
        <v>DALLAS COUNTY EMA</v>
      </c>
    </row>
    <row r="45" spans="1:6">
      <c r="A45" s="15" t="str">
        <f>HYPERLINK("http://en.wikipedia.org/wiki/DeKalb_County,_Alabama","Dekalb")</f>
        <v>Dekalb</v>
      </c>
      <c r="B45" s="35" t="s">
        <v>253</v>
      </c>
      <c r="C45" s="67" t="s">
        <v>254</v>
      </c>
      <c r="D45" s="67" t="s">
        <v>255</v>
      </c>
      <c r="F45" s="65" t="str">
        <f>HYPERLINK("http://www.dekalbcountyal.us/joomla1/index.php/emamenu.html","DEKALB EMA")</f>
        <v>DEKALB EMA</v>
      </c>
    </row>
    <row r="46" spans="1:6">
      <c r="A46" s="15" t="str">
        <f>HYPERLINK("http://en.wikipedia.org/wiki/Elmore_County,_Alabama","Elmore")</f>
        <v>Elmore</v>
      </c>
      <c r="B46" s="39" t="s">
        <v>164</v>
      </c>
      <c r="C46" t="s">
        <v>164</v>
      </c>
      <c r="D46" s="67" t="s">
        <v>256</v>
      </c>
      <c r="F46" s="65" t="str">
        <f>HYPERLINK("http://www.elmoreco.org/Default.asp?ID=159&amp;pg=EMA%2FHS","ELMORE EMA")</f>
        <v>ELMORE EMA</v>
      </c>
    </row>
    <row r="47" spans="1:6">
      <c r="A47" s="15" t="str">
        <f>HYPERLINK("http://en.wikipedia.org/wiki/Escambia_County,_Alabama","Escambia")</f>
        <v>Escambia</v>
      </c>
      <c r="B47" s="39" t="s">
        <v>164</v>
      </c>
      <c r="C47" t="s">
        <v>164</v>
      </c>
      <c r="D47" s="67" t="s">
        <v>257</v>
      </c>
      <c r="F47" s="65" t="str">
        <f>HYPERLINK("http://www.co.escambia.al.us/emergency.html","EXCAMBIA EMA")</f>
        <v>EXCAMBIA EMA</v>
      </c>
    </row>
    <row r="48" spans="1:6">
      <c r="A48" s="15" t="str">
        <f>HYPERLINK("http://en.wikipedia.org/wiki/Etowah_County,_Alabama","Etowah")</f>
        <v>Etowah</v>
      </c>
      <c r="B48" s="39" t="s">
        <v>258</v>
      </c>
      <c r="C48" t="s">
        <v>164</v>
      </c>
      <c r="D48" s="34" t="s">
        <v>259</v>
      </c>
      <c r="E48" s="67" t="str">
        <f>HYPERLINK("http://www.facebook.com/GECEMA","ETOWAH-GADSDEN EMA-FACEBOOK")</f>
        <v>ETOWAH-GADSDEN EMA-FACEBOOK</v>
      </c>
      <c r="F48" s="15" t="str">
        <f>HYPERLINK("http://www.gecema.com/","ETOWAH-GADSDEN EMA")</f>
        <v>ETOWAH-GADSDEN EMA</v>
      </c>
    </row>
    <row r="49" spans="1:7" ht="15.75" customHeight="1">
      <c r="A49" s="15" t="str">
        <f>HYPERLINK("http://en.wikipedia.org/wiki/Fayette_County,_Alabama","Fayette")</f>
        <v>Fayette</v>
      </c>
      <c r="B49" s="23" t="s">
        <v>260</v>
      </c>
      <c r="C49" s="67" t="s">
        <v>261</v>
      </c>
      <c r="D49" s="34" t="s">
        <v>262</v>
      </c>
      <c r="F49" s="15" t="str">
        <f>HYPERLINK("http://www.fayettecountyal.com/ema","FAYETTE EMA")</f>
        <v>FAYETTE EMA</v>
      </c>
    </row>
    <row r="50" spans="1:7">
      <c r="A50" s="15" t="str">
        <f>HYPERLINK("http://en.wikipedia.org/wiki/Franklin_County,_Alabama","Fayette")</f>
        <v>Fayette</v>
      </c>
      <c r="B50" s="23" t="s">
        <v>263</v>
      </c>
      <c r="C50" s="67" t="s">
        <v>264</v>
      </c>
      <c r="D50" s="67" t="s">
        <v>265</v>
      </c>
      <c r="F50" s="65"/>
    </row>
    <row r="51" spans="1:7">
      <c r="A51" s="15" t="str">
        <f>HYPERLINK("http://en.wikipedia.org/wiki/Geneva_County,_Alabama","Geneva")</f>
        <v>Geneva</v>
      </c>
      <c r="B51" s="39" t="s">
        <v>164</v>
      </c>
      <c r="C51" t="s">
        <v>164</v>
      </c>
      <c r="D51" s="67" t="s">
        <v>266</v>
      </c>
      <c r="F51" s="65" t="str">
        <f>HYPERLINK("http://www.genevacounty.us/aboutGenevaCounty/countyGovernment/EMA.aspx","GENEVA EMA")</f>
        <v>GENEVA EMA</v>
      </c>
    </row>
    <row r="52" spans="1:7" ht="15" hidden="1" customHeight="1">
      <c r="A52" s="15" t="s">
        <v>267</v>
      </c>
      <c r="B52" s="39"/>
      <c r="D52" s="34"/>
      <c r="F52" s="65"/>
    </row>
    <row r="53" spans="1:7" ht="15" hidden="1" customHeight="1">
      <c r="A53" s="15" t="s">
        <v>268</v>
      </c>
      <c r="B53" s="39"/>
      <c r="D53" s="34"/>
      <c r="F53" s="65"/>
    </row>
    <row r="54" spans="1:7">
      <c r="A54" s="15" t="str">
        <f>HYPERLINK("http://en.wikipedia.org/wiki/Henry_County,_Alabama","Henry")</f>
        <v>Henry</v>
      </c>
      <c r="B54" s="39" t="s">
        <v>164</v>
      </c>
      <c r="C54" t="s">
        <v>164</v>
      </c>
      <c r="D54" s="67" t="s">
        <v>269</v>
      </c>
      <c r="F54" s="65"/>
    </row>
    <row r="55" spans="1:7">
      <c r="A55" s="15" t="str">
        <f>HYPERLINK("http://en.wikipedia.org/wiki/Houston_County,_Alabama","Houston")</f>
        <v>Houston</v>
      </c>
      <c r="B55" s="23" t="s">
        <v>270</v>
      </c>
      <c r="C55" s="67" t="s">
        <v>271</v>
      </c>
      <c r="D55" s="67" t="s">
        <v>272</v>
      </c>
      <c r="F55" s="65" t="str">
        <f>HYPERLINK("http://www.dothanhoustoncountyema.org/","Houston EMA")</f>
        <v>Houston EMA</v>
      </c>
    </row>
    <row r="56" spans="1:7">
      <c r="A56" s="15" t="str">
        <f>HYPERLINK("http://en.wikipedia.org/wiki/Jackson_County,_Alabama","Jackson")</f>
        <v>Jackson</v>
      </c>
      <c r="B56" s="39" t="s">
        <v>273</v>
      </c>
      <c r="C56" s="67" t="s">
        <v>274</v>
      </c>
      <c r="D56" s="67" t="s">
        <v>275</v>
      </c>
      <c r="F56" s="65"/>
    </row>
    <row r="57" spans="1:7">
      <c r="A57" s="15" t="str">
        <f>HYPERLINK("http://en.wikipedia.org/wiki/Jefferson_County,_Alabama","Jefferson")</f>
        <v>Jefferson</v>
      </c>
      <c r="B57" s="39" t="s">
        <v>276</v>
      </c>
      <c r="C57" t="s">
        <v>164</v>
      </c>
      <c r="D57" s="67" t="s">
        <v>277</v>
      </c>
      <c r="E57" t="str">
        <f>HYPERLINK("http://jeffcosheriff.net/", "Jefferson County Sheriff")</f>
        <v>Jefferson County Sheriff</v>
      </c>
      <c r="F57" s="65" t="str">
        <f>HYPERLINK("http://www.impactalabama.com/mainpage.html","Jefferson EMA")</f>
        <v>Jefferson EMA</v>
      </c>
      <c r="G57" s="29"/>
    </row>
    <row r="58" spans="1:7" ht="15" hidden="1" customHeight="1">
      <c r="A58" s="15" t="s">
        <v>278</v>
      </c>
      <c r="B58" s="39"/>
      <c r="D58" s="34"/>
      <c r="F58" s="65"/>
    </row>
    <row r="59" spans="1:7" ht="15.75" customHeight="1">
      <c r="A59" s="15" t="str">
        <f>HYPERLINK("http://en.wikipedia.org/wiki/Lauderdale_County,_Alabama","Lauderdale")</f>
        <v>Lauderdale</v>
      </c>
      <c r="B59" s="23" t="s">
        <v>279</v>
      </c>
      <c r="C59" t="s">
        <v>164</v>
      </c>
      <c r="D59" s="34" t="s">
        <v>280</v>
      </c>
      <c r="F59" s="15" t="str">
        <f>HYPERLINK("http://www.florencelauderdaleema.org/","Florence Lauderdale EMA")</f>
        <v>Florence Lauderdale EMA</v>
      </c>
    </row>
    <row r="60" spans="1:7">
      <c r="A60" s="15" t="str">
        <f>HYPERLINK("http://en.wikipedia.org/wiki/Lawrence_County,_Alabama","Lawrence")</f>
        <v>Lawrence</v>
      </c>
      <c r="B60" s="39"/>
      <c r="C60" s="67"/>
      <c r="D60" s="34" t="s">
        <v>281</v>
      </c>
      <c r="F60" s="65" t="str">
        <f>HYPERLINK("https://www.facebook.com/pages/Lawrence-County-Al-EMA/211297292228124","Lawrence County EMA Facebook")</f>
        <v>Lawrence County EMA Facebook</v>
      </c>
    </row>
    <row r="61" spans="1:7">
      <c r="A61" s="15" t="str">
        <f>HYPERLINK("http://en.wikipedia.org/wiki/Lee_County,_Alabama","Lee")</f>
        <v>Lee</v>
      </c>
      <c r="B61" s="39" t="s">
        <v>282</v>
      </c>
      <c r="C61" s="67" t="s">
        <v>164</v>
      </c>
      <c r="D61" s="67" t="s">
        <v>283</v>
      </c>
      <c r="F61" s="65" t="str">
        <f>HYPERLINK("https://www.facebook.com/leecoema","Lee County EMA")</f>
        <v>Lee County EMA</v>
      </c>
    </row>
    <row r="62" spans="1:7" ht="24">
      <c r="A62" s="15" t="str">
        <f>HYPERLINK("http://en.wikipedia.org/wiki/Limestone_County,_Alabama","Limestone")</f>
        <v>Limestone</v>
      </c>
      <c r="B62" s="23" t="s">
        <v>284</v>
      </c>
      <c r="C62" s="67" t="s">
        <v>285</v>
      </c>
      <c r="D62" s="67" t="s">
        <v>286</v>
      </c>
      <c r="F62" s="65" t="str">
        <f>HYPERLINK("http://www.limestonecounty-al.gov/emergencyandlawenforcement.html","Limestone County EMA")</f>
        <v>Limestone County EMA</v>
      </c>
    </row>
    <row r="63" spans="1:7" ht="15" hidden="1" customHeight="1">
      <c r="A63" s="15" t="s">
        <v>287</v>
      </c>
      <c r="B63" s="39"/>
      <c r="D63" s="34"/>
      <c r="F63" s="65"/>
    </row>
    <row r="64" spans="1:7">
      <c r="A64" s="15" t="str">
        <f>HYPERLINK("http://en.wikipedia.org/wiki/Macon_County,_Alabama","Macon")</f>
        <v>Macon</v>
      </c>
      <c r="B64" s="39" t="s">
        <v>288</v>
      </c>
      <c r="C64" s="67" t="s">
        <v>289</v>
      </c>
      <c r="D64" s="34" t="s">
        <v>290</v>
      </c>
      <c r="E64" s="34" t="str">
        <f>HYPERLINK("https://www.facebook.com/TuskegeeAlabama","City of Tuskeegee - Facebook")</f>
        <v>City of Tuskeegee - Facebook</v>
      </c>
      <c r="F64" s="65"/>
    </row>
    <row r="65" spans="1:7" ht="15.75" customHeight="1">
      <c r="A65" s="15" t="str">
        <f>HYPERLINK("http://en.wikipedia.org/wiki/Madison_County,_Alabama","Madison")</f>
        <v>Madison</v>
      </c>
      <c r="B65" s="23" t="s">
        <v>291</v>
      </c>
      <c r="C65" t="s">
        <v>292</v>
      </c>
      <c r="D65" s="67" t="s">
        <v>293</v>
      </c>
      <c r="F65" s="65" t="str">
        <f>HYPERLINK("http://www.madisoncountyema.com/","Madison County EMA")</f>
        <v>Madison County EMA</v>
      </c>
    </row>
    <row r="66" spans="1:7" ht="15" hidden="1" customHeight="1">
      <c r="A66" s="15" t="s">
        <v>294</v>
      </c>
      <c r="B66" s="39"/>
      <c r="D66" s="34"/>
      <c r="F66" s="65"/>
    </row>
    <row r="67" spans="1:7">
      <c r="A67" s="15" t="str">
        <f>HYPERLINK("http://en.wikipedia.org/wiki/Marion_County,_Alabama","Marion")</f>
        <v>Marion</v>
      </c>
      <c r="B67" s="23" t="s">
        <v>295</v>
      </c>
      <c r="C67" t="s">
        <v>164</v>
      </c>
      <c r="D67" s="67" t="s">
        <v>296</v>
      </c>
      <c r="F67" s="65" t="str">
        <f>HYPERLINK("http://www.marioncert.org/","Marion CERT")</f>
        <v>Marion CERT</v>
      </c>
    </row>
    <row r="68" spans="1:7" ht="15.75" customHeight="1">
      <c r="A68" s="15" t="str">
        <f>HYPERLINK("http://en.wikipedia.org/wiki/Marshall_County,_Alabama","Marshall")</f>
        <v>Marshall</v>
      </c>
      <c r="B68" s="35" t="s">
        <v>297</v>
      </c>
      <c r="C68" s="67" t="s">
        <v>164</v>
      </c>
      <c r="D68" s="67" t="s">
        <v>298</v>
      </c>
      <c r="E68" s="34" t="str">
        <f>HYPERLINK("https://www.facebook.com/pages/Marshall-County-Emergency-Management-Agency/404818232871219","Marshall EMA - Facebook")</f>
        <v>Marshall EMA - Facebook</v>
      </c>
      <c r="F68" s="65" t="str">
        <f>HYPERLINK("http://www.marshallcoema.org/","Marshall EMA")</f>
        <v>Marshall EMA</v>
      </c>
    </row>
    <row r="69" spans="1:7">
      <c r="A69" s="15" t="str">
        <f>HYPERLINK("http://en.wikipedia.org/wiki/Mobile_County,_Alabama","Mobile")</f>
        <v>Mobile</v>
      </c>
      <c r="B69" s="39" t="s">
        <v>299</v>
      </c>
      <c r="C69" s="34" t="s">
        <v>300</v>
      </c>
      <c r="D69" s="67" t="s">
        <v>301</v>
      </c>
      <c r="F69" s="65" t="str">
        <f>HYPERLINK("http://www.mcema.net/","Mobile County EMA")</f>
        <v>Mobile County EMA</v>
      </c>
    </row>
    <row r="70" spans="1:7">
      <c r="A70" s="15" t="str">
        <f>HYPERLINK("http://en.wikipedia.org/wiki/Monroe_County,_Alabama","Monroe")</f>
        <v>Monroe</v>
      </c>
      <c r="B70" s="39" t="s">
        <v>302</v>
      </c>
      <c r="C70" s="90" t="s">
        <v>164</v>
      </c>
      <c r="D70" s="34" t="s">
        <v>303</v>
      </c>
      <c r="F70" s="15" t="str">
        <f>HYPERLINK("http://www.monroeema.com/","Monroe EMA")</f>
        <v>Monroe EMA</v>
      </c>
    </row>
    <row r="71" spans="1:7" ht="26.25">
      <c r="A71" s="15" t="str">
        <f>HYPERLINK("http://en.wikipedia.org/wiki/Montgomery_County,_Alabama","Montgomery")</f>
        <v>Montgomery</v>
      </c>
      <c r="B71" s="35" t="s">
        <v>304</v>
      </c>
      <c r="C71" s="67" t="s">
        <v>305</v>
      </c>
      <c r="D71" s="67" t="s">
        <v>306</v>
      </c>
      <c r="E71" t="str">
        <f>HYPERLINK("www.facebook.com/monroeema","Montgomery EMA - Facebook")</f>
        <v>Montgomery EMA - Facebook</v>
      </c>
      <c r="F71" s="65" t="str">
        <f>HYPERLINK("http://www.mc-ala.org/Living/Pages/EmergencyPreparedness.aspx","Montgomery EMA")</f>
        <v>Montgomery EMA</v>
      </c>
    </row>
    <row r="72" spans="1:7">
      <c r="A72" s="15" t="str">
        <f>HYPERLINK("http://en.wikipedia.org/wiki/Morgan_County,_Alabama","Morgan")</f>
        <v>Morgan</v>
      </c>
      <c r="B72" s="39" t="s">
        <v>307</v>
      </c>
      <c r="C72" t="s">
        <v>164</v>
      </c>
      <c r="D72" s="67" t="s">
        <v>308</v>
      </c>
      <c r="F72" s="65" t="str">
        <f>HYPERLINK("http://www.co.morgan.al.us/EMA.htm","Morgan EMA")</f>
        <v>Morgan EMA</v>
      </c>
      <c r="G72" s="29"/>
    </row>
    <row r="73" spans="1:7" ht="15" hidden="1" customHeight="1">
      <c r="A73" s="15" t="s">
        <v>309</v>
      </c>
      <c r="B73" s="39"/>
      <c r="D73" s="34"/>
      <c r="F73" s="65"/>
    </row>
    <row r="74" spans="1:7" ht="15" hidden="1" customHeight="1">
      <c r="A74" s="15" t="s">
        <v>310</v>
      </c>
      <c r="B74" s="39"/>
      <c r="D74" s="34"/>
      <c r="F74" s="65"/>
    </row>
    <row r="75" spans="1:7" ht="15" hidden="1" customHeight="1">
      <c r="A75" s="15" t="s">
        <v>311</v>
      </c>
      <c r="B75" s="39"/>
      <c r="D75" s="34"/>
      <c r="F75" s="65"/>
    </row>
    <row r="76" spans="1:7" ht="15" hidden="1" customHeight="1">
      <c r="A76" s="15" t="s">
        <v>312</v>
      </c>
      <c r="B76" s="39"/>
      <c r="D76" s="34"/>
      <c r="F76" s="65"/>
    </row>
    <row r="77" spans="1:7" ht="12.75">
      <c r="A77" s="15" t="str">
        <f>HYPERLINK("http://en.wikipedia.org/wiki/Randolph_County,_Alabama","Randolph")</f>
        <v>Randolph</v>
      </c>
      <c r="B77" s="39" t="s">
        <v>164</v>
      </c>
      <c r="C77" t="s">
        <v>164</v>
      </c>
      <c r="D77" s="34" t="s">
        <v>313</v>
      </c>
      <c r="F77" s="15" t="str">
        <f>HYPERLINK("http://www.randolphcountyalabama.gov/EMA.htm","Randolph EMA")</f>
        <v>Randolph EMA</v>
      </c>
    </row>
    <row r="78" spans="1:7" ht="12.75">
      <c r="A78" s="15" t="str">
        <f>HYPERLINK("http://en.wikipedia.org/wiki/Russell_County,_Alabama","Russell")</f>
        <v>Russell</v>
      </c>
      <c r="B78" s="39" t="s">
        <v>314</v>
      </c>
      <c r="C78" t="s">
        <v>164</v>
      </c>
      <c r="D78" s="34" t="s">
        <v>315</v>
      </c>
      <c r="E78" s="34" t="str">
        <f>HYPERLINK("https://m.facebook.com/pages/Russell-County-Sheriffs-Department/55849517861?_rdr","Russell Sheriff - Facebook")</f>
        <v>Russell Sheriff - Facebook</v>
      </c>
      <c r="F78" s="15" t="str">
        <f>HYPERLINK("http://www.russellcoema.com/index.html","Russell EMA")</f>
        <v>Russell EMA</v>
      </c>
    </row>
    <row r="79" spans="1:7">
      <c r="A79" s="15" t="str">
        <f>HYPERLINK("http://en.wikipedia.org/wiki/Shelby_County,_Alabama","Shelby")</f>
        <v>Shelby</v>
      </c>
      <c r="B79" s="39" t="s">
        <v>316</v>
      </c>
      <c r="C79" s="67" t="s">
        <v>317</v>
      </c>
      <c r="D79" s="67" t="s">
        <v>318</v>
      </c>
      <c r="F79" s="65" t="str">
        <f>HYPERLINK("http://www.shelby911.org/","Shelby 911")</f>
        <v>Shelby 911</v>
      </c>
    </row>
    <row r="80" spans="1:7">
      <c r="A80" s="15" t="str">
        <f>HYPERLINK("http://en.wikipedia.org/wiki/St._Clair_County,_Alabama","St Clair")</f>
        <v>St Clair</v>
      </c>
      <c r="B80" s="35" t="s">
        <v>319</v>
      </c>
      <c r="C80" s="67" t="s">
        <v>320</v>
      </c>
      <c r="D80" s="34" t="s">
        <v>321</v>
      </c>
      <c r="E80" s="34"/>
      <c r="F80" s="15" t="str">
        <f>HYPERLINK("http://www.stclairco.com/index.php?src=gendocs&amp;link=EMA&amp;category=EMA","St Clair EMA")</f>
        <v>St Clair EMA</v>
      </c>
      <c r="G80" s="34"/>
    </row>
    <row r="81" spans="1:7" ht="15" hidden="1" customHeight="1">
      <c r="A81" s="15" t="s">
        <v>322</v>
      </c>
      <c r="B81" s="39"/>
      <c r="C81" s="34"/>
      <c r="D81" s="34"/>
      <c r="E81" s="34"/>
      <c r="F81" s="65"/>
      <c r="G81" s="34"/>
    </row>
    <row r="82" spans="1:7">
      <c r="A82" s="15" t="str">
        <f>HYPERLINK("http://en.wikipedia.org/wiki/Talladega_County,_Alabama","Talladega")</f>
        <v>Talladega</v>
      </c>
      <c r="B82" s="35" t="s">
        <v>323</v>
      </c>
      <c r="C82" s="67" t="s">
        <v>324</v>
      </c>
      <c r="D82" s="34" t="s">
        <v>325</v>
      </c>
      <c r="E82" s="34"/>
      <c r="F82" s="15" t="str">
        <f>HYPERLINK("http://www.talladegaema.org/","Talladega EMA")</f>
        <v>Talladega EMA</v>
      </c>
      <c r="G82" s="34"/>
    </row>
    <row r="83" spans="1:7">
      <c r="A83" s="15" t="str">
        <f>HYPERLINK("http://en.wikipedia.org/wiki/Tallapoosa_County,_Alabama","Tallapoosa")</f>
        <v>Tallapoosa</v>
      </c>
      <c r="B83" s="39" t="s">
        <v>164</v>
      </c>
      <c r="C83" s="34" t="s">
        <v>164</v>
      </c>
      <c r="D83" s="67" t="s">
        <v>326</v>
      </c>
      <c r="E83" s="34"/>
      <c r="F83" s="65" t="str">
        <f>HYPERLINK("http://www.tallaco.com/content.asp?formid=1504&amp;id=73976","Tallapoosa EMA")</f>
        <v>Tallapoosa EMA</v>
      </c>
      <c r="G83" s="34"/>
    </row>
    <row r="84" spans="1:7" ht="24.75">
      <c r="A84" s="15" t="str">
        <f>HYPERLINK("http://en.wikipedia.org/wiki/Tuscaloosa_County,_Alabama","Tuscaloosa")</f>
        <v>Tuscaloosa</v>
      </c>
      <c r="B84" s="35" t="s">
        <v>327</v>
      </c>
      <c r="C84" s="34" t="s">
        <v>164</v>
      </c>
      <c r="D84" s="67" t="s">
        <v>328</v>
      </c>
      <c r="E84" s="34"/>
      <c r="F84" s="65" t="str">
        <f>HYPERLINK("https://www.facebook.com/TCSOAL","Tuscaloosa Sheriff - Facebook")</f>
        <v>Tuscaloosa Sheriff - Facebook</v>
      </c>
      <c r="G84" s="34"/>
    </row>
    <row r="85" spans="1:7" ht="12.75">
      <c r="A85" s="15" t="str">
        <f>HYPERLINK("http://en.wikipedia.org/wiki/Walker_County,_Alabama","Walker")</f>
        <v>Walker</v>
      </c>
      <c r="B85" s="39" t="s">
        <v>164</v>
      </c>
      <c r="C85" s="34" t="s">
        <v>164</v>
      </c>
      <c r="D85" s="34" t="s">
        <v>329</v>
      </c>
      <c r="E85" s="34"/>
      <c r="F85" s="15" t="str">
        <f>HYPERLINK("http://www.walkercounty.com/administration/ema.htm","Walker EMA")</f>
        <v>Walker EMA</v>
      </c>
      <c r="G85" s="34"/>
    </row>
    <row r="86" spans="1:7" ht="15" hidden="1" customHeight="1">
      <c r="A86" s="15" t="s">
        <v>330</v>
      </c>
      <c r="B86" s="39"/>
      <c r="C86" s="34"/>
      <c r="D86" s="34"/>
      <c r="E86" s="34"/>
      <c r="F86" s="65"/>
      <c r="G86" s="34"/>
    </row>
    <row r="87" spans="1:7" ht="15" hidden="1" customHeight="1">
      <c r="A87" s="15" t="s">
        <v>331</v>
      </c>
      <c r="B87" s="39"/>
      <c r="C87" s="34"/>
      <c r="D87" s="34"/>
      <c r="E87" s="34"/>
      <c r="F87" s="65"/>
      <c r="G87" s="34"/>
    </row>
    <row r="88" spans="1:7">
      <c r="A88" s="15" t="str">
        <f>HYPERLINK("http://en.wikipedia.org/wiki/Winston_County,_Alabama","Winston")</f>
        <v>Winston</v>
      </c>
      <c r="B88" s="39" t="s">
        <v>164</v>
      </c>
      <c r="C88" s="34" t="s">
        <v>164</v>
      </c>
      <c r="D88" s="67" t="s">
        <v>332</v>
      </c>
      <c r="E88" s="34"/>
      <c r="F88" s="65" t="s">
        <v>164</v>
      </c>
      <c r="G88" s="34"/>
    </row>
    <row r="89" spans="1:7" ht="12.75">
      <c r="A89" s="57"/>
      <c r="B89" s="29"/>
      <c r="C89" s="87"/>
      <c r="D89" s="87"/>
      <c r="E89" s="87"/>
      <c r="F89" s="21"/>
      <c r="G89" s="87"/>
    </row>
    <row r="90" spans="1:7">
      <c r="A90" s="14" t="s">
        <v>333</v>
      </c>
      <c r="B90" s="5" t="s">
        <v>147</v>
      </c>
      <c r="C90" s="79" t="s">
        <v>210</v>
      </c>
      <c r="D90" s="79" t="s">
        <v>182</v>
      </c>
      <c r="E90" s="79" t="s">
        <v>211</v>
      </c>
      <c r="F90" s="14"/>
      <c r="G90" s="34"/>
    </row>
    <row r="91" spans="1:7">
      <c r="A91" s="15" t="s">
        <v>334</v>
      </c>
      <c r="B91" s="69" t="s">
        <v>335</v>
      </c>
      <c r="C91" s="67" t="s">
        <v>164</v>
      </c>
      <c r="D91" s="67" t="s">
        <v>336</v>
      </c>
      <c r="E91" s="34" t="str">
        <f>HYPERLINK("http://www.powersouth.com/distribution_members","Distribution Members")</f>
        <v>Distribution Members</v>
      </c>
      <c r="F91" s="65"/>
      <c r="G91" s="34"/>
    </row>
    <row r="92" spans="1:7">
      <c r="A92" s="15" t="s">
        <v>337</v>
      </c>
      <c r="B92" s="69" t="s">
        <v>164</v>
      </c>
      <c r="C92" s="67" t="s">
        <v>164</v>
      </c>
      <c r="D92" s="67" t="s">
        <v>338</v>
      </c>
      <c r="E92" s="34" t="str">
        <f>HYPERLINK("http://www.amea.com/members/","Member Cities/Utilities")</f>
        <v>Member Cities/Utilities</v>
      </c>
      <c r="F92" s="65"/>
      <c r="G92" s="34"/>
    </row>
    <row r="93" spans="1:7">
      <c r="A93" s="15" t="s">
        <v>339</v>
      </c>
      <c r="B93" s="69" t="s">
        <v>340</v>
      </c>
      <c r="C93" s="67" t="s">
        <v>341</v>
      </c>
      <c r="D93" s="67" t="s">
        <v>342</v>
      </c>
      <c r="E93" s="34"/>
      <c r="F93" s="65"/>
      <c r="G93" s="34"/>
    </row>
    <row r="94" spans="1:7">
      <c r="A94" s="15" t="s">
        <v>343</v>
      </c>
      <c r="B94" s="69" t="s">
        <v>344</v>
      </c>
      <c r="C94" s="34" t="s">
        <v>345</v>
      </c>
      <c r="D94" s="67" t="s">
        <v>346</v>
      </c>
      <c r="E94" s="34"/>
      <c r="F94" s="65"/>
      <c r="G94" s="34"/>
    </row>
    <row r="95" spans="1:7">
      <c r="A95" s="15" t="s">
        <v>347</v>
      </c>
      <c r="B95" t="s">
        <v>164</v>
      </c>
      <c r="C95" s="67" t="s">
        <v>348</v>
      </c>
      <c r="D95" s="59" t="s">
        <v>349</v>
      </c>
      <c r="E95" s="34"/>
      <c r="F95" s="65"/>
      <c r="G95" s="34"/>
    </row>
    <row r="96" spans="1:7">
      <c r="A96" s="15" t="s">
        <v>350</v>
      </c>
      <c r="B96" t="s">
        <v>164</v>
      </c>
      <c r="C96" s="67" t="s">
        <v>351</v>
      </c>
      <c r="D96" s="59" t="s">
        <v>352</v>
      </c>
      <c r="E96" s="34"/>
      <c r="F96" s="65"/>
      <c r="G96" s="34"/>
    </row>
    <row r="97" spans="1:7">
      <c r="A97" s="15" t="s">
        <v>353</v>
      </c>
      <c r="B97" s="69" t="s">
        <v>354</v>
      </c>
      <c r="C97" s="67" t="s">
        <v>355</v>
      </c>
      <c r="D97" s="59" t="s">
        <v>356</v>
      </c>
      <c r="E97" s="34"/>
      <c r="F97" s="65"/>
      <c r="G97" s="34"/>
    </row>
    <row r="98" spans="1:7">
      <c r="A98" s="15" t="s">
        <v>357</v>
      </c>
      <c r="B98" s="69" t="s">
        <v>358</v>
      </c>
      <c r="C98" s="67" t="s">
        <v>359</v>
      </c>
      <c r="D98" s="59" t="s">
        <v>360</v>
      </c>
      <c r="E98" s="34"/>
      <c r="F98" s="65"/>
      <c r="G98" s="34"/>
    </row>
    <row r="99" spans="1:7" ht="14.25" customHeight="1">
      <c r="A99" s="15" t="s">
        <v>361</v>
      </c>
      <c r="B99" s="69"/>
      <c r="C99" s="67"/>
      <c r="D99" s="85" t="s">
        <v>362</v>
      </c>
      <c r="E99" s="34" t="str">
        <f>HYPERLINK("http://www.alnga.org/map.asp","AL Providers")</f>
        <v>AL Providers</v>
      </c>
      <c r="F99" s="65"/>
    </row>
    <row r="100" spans="1:7" ht="14.25" customHeight="1">
      <c r="A100" s="15" t="s">
        <v>363</v>
      </c>
      <c r="B100" s="69" t="s">
        <v>364</v>
      </c>
      <c r="C100" s="67" t="s">
        <v>365</v>
      </c>
      <c r="D100" s="85" t="s">
        <v>366</v>
      </c>
      <c r="E100" s="34"/>
      <c r="F100" s="65"/>
    </row>
    <row r="101" spans="1:7" ht="14.25" customHeight="1">
      <c r="A101" s="15" t="s">
        <v>367</v>
      </c>
      <c r="B101" s="69" t="s">
        <v>368</v>
      </c>
      <c r="C101" s="67" t="s">
        <v>369</v>
      </c>
      <c r="D101" s="85" t="s">
        <v>370</v>
      </c>
      <c r="E101" s="34"/>
      <c r="F101" s="65"/>
    </row>
    <row r="102" spans="1:7" ht="14.25" customHeight="1">
      <c r="A102" s="15"/>
      <c r="B102" s="69"/>
      <c r="C102" s="67"/>
      <c r="D102" s="85"/>
      <c r="E102" s="34"/>
      <c r="F102" s="65"/>
    </row>
    <row r="103" spans="1:7" ht="14.25" customHeight="1">
      <c r="A103" s="44" t="s">
        <v>371</v>
      </c>
      <c r="B103" s="5" t="s">
        <v>147</v>
      </c>
      <c r="C103" s="79" t="s">
        <v>210</v>
      </c>
      <c r="D103" s="79" t="s">
        <v>182</v>
      </c>
      <c r="E103" s="79" t="s">
        <v>211</v>
      </c>
      <c r="F103" s="66"/>
      <c r="G103" s="72"/>
    </row>
    <row r="104" spans="1:7" ht="14.25" customHeight="1">
      <c r="A104" s="15" t="s">
        <v>372</v>
      </c>
      <c r="B104" s="69"/>
      <c r="C104" s="67"/>
      <c r="D104" s="67" t="s">
        <v>373</v>
      </c>
      <c r="F104" s="65"/>
    </row>
    <row r="105" spans="1:7" ht="14.25" customHeight="1">
      <c r="A105" s="15" t="s">
        <v>374</v>
      </c>
      <c r="B105" s="69"/>
      <c r="C105" s="67"/>
      <c r="D105" s="67" t="s">
        <v>375</v>
      </c>
      <c r="F105" s="65"/>
    </row>
    <row r="106" spans="1:7" ht="14.25" customHeight="1">
      <c r="A106" s="15" t="s">
        <v>376</v>
      </c>
      <c r="B106" s="69"/>
      <c r="C106" s="67"/>
      <c r="D106" s="67" t="s">
        <v>377</v>
      </c>
      <c r="F106" s="65"/>
    </row>
    <row r="107" spans="1:7" ht="14.25" customHeight="1">
      <c r="A107" s="15" t="s">
        <v>378</v>
      </c>
      <c r="B107" s="69"/>
      <c r="C107" s="67"/>
      <c r="D107" s="67" t="s">
        <v>379</v>
      </c>
      <c r="F107" s="65"/>
    </row>
    <row r="108" spans="1:7" ht="14.25" customHeight="1">
      <c r="A108" s="15" t="s">
        <v>380</v>
      </c>
      <c r="B108" s="69"/>
      <c r="C108" s="67"/>
      <c r="D108" s="67" t="s">
        <v>381</v>
      </c>
      <c r="F108" s="65"/>
    </row>
    <row r="109" spans="1:7" ht="14.25" customHeight="1">
      <c r="A109" s="15" t="s">
        <v>382</v>
      </c>
      <c r="B109" s="69"/>
      <c r="C109" s="67"/>
      <c r="D109" s="67" t="s">
        <v>383</v>
      </c>
      <c r="F109" s="65"/>
    </row>
    <row r="110" spans="1:7" ht="14.25" customHeight="1">
      <c r="A110" s="15" t="s">
        <v>384</v>
      </c>
      <c r="B110" s="69"/>
      <c r="C110" s="67"/>
      <c r="D110" s="67" t="s">
        <v>385</v>
      </c>
      <c r="F110" s="65"/>
    </row>
    <row r="111" spans="1:7" ht="14.25" customHeight="1">
      <c r="A111" s="15" t="s">
        <v>386</v>
      </c>
      <c r="B111" s="69"/>
      <c r="C111" s="67"/>
      <c r="D111" s="67" t="s">
        <v>387</v>
      </c>
      <c r="F111" s="65"/>
    </row>
    <row r="112" spans="1:7" ht="12.75">
      <c r="A112" s="39"/>
      <c r="C112" s="34"/>
      <c r="D112" s="34"/>
      <c r="F112" s="65"/>
    </row>
    <row r="113" spans="1:7" ht="12.75">
      <c r="A113" s="3" t="s">
        <v>388</v>
      </c>
      <c r="B113" s="72"/>
      <c r="C113" s="89"/>
      <c r="D113" s="89"/>
      <c r="E113" s="89"/>
      <c r="F113" s="66"/>
      <c r="G113" s="89"/>
    </row>
    <row r="114" spans="1:7" ht="12.75">
      <c r="A114" s="39" t="s">
        <v>389</v>
      </c>
      <c r="C114" s="34"/>
      <c r="D114" s="34" t="s">
        <v>390</v>
      </c>
      <c r="E114" s="34"/>
      <c r="F114" s="65"/>
      <c r="G114" s="34"/>
    </row>
    <row r="115" spans="1:7" ht="12.75">
      <c r="A115" s="39" t="str">
        <f>HYPERLINK("http://en.wikipedia.org/wiki/Port_of_Mobile","Port of Mobile")</f>
        <v>Port of Mobile</v>
      </c>
      <c r="B115" t="s">
        <v>391</v>
      </c>
      <c r="C115" s="34"/>
      <c r="D115" s="34"/>
      <c r="E115" s="34"/>
      <c r="F115" s="65"/>
      <c r="G115" s="34"/>
    </row>
    <row r="116" spans="1:7" ht="12.75">
      <c r="A116" s="39" t="s">
        <v>392</v>
      </c>
      <c r="C116" s="34"/>
      <c r="D116" s="34" t="s">
        <v>393</v>
      </c>
      <c r="E116" s="34"/>
      <c r="F116" s="65"/>
      <c r="G116" s="34"/>
    </row>
    <row r="117" spans="1:7" ht="12.75">
      <c r="A117" s="39"/>
      <c r="C117" s="34"/>
      <c r="D117" s="34"/>
      <c r="E117" s="34"/>
      <c r="F117" s="65"/>
      <c r="G117" s="34"/>
    </row>
    <row r="118" spans="1:7">
      <c r="A118" s="14" t="s">
        <v>394</v>
      </c>
      <c r="B118" s="5" t="s">
        <v>147</v>
      </c>
      <c r="C118" s="79" t="s">
        <v>210</v>
      </c>
      <c r="D118" s="79" t="s">
        <v>182</v>
      </c>
      <c r="E118" s="79" t="s">
        <v>211</v>
      </c>
      <c r="F118" s="65"/>
      <c r="G118" s="34"/>
    </row>
    <row r="119" spans="1:7">
      <c r="A119" s="83" t="s">
        <v>395</v>
      </c>
      <c r="B119" s="69"/>
      <c r="C119" s="67"/>
      <c r="D119" s="67" t="s">
        <v>396</v>
      </c>
      <c r="E119" s="34" t="s">
        <v>397</v>
      </c>
      <c r="F119" s="65"/>
      <c r="G119" s="34"/>
    </row>
    <row r="120" spans="1:7">
      <c r="A120" s="83" t="s">
        <v>398</v>
      </c>
      <c r="B120" s="69"/>
      <c r="C120" s="67"/>
      <c r="D120" s="67" t="s">
        <v>399</v>
      </c>
      <c r="E120" s="34"/>
      <c r="F120" s="65"/>
      <c r="G120" s="34"/>
    </row>
    <row r="121" spans="1:7">
      <c r="A121" s="15" t="s">
        <v>400</v>
      </c>
      <c r="B121" s="69" t="s">
        <v>401</v>
      </c>
      <c r="C121" s="67" t="s">
        <v>402</v>
      </c>
      <c r="D121" s="67" t="s">
        <v>403</v>
      </c>
      <c r="E121" s="34" t="s">
        <v>404</v>
      </c>
      <c r="F121" s="65"/>
      <c r="G121" s="34"/>
    </row>
    <row r="122" spans="1:7">
      <c r="A122" s="15" t="s">
        <v>405</v>
      </c>
      <c r="B122" s="69" t="s">
        <v>406</v>
      </c>
      <c r="C122" s="67" t="s">
        <v>407</v>
      </c>
      <c r="D122" s="67" t="s">
        <v>408</v>
      </c>
      <c r="E122" s="34" t="s">
        <v>409</v>
      </c>
      <c r="F122" s="65"/>
      <c r="G122" s="34"/>
    </row>
    <row r="123" spans="1:7">
      <c r="A123" s="15" t="s">
        <v>410</v>
      </c>
      <c r="B123" t="s">
        <v>164</v>
      </c>
      <c r="C123" s="67" t="s">
        <v>411</v>
      </c>
      <c r="D123" s="67" t="s">
        <v>412</v>
      </c>
      <c r="E123" s="34" t="s">
        <v>413</v>
      </c>
      <c r="F123" s="65"/>
      <c r="G123" s="34"/>
    </row>
    <row r="124" spans="1:7">
      <c r="A124" s="15" t="s">
        <v>414</v>
      </c>
      <c r="B124" s="69" t="s">
        <v>415</v>
      </c>
      <c r="C124" s="67" t="s">
        <v>416</v>
      </c>
      <c r="D124" s="67" t="s">
        <v>417</v>
      </c>
      <c r="E124" s="34" t="s">
        <v>418</v>
      </c>
      <c r="F124" s="65"/>
      <c r="G124" s="34"/>
    </row>
    <row r="125" spans="1:7">
      <c r="A125" s="15" t="s">
        <v>419</v>
      </c>
      <c r="B125" t="s">
        <v>164</v>
      </c>
      <c r="C125" s="67" t="s">
        <v>420</v>
      </c>
      <c r="D125" s="67" t="s">
        <v>421</v>
      </c>
      <c r="E125" s="34" t="s">
        <v>422</v>
      </c>
      <c r="F125" s="65"/>
      <c r="G125" s="34"/>
    </row>
    <row r="126" spans="1:7" ht="24">
      <c r="A126" s="39" t="s">
        <v>423</v>
      </c>
      <c r="B126" t="s">
        <v>424</v>
      </c>
      <c r="C126" s="34" t="s">
        <v>425</v>
      </c>
      <c r="D126" s="34" t="s">
        <v>426</v>
      </c>
      <c r="E126" s="34" t="s">
        <v>427</v>
      </c>
      <c r="F126" s="65"/>
      <c r="G126" s="34"/>
    </row>
    <row r="127" spans="1:7" ht="12.75">
      <c r="A127" s="39"/>
      <c r="C127" s="34"/>
      <c r="D127" s="34"/>
      <c r="E127" s="34"/>
      <c r="F127" s="65"/>
    </row>
    <row r="128" spans="1:7">
      <c r="A128" s="14" t="s">
        <v>428</v>
      </c>
      <c r="B128" s="5" t="s">
        <v>147</v>
      </c>
      <c r="C128" s="79" t="s">
        <v>210</v>
      </c>
      <c r="D128" s="79" t="s">
        <v>182</v>
      </c>
      <c r="E128" s="79" t="s">
        <v>211</v>
      </c>
      <c r="F128" s="98"/>
    </row>
    <row r="129" spans="1:6">
      <c r="A129" s="83" t="s">
        <v>429</v>
      </c>
      <c r="B129" s="69"/>
      <c r="C129" s="67"/>
      <c r="D129" s="67" t="s">
        <v>430</v>
      </c>
      <c r="F129" s="65"/>
    </row>
    <row r="130" spans="1:6">
      <c r="A130" s="83" t="s">
        <v>431</v>
      </c>
      <c r="B130" s="69"/>
      <c r="C130" s="67"/>
      <c r="D130" s="67" t="s">
        <v>432</v>
      </c>
      <c r="F130" s="65"/>
    </row>
    <row r="131" spans="1:6">
      <c r="A131" s="83" t="s">
        <v>433</v>
      </c>
      <c r="B131" s="69"/>
      <c r="C131" s="67"/>
      <c r="D131" s="67" t="s">
        <v>434</v>
      </c>
      <c r="F131" s="65"/>
    </row>
    <row r="132" spans="1:6">
      <c r="A132" s="15" t="s">
        <v>435</v>
      </c>
      <c r="B132" s="69" t="s">
        <v>436</v>
      </c>
      <c r="C132" s="67" t="s">
        <v>437</v>
      </c>
      <c r="D132" s="67" t="s">
        <v>438</v>
      </c>
      <c r="F132" s="65"/>
    </row>
    <row r="133" spans="1:6">
      <c r="A133" s="15" t="s">
        <v>439</v>
      </c>
      <c r="B133" s="69" t="s">
        <v>440</v>
      </c>
      <c r="C133" s="67" t="s">
        <v>441</v>
      </c>
      <c r="D133" s="67" t="s">
        <v>442</v>
      </c>
      <c r="F133" s="65"/>
    </row>
    <row r="134" spans="1:6">
      <c r="A134" s="15" t="s">
        <v>443</v>
      </c>
      <c r="B134" s="69" t="s">
        <v>444</v>
      </c>
      <c r="C134" s="67" t="s">
        <v>445</v>
      </c>
      <c r="D134" s="67" t="s">
        <v>446</v>
      </c>
      <c r="F134" s="65"/>
    </row>
    <row r="135" spans="1:6">
      <c r="A135" s="15" t="s">
        <v>447</v>
      </c>
      <c r="B135" s="69" t="s">
        <v>448</v>
      </c>
      <c r="C135" s="11" t="str">
        <f>HYPERLINK("http://www.facebook.com/aldotcom","http://www.facebook.com/aldotcom")</f>
        <v>http://www.facebook.com/aldotcom</v>
      </c>
      <c r="D135" s="11" t="str">
        <f>HYPERLINK("http://al.com/","http://al.com")</f>
        <v>http://al.com</v>
      </c>
      <c r="F135" s="65"/>
    </row>
    <row r="136" spans="1:6">
      <c r="A136" s="15" t="s">
        <v>449</v>
      </c>
      <c r="B136" t="s">
        <v>450</v>
      </c>
      <c r="C136" s="67" t="s">
        <v>451</v>
      </c>
      <c r="D136" s="67" t="s">
        <v>452</v>
      </c>
      <c r="F136" s="65"/>
    </row>
    <row r="137" spans="1:6">
      <c r="A137" s="15" t="s">
        <v>453</v>
      </c>
      <c r="B137" s="69" t="s">
        <v>454</v>
      </c>
      <c r="C137" s="67" t="s">
        <v>455</v>
      </c>
      <c r="D137" s="67" t="s">
        <v>456</v>
      </c>
      <c r="F137" s="65"/>
    </row>
    <row r="138" spans="1:6" ht="26.25">
      <c r="A138" s="15" t="s">
        <v>457</v>
      </c>
      <c r="B138" t="s">
        <v>458</v>
      </c>
      <c r="C138" s="67" t="s">
        <v>459</v>
      </c>
      <c r="D138" s="67" t="s">
        <v>460</v>
      </c>
      <c r="F138" s="65"/>
    </row>
    <row r="139" spans="1:6" ht="15.75" customHeight="1">
      <c r="A139" s="15" t="s">
        <v>461</v>
      </c>
      <c r="B139" s="69" t="s">
        <v>462</v>
      </c>
      <c r="C139" s="67" t="s">
        <v>463</v>
      </c>
      <c r="D139" s="67" t="s">
        <v>464</v>
      </c>
      <c r="F139" s="65"/>
    </row>
    <row r="140" spans="1:6">
      <c r="A140" s="15" t="s">
        <v>465</v>
      </c>
      <c r="B140" s="69" t="s">
        <v>466</v>
      </c>
      <c r="C140" s="67" t="s">
        <v>467</v>
      </c>
      <c r="D140" s="67" t="s">
        <v>468</v>
      </c>
      <c r="F140" s="65"/>
    </row>
    <row r="141" spans="1:6" ht="15.75" customHeight="1">
      <c r="A141" s="15" t="s">
        <v>469</v>
      </c>
      <c r="B141" s="69" t="s">
        <v>470</v>
      </c>
      <c r="C141" s="67" t="s">
        <v>471</v>
      </c>
      <c r="D141" s="67" t="s">
        <v>472</v>
      </c>
      <c r="F141" s="65"/>
    </row>
    <row r="142" spans="1:6">
      <c r="A142" s="15" t="s">
        <v>473</v>
      </c>
      <c r="B142" t="s">
        <v>474</v>
      </c>
      <c r="C142" s="67" t="s">
        <v>475</v>
      </c>
      <c r="D142" s="67" t="s">
        <v>476</v>
      </c>
      <c r="F142" s="65"/>
    </row>
    <row r="143" spans="1:6">
      <c r="A143" s="15" t="s">
        <v>477</v>
      </c>
      <c r="B143" s="69" t="s">
        <v>478</v>
      </c>
      <c r="C143" s="67" t="s">
        <v>479</v>
      </c>
      <c r="D143" s="67" t="s">
        <v>480</v>
      </c>
      <c r="F143" s="65"/>
    </row>
    <row r="144" spans="1:6">
      <c r="A144" s="15" t="s">
        <v>481</v>
      </c>
      <c r="B144" s="69" t="s">
        <v>482</v>
      </c>
      <c r="C144" s="67" t="s">
        <v>483</v>
      </c>
      <c r="D144" s="67" t="s">
        <v>484</v>
      </c>
      <c r="F144" s="65"/>
    </row>
    <row r="145" spans="1:6" ht="14.25" customHeight="1">
      <c r="A145" s="15" t="s">
        <v>485</v>
      </c>
      <c r="B145" s="69" t="s">
        <v>486</v>
      </c>
      <c r="C145" s="67" t="s">
        <v>487</v>
      </c>
      <c r="D145" s="67" t="s">
        <v>488</v>
      </c>
      <c r="F145" s="65"/>
    </row>
    <row r="146" spans="1:6" ht="14.25" customHeight="1">
      <c r="A146" s="15"/>
      <c r="B146" s="69"/>
      <c r="C146" s="67"/>
      <c r="D146" s="67"/>
      <c r="F146" s="65"/>
    </row>
    <row r="147" spans="1:6" ht="14.25" customHeight="1">
      <c r="A147" s="51"/>
      <c r="B147" s="69"/>
      <c r="C147" s="67"/>
      <c r="D147" s="67"/>
      <c r="F147" s="65"/>
    </row>
    <row r="148" spans="1:6" ht="14.25" customHeight="1">
      <c r="A148" s="75" t="s">
        <v>489</v>
      </c>
      <c r="B148" s="5" t="s">
        <v>147</v>
      </c>
      <c r="C148" s="79" t="s">
        <v>210</v>
      </c>
      <c r="D148" s="79" t="s">
        <v>182</v>
      </c>
      <c r="E148" s="79" t="s">
        <v>490</v>
      </c>
      <c r="F148" s="65"/>
    </row>
    <row r="149" spans="1:6" ht="14.25" customHeight="1">
      <c r="A149" s="1" t="s">
        <v>491</v>
      </c>
      <c r="B149" s="69"/>
      <c r="C149" s="67"/>
      <c r="D149" s="67" t="s">
        <v>492</v>
      </c>
      <c r="E149" s="67"/>
      <c r="F149" s="65" t="s">
        <v>493</v>
      </c>
    </row>
    <row r="150" spans="1:6" ht="14.25" customHeight="1">
      <c r="A150" s="1" t="s">
        <v>494</v>
      </c>
      <c r="B150" s="69"/>
      <c r="C150" s="67"/>
      <c r="D150" s="67" t="s">
        <v>495</v>
      </c>
      <c r="E150" s="67"/>
      <c r="F150" s="65"/>
    </row>
    <row r="151" spans="1:6" ht="14.25" customHeight="1">
      <c r="A151" s="1" t="s">
        <v>496</v>
      </c>
      <c r="B151" s="69"/>
      <c r="C151" s="67"/>
      <c r="D151" s="67" t="s">
        <v>497</v>
      </c>
      <c r="E151" s="67"/>
      <c r="F151" s="65"/>
    </row>
    <row r="152" spans="1:6" ht="14.25" customHeight="1">
      <c r="A152" s="55" t="s">
        <v>498</v>
      </c>
      <c r="B152" s="18" t="s">
        <v>499</v>
      </c>
      <c r="C152" s="97" t="s">
        <v>500</v>
      </c>
      <c r="D152" s="97" t="s">
        <v>501</v>
      </c>
      <c r="E152" s="97" t="s">
        <v>502</v>
      </c>
      <c r="F152" s="65"/>
    </row>
    <row r="153" spans="1:6" ht="14.25" customHeight="1">
      <c r="A153" s="55" t="s">
        <v>503</v>
      </c>
      <c r="B153" t="s">
        <v>504</v>
      </c>
      <c r="C153" s="34" t="s">
        <v>505</v>
      </c>
      <c r="D153" s="97" t="s">
        <v>506</v>
      </c>
      <c r="E153" s="18" t="s">
        <v>507</v>
      </c>
      <c r="F153" s="65"/>
    </row>
    <row r="154" spans="1:6" ht="14.25" customHeight="1">
      <c r="A154" s="55" t="s">
        <v>508</v>
      </c>
      <c r="B154" t="s">
        <v>509</v>
      </c>
      <c r="C154" s="97" t="s">
        <v>510</v>
      </c>
      <c r="D154" s="97" t="s">
        <v>511</v>
      </c>
      <c r="E154" s="18" t="s">
        <v>512</v>
      </c>
      <c r="F154" s="65"/>
    </row>
    <row r="155" spans="1:6" ht="14.25" customHeight="1">
      <c r="A155" s="55" t="s">
        <v>513</v>
      </c>
      <c r="C155" s="97" t="s">
        <v>514</v>
      </c>
      <c r="D155" s="97" t="s">
        <v>515</v>
      </c>
      <c r="E155" s="18" t="s">
        <v>516</v>
      </c>
      <c r="F155" s="65"/>
    </row>
    <row r="156" spans="1:6" ht="14.25" customHeight="1">
      <c r="A156" s="55" t="s">
        <v>517</v>
      </c>
      <c r="C156" s="97"/>
      <c r="D156" s="97" t="s">
        <v>518</v>
      </c>
      <c r="E156" s="18" t="s">
        <v>516</v>
      </c>
      <c r="F156" s="65"/>
    </row>
    <row r="157" spans="1:6" ht="14.25" customHeight="1">
      <c r="A157" s="55" t="s">
        <v>519</v>
      </c>
      <c r="B157" t="s">
        <v>520</v>
      </c>
      <c r="C157" s="97" t="s">
        <v>521</v>
      </c>
      <c r="D157" s="97" t="s">
        <v>522</v>
      </c>
      <c r="E157" s="18" t="s">
        <v>523</v>
      </c>
      <c r="F157" s="65"/>
    </row>
    <row r="158" spans="1:6" ht="14.25" customHeight="1">
      <c r="A158" s="55" t="s">
        <v>524</v>
      </c>
      <c r="B158" t="s">
        <v>525</v>
      </c>
      <c r="C158" s="97" t="s">
        <v>526</v>
      </c>
      <c r="D158" s="97" t="s">
        <v>527</v>
      </c>
      <c r="E158" s="18" t="s">
        <v>528</v>
      </c>
      <c r="F158" s="65"/>
    </row>
    <row r="159" spans="1:6" ht="14.25" customHeight="1">
      <c r="A159" s="55" t="s">
        <v>529</v>
      </c>
      <c r="B159" t="s">
        <v>530</v>
      </c>
      <c r="C159" s="97" t="s">
        <v>531</v>
      </c>
      <c r="D159" s="97" t="s">
        <v>532</v>
      </c>
      <c r="E159" s="18" t="s">
        <v>516</v>
      </c>
      <c r="F159" s="65"/>
    </row>
    <row r="160" spans="1:6" ht="14.25" customHeight="1">
      <c r="A160" s="55" t="s">
        <v>533</v>
      </c>
      <c r="B160" t="s">
        <v>534</v>
      </c>
      <c r="C160" s="97" t="s">
        <v>535</v>
      </c>
      <c r="D160" s="97" t="s">
        <v>536</v>
      </c>
      <c r="E160" s="18" t="s">
        <v>537</v>
      </c>
      <c r="F160" s="65"/>
    </row>
    <row r="161" spans="1:6" ht="14.25" customHeight="1">
      <c r="A161" s="55" t="s">
        <v>538</v>
      </c>
      <c r="B161" t="s">
        <v>539</v>
      </c>
      <c r="C161" s="97" t="s">
        <v>540</v>
      </c>
      <c r="D161" s="97" t="s">
        <v>541</v>
      </c>
      <c r="E161" s="18" t="s">
        <v>542</v>
      </c>
      <c r="F161" s="65"/>
    </row>
    <row r="162" spans="1:6" ht="14.25" customHeight="1">
      <c r="A162" s="55" t="s">
        <v>543</v>
      </c>
      <c r="B162" t="s">
        <v>544</v>
      </c>
      <c r="C162" s="97" t="s">
        <v>545</v>
      </c>
      <c r="D162" s="97" t="s">
        <v>546</v>
      </c>
      <c r="E162" s="18" t="s">
        <v>547</v>
      </c>
      <c r="F162" s="65"/>
    </row>
    <row r="163" spans="1:6" ht="14.25" customHeight="1">
      <c r="A163" s="55" t="s">
        <v>548</v>
      </c>
      <c r="B163" t="s">
        <v>549</v>
      </c>
      <c r="C163" s="97" t="s">
        <v>550</v>
      </c>
      <c r="D163" s="97" t="s">
        <v>551</v>
      </c>
      <c r="E163" s="18" t="s">
        <v>552</v>
      </c>
      <c r="F163" s="65"/>
    </row>
    <row r="164" spans="1:6" ht="14.25" customHeight="1">
      <c r="A164" s="55" t="s">
        <v>553</v>
      </c>
      <c r="C164" s="97"/>
      <c r="D164" s="97" t="s">
        <v>554</v>
      </c>
      <c r="E164" s="18" t="s">
        <v>555</v>
      </c>
      <c r="F164" s="65"/>
    </row>
    <row r="165" spans="1:6" ht="14.25" customHeight="1">
      <c r="A165" s="55" t="s">
        <v>556</v>
      </c>
      <c r="C165" s="97" t="s">
        <v>557</v>
      </c>
      <c r="D165" s="97" t="s">
        <v>558</v>
      </c>
      <c r="E165" s="18" t="s">
        <v>559</v>
      </c>
      <c r="F165" s="65"/>
    </row>
    <row r="166" spans="1:6" ht="14.25" customHeight="1">
      <c r="A166" s="55" t="s">
        <v>560</v>
      </c>
      <c r="C166" s="97"/>
      <c r="D166" s="97" t="s">
        <v>561</v>
      </c>
      <c r="E166" s="18" t="s">
        <v>516</v>
      </c>
      <c r="F166" s="65"/>
    </row>
    <row r="167" spans="1:6" ht="14.25" customHeight="1">
      <c r="A167" s="55" t="s">
        <v>562</v>
      </c>
      <c r="B167" t="s">
        <v>563</v>
      </c>
      <c r="C167" s="97" t="s">
        <v>564</v>
      </c>
      <c r="D167" s="97" t="s">
        <v>565</v>
      </c>
      <c r="E167" s="18" t="s">
        <v>566</v>
      </c>
      <c r="F167" s="65"/>
    </row>
    <row r="168" spans="1:6" ht="14.25" customHeight="1">
      <c r="A168" s="55" t="s">
        <v>567</v>
      </c>
      <c r="B168" t="s">
        <v>568</v>
      </c>
      <c r="C168" s="97" t="s">
        <v>569</v>
      </c>
      <c r="D168" s="97" t="s">
        <v>570</v>
      </c>
      <c r="E168" s="18" t="s">
        <v>571</v>
      </c>
      <c r="F168" s="65"/>
    </row>
    <row r="169" spans="1:6" ht="14.25" customHeight="1">
      <c r="A169" s="55" t="s">
        <v>572</v>
      </c>
      <c r="B169" t="s">
        <v>573</v>
      </c>
      <c r="C169" s="97"/>
      <c r="D169" s="97" t="s">
        <v>574</v>
      </c>
      <c r="E169" s="18" t="s">
        <v>575</v>
      </c>
      <c r="F169" s="65"/>
    </row>
    <row r="170" spans="1:6" ht="14.25" customHeight="1">
      <c r="A170" s="55" t="s">
        <v>576</v>
      </c>
      <c r="B170" t="s">
        <v>577</v>
      </c>
      <c r="C170" s="97" t="s">
        <v>578</v>
      </c>
      <c r="D170" s="97" t="s">
        <v>579</v>
      </c>
      <c r="E170" s="18" t="s">
        <v>516</v>
      </c>
      <c r="F170" s="65"/>
    </row>
    <row r="171" spans="1:6" ht="14.25" customHeight="1">
      <c r="A171" s="55" t="s">
        <v>580</v>
      </c>
      <c r="B171" t="s">
        <v>581</v>
      </c>
      <c r="C171" s="97" t="s">
        <v>582</v>
      </c>
      <c r="D171" s="97" t="s">
        <v>583</v>
      </c>
      <c r="E171" s="18" t="s">
        <v>584</v>
      </c>
      <c r="F171" s="65"/>
    </row>
    <row r="172" spans="1:6" ht="14.25" customHeight="1">
      <c r="A172" s="55" t="s">
        <v>585</v>
      </c>
      <c r="B172" t="s">
        <v>586</v>
      </c>
      <c r="C172" s="97"/>
      <c r="D172" s="97" t="s">
        <v>587</v>
      </c>
      <c r="E172" s="18" t="s">
        <v>516</v>
      </c>
      <c r="F172" s="65"/>
    </row>
    <row r="173" spans="1:6" ht="14.25" customHeight="1">
      <c r="A173" s="55" t="s">
        <v>588</v>
      </c>
      <c r="B173" s="97" t="s">
        <v>589</v>
      </c>
      <c r="C173" t="s">
        <v>590</v>
      </c>
      <c r="D173" s="97" t="s">
        <v>591</v>
      </c>
      <c r="E173" s="18" t="s">
        <v>592</v>
      </c>
      <c r="F173" s="65"/>
    </row>
    <row r="174" spans="1:6" ht="14.25" customHeight="1">
      <c r="A174" s="55" t="s">
        <v>593</v>
      </c>
      <c r="B174" t="s">
        <v>594</v>
      </c>
      <c r="C174" s="97" t="s">
        <v>595</v>
      </c>
      <c r="D174" s="97" t="s">
        <v>596</v>
      </c>
      <c r="E174" s="18" t="s">
        <v>516</v>
      </c>
      <c r="F174" s="65"/>
    </row>
    <row r="175" spans="1:6" ht="14.25" customHeight="1">
      <c r="A175" s="55" t="s">
        <v>597</v>
      </c>
      <c r="C175" s="97" t="s">
        <v>598</v>
      </c>
      <c r="D175" s="97" t="s">
        <v>599</v>
      </c>
      <c r="E175" s="18" t="s">
        <v>600</v>
      </c>
      <c r="F175" s="65"/>
    </row>
    <row r="176" spans="1:6" ht="14.25" customHeight="1">
      <c r="A176" s="55" t="s">
        <v>601</v>
      </c>
      <c r="B176" t="s">
        <v>602</v>
      </c>
      <c r="C176" s="34" t="s">
        <v>603</v>
      </c>
      <c r="D176" s="97" t="s">
        <v>604</v>
      </c>
      <c r="E176" s="18" t="s">
        <v>600</v>
      </c>
      <c r="F176" s="65"/>
    </row>
    <row r="177" spans="1:6" ht="14.25" customHeight="1">
      <c r="A177" s="55" t="s">
        <v>605</v>
      </c>
      <c r="C177" s="97" t="s">
        <v>606</v>
      </c>
      <c r="D177" t="s">
        <v>607</v>
      </c>
      <c r="E177" s="18" t="s">
        <v>608</v>
      </c>
      <c r="F177" s="65"/>
    </row>
    <row r="178" spans="1:6" ht="14.25" customHeight="1">
      <c r="A178" s="55" t="s">
        <v>609</v>
      </c>
      <c r="B178" t="s">
        <v>610</v>
      </c>
      <c r="C178" s="97" t="s">
        <v>611</v>
      </c>
      <c r="D178" s="97" t="s">
        <v>612</v>
      </c>
      <c r="E178" s="18" t="s">
        <v>613</v>
      </c>
      <c r="F178" s="65"/>
    </row>
    <row r="179" spans="1:6" ht="14.25" customHeight="1">
      <c r="A179" s="55" t="s">
        <v>614</v>
      </c>
      <c r="B179" t="s">
        <v>615</v>
      </c>
      <c r="C179" s="97" t="s">
        <v>616</v>
      </c>
      <c r="D179" s="97" t="s">
        <v>617</v>
      </c>
      <c r="E179" s="18" t="s">
        <v>618</v>
      </c>
      <c r="F179" s="65"/>
    </row>
    <row r="180" spans="1:6" ht="14.25" customHeight="1">
      <c r="A180" s="55" t="s">
        <v>619</v>
      </c>
      <c r="B180" t="s">
        <v>620</v>
      </c>
      <c r="C180" s="97" t="s">
        <v>621</v>
      </c>
      <c r="D180" s="97" t="s">
        <v>622</v>
      </c>
      <c r="E180" s="18" t="s">
        <v>542</v>
      </c>
      <c r="F180" s="65"/>
    </row>
    <row r="181" spans="1:6" ht="14.25" customHeight="1">
      <c r="A181" s="55" t="s">
        <v>623</v>
      </c>
      <c r="B181" t="s">
        <v>624</v>
      </c>
      <c r="C181" s="97" t="s">
        <v>625</v>
      </c>
      <c r="D181" s="97" t="s">
        <v>626</v>
      </c>
      <c r="E181" s="18" t="s">
        <v>627</v>
      </c>
      <c r="F181" s="65"/>
    </row>
    <row r="182" spans="1:6" ht="14.25" customHeight="1">
      <c r="A182" s="55" t="s">
        <v>628</v>
      </c>
      <c r="C182" s="97"/>
      <c r="D182" s="97" t="s">
        <v>629</v>
      </c>
      <c r="E182" s="18" t="s">
        <v>542</v>
      </c>
      <c r="F182" s="65"/>
    </row>
    <row r="183" spans="1:6" ht="14.25" customHeight="1">
      <c r="A183" s="55" t="s">
        <v>630</v>
      </c>
      <c r="C183" s="97"/>
      <c r="D183" s="97" t="s">
        <v>631</v>
      </c>
      <c r="E183" s="18" t="s">
        <v>632</v>
      </c>
      <c r="F183" s="65"/>
    </row>
    <row r="184" spans="1:6" ht="14.25" customHeight="1">
      <c r="A184" s="55" t="s">
        <v>633</v>
      </c>
      <c r="B184" t="s">
        <v>634</v>
      </c>
      <c r="C184" s="97" t="s">
        <v>635</v>
      </c>
      <c r="D184" s="97" t="s">
        <v>636</v>
      </c>
      <c r="E184" s="18" t="s">
        <v>627</v>
      </c>
      <c r="F184" s="65"/>
    </row>
    <row r="185" spans="1:6" ht="14.25" customHeight="1">
      <c r="A185" s="55" t="s">
        <v>637</v>
      </c>
      <c r="B185" s="97" t="s">
        <v>638</v>
      </c>
      <c r="C185" s="97"/>
      <c r="D185" s="97" t="s">
        <v>639</v>
      </c>
      <c r="E185" s="18" t="s">
        <v>640</v>
      </c>
      <c r="F185" s="65"/>
    </row>
    <row r="186" spans="1:6" ht="14.25" customHeight="1">
      <c r="A186" s="55" t="s">
        <v>641</v>
      </c>
      <c r="C186" s="97"/>
      <c r="D186" t="s">
        <v>642</v>
      </c>
      <c r="E186" s="18" t="s">
        <v>643</v>
      </c>
      <c r="F186" s="65"/>
    </row>
    <row r="187" spans="1:6" ht="14.25" customHeight="1">
      <c r="A187" s="55" t="s">
        <v>644</v>
      </c>
      <c r="B187" t="s">
        <v>645</v>
      </c>
      <c r="C187" s="97" t="s">
        <v>646</v>
      </c>
      <c r="D187" s="97" t="s">
        <v>647</v>
      </c>
      <c r="E187" s="18" t="s">
        <v>648</v>
      </c>
      <c r="F187" s="65"/>
    </row>
    <row r="188" spans="1:6" ht="14.25" customHeight="1">
      <c r="A188" s="55" t="s">
        <v>649</v>
      </c>
      <c r="C188" s="97"/>
      <c r="D188" s="97" t="s">
        <v>650</v>
      </c>
      <c r="E188" s="18" t="s">
        <v>600</v>
      </c>
      <c r="F188" s="65"/>
    </row>
    <row r="189" spans="1:6" ht="14.25" customHeight="1">
      <c r="A189" s="55" t="s">
        <v>651</v>
      </c>
      <c r="C189" s="97"/>
      <c r="D189" s="97" t="s">
        <v>652</v>
      </c>
      <c r="E189" s="18" t="s">
        <v>653</v>
      </c>
      <c r="F189" s="65"/>
    </row>
    <row r="190" spans="1:6" ht="14.25" customHeight="1">
      <c r="A190" s="55" t="s">
        <v>654</v>
      </c>
      <c r="C190" s="97" t="s">
        <v>655</v>
      </c>
      <c r="D190" s="97" t="s">
        <v>656</v>
      </c>
      <c r="E190" s="18" t="s">
        <v>542</v>
      </c>
      <c r="F190" s="65"/>
    </row>
    <row r="191" spans="1:6" ht="14.25" customHeight="1">
      <c r="A191" s="55" t="s">
        <v>657</v>
      </c>
      <c r="C191" s="97"/>
      <c r="D191" s="97" t="s">
        <v>658</v>
      </c>
      <c r="E191" s="18" t="s">
        <v>566</v>
      </c>
      <c r="F191" s="65"/>
    </row>
    <row r="192" spans="1:6" ht="14.25" customHeight="1">
      <c r="A192" s="55" t="s">
        <v>659</v>
      </c>
      <c r="B192" t="s">
        <v>660</v>
      </c>
      <c r="C192" s="97" t="s">
        <v>661</v>
      </c>
      <c r="D192" s="97" t="s">
        <v>662</v>
      </c>
      <c r="E192" s="18" t="s">
        <v>663</v>
      </c>
      <c r="F192" s="65"/>
    </row>
    <row r="193" spans="1:6" ht="14.25" customHeight="1">
      <c r="A193" s="55" t="s">
        <v>664</v>
      </c>
      <c r="B193" t="s">
        <v>665</v>
      </c>
      <c r="C193" s="97" t="s">
        <v>666</v>
      </c>
      <c r="D193" s="97" t="s">
        <v>667</v>
      </c>
      <c r="E193" s="18" t="s">
        <v>668</v>
      </c>
      <c r="F193" s="65"/>
    </row>
    <row r="194" spans="1:6" ht="14.25" customHeight="1">
      <c r="A194" s="55" t="s">
        <v>669</v>
      </c>
      <c r="B194" t="s">
        <v>670</v>
      </c>
      <c r="C194" s="97"/>
      <c r="D194" s="97" t="s">
        <v>671</v>
      </c>
      <c r="E194" s="18" t="s">
        <v>542</v>
      </c>
      <c r="F194" s="65"/>
    </row>
    <row r="195" spans="1:6" ht="14.25" customHeight="1">
      <c r="A195" s="55" t="s">
        <v>672</v>
      </c>
      <c r="C195" s="97"/>
      <c r="D195" s="97" t="s">
        <v>673</v>
      </c>
      <c r="E195" s="18" t="s">
        <v>674</v>
      </c>
      <c r="F195" s="65"/>
    </row>
    <row r="196" spans="1:6" ht="14.25" customHeight="1">
      <c r="A196" s="55" t="s">
        <v>675</v>
      </c>
      <c r="B196" t="s">
        <v>676</v>
      </c>
      <c r="C196" s="97" t="s">
        <v>677</v>
      </c>
      <c r="D196" s="97" t="s">
        <v>678</v>
      </c>
      <c r="E196" s="18" t="s">
        <v>547</v>
      </c>
      <c r="F196" s="65"/>
    </row>
    <row r="197" spans="1:6" ht="14.25" customHeight="1">
      <c r="A197" s="55" t="s">
        <v>679</v>
      </c>
      <c r="C197" s="97"/>
      <c r="D197" s="97" t="s">
        <v>680</v>
      </c>
      <c r="E197" s="18" t="s">
        <v>663</v>
      </c>
      <c r="F197" s="65"/>
    </row>
    <row r="198" spans="1:6" ht="14.25" customHeight="1">
      <c r="A198" s="55" t="s">
        <v>681</v>
      </c>
      <c r="B198" t="s">
        <v>682</v>
      </c>
      <c r="C198" s="97" t="s">
        <v>683</v>
      </c>
      <c r="D198" s="97" t="s">
        <v>684</v>
      </c>
      <c r="E198" s="18" t="s">
        <v>685</v>
      </c>
      <c r="F198" s="65"/>
    </row>
    <row r="199" spans="1:6" ht="14.25" customHeight="1">
      <c r="A199" s="55" t="s">
        <v>686</v>
      </c>
      <c r="B199" t="s">
        <v>687</v>
      </c>
      <c r="C199" s="97" t="s">
        <v>688</v>
      </c>
      <c r="D199" s="97" t="s">
        <v>689</v>
      </c>
      <c r="E199" s="18" t="s">
        <v>690</v>
      </c>
      <c r="F199" s="65"/>
    </row>
    <row r="200" spans="1:6" ht="14.25" customHeight="1">
      <c r="A200" s="55" t="s">
        <v>691</v>
      </c>
      <c r="B200" t="s">
        <v>692</v>
      </c>
      <c r="C200" s="97" t="s">
        <v>693</v>
      </c>
      <c r="D200" s="97" t="s">
        <v>694</v>
      </c>
      <c r="E200" s="18" t="s">
        <v>695</v>
      </c>
      <c r="F200" s="65"/>
    </row>
    <row r="201" spans="1:6" ht="14.25" customHeight="1">
      <c r="A201" s="55" t="s">
        <v>696</v>
      </c>
      <c r="B201" t="s">
        <v>697</v>
      </c>
      <c r="C201" s="97" t="s">
        <v>698</v>
      </c>
      <c r="D201" s="97" t="s">
        <v>699</v>
      </c>
      <c r="E201" s="18" t="s">
        <v>700</v>
      </c>
      <c r="F201" s="65"/>
    </row>
    <row r="202" spans="1:6" ht="14.25" customHeight="1">
      <c r="A202" s="55" t="s">
        <v>701</v>
      </c>
      <c r="B202" t="s">
        <v>702</v>
      </c>
      <c r="C202" s="97" t="s">
        <v>703</v>
      </c>
      <c r="D202" s="97" t="s">
        <v>704</v>
      </c>
      <c r="E202" s="18" t="s">
        <v>663</v>
      </c>
      <c r="F202" s="65"/>
    </row>
    <row r="203" spans="1:6" ht="14.25" customHeight="1">
      <c r="A203" s="55" t="s">
        <v>705</v>
      </c>
      <c r="C203" s="97" t="s">
        <v>706</v>
      </c>
      <c r="D203" s="97" t="s">
        <v>707</v>
      </c>
      <c r="E203" s="18" t="s">
        <v>542</v>
      </c>
      <c r="F203" s="65"/>
    </row>
    <row r="204" spans="1:6" ht="14.25" customHeight="1">
      <c r="A204" s="55" t="s">
        <v>708</v>
      </c>
      <c r="B204" s="97" t="s">
        <v>709</v>
      </c>
      <c r="C204" t="s">
        <v>710</v>
      </c>
      <c r="D204" s="97" t="s">
        <v>711</v>
      </c>
      <c r="E204" s="18" t="s">
        <v>600</v>
      </c>
      <c r="F204" s="65"/>
    </row>
    <row r="205" spans="1:6" ht="14.25" customHeight="1">
      <c r="A205" s="55" t="s">
        <v>712</v>
      </c>
      <c r="B205" t="s">
        <v>713</v>
      </c>
      <c r="C205" s="97" t="s">
        <v>714</v>
      </c>
      <c r="D205" s="97" t="s">
        <v>715</v>
      </c>
      <c r="E205" s="18" t="s">
        <v>716</v>
      </c>
      <c r="F205" s="65"/>
    </row>
    <row r="206" spans="1:6" ht="14.25" customHeight="1">
      <c r="A206" s="55" t="s">
        <v>717</v>
      </c>
      <c r="B206" t="s">
        <v>718</v>
      </c>
      <c r="C206" s="97" t="s">
        <v>719</v>
      </c>
      <c r="D206" s="97" t="s">
        <v>720</v>
      </c>
      <c r="E206" s="18" t="s">
        <v>721</v>
      </c>
      <c r="F206" s="65"/>
    </row>
    <row r="207" spans="1:6" ht="14.25" customHeight="1">
      <c r="A207" s="55" t="s">
        <v>722</v>
      </c>
      <c r="B207" t="s">
        <v>723</v>
      </c>
      <c r="C207" s="97" t="s">
        <v>724</v>
      </c>
      <c r="D207" s="97" t="s">
        <v>725</v>
      </c>
      <c r="E207" s="18" t="s">
        <v>592</v>
      </c>
      <c r="F207" s="65"/>
    </row>
    <row r="208" spans="1:6" ht="14.25" customHeight="1">
      <c r="A208" s="55" t="s">
        <v>726</v>
      </c>
      <c r="C208" s="97"/>
      <c r="D208" s="97" t="s">
        <v>727</v>
      </c>
      <c r="E208" s="18" t="s">
        <v>547</v>
      </c>
      <c r="F208" s="65"/>
    </row>
    <row r="209" spans="1:6" ht="14.25" customHeight="1">
      <c r="A209" s="55" t="s">
        <v>728</v>
      </c>
      <c r="C209" s="97" t="s">
        <v>729</v>
      </c>
      <c r="D209" s="97" t="s">
        <v>730</v>
      </c>
      <c r="E209" s="18" t="s">
        <v>731</v>
      </c>
      <c r="F209" s="65"/>
    </row>
    <row r="210" spans="1:6" ht="14.25" customHeight="1">
      <c r="A210" s="55" t="s">
        <v>732</v>
      </c>
      <c r="C210" s="97"/>
      <c r="D210" s="97" t="s">
        <v>733</v>
      </c>
      <c r="E210" s="18" t="s">
        <v>542</v>
      </c>
      <c r="F210" s="65"/>
    </row>
    <row r="211" spans="1:6" ht="14.25" customHeight="1">
      <c r="A211" s="55" t="s">
        <v>734</v>
      </c>
      <c r="C211" s="97" t="s">
        <v>735</v>
      </c>
      <c r="D211" s="97" t="s">
        <v>736</v>
      </c>
      <c r="E211" s="18" t="s">
        <v>507</v>
      </c>
      <c r="F211" s="65"/>
    </row>
    <row r="212" spans="1:6" ht="14.25" customHeight="1">
      <c r="A212" s="55" t="s">
        <v>737</v>
      </c>
      <c r="B212" t="s">
        <v>738</v>
      </c>
      <c r="C212" s="97" t="s">
        <v>739</v>
      </c>
      <c r="D212" s="97" t="s">
        <v>740</v>
      </c>
      <c r="E212" s="18" t="s">
        <v>566</v>
      </c>
      <c r="F212" s="65"/>
    </row>
    <row r="213" spans="1:6" ht="14.25" customHeight="1">
      <c r="A213" s="55" t="s">
        <v>741</v>
      </c>
      <c r="B213" t="s">
        <v>742</v>
      </c>
      <c r="C213" s="97" t="s">
        <v>743</v>
      </c>
      <c r="D213" s="97" t="s">
        <v>744</v>
      </c>
      <c r="E213" s="18" t="s">
        <v>745</v>
      </c>
      <c r="F213" s="65"/>
    </row>
  </sheetData>
  <customSheetViews>
    <customSheetView guid="{617856E6-44D1-4ADD-8CA5-796514BA6839}" hiddenRows="1">
      <pageMargins left="0.7" right="0.7" top="0.75" bottom="0.75" header="0.3" footer="0.3"/>
    </customSheetView>
  </customSheetView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F77"/>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11.85546875" customWidth="1"/>
  </cols>
  <sheetData>
    <row r="1" spans="1:6">
      <c r="A1" s="79" t="s">
        <v>146</v>
      </c>
      <c r="B1" s="79" t="s">
        <v>147</v>
      </c>
      <c r="C1" s="79" t="s">
        <v>148</v>
      </c>
      <c r="D1" s="79" t="s">
        <v>182</v>
      </c>
      <c r="E1" s="34"/>
      <c r="F1" s="34"/>
    </row>
    <row r="2" spans="1:6">
      <c r="A2" s="67" t="s">
        <v>12237</v>
      </c>
      <c r="B2" s="70" t="s">
        <v>12238</v>
      </c>
      <c r="C2" s="34" t="s">
        <v>787</v>
      </c>
      <c r="D2" s="67" t="s">
        <v>12239</v>
      </c>
      <c r="E2" s="34"/>
      <c r="F2" s="34"/>
    </row>
    <row r="3" spans="1:6">
      <c r="A3" s="67" t="s">
        <v>12240</v>
      </c>
      <c r="B3" s="34" t="s">
        <v>787</v>
      </c>
      <c r="C3" s="67" t="s">
        <v>12241</v>
      </c>
      <c r="D3" s="67" t="s">
        <v>12242</v>
      </c>
      <c r="E3" s="34"/>
      <c r="F3" s="34"/>
    </row>
    <row r="4" spans="1:6">
      <c r="A4" s="67" t="s">
        <v>12243</v>
      </c>
      <c r="B4" s="34" t="s">
        <v>787</v>
      </c>
      <c r="C4" s="34" t="s">
        <v>787</v>
      </c>
      <c r="D4" s="11" t="s">
        <v>12244</v>
      </c>
      <c r="E4" s="34"/>
      <c r="F4" s="34"/>
    </row>
    <row r="5" spans="1:6">
      <c r="A5" s="67" t="s">
        <v>12245</v>
      </c>
      <c r="B5" s="34" t="s">
        <v>787</v>
      </c>
      <c r="C5" s="34" t="s">
        <v>787</v>
      </c>
      <c r="D5" s="11" t="str">
        <f>HYPERLINK("http://wildlife.rescueshelter.com/Vermont","http://wildlife.rescueshelter.com/Vermont")</f>
        <v>http://wildlife.rescueshelter.com/Vermont</v>
      </c>
      <c r="E5" s="34"/>
      <c r="F5" s="34"/>
    </row>
    <row r="6" spans="1:6" ht="12.75">
      <c r="A6" s="34"/>
      <c r="B6" s="34"/>
      <c r="C6" s="34"/>
      <c r="D6" s="34"/>
      <c r="E6" s="34"/>
      <c r="F6" s="34"/>
    </row>
    <row r="7" spans="1:6">
      <c r="A7" s="79" t="s">
        <v>181</v>
      </c>
      <c r="B7" s="79" t="s">
        <v>147</v>
      </c>
      <c r="C7" s="79" t="s">
        <v>148</v>
      </c>
      <c r="D7" s="79" t="s">
        <v>182</v>
      </c>
      <c r="E7" s="79" t="s">
        <v>184</v>
      </c>
      <c r="F7" s="34"/>
    </row>
    <row r="8" spans="1:6" ht="12.75">
      <c r="A8" s="34" t="s">
        <v>12246</v>
      </c>
      <c r="B8" s="34" t="s">
        <v>787</v>
      </c>
      <c r="C8" s="34" t="s">
        <v>787</v>
      </c>
      <c r="D8" s="34" t="s">
        <v>12247</v>
      </c>
      <c r="E8" s="34" t="s">
        <v>12248</v>
      </c>
      <c r="F8" s="34"/>
    </row>
    <row r="9" spans="1:6" ht="12.75">
      <c r="A9" s="34" t="s">
        <v>12249</v>
      </c>
      <c r="B9" s="34" t="s">
        <v>12250</v>
      </c>
      <c r="C9" s="34" t="s">
        <v>12251</v>
      </c>
      <c r="D9" s="34" t="s">
        <v>12252</v>
      </c>
      <c r="E9" s="34" t="s">
        <v>12248</v>
      </c>
      <c r="F9" s="34"/>
    </row>
    <row r="10" spans="1:6" ht="12.75">
      <c r="A10" s="34" t="s">
        <v>12253</v>
      </c>
      <c r="B10" s="34" t="s">
        <v>787</v>
      </c>
      <c r="C10" s="34" t="s">
        <v>787</v>
      </c>
      <c r="D10" s="34" t="s">
        <v>12254</v>
      </c>
      <c r="E10" s="34" t="s">
        <v>12253</v>
      </c>
      <c r="F10" s="34"/>
    </row>
    <row r="11" spans="1:6" ht="12.75">
      <c r="A11" s="34" t="s">
        <v>12255</v>
      </c>
      <c r="B11" s="34" t="s">
        <v>787</v>
      </c>
      <c r="C11" s="34" t="s">
        <v>787</v>
      </c>
      <c r="D11" s="34" t="s">
        <v>12256</v>
      </c>
      <c r="E11" s="34" t="s">
        <v>330</v>
      </c>
      <c r="F11" s="34"/>
    </row>
    <row r="12" spans="1:6" ht="12.75">
      <c r="A12" s="34" t="s">
        <v>12257</v>
      </c>
      <c r="B12" s="34" t="s">
        <v>12258</v>
      </c>
      <c r="C12" s="34" t="s">
        <v>12259</v>
      </c>
      <c r="D12" s="34" t="s">
        <v>12260</v>
      </c>
      <c r="E12" s="34" t="s">
        <v>330</v>
      </c>
      <c r="F12" s="34"/>
    </row>
    <row r="13" spans="1:6" ht="12.75">
      <c r="A13" s="34" t="s">
        <v>12261</v>
      </c>
      <c r="B13" s="34" t="s">
        <v>12262</v>
      </c>
      <c r="C13" s="34"/>
      <c r="D13" s="34"/>
      <c r="E13" s="34"/>
      <c r="F13" s="34"/>
    </row>
    <row r="14" spans="1:6" ht="12.75">
      <c r="A14" s="34"/>
      <c r="B14" s="34"/>
      <c r="C14" s="34"/>
      <c r="D14" s="34"/>
      <c r="E14" s="34"/>
      <c r="F14" s="34"/>
    </row>
    <row r="15" spans="1:6">
      <c r="A15" s="79" t="s">
        <v>209</v>
      </c>
      <c r="B15" s="79" t="s">
        <v>147</v>
      </c>
      <c r="C15" s="79" t="s">
        <v>148</v>
      </c>
      <c r="D15" s="79" t="s">
        <v>182</v>
      </c>
      <c r="E15" s="34"/>
      <c r="F15" s="34"/>
    </row>
    <row r="16" spans="1:6">
      <c r="A16" s="67" t="s">
        <v>12263</v>
      </c>
      <c r="B16" s="34" t="s">
        <v>787</v>
      </c>
      <c r="C16" s="67" t="s">
        <v>12264</v>
      </c>
      <c r="D16" s="67" t="s">
        <v>12265</v>
      </c>
      <c r="E16" s="34"/>
      <c r="F16" s="34"/>
    </row>
    <row r="17" spans="1:6">
      <c r="A17" s="67" t="s">
        <v>12266</v>
      </c>
      <c r="B17" s="34" t="s">
        <v>787</v>
      </c>
      <c r="C17" s="67" t="s">
        <v>12267</v>
      </c>
      <c r="D17" s="67" t="s">
        <v>12268</v>
      </c>
      <c r="E17" s="34"/>
      <c r="F17" s="34"/>
    </row>
    <row r="18" spans="1:6">
      <c r="A18" s="67" t="s">
        <v>12269</v>
      </c>
      <c r="B18" s="34" t="s">
        <v>787</v>
      </c>
      <c r="C18" s="67" t="s">
        <v>12270</v>
      </c>
      <c r="D18" s="34" t="s">
        <v>787</v>
      </c>
      <c r="E18" s="34"/>
      <c r="F18" s="34"/>
    </row>
    <row r="19" spans="1:6">
      <c r="A19" s="67" t="s">
        <v>12271</v>
      </c>
      <c r="B19" s="34" t="s">
        <v>787</v>
      </c>
      <c r="C19" s="67" t="s">
        <v>12272</v>
      </c>
      <c r="D19" s="67" t="s">
        <v>12273</v>
      </c>
      <c r="E19" s="34"/>
      <c r="F19" s="34"/>
    </row>
    <row r="20" spans="1:6">
      <c r="A20" s="67" t="s">
        <v>7958</v>
      </c>
      <c r="B20" s="34" t="s">
        <v>787</v>
      </c>
      <c r="C20" s="67" t="s">
        <v>12274</v>
      </c>
      <c r="D20" s="67" t="s">
        <v>12275</v>
      </c>
      <c r="E20" s="34"/>
      <c r="F20" s="34"/>
    </row>
    <row r="21" spans="1:6">
      <c r="A21" s="67" t="s">
        <v>5441</v>
      </c>
      <c r="B21" s="34" t="s">
        <v>787</v>
      </c>
      <c r="C21" s="67" t="s">
        <v>12276</v>
      </c>
      <c r="D21" s="67" t="s">
        <v>12277</v>
      </c>
      <c r="E21" s="34"/>
      <c r="F21" s="34"/>
    </row>
    <row r="22" spans="1:6">
      <c r="A22" s="67" t="s">
        <v>12278</v>
      </c>
      <c r="B22" s="34" t="s">
        <v>787</v>
      </c>
      <c r="C22" s="67" t="s">
        <v>12279</v>
      </c>
      <c r="D22" s="67" t="s">
        <v>12280</v>
      </c>
      <c r="E22" s="34"/>
      <c r="F22" s="34"/>
    </row>
    <row r="23" spans="1:6">
      <c r="A23" s="67" t="s">
        <v>12281</v>
      </c>
      <c r="B23" s="34" t="s">
        <v>787</v>
      </c>
      <c r="C23" s="67" t="s">
        <v>12282</v>
      </c>
      <c r="D23" s="67" t="s">
        <v>12283</v>
      </c>
      <c r="E23" s="34"/>
      <c r="F23" s="34"/>
    </row>
    <row r="24" spans="1:6">
      <c r="A24" s="67" t="s">
        <v>5885</v>
      </c>
      <c r="B24" s="34" t="s">
        <v>787</v>
      </c>
      <c r="C24" s="67" t="s">
        <v>12284</v>
      </c>
      <c r="D24" s="67" t="s">
        <v>12285</v>
      </c>
      <c r="E24" s="34"/>
      <c r="F24" s="34"/>
    </row>
    <row r="25" spans="1:6">
      <c r="A25" s="67" t="s">
        <v>7293</v>
      </c>
      <c r="B25" s="34" t="s">
        <v>787</v>
      </c>
      <c r="C25" s="67" t="s">
        <v>12286</v>
      </c>
      <c r="D25" s="34" t="s">
        <v>787</v>
      </c>
      <c r="E25" s="34"/>
      <c r="F25" s="34"/>
    </row>
    <row r="26" spans="1:6">
      <c r="A26" s="67" t="s">
        <v>12287</v>
      </c>
      <c r="B26" s="34" t="s">
        <v>787</v>
      </c>
      <c r="C26" s="67" t="s">
        <v>12288</v>
      </c>
      <c r="D26" s="67" t="s">
        <v>12289</v>
      </c>
      <c r="E26" s="34"/>
      <c r="F26" s="34"/>
    </row>
    <row r="27" spans="1:6">
      <c r="A27" s="67" t="s">
        <v>117</v>
      </c>
      <c r="B27" s="34" t="s">
        <v>787</v>
      </c>
      <c r="C27" s="67" t="s">
        <v>12290</v>
      </c>
      <c r="D27" s="34" t="s">
        <v>787</v>
      </c>
      <c r="E27" s="34"/>
      <c r="F27" s="34"/>
    </row>
    <row r="28" spans="1:6">
      <c r="A28" s="67" t="s">
        <v>12291</v>
      </c>
      <c r="B28" s="34" t="s">
        <v>787</v>
      </c>
      <c r="C28" s="67" t="s">
        <v>12292</v>
      </c>
      <c r="D28" s="34" t="s">
        <v>787</v>
      </c>
      <c r="E28" s="34"/>
      <c r="F28" s="34"/>
    </row>
    <row r="29" spans="1:6">
      <c r="A29" s="67" t="s">
        <v>12293</v>
      </c>
      <c r="B29" s="34" t="s">
        <v>787</v>
      </c>
      <c r="C29" s="67" t="s">
        <v>12294</v>
      </c>
      <c r="D29" s="34" t="s">
        <v>787</v>
      </c>
      <c r="E29" s="34"/>
      <c r="F29" s="34"/>
    </row>
    <row r="30" spans="1:6" ht="12.75">
      <c r="A30" s="34"/>
      <c r="B30" s="34"/>
      <c r="C30" s="34"/>
      <c r="D30" s="34"/>
      <c r="E30" s="34"/>
      <c r="F30" s="34"/>
    </row>
    <row r="31" spans="1:6">
      <c r="A31" s="79" t="s">
        <v>333</v>
      </c>
      <c r="B31" s="79" t="s">
        <v>147</v>
      </c>
      <c r="C31" s="79" t="s">
        <v>148</v>
      </c>
      <c r="D31" s="79" t="s">
        <v>182</v>
      </c>
      <c r="E31" s="34"/>
      <c r="F31" s="34"/>
    </row>
    <row r="32" spans="1:6">
      <c r="A32" s="67" t="s">
        <v>12295</v>
      </c>
      <c r="B32" s="70" t="s">
        <v>12296</v>
      </c>
      <c r="C32" s="67" t="s">
        <v>12297</v>
      </c>
      <c r="D32" s="67" t="s">
        <v>12298</v>
      </c>
      <c r="E32" s="34"/>
      <c r="F32" s="34"/>
    </row>
    <row r="33" spans="1:6">
      <c r="A33" s="67" t="s">
        <v>12299</v>
      </c>
      <c r="B33" s="34" t="s">
        <v>787</v>
      </c>
      <c r="C33" s="34" t="s">
        <v>787</v>
      </c>
      <c r="D33" s="67" t="s">
        <v>12300</v>
      </c>
      <c r="E33" s="34"/>
      <c r="F33" s="34"/>
    </row>
    <row r="34" spans="1:6" ht="12.75">
      <c r="A34" s="34"/>
      <c r="B34" s="34"/>
      <c r="C34" s="34"/>
      <c r="D34" s="34"/>
      <c r="E34" s="34"/>
      <c r="F34" s="34"/>
    </row>
    <row r="35" spans="1:6">
      <c r="A35" s="79" t="s">
        <v>878</v>
      </c>
      <c r="B35" s="79" t="s">
        <v>147</v>
      </c>
      <c r="C35" s="79" t="s">
        <v>148</v>
      </c>
      <c r="D35" s="79" t="s">
        <v>182</v>
      </c>
      <c r="E35" s="34"/>
      <c r="F35" s="34"/>
    </row>
    <row r="36" spans="1:6">
      <c r="A36" s="67" t="s">
        <v>12301</v>
      </c>
      <c r="B36" s="70" t="s">
        <v>12302</v>
      </c>
      <c r="C36" s="67" t="s">
        <v>12303</v>
      </c>
      <c r="D36" s="67" t="s">
        <v>12304</v>
      </c>
      <c r="E36" s="34"/>
      <c r="F36" s="34"/>
    </row>
    <row r="37" spans="1:6">
      <c r="A37" s="67" t="s">
        <v>12305</v>
      </c>
      <c r="B37" s="34" t="s">
        <v>787</v>
      </c>
      <c r="C37" s="34" t="s">
        <v>787</v>
      </c>
      <c r="D37" s="67" t="s">
        <v>12306</v>
      </c>
      <c r="E37" s="34"/>
      <c r="F37" s="34"/>
    </row>
    <row r="38" spans="1:6">
      <c r="A38" s="67" t="s">
        <v>12307</v>
      </c>
      <c r="B38" s="34" t="s">
        <v>787</v>
      </c>
      <c r="C38" s="34" t="s">
        <v>787</v>
      </c>
      <c r="D38" s="67" t="s">
        <v>12308</v>
      </c>
      <c r="E38" s="34"/>
      <c r="F38" s="34"/>
    </row>
    <row r="39" spans="1:6" ht="12.75">
      <c r="A39" s="34"/>
      <c r="B39" s="34"/>
      <c r="C39" s="34"/>
      <c r="D39" s="34"/>
      <c r="E39" s="34"/>
      <c r="F39" s="34"/>
    </row>
    <row r="40" spans="1:6">
      <c r="A40" s="79" t="s">
        <v>388</v>
      </c>
      <c r="B40" s="79" t="s">
        <v>147</v>
      </c>
      <c r="C40" s="79" t="s">
        <v>148</v>
      </c>
      <c r="D40" s="79" t="s">
        <v>182</v>
      </c>
      <c r="E40" s="79" t="s">
        <v>490</v>
      </c>
      <c r="F40" s="34"/>
    </row>
    <row r="41" spans="1:6" ht="12.75">
      <c r="A41" s="34" t="s">
        <v>12309</v>
      </c>
      <c r="B41" s="34" t="s">
        <v>787</v>
      </c>
      <c r="C41" s="34" t="s">
        <v>787</v>
      </c>
      <c r="D41" s="34" t="s">
        <v>12310</v>
      </c>
      <c r="E41" s="34" t="s">
        <v>12246</v>
      </c>
      <c r="F41" s="34"/>
    </row>
    <row r="42" spans="1:6" ht="12.75">
      <c r="A42" s="34"/>
      <c r="B42" s="34"/>
      <c r="C42" s="34"/>
      <c r="D42" s="34"/>
      <c r="E42" s="34"/>
      <c r="F42" s="34"/>
    </row>
    <row r="43" spans="1:6" ht="18" customHeight="1">
      <c r="A43" s="79" t="s">
        <v>428</v>
      </c>
      <c r="B43" s="79" t="s">
        <v>147</v>
      </c>
      <c r="C43" s="79" t="s">
        <v>148</v>
      </c>
      <c r="D43" s="79" t="s">
        <v>182</v>
      </c>
      <c r="E43" s="34"/>
      <c r="F43" s="34"/>
    </row>
    <row r="44" spans="1:6" ht="18" customHeight="1">
      <c r="A44" s="97" t="s">
        <v>12311</v>
      </c>
      <c r="B44" s="97" t="s">
        <v>12312</v>
      </c>
      <c r="C44" s="97" t="s">
        <v>12313</v>
      </c>
      <c r="D44" s="97" t="s">
        <v>12314</v>
      </c>
      <c r="E44" s="34"/>
      <c r="F44" s="34"/>
    </row>
    <row r="45" spans="1:6" ht="18" customHeight="1">
      <c r="A45" s="97" t="s">
        <v>12315</v>
      </c>
      <c r="B45" s="97" t="s">
        <v>12316</v>
      </c>
      <c r="C45" s="97" t="s">
        <v>12317</v>
      </c>
      <c r="D45" s="97" t="s">
        <v>12318</v>
      </c>
      <c r="E45" s="34"/>
      <c r="F45" s="34"/>
    </row>
    <row r="46" spans="1:6" ht="18" customHeight="1">
      <c r="A46" s="97" t="s">
        <v>12319</v>
      </c>
      <c r="B46" s="97" t="s">
        <v>787</v>
      </c>
      <c r="C46" s="97" t="s">
        <v>12320</v>
      </c>
      <c r="D46" s="97" t="s">
        <v>12321</v>
      </c>
      <c r="E46" s="34"/>
      <c r="F46" s="34"/>
    </row>
    <row r="47" spans="1:6" ht="18" customHeight="1">
      <c r="A47" s="97" t="s">
        <v>12322</v>
      </c>
      <c r="B47" s="97" t="s">
        <v>12323</v>
      </c>
      <c r="C47" s="97" t="s">
        <v>12324</v>
      </c>
      <c r="D47" s="97" t="s">
        <v>12325</v>
      </c>
      <c r="E47" s="34"/>
      <c r="F47" s="34"/>
    </row>
    <row r="48" spans="1:6" ht="18" customHeight="1">
      <c r="A48" s="97" t="s">
        <v>12326</v>
      </c>
      <c r="B48" s="97" t="s">
        <v>12327</v>
      </c>
      <c r="C48" s="97" t="s">
        <v>12328</v>
      </c>
      <c r="D48" s="97" t="s">
        <v>12329</v>
      </c>
      <c r="E48" s="34"/>
      <c r="F48" s="34"/>
    </row>
    <row r="49" spans="1:6" ht="18" customHeight="1">
      <c r="A49" s="97" t="s">
        <v>12330</v>
      </c>
      <c r="B49" s="97" t="s">
        <v>787</v>
      </c>
      <c r="C49" s="97" t="s">
        <v>12331</v>
      </c>
      <c r="D49" s="97" t="s">
        <v>12332</v>
      </c>
      <c r="E49" s="34"/>
      <c r="F49" s="34"/>
    </row>
    <row r="50" spans="1:6" ht="18" customHeight="1">
      <c r="A50" s="97" t="s">
        <v>12333</v>
      </c>
      <c r="B50" s="97" t="s">
        <v>12334</v>
      </c>
      <c r="C50" s="97" t="s">
        <v>12335</v>
      </c>
      <c r="D50" s="97" t="s">
        <v>12336</v>
      </c>
      <c r="E50" s="34"/>
      <c r="F50" s="34"/>
    </row>
    <row r="51" spans="1:6" ht="18" customHeight="1">
      <c r="A51" s="97" t="s">
        <v>12337</v>
      </c>
      <c r="B51" s="97" t="s">
        <v>787</v>
      </c>
      <c r="C51" s="97" t="s">
        <v>787</v>
      </c>
      <c r="D51" s="97" t="s">
        <v>12338</v>
      </c>
      <c r="E51" s="34"/>
      <c r="F51" s="34"/>
    </row>
    <row r="52" spans="1:6" ht="18" customHeight="1">
      <c r="A52" s="97" t="s">
        <v>12339</v>
      </c>
      <c r="B52" s="97" t="s">
        <v>787</v>
      </c>
      <c r="C52" s="97" t="s">
        <v>787</v>
      </c>
      <c r="D52" s="97" t="s">
        <v>12340</v>
      </c>
      <c r="E52" s="34"/>
      <c r="F52" s="34"/>
    </row>
    <row r="53" spans="1:6" ht="18" customHeight="1">
      <c r="A53" s="97"/>
      <c r="B53" s="97"/>
      <c r="C53" s="97"/>
      <c r="D53" s="97"/>
      <c r="E53" s="34"/>
      <c r="F53" s="34"/>
    </row>
    <row r="54" spans="1:6" ht="18" customHeight="1">
      <c r="A54" s="79" t="s">
        <v>5084</v>
      </c>
      <c r="B54" s="79" t="s">
        <v>147</v>
      </c>
      <c r="C54" s="79" t="s">
        <v>148</v>
      </c>
      <c r="D54" s="79" t="s">
        <v>182</v>
      </c>
      <c r="E54" s="79" t="s">
        <v>490</v>
      </c>
      <c r="F54" s="34"/>
    </row>
    <row r="55" spans="1:6" ht="18" customHeight="1">
      <c r="A55" s="97" t="s">
        <v>12341</v>
      </c>
      <c r="B55" s="97" t="s">
        <v>787</v>
      </c>
      <c r="C55" s="97" t="s">
        <v>787</v>
      </c>
      <c r="D55" s="97" t="s">
        <v>12342</v>
      </c>
      <c r="E55" s="97" t="s">
        <v>12343</v>
      </c>
      <c r="F55" s="34"/>
    </row>
    <row r="56" spans="1:6" ht="18" customHeight="1">
      <c r="A56" s="97" t="s">
        <v>12344</v>
      </c>
      <c r="B56" t="s">
        <v>12345</v>
      </c>
      <c r="C56" s="97" t="s">
        <v>12346</v>
      </c>
      <c r="D56" s="97" t="s">
        <v>12347</v>
      </c>
      <c r="E56" s="97" t="s">
        <v>12246</v>
      </c>
      <c r="F56" s="34"/>
    </row>
    <row r="57" spans="1:6" ht="18" customHeight="1">
      <c r="A57" s="97" t="s">
        <v>12348</v>
      </c>
      <c r="B57" t="s">
        <v>12349</v>
      </c>
      <c r="C57" s="97" t="s">
        <v>12350</v>
      </c>
      <c r="D57" s="97" t="s">
        <v>12351</v>
      </c>
      <c r="E57" s="97" t="s">
        <v>12352</v>
      </c>
      <c r="F57" s="34"/>
    </row>
    <row r="58" spans="1:6" ht="18" customHeight="1">
      <c r="A58" s="97" t="s">
        <v>12353</v>
      </c>
      <c r="B58" t="s">
        <v>12354</v>
      </c>
      <c r="C58" s="97" t="s">
        <v>12355</v>
      </c>
      <c r="D58" s="97" t="s">
        <v>12356</v>
      </c>
      <c r="E58" s="97" t="s">
        <v>12246</v>
      </c>
      <c r="F58" s="34"/>
    </row>
    <row r="59" spans="1:6" ht="18" customHeight="1">
      <c r="A59" s="97" t="s">
        <v>12357</v>
      </c>
      <c r="B59" t="s">
        <v>787</v>
      </c>
      <c r="C59" s="97" t="s">
        <v>12358</v>
      </c>
      <c r="D59" s="97" t="s">
        <v>12359</v>
      </c>
      <c r="E59" s="97" t="s">
        <v>12253</v>
      </c>
      <c r="F59" s="34"/>
    </row>
    <row r="60" spans="1:6" ht="18" customHeight="1">
      <c r="A60" s="97" t="s">
        <v>12360</v>
      </c>
      <c r="B60" t="s">
        <v>12361</v>
      </c>
      <c r="C60" s="97" t="s">
        <v>12362</v>
      </c>
      <c r="D60" s="97" t="s">
        <v>12363</v>
      </c>
      <c r="E60" s="97" t="s">
        <v>12364</v>
      </c>
      <c r="F60" s="34"/>
    </row>
    <row r="61" spans="1:6" ht="18" customHeight="1">
      <c r="A61" s="97" t="s">
        <v>12365</v>
      </c>
      <c r="B61" s="97" t="s">
        <v>12366</v>
      </c>
      <c r="C61" t="s">
        <v>12367</v>
      </c>
      <c r="D61" s="97" t="s">
        <v>12368</v>
      </c>
      <c r="E61" s="97" t="s">
        <v>12369</v>
      </c>
      <c r="F61" s="34"/>
    </row>
    <row r="62" spans="1:6" ht="18" customHeight="1">
      <c r="A62" s="97" t="s">
        <v>12370</v>
      </c>
      <c r="B62" t="s">
        <v>12371</v>
      </c>
      <c r="C62" s="97" t="s">
        <v>12372</v>
      </c>
      <c r="D62" s="97" t="s">
        <v>12373</v>
      </c>
      <c r="E62" s="97" t="s">
        <v>12374</v>
      </c>
      <c r="F62" s="34"/>
    </row>
    <row r="63" spans="1:6" ht="18" customHeight="1">
      <c r="A63" s="97" t="s">
        <v>12375</v>
      </c>
      <c r="B63" t="s">
        <v>787</v>
      </c>
      <c r="C63" s="97" t="s">
        <v>12376</v>
      </c>
      <c r="D63" s="97" t="s">
        <v>12377</v>
      </c>
      <c r="E63" s="97" t="s">
        <v>12378</v>
      </c>
      <c r="F63" s="34"/>
    </row>
    <row r="64" spans="1:6" ht="18" customHeight="1">
      <c r="A64" s="97" t="s">
        <v>12379</v>
      </c>
      <c r="B64" t="s">
        <v>787</v>
      </c>
      <c r="C64" s="97" t="s">
        <v>12380</v>
      </c>
      <c r="D64" s="97" t="s">
        <v>12381</v>
      </c>
      <c r="E64" s="97" t="s">
        <v>12382</v>
      </c>
      <c r="F64" s="34"/>
    </row>
    <row r="65" spans="1:6" ht="18" customHeight="1">
      <c r="A65" s="97" t="s">
        <v>12383</v>
      </c>
      <c r="B65" t="s">
        <v>12384</v>
      </c>
      <c r="C65" s="97" t="s">
        <v>12385</v>
      </c>
      <c r="D65" s="97" t="s">
        <v>12386</v>
      </c>
      <c r="E65" s="97" t="s">
        <v>12387</v>
      </c>
      <c r="F65" s="34"/>
    </row>
    <row r="66" spans="1:6" ht="18" customHeight="1">
      <c r="A66" s="97" t="s">
        <v>12388</v>
      </c>
      <c r="B66" t="s">
        <v>787</v>
      </c>
      <c r="C66" s="97" t="s">
        <v>787</v>
      </c>
      <c r="D66" s="97" t="s">
        <v>12389</v>
      </c>
      <c r="E66" s="97" t="s">
        <v>12390</v>
      </c>
      <c r="F66" s="34"/>
    </row>
    <row r="67" spans="1:6" ht="18" customHeight="1">
      <c r="A67" s="97" t="s">
        <v>12391</v>
      </c>
      <c r="B67" t="s">
        <v>12392</v>
      </c>
      <c r="C67" s="97" t="s">
        <v>12393</v>
      </c>
      <c r="D67" s="97" t="s">
        <v>12394</v>
      </c>
      <c r="E67" s="97" t="s">
        <v>12395</v>
      </c>
      <c r="F67" s="34"/>
    </row>
    <row r="68" spans="1:6" ht="18" customHeight="1">
      <c r="A68" s="97" t="s">
        <v>12396</v>
      </c>
      <c r="B68" t="s">
        <v>12397</v>
      </c>
      <c r="C68" s="97" t="s">
        <v>12398</v>
      </c>
      <c r="D68" s="97" t="s">
        <v>12399</v>
      </c>
      <c r="E68" s="97" t="s">
        <v>12400</v>
      </c>
      <c r="F68" s="34"/>
    </row>
    <row r="69" spans="1:6" ht="18" customHeight="1">
      <c r="A69" s="97" t="s">
        <v>12401</v>
      </c>
      <c r="B69" t="s">
        <v>12402</v>
      </c>
      <c r="C69" s="97" t="s">
        <v>12403</v>
      </c>
      <c r="D69" s="97" t="s">
        <v>12404</v>
      </c>
      <c r="E69" s="97" t="s">
        <v>12405</v>
      </c>
      <c r="F69" s="34"/>
    </row>
    <row r="70" spans="1:6" ht="18" customHeight="1">
      <c r="A70" s="97" t="s">
        <v>12406</v>
      </c>
      <c r="B70" t="s">
        <v>12407</v>
      </c>
      <c r="C70" s="97" t="s">
        <v>12408</v>
      </c>
      <c r="D70" s="97" t="s">
        <v>12409</v>
      </c>
      <c r="E70" s="97" t="s">
        <v>12410</v>
      </c>
      <c r="F70" s="34"/>
    </row>
    <row r="71" spans="1:6" ht="18" customHeight="1">
      <c r="A71" s="97" t="s">
        <v>12411</v>
      </c>
      <c r="B71" t="s">
        <v>787</v>
      </c>
      <c r="C71" s="97" t="s">
        <v>787</v>
      </c>
      <c r="D71" s="97" t="s">
        <v>12412</v>
      </c>
      <c r="E71" s="97" t="s">
        <v>12413</v>
      </c>
      <c r="F71" s="34"/>
    </row>
    <row r="72" spans="1:6" ht="18" customHeight="1">
      <c r="A72" s="97" t="s">
        <v>12414</v>
      </c>
      <c r="B72" t="s">
        <v>12415</v>
      </c>
      <c r="C72" s="97" t="s">
        <v>12416</v>
      </c>
      <c r="D72" s="97" t="s">
        <v>12417</v>
      </c>
      <c r="E72" s="97" t="s">
        <v>12343</v>
      </c>
      <c r="F72" s="34"/>
    </row>
    <row r="73" spans="1:6" ht="18" customHeight="1">
      <c r="A73" s="97" t="s">
        <v>12418</v>
      </c>
      <c r="B73" t="s">
        <v>12419</v>
      </c>
      <c r="C73" s="97" t="s">
        <v>12420</v>
      </c>
      <c r="D73" s="97" t="s">
        <v>12421</v>
      </c>
      <c r="E73" s="97" t="s">
        <v>12422</v>
      </c>
      <c r="F73" s="34"/>
    </row>
    <row r="74" spans="1:6" ht="18" customHeight="1">
      <c r="A74" s="97" t="s">
        <v>12423</v>
      </c>
      <c r="B74" t="s">
        <v>12424</v>
      </c>
      <c r="C74" s="97" t="s">
        <v>12425</v>
      </c>
      <c r="D74" s="97" t="s">
        <v>12426</v>
      </c>
      <c r="E74" s="97" t="s">
        <v>12246</v>
      </c>
      <c r="F74" s="34"/>
    </row>
    <row r="75" spans="1:6" ht="18" customHeight="1">
      <c r="A75" s="97" t="s">
        <v>12427</v>
      </c>
      <c r="B75" t="s">
        <v>12428</v>
      </c>
      <c r="C75" s="97" t="s">
        <v>12429</v>
      </c>
      <c r="D75" s="97" t="s">
        <v>12430</v>
      </c>
      <c r="E75" s="97" t="s">
        <v>12257</v>
      </c>
      <c r="F75" s="34"/>
    </row>
    <row r="76" spans="1:6" ht="18" customHeight="1">
      <c r="A76" s="97" t="s">
        <v>12431</v>
      </c>
      <c r="B76" t="s">
        <v>12432</v>
      </c>
      <c r="C76" s="97" t="s">
        <v>12433</v>
      </c>
      <c r="D76" s="97" t="s">
        <v>12434</v>
      </c>
      <c r="E76" s="97" t="s">
        <v>12435</v>
      </c>
      <c r="F76" s="34"/>
    </row>
    <row r="77" spans="1:6" ht="18" customHeight="1">
      <c r="A77" s="97" t="s">
        <v>12436</v>
      </c>
      <c r="B77" t="s">
        <v>12437</v>
      </c>
      <c r="C77" s="97" t="s">
        <v>12438</v>
      </c>
      <c r="D77" s="97" t="s">
        <v>12439</v>
      </c>
      <c r="E77" s="97" t="s">
        <v>12440</v>
      </c>
      <c r="F77"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E18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12441</v>
      </c>
      <c r="B2" t="s">
        <v>12442</v>
      </c>
      <c r="C2" s="67" t="s">
        <v>12443</v>
      </c>
      <c r="D2" s="67" t="s">
        <v>12444</v>
      </c>
    </row>
    <row r="3" spans="1:4">
      <c r="A3" s="67" t="s">
        <v>12445</v>
      </c>
      <c r="B3" s="67" t="s">
        <v>12446</v>
      </c>
      <c r="C3" s="67" t="s">
        <v>12447</v>
      </c>
      <c r="D3" s="67" t="s">
        <v>12448</v>
      </c>
    </row>
    <row r="4" spans="1:4">
      <c r="A4" s="67" t="s">
        <v>12449</v>
      </c>
      <c r="D4" s="11" t="str">
        <f>HYPERLINK("http://wildlife.rescueshelter.com/Virginia","http://wildlife.rescueshelter.com/Virginia")</f>
        <v>http://wildlife.rescueshelter.com/Virginia</v>
      </c>
    </row>
    <row r="5" spans="1:4">
      <c r="A5" s="12" t="s">
        <v>12450</v>
      </c>
      <c r="B5" s="12"/>
      <c r="C5" s="12"/>
      <c r="D5" s="9" t="str">
        <f>HYPERLINK("http://www.commonwealthpreparedness.virginia.gov/","http://www.commonwealthpreparedness.virginia.gov/")</f>
        <v>http://www.commonwealthpreparedness.virginia.gov/</v>
      </c>
    </row>
    <row r="6" spans="1:4">
      <c r="A6" s="12" t="s">
        <v>12451</v>
      </c>
      <c r="B6" s="12" t="s">
        <v>12446</v>
      </c>
      <c r="C6" s="12" t="s">
        <v>12452</v>
      </c>
      <c r="D6" s="12" t="s">
        <v>12453</v>
      </c>
    </row>
    <row r="8" spans="1:4">
      <c r="A8" s="79" t="s">
        <v>209</v>
      </c>
      <c r="B8" s="79" t="s">
        <v>147</v>
      </c>
      <c r="C8" s="79" t="s">
        <v>148</v>
      </c>
      <c r="D8" s="79" t="s">
        <v>182</v>
      </c>
    </row>
    <row r="9" spans="1:4">
      <c r="A9" s="12" t="s">
        <v>12454</v>
      </c>
      <c r="B9" s="12"/>
      <c r="C9" s="12"/>
      <c r="D9" s="12" t="s">
        <v>12455</v>
      </c>
    </row>
    <row r="10" spans="1:4">
      <c r="A10" s="12" t="s">
        <v>12456</v>
      </c>
      <c r="B10" s="80"/>
      <c r="C10" s="80" t="s">
        <v>12457</v>
      </c>
      <c r="D10" s="80" t="s">
        <v>12458</v>
      </c>
    </row>
    <row r="11" spans="1:4">
      <c r="A11" s="12" t="s">
        <v>12459</v>
      </c>
      <c r="B11" s="12" t="s">
        <v>12460</v>
      </c>
      <c r="C11" s="12" t="s">
        <v>12461</v>
      </c>
      <c r="D11" s="12" t="s">
        <v>12462</v>
      </c>
    </row>
    <row r="12" spans="1:4">
      <c r="A12" s="12" t="s">
        <v>9823</v>
      </c>
      <c r="B12" s="12"/>
      <c r="C12" s="12"/>
      <c r="D12" s="12" t="s">
        <v>12463</v>
      </c>
    </row>
    <row r="13" spans="1:4">
      <c r="A13" s="12" t="s">
        <v>12464</v>
      </c>
      <c r="B13" s="12"/>
      <c r="C13" s="12" t="s">
        <v>12465</v>
      </c>
      <c r="D13" s="12" t="s">
        <v>12466</v>
      </c>
    </row>
    <row r="14" spans="1:4">
      <c r="A14" s="12" t="s">
        <v>12467</v>
      </c>
      <c r="B14" s="12"/>
      <c r="C14" s="12"/>
      <c r="D14" s="12" t="s">
        <v>12468</v>
      </c>
    </row>
    <row r="15" spans="1:4">
      <c r="A15" s="12" t="s">
        <v>12469</v>
      </c>
      <c r="B15" s="12"/>
      <c r="C15" s="12"/>
      <c r="D15" s="12" t="s">
        <v>12470</v>
      </c>
    </row>
    <row r="16" spans="1:4">
      <c r="A16" s="12" t="s">
        <v>12471</v>
      </c>
      <c r="B16" s="12" t="s">
        <v>12472</v>
      </c>
      <c r="C16" s="12" t="s">
        <v>12473</v>
      </c>
      <c r="D16" s="12" t="s">
        <v>12474</v>
      </c>
    </row>
    <row r="17" spans="1:4">
      <c r="A17" s="12" t="s">
        <v>12475</v>
      </c>
      <c r="B17" s="12" t="s">
        <v>12476</v>
      </c>
      <c r="C17" s="12" t="s">
        <v>12477</v>
      </c>
      <c r="D17" s="12" t="s">
        <v>12478</v>
      </c>
    </row>
    <row r="18" spans="1:4">
      <c r="A18" s="12" t="s">
        <v>12479</v>
      </c>
      <c r="B18" s="12"/>
      <c r="C18" s="12"/>
      <c r="D18" s="12" t="s">
        <v>12480</v>
      </c>
    </row>
    <row r="19" spans="1:4">
      <c r="A19" s="12" t="s">
        <v>11255</v>
      </c>
      <c r="B19" s="12"/>
      <c r="C19" s="12"/>
      <c r="D19" s="12" t="s">
        <v>12481</v>
      </c>
    </row>
    <row r="20" spans="1:4">
      <c r="A20" s="12" t="s">
        <v>12482</v>
      </c>
      <c r="B20" s="12"/>
      <c r="C20" s="12"/>
      <c r="D20" s="12" t="s">
        <v>12483</v>
      </c>
    </row>
    <row r="21" spans="1:4">
      <c r="A21" s="12" t="s">
        <v>12484</v>
      </c>
      <c r="B21" s="12" t="s">
        <v>12485</v>
      </c>
      <c r="C21" s="12" t="s">
        <v>12486</v>
      </c>
      <c r="D21" s="12" t="s">
        <v>12487</v>
      </c>
    </row>
    <row r="22" spans="1:4">
      <c r="A22" s="12" t="s">
        <v>7954</v>
      </c>
      <c r="B22" s="12"/>
      <c r="C22" s="12"/>
      <c r="D22" s="12" t="s">
        <v>12488</v>
      </c>
    </row>
    <row r="23" spans="1:4">
      <c r="A23" s="12" t="s">
        <v>9841</v>
      </c>
      <c r="B23" s="12"/>
      <c r="C23" s="12"/>
      <c r="D23" s="12" t="s">
        <v>12489</v>
      </c>
    </row>
    <row r="24" spans="1:4">
      <c r="A24" s="12" t="s">
        <v>6114</v>
      </c>
      <c r="B24" s="12"/>
      <c r="C24" s="12"/>
      <c r="D24" s="12" t="s">
        <v>12490</v>
      </c>
    </row>
    <row r="25" spans="1:4">
      <c r="A25" s="12" t="s">
        <v>12491</v>
      </c>
      <c r="B25" s="80"/>
      <c r="C25" s="80"/>
      <c r="D25" s="80" t="s">
        <v>12492</v>
      </c>
    </row>
    <row r="26" spans="1:4">
      <c r="A26" s="12" t="s">
        <v>6117</v>
      </c>
      <c r="B26" s="12"/>
      <c r="C26" s="12"/>
      <c r="D26" s="12" t="s">
        <v>12493</v>
      </c>
    </row>
    <row r="27" spans="1:4">
      <c r="A27" s="12" t="s">
        <v>11661</v>
      </c>
      <c r="B27" s="12" t="s">
        <v>12494</v>
      </c>
      <c r="C27" s="12" t="s">
        <v>12495</v>
      </c>
      <c r="D27" s="12" t="s">
        <v>12496</v>
      </c>
    </row>
    <row r="28" spans="1:4">
      <c r="A28" s="12" t="s">
        <v>12497</v>
      </c>
      <c r="B28" s="12"/>
      <c r="C28" s="12" t="s">
        <v>12498</v>
      </c>
      <c r="D28" s="12" t="s">
        <v>12499</v>
      </c>
    </row>
    <row r="29" spans="1:4">
      <c r="A29" s="12" t="s">
        <v>5391</v>
      </c>
      <c r="B29" s="12" t="s">
        <v>12500</v>
      </c>
      <c r="C29" s="12" t="s">
        <v>12501</v>
      </c>
      <c r="D29" s="12" t="s">
        <v>12502</v>
      </c>
    </row>
    <row r="30" spans="1:4">
      <c r="A30" s="12" t="s">
        <v>12503</v>
      </c>
      <c r="B30" s="12" t="s">
        <v>12504</v>
      </c>
      <c r="C30" s="12" t="s">
        <v>12505</v>
      </c>
      <c r="D30" s="12" t="s">
        <v>12506</v>
      </c>
    </row>
    <row r="31" spans="1:4">
      <c r="A31" s="12" t="s">
        <v>12507</v>
      </c>
      <c r="B31" s="12"/>
      <c r="C31" s="12"/>
      <c r="D31" s="12" t="s">
        <v>12508</v>
      </c>
    </row>
    <row r="32" spans="1:4">
      <c r="A32" s="12" t="s">
        <v>12509</v>
      </c>
      <c r="B32" s="12"/>
      <c r="C32" s="12"/>
      <c r="D32" s="12" t="s">
        <v>12510</v>
      </c>
    </row>
    <row r="33" spans="1:4">
      <c r="A33" s="12" t="s">
        <v>12511</v>
      </c>
      <c r="B33" s="12" t="s">
        <v>12512</v>
      </c>
      <c r="C33" s="12" t="s">
        <v>12513</v>
      </c>
      <c r="D33" s="12" t="s">
        <v>12514</v>
      </c>
    </row>
    <row r="34" spans="1:4">
      <c r="A34" s="12" t="s">
        <v>11528</v>
      </c>
      <c r="B34" s="12" t="s">
        <v>12515</v>
      </c>
      <c r="C34" s="12" t="s">
        <v>12516</v>
      </c>
      <c r="D34" s="12" t="s">
        <v>12517</v>
      </c>
    </row>
    <row r="35" spans="1:4">
      <c r="A35" s="12" t="s">
        <v>6144</v>
      </c>
      <c r="B35" s="12"/>
      <c r="C35" s="12"/>
      <c r="D35" s="12" t="s">
        <v>12518</v>
      </c>
    </row>
    <row r="36" spans="1:4">
      <c r="A36" s="12" t="s">
        <v>12519</v>
      </c>
      <c r="B36" s="12" t="s">
        <v>12520</v>
      </c>
      <c r="C36" s="12" t="s">
        <v>12521</v>
      </c>
      <c r="D36" s="12" t="s">
        <v>12522</v>
      </c>
    </row>
    <row r="37" spans="1:4">
      <c r="A37" s="12" t="s">
        <v>12523</v>
      </c>
      <c r="B37" s="12"/>
      <c r="C37" s="12"/>
      <c r="D37" s="12" t="s">
        <v>12524</v>
      </c>
    </row>
    <row r="38" spans="1:4">
      <c r="A38" s="12" t="s">
        <v>10686</v>
      </c>
      <c r="B38" s="12"/>
      <c r="C38" s="12"/>
      <c r="D38" s="12" t="s">
        <v>12525</v>
      </c>
    </row>
    <row r="39" spans="1:4">
      <c r="A39" s="12" t="s">
        <v>12526</v>
      </c>
      <c r="B39" s="12"/>
      <c r="C39" s="12"/>
      <c r="D39" s="12" t="s">
        <v>12527</v>
      </c>
    </row>
    <row r="40" spans="1:4">
      <c r="A40" s="12" t="s">
        <v>5415</v>
      </c>
      <c r="B40" s="12"/>
      <c r="C40" s="12"/>
      <c r="D40" s="12" t="s">
        <v>12528</v>
      </c>
    </row>
    <row r="41" spans="1:4">
      <c r="A41" s="12" t="s">
        <v>12529</v>
      </c>
      <c r="B41" s="12" t="s">
        <v>12530</v>
      </c>
      <c r="C41" s="12" t="s">
        <v>12531</v>
      </c>
      <c r="D41" s="12" t="s">
        <v>12532</v>
      </c>
    </row>
    <row r="42" spans="1:4">
      <c r="A42" s="12" t="s">
        <v>12533</v>
      </c>
      <c r="B42" s="12"/>
      <c r="C42" s="12"/>
      <c r="D42" s="12" t="s">
        <v>12534</v>
      </c>
    </row>
    <row r="43" spans="1:4">
      <c r="A43" s="12" t="s">
        <v>12535</v>
      </c>
      <c r="B43" s="12"/>
      <c r="C43" s="12"/>
      <c r="D43" s="12" t="s">
        <v>12536</v>
      </c>
    </row>
    <row r="44" spans="1:4">
      <c r="A44" s="12" t="s">
        <v>12537</v>
      </c>
      <c r="B44" s="12"/>
      <c r="C44" s="12"/>
      <c r="D44" s="12" t="s">
        <v>12538</v>
      </c>
    </row>
    <row r="45" spans="1:4">
      <c r="A45" s="12" t="s">
        <v>7958</v>
      </c>
      <c r="B45" s="12"/>
      <c r="C45" s="12"/>
      <c r="D45" s="12" t="s">
        <v>12539</v>
      </c>
    </row>
    <row r="46" spans="1:4">
      <c r="A46" s="12" t="s">
        <v>12540</v>
      </c>
      <c r="B46" s="12" t="s">
        <v>12541</v>
      </c>
      <c r="C46" s="12" t="s">
        <v>12542</v>
      </c>
      <c r="D46" s="12" t="s">
        <v>12543</v>
      </c>
    </row>
    <row r="47" spans="1:4">
      <c r="A47" s="12" t="s">
        <v>12544</v>
      </c>
      <c r="B47" s="12" t="s">
        <v>12545</v>
      </c>
      <c r="C47" s="12" t="s">
        <v>12546</v>
      </c>
      <c r="D47" s="12" t="s">
        <v>12547</v>
      </c>
    </row>
    <row r="48" spans="1:4">
      <c r="A48" s="12" t="s">
        <v>12548</v>
      </c>
      <c r="B48" s="12"/>
      <c r="C48" s="12"/>
      <c r="D48" s="12" t="s">
        <v>12549</v>
      </c>
    </row>
    <row r="49" spans="1:4">
      <c r="A49" s="12" t="s">
        <v>5795</v>
      </c>
      <c r="B49" s="12"/>
      <c r="C49" s="12"/>
      <c r="D49" s="12" t="s">
        <v>12550</v>
      </c>
    </row>
    <row r="50" spans="1:4">
      <c r="A50" s="12" t="s">
        <v>12551</v>
      </c>
      <c r="B50" s="12"/>
      <c r="C50" s="12"/>
      <c r="D50" s="12" t="s">
        <v>12552</v>
      </c>
    </row>
    <row r="51" spans="1:4">
      <c r="A51" s="12" t="s">
        <v>5441</v>
      </c>
      <c r="B51" s="12" t="s">
        <v>12553</v>
      </c>
      <c r="C51" s="12" t="s">
        <v>12554</v>
      </c>
      <c r="D51" s="12" t="s">
        <v>12555</v>
      </c>
    </row>
    <row r="52" spans="1:4">
      <c r="A52" s="12" t="s">
        <v>12556</v>
      </c>
      <c r="B52" s="12"/>
      <c r="C52" s="12"/>
      <c r="D52" s="12" t="s">
        <v>12557</v>
      </c>
    </row>
    <row r="53" spans="1:4">
      <c r="A53" s="12" t="s">
        <v>12558</v>
      </c>
      <c r="B53" s="12"/>
      <c r="C53" s="12"/>
      <c r="D53" s="12" t="s">
        <v>12559</v>
      </c>
    </row>
    <row r="54" spans="1:4">
      <c r="A54" s="12" t="s">
        <v>12560</v>
      </c>
      <c r="B54" s="12"/>
      <c r="C54" s="12" t="s">
        <v>12561</v>
      </c>
      <c r="D54" s="12" t="s">
        <v>12562</v>
      </c>
    </row>
    <row r="55" spans="1:4">
      <c r="A55" s="12" t="s">
        <v>11748</v>
      </c>
      <c r="B55" s="12"/>
      <c r="C55" s="12"/>
      <c r="D55" s="12" t="s">
        <v>12563</v>
      </c>
    </row>
    <row r="56" spans="1:4">
      <c r="A56" s="12" t="s">
        <v>8987</v>
      </c>
      <c r="B56" s="12"/>
      <c r="C56" s="12"/>
      <c r="D56" s="12" t="s">
        <v>12564</v>
      </c>
    </row>
    <row r="57" spans="1:4">
      <c r="A57" s="12" t="s">
        <v>12565</v>
      </c>
      <c r="B57" s="12"/>
      <c r="C57" s="12"/>
      <c r="D57" s="12" t="s">
        <v>12566</v>
      </c>
    </row>
    <row r="58" spans="1:4">
      <c r="A58" s="12" t="s">
        <v>11937</v>
      </c>
      <c r="B58" s="12"/>
      <c r="C58" s="12"/>
      <c r="D58" s="12" t="s">
        <v>12567</v>
      </c>
    </row>
    <row r="59" spans="1:4">
      <c r="A59" s="12" t="s">
        <v>5449</v>
      </c>
      <c r="B59" s="12"/>
      <c r="C59" s="12"/>
      <c r="D59" s="12" t="s">
        <v>12568</v>
      </c>
    </row>
    <row r="60" spans="1:4">
      <c r="A60" s="12" t="s">
        <v>12569</v>
      </c>
      <c r="B60" s="12"/>
      <c r="C60" s="12"/>
      <c r="D60" s="12" t="s">
        <v>12570</v>
      </c>
    </row>
    <row r="61" spans="1:4">
      <c r="A61" s="12" t="s">
        <v>9909</v>
      </c>
      <c r="B61" s="12"/>
      <c r="C61" s="12"/>
      <c r="D61" s="12" t="s">
        <v>12571</v>
      </c>
    </row>
    <row r="62" spans="1:4">
      <c r="A62" s="12" t="s">
        <v>11554</v>
      </c>
      <c r="B62" s="12" t="s">
        <v>12572</v>
      </c>
      <c r="C62" s="12" t="s">
        <v>12573</v>
      </c>
      <c r="D62" s="12" t="s">
        <v>12574</v>
      </c>
    </row>
    <row r="63" spans="1:4">
      <c r="A63" s="12" t="s">
        <v>12575</v>
      </c>
      <c r="B63" s="12" t="s">
        <v>12576</v>
      </c>
      <c r="C63" s="12" t="s">
        <v>12577</v>
      </c>
      <c r="D63" s="12" t="s">
        <v>12578</v>
      </c>
    </row>
    <row r="64" spans="1:4">
      <c r="A64" s="12" t="s">
        <v>12579</v>
      </c>
      <c r="B64" s="12" t="s">
        <v>12580</v>
      </c>
      <c r="C64" s="12" t="s">
        <v>12581</v>
      </c>
      <c r="D64" s="12" t="s">
        <v>12582</v>
      </c>
    </row>
    <row r="65" spans="1:4">
      <c r="A65" s="12" t="s">
        <v>12583</v>
      </c>
      <c r="B65" s="12" t="s">
        <v>12584</v>
      </c>
      <c r="C65" s="12"/>
      <c r="D65" s="12" t="s">
        <v>12585</v>
      </c>
    </row>
    <row r="66" spans="1:4">
      <c r="A66" s="12" t="s">
        <v>5461</v>
      </c>
      <c r="B66" s="12"/>
      <c r="C66" s="12" t="s">
        <v>12586</v>
      </c>
      <c r="D66" s="12" t="s">
        <v>12587</v>
      </c>
    </row>
    <row r="67" spans="1:4">
      <c r="A67" s="12" t="s">
        <v>10433</v>
      </c>
      <c r="B67" s="12"/>
      <c r="C67" s="12"/>
      <c r="D67" s="12" t="s">
        <v>12588</v>
      </c>
    </row>
    <row r="68" spans="1:4">
      <c r="A68" s="12" t="s">
        <v>12589</v>
      </c>
      <c r="B68" s="12"/>
      <c r="C68" s="12" t="s">
        <v>12590</v>
      </c>
      <c r="D68" s="12" t="s">
        <v>12591</v>
      </c>
    </row>
    <row r="69" spans="1:4">
      <c r="A69" s="12" t="s">
        <v>12592</v>
      </c>
      <c r="B69" s="12"/>
      <c r="C69" s="12"/>
      <c r="D69" s="12" t="s">
        <v>12593</v>
      </c>
    </row>
    <row r="70" spans="1:4">
      <c r="A70" s="12" t="s">
        <v>12594</v>
      </c>
      <c r="B70" s="12" t="s">
        <v>12595</v>
      </c>
      <c r="C70" s="12" t="s">
        <v>12596</v>
      </c>
      <c r="D70" s="12" t="s">
        <v>12597</v>
      </c>
    </row>
    <row r="71" spans="1:4">
      <c r="A71" s="12" t="s">
        <v>12598</v>
      </c>
      <c r="B71" s="12"/>
      <c r="C71" s="12"/>
      <c r="D71" s="12" t="s">
        <v>12599</v>
      </c>
    </row>
    <row r="72" spans="1:4">
      <c r="A72" s="12" t="s">
        <v>12600</v>
      </c>
      <c r="B72" s="12"/>
      <c r="C72" s="12"/>
      <c r="D72" s="12" t="s">
        <v>12601</v>
      </c>
    </row>
    <row r="73" spans="1:4">
      <c r="A73" s="12" t="s">
        <v>12602</v>
      </c>
      <c r="B73" s="12"/>
      <c r="C73" s="12"/>
      <c r="D73" s="12" t="s">
        <v>12603</v>
      </c>
    </row>
    <row r="74" spans="1:4">
      <c r="A74" s="12" t="s">
        <v>8748</v>
      </c>
      <c r="B74" s="12"/>
      <c r="C74" s="12"/>
      <c r="D74" s="12" t="s">
        <v>12604</v>
      </c>
    </row>
    <row r="75" spans="1:4">
      <c r="A75" s="12" t="s">
        <v>5496</v>
      </c>
      <c r="B75" s="12"/>
      <c r="C75" s="12"/>
      <c r="D75" s="12" t="s">
        <v>12605</v>
      </c>
    </row>
    <row r="76" spans="1:4">
      <c r="A76" s="12" t="s">
        <v>11566</v>
      </c>
      <c r="B76" s="12" t="s">
        <v>12606</v>
      </c>
      <c r="C76" s="12" t="s">
        <v>12607</v>
      </c>
      <c r="D76" s="12" t="s">
        <v>12608</v>
      </c>
    </row>
    <row r="77" spans="1:4">
      <c r="A77" s="12" t="s">
        <v>12609</v>
      </c>
      <c r="B77" s="12" t="s">
        <v>12610</v>
      </c>
      <c r="C77" s="12" t="s">
        <v>12611</v>
      </c>
      <c r="D77" s="12" t="s">
        <v>12612</v>
      </c>
    </row>
    <row r="78" spans="1:4">
      <c r="A78" s="12" t="s">
        <v>6240</v>
      </c>
      <c r="B78" s="12" t="s">
        <v>12613</v>
      </c>
      <c r="C78" s="12" t="s">
        <v>12614</v>
      </c>
      <c r="D78" s="12" t="s">
        <v>12615</v>
      </c>
    </row>
    <row r="79" spans="1:4">
      <c r="A79" s="12" t="s">
        <v>12616</v>
      </c>
      <c r="B79" s="12"/>
      <c r="C79" s="12"/>
      <c r="D79" s="12" t="s">
        <v>12617</v>
      </c>
    </row>
    <row r="80" spans="1:4">
      <c r="A80" s="12" t="s">
        <v>12618</v>
      </c>
      <c r="B80" s="12"/>
      <c r="C80" s="12"/>
      <c r="D80" s="12" t="s">
        <v>12619</v>
      </c>
    </row>
    <row r="81" spans="1:4">
      <c r="A81" s="12" t="s">
        <v>5209</v>
      </c>
      <c r="B81" s="12"/>
      <c r="C81" s="12"/>
      <c r="D81" s="12" t="s">
        <v>12620</v>
      </c>
    </row>
    <row r="82" spans="1:4">
      <c r="A82" s="12" t="s">
        <v>12621</v>
      </c>
      <c r="B82" s="12" t="s">
        <v>12622</v>
      </c>
      <c r="C82" s="12" t="s">
        <v>12623</v>
      </c>
      <c r="D82" s="12" t="s">
        <v>12624</v>
      </c>
    </row>
    <row r="83" spans="1:4">
      <c r="A83" s="12" t="s">
        <v>12625</v>
      </c>
      <c r="B83" s="12" t="s">
        <v>12626</v>
      </c>
      <c r="C83" s="12"/>
      <c r="D83" s="12" t="s">
        <v>12627</v>
      </c>
    </row>
    <row r="84" spans="1:4">
      <c r="A84" s="12" t="s">
        <v>12628</v>
      </c>
      <c r="B84" s="12"/>
      <c r="C84" s="12" t="s">
        <v>12629</v>
      </c>
      <c r="D84" s="12" t="s">
        <v>12630</v>
      </c>
    </row>
    <row r="85" spans="1:4">
      <c r="A85" s="12" t="s">
        <v>12631</v>
      </c>
      <c r="B85" s="12"/>
      <c r="C85" s="12"/>
      <c r="D85" s="12" t="s">
        <v>12632</v>
      </c>
    </row>
    <row r="86" spans="1:4">
      <c r="A86" s="12" t="s">
        <v>9919</v>
      </c>
      <c r="B86" s="12"/>
      <c r="C86" s="12"/>
      <c r="D86" s="12" t="s">
        <v>12633</v>
      </c>
    </row>
    <row r="87" spans="1:4">
      <c r="A87" s="12" t="s">
        <v>7968</v>
      </c>
      <c r="B87" s="12"/>
      <c r="C87" s="12"/>
      <c r="D87" s="12" t="s">
        <v>12634</v>
      </c>
    </row>
    <row r="88" spans="1:4">
      <c r="A88" s="12" t="s">
        <v>5526</v>
      </c>
      <c r="B88" s="12"/>
      <c r="C88" s="12"/>
      <c r="D88" s="12" t="s">
        <v>12635</v>
      </c>
    </row>
    <row r="89" spans="1:4">
      <c r="A89" s="12" t="s">
        <v>10136</v>
      </c>
      <c r="B89" s="12"/>
      <c r="C89" s="12"/>
      <c r="D89" s="12" t="s">
        <v>12636</v>
      </c>
    </row>
    <row r="90" spans="1:4">
      <c r="A90" s="12" t="s">
        <v>12637</v>
      </c>
      <c r="B90" s="12" t="s">
        <v>12638</v>
      </c>
      <c r="C90" s="12" t="s">
        <v>12639</v>
      </c>
      <c r="D90" s="12" t="s">
        <v>12640</v>
      </c>
    </row>
    <row r="91" spans="1:4">
      <c r="A91" s="12" t="s">
        <v>12641</v>
      </c>
      <c r="B91" s="12" t="s">
        <v>12642</v>
      </c>
      <c r="C91" s="12" t="s">
        <v>12643</v>
      </c>
      <c r="D91" s="12" t="s">
        <v>12644</v>
      </c>
    </row>
    <row r="92" spans="1:4">
      <c r="A92" s="12" t="s">
        <v>7973</v>
      </c>
      <c r="B92" s="12" t="s">
        <v>12645</v>
      </c>
      <c r="C92" s="12" t="s">
        <v>12646</v>
      </c>
      <c r="D92" s="12" t="s">
        <v>12647</v>
      </c>
    </row>
    <row r="93" spans="1:4">
      <c r="A93" s="12" t="s">
        <v>9923</v>
      </c>
      <c r="B93" s="12"/>
      <c r="C93" s="12"/>
      <c r="D93" s="12" t="s">
        <v>12648</v>
      </c>
    </row>
    <row r="94" spans="1:4">
      <c r="A94" s="12" t="s">
        <v>11346</v>
      </c>
      <c r="B94" s="12"/>
      <c r="C94" s="12"/>
      <c r="D94" s="12" t="s">
        <v>12649</v>
      </c>
    </row>
    <row r="95" spans="1:4">
      <c r="A95" s="12" t="s">
        <v>6633</v>
      </c>
      <c r="B95" s="12" t="s">
        <v>12650</v>
      </c>
      <c r="C95" s="12" t="s">
        <v>12651</v>
      </c>
      <c r="D95" s="12" t="s">
        <v>12652</v>
      </c>
    </row>
    <row r="96" spans="1:4">
      <c r="A96" s="12" t="s">
        <v>12653</v>
      </c>
      <c r="B96" s="12"/>
      <c r="C96" s="12"/>
      <c r="D96" s="12" t="s">
        <v>12654</v>
      </c>
    </row>
    <row r="97" spans="1:4">
      <c r="A97" s="12" t="s">
        <v>5885</v>
      </c>
      <c r="B97" s="12"/>
      <c r="C97" s="12"/>
      <c r="D97" s="12" t="s">
        <v>12655</v>
      </c>
    </row>
    <row r="98" spans="1:4">
      <c r="A98" s="12" t="s">
        <v>6278</v>
      </c>
      <c r="B98" s="12"/>
      <c r="C98" s="12"/>
      <c r="D98" s="12" t="s">
        <v>12656</v>
      </c>
    </row>
    <row r="99" spans="1:4">
      <c r="A99" s="12" t="s">
        <v>12657</v>
      </c>
      <c r="B99" s="12"/>
      <c r="C99" s="12"/>
      <c r="D99" s="12" t="s">
        <v>12658</v>
      </c>
    </row>
    <row r="100" spans="1:4">
      <c r="A100" s="12" t="s">
        <v>12659</v>
      </c>
      <c r="B100" s="12"/>
      <c r="C100" s="12" t="s">
        <v>12660</v>
      </c>
      <c r="D100" s="12" t="s">
        <v>12661</v>
      </c>
    </row>
    <row r="101" spans="1:4">
      <c r="A101" s="12" t="s">
        <v>12662</v>
      </c>
      <c r="B101" s="12"/>
      <c r="C101" s="12"/>
      <c r="D101" s="12" t="s">
        <v>12663</v>
      </c>
    </row>
    <row r="102" spans="1:4">
      <c r="A102" s="12" t="s">
        <v>12664</v>
      </c>
      <c r="B102" s="12" t="s">
        <v>12665</v>
      </c>
      <c r="C102" s="12" t="s">
        <v>12666</v>
      </c>
      <c r="D102" s="12" t="s">
        <v>12667</v>
      </c>
    </row>
    <row r="103" spans="1:4">
      <c r="A103" s="12" t="s">
        <v>12668</v>
      </c>
      <c r="B103" s="12"/>
      <c r="C103" s="12" t="s">
        <v>12669</v>
      </c>
      <c r="D103" s="12" t="s">
        <v>12670</v>
      </c>
    </row>
    <row r="104" spans="1:4">
      <c r="A104" s="12" t="s">
        <v>12671</v>
      </c>
      <c r="B104" s="12"/>
      <c r="C104" s="12" t="s">
        <v>12672</v>
      </c>
      <c r="D104" s="12" t="s">
        <v>12673</v>
      </c>
    </row>
    <row r="105" spans="1:4">
      <c r="A105" s="12" t="s">
        <v>12674</v>
      </c>
      <c r="B105" s="12"/>
      <c r="C105" s="12"/>
      <c r="D105" s="12" t="s">
        <v>12675</v>
      </c>
    </row>
    <row r="106" spans="1:4">
      <c r="A106" s="12" t="s">
        <v>12676</v>
      </c>
      <c r="B106" s="12" t="s">
        <v>12677</v>
      </c>
      <c r="C106" s="12" t="s">
        <v>12678</v>
      </c>
      <c r="D106" s="12" t="s">
        <v>12679</v>
      </c>
    </row>
    <row r="107" spans="1:4">
      <c r="A107" s="12" t="s">
        <v>12680</v>
      </c>
      <c r="B107" s="12" t="s">
        <v>12681</v>
      </c>
      <c r="C107" s="12" t="s">
        <v>12682</v>
      </c>
      <c r="D107" s="12" t="s">
        <v>12683</v>
      </c>
    </row>
    <row r="108" spans="1:4">
      <c r="A108" s="12" t="s">
        <v>5540</v>
      </c>
      <c r="B108" s="12"/>
      <c r="C108" s="12"/>
      <c r="D108" s="12" t="s">
        <v>12684</v>
      </c>
    </row>
    <row r="109" spans="1:4">
      <c r="A109" s="12" t="s">
        <v>12685</v>
      </c>
      <c r="B109" s="12" t="s">
        <v>12686</v>
      </c>
      <c r="C109" s="12" t="s">
        <v>12687</v>
      </c>
      <c r="D109" s="12" t="s">
        <v>12688</v>
      </c>
    </row>
    <row r="110" spans="1:4">
      <c r="A110" s="12" t="s">
        <v>12689</v>
      </c>
      <c r="B110" s="12"/>
      <c r="C110" s="12"/>
      <c r="D110" s="12" t="s">
        <v>12690</v>
      </c>
    </row>
    <row r="111" spans="1:4">
      <c r="A111" s="12" t="s">
        <v>9931</v>
      </c>
      <c r="B111" s="12"/>
      <c r="C111" s="12"/>
      <c r="D111" s="12" t="s">
        <v>12691</v>
      </c>
    </row>
    <row r="112" spans="1:4">
      <c r="A112" s="12" t="s">
        <v>12692</v>
      </c>
      <c r="B112" s="12" t="s">
        <v>12693</v>
      </c>
      <c r="C112" s="12" t="s">
        <v>12694</v>
      </c>
      <c r="D112" s="12" t="s">
        <v>12695</v>
      </c>
    </row>
    <row r="113" spans="1:4">
      <c r="A113" s="12" t="s">
        <v>12696</v>
      </c>
      <c r="B113" s="12"/>
      <c r="C113" s="12"/>
      <c r="D113" s="12" t="s">
        <v>12697</v>
      </c>
    </row>
    <row r="114" spans="1:4">
      <c r="A114" s="12" t="s">
        <v>8870</v>
      </c>
      <c r="B114" s="12"/>
      <c r="C114" s="12"/>
      <c r="D114" s="12" t="s">
        <v>12698</v>
      </c>
    </row>
    <row r="115" spans="1:4">
      <c r="A115" s="12" t="s">
        <v>12699</v>
      </c>
      <c r="B115" s="12"/>
      <c r="C115" s="12"/>
      <c r="D115" s="12" t="s">
        <v>12700</v>
      </c>
    </row>
    <row r="116" spans="1:4">
      <c r="A116" s="12" t="s">
        <v>9010</v>
      </c>
      <c r="B116" s="12" t="s">
        <v>12701</v>
      </c>
      <c r="C116" s="12" t="s">
        <v>12702</v>
      </c>
      <c r="D116" s="12" t="s">
        <v>12703</v>
      </c>
    </row>
    <row r="117" spans="1:4">
      <c r="A117" s="12" t="s">
        <v>5553</v>
      </c>
      <c r="B117" s="12"/>
      <c r="C117" s="12"/>
      <c r="D117" s="12" t="s">
        <v>12704</v>
      </c>
    </row>
    <row r="118" spans="1:4">
      <c r="A118" s="12" t="s">
        <v>12705</v>
      </c>
      <c r="B118" s="12"/>
      <c r="C118" s="12"/>
      <c r="D118" s="12" t="s">
        <v>12706</v>
      </c>
    </row>
    <row r="119" spans="1:4">
      <c r="A119" s="12" t="s">
        <v>12707</v>
      </c>
      <c r="B119" s="12"/>
      <c r="C119" s="12" t="s">
        <v>12708</v>
      </c>
      <c r="D119" s="12" t="s">
        <v>12709</v>
      </c>
    </row>
    <row r="120" spans="1:4">
      <c r="A120" s="12" t="s">
        <v>12710</v>
      </c>
      <c r="B120" s="12"/>
      <c r="C120" s="12"/>
      <c r="D120" s="12" t="s">
        <v>12711</v>
      </c>
    </row>
    <row r="121" spans="1:4">
      <c r="A121" s="12" t="s">
        <v>12712</v>
      </c>
      <c r="B121" s="12" t="s">
        <v>12713</v>
      </c>
      <c r="C121" s="12" t="s">
        <v>12714</v>
      </c>
      <c r="D121" s="12" t="s">
        <v>12715</v>
      </c>
    </row>
    <row r="122" spans="1:4">
      <c r="A122" s="12" t="s">
        <v>6692</v>
      </c>
      <c r="B122" s="12" t="s">
        <v>12716</v>
      </c>
      <c r="C122" s="12" t="s">
        <v>12717</v>
      </c>
      <c r="D122" s="12" t="s">
        <v>12718</v>
      </c>
    </row>
    <row r="123" spans="1:4">
      <c r="A123" s="12" t="s">
        <v>12719</v>
      </c>
      <c r="B123" s="12"/>
      <c r="C123" s="12"/>
      <c r="D123" s="12" t="s">
        <v>12720</v>
      </c>
    </row>
    <row r="124" spans="1:4">
      <c r="A124" s="12" t="s">
        <v>7976</v>
      </c>
      <c r="B124" s="12" t="s">
        <v>12721</v>
      </c>
      <c r="C124" s="12" t="s">
        <v>12722</v>
      </c>
      <c r="D124" s="12" t="s">
        <v>12723</v>
      </c>
    </row>
    <row r="125" spans="1:4">
      <c r="A125" s="12" t="s">
        <v>9938</v>
      </c>
      <c r="B125" s="12"/>
      <c r="C125" s="12"/>
      <c r="D125" s="12" t="s">
        <v>12724</v>
      </c>
    </row>
    <row r="126" spans="1:4">
      <c r="A126" s="12" t="s">
        <v>9015</v>
      </c>
      <c r="B126" s="12"/>
      <c r="C126" s="12"/>
      <c r="D126" s="12" t="s">
        <v>12725</v>
      </c>
    </row>
    <row r="127" spans="1:4">
      <c r="A127" s="12" t="s">
        <v>5562</v>
      </c>
      <c r="B127" s="12"/>
      <c r="C127" s="12"/>
      <c r="D127" s="12" t="s">
        <v>12726</v>
      </c>
    </row>
    <row r="128" spans="1:4">
      <c r="A128" s="12" t="s">
        <v>12727</v>
      </c>
      <c r="B128" s="12" t="s">
        <v>12728</v>
      </c>
      <c r="C128" s="12" t="s">
        <v>12729</v>
      </c>
      <c r="D128" s="12" t="s">
        <v>12730</v>
      </c>
    </row>
    <row r="129" spans="1:5">
      <c r="A129" s="12" t="s">
        <v>5571</v>
      </c>
      <c r="B129" s="12"/>
      <c r="C129" s="12"/>
      <c r="D129" s="12" t="s">
        <v>12731</v>
      </c>
    </row>
    <row r="130" spans="1:5">
      <c r="A130" s="12" t="s">
        <v>117</v>
      </c>
      <c r="B130" s="12"/>
      <c r="C130" s="12"/>
      <c r="D130" s="12" t="s">
        <v>12732</v>
      </c>
    </row>
    <row r="131" spans="1:5">
      <c r="A131" s="12" t="s">
        <v>12733</v>
      </c>
      <c r="B131" s="12"/>
      <c r="C131" s="12"/>
      <c r="D131" s="12" t="s">
        <v>12734</v>
      </c>
    </row>
    <row r="132" spans="1:5">
      <c r="A132" s="12" t="s">
        <v>11370</v>
      </c>
      <c r="B132" s="12"/>
      <c r="C132" s="12"/>
      <c r="D132" s="12" t="s">
        <v>12735</v>
      </c>
    </row>
    <row r="133" spans="1:5">
      <c r="A133" s="12" t="s">
        <v>11590</v>
      </c>
      <c r="B133" s="12" t="s">
        <v>12736</v>
      </c>
      <c r="C133" s="12" t="s">
        <v>12737</v>
      </c>
      <c r="D133" s="12" t="s">
        <v>12738</v>
      </c>
    </row>
    <row r="134" spans="1:5">
      <c r="A134" s="12" t="s">
        <v>12739</v>
      </c>
      <c r="B134" s="12" t="s">
        <v>12740</v>
      </c>
      <c r="C134" s="12" t="s">
        <v>12741</v>
      </c>
      <c r="D134" s="12" t="s">
        <v>12742</v>
      </c>
    </row>
    <row r="135" spans="1:5">
      <c r="A135" s="12" t="s">
        <v>12040</v>
      </c>
      <c r="B135" s="12"/>
      <c r="C135" s="12"/>
      <c r="D135" s="12" t="s">
        <v>12743</v>
      </c>
    </row>
    <row r="136" spans="1:5">
      <c r="A136" s="12" t="s">
        <v>12744</v>
      </c>
      <c r="B136" s="12"/>
      <c r="C136" s="12" t="s">
        <v>12745</v>
      </c>
      <c r="D136" s="12" t="s">
        <v>12746</v>
      </c>
    </row>
    <row r="137" spans="1:5">
      <c r="A137" s="12" t="s">
        <v>7502</v>
      </c>
      <c r="B137" s="12"/>
      <c r="C137" s="12"/>
      <c r="D137" s="12" t="s">
        <v>12747</v>
      </c>
    </row>
    <row r="138" spans="1:5">
      <c r="A138" s="12"/>
      <c r="B138" s="12"/>
      <c r="C138" s="12"/>
      <c r="D138" s="12"/>
    </row>
    <row r="139" spans="1:5">
      <c r="A139" s="79" t="s">
        <v>333</v>
      </c>
      <c r="B139" s="79" t="s">
        <v>147</v>
      </c>
      <c r="C139" s="79" t="s">
        <v>148</v>
      </c>
      <c r="D139" s="79" t="s">
        <v>182</v>
      </c>
    </row>
    <row r="140" spans="1:5">
      <c r="A140" s="67" t="s">
        <v>12748</v>
      </c>
      <c r="B140" t="s">
        <v>12749</v>
      </c>
      <c r="C140" t="s">
        <v>12749</v>
      </c>
    </row>
    <row r="141" spans="1:5">
      <c r="A141" s="67" t="s">
        <v>12750</v>
      </c>
      <c r="B141" t="s">
        <v>12749</v>
      </c>
      <c r="C141" t="s">
        <v>12751</v>
      </c>
      <c r="D141" t="s">
        <v>12752</v>
      </c>
      <c r="E141" t="s">
        <v>12753</v>
      </c>
    </row>
    <row r="142" spans="1:5">
      <c r="A142" s="67" t="s">
        <v>12754</v>
      </c>
      <c r="B142" t="s">
        <v>12749</v>
      </c>
      <c r="C142" t="s">
        <v>12749</v>
      </c>
      <c r="D142" t="s">
        <v>12755</v>
      </c>
    </row>
    <row r="143" spans="1:5">
      <c r="A143" s="67" t="s">
        <v>12756</v>
      </c>
      <c r="B143" t="s">
        <v>12749</v>
      </c>
      <c r="C143" t="s">
        <v>12757</v>
      </c>
      <c r="D143" t="s">
        <v>12758</v>
      </c>
    </row>
    <row r="144" spans="1:5">
      <c r="A144" s="67" t="s">
        <v>12759</v>
      </c>
      <c r="B144" t="s">
        <v>12530</v>
      </c>
      <c r="C144" t="s">
        <v>12531</v>
      </c>
      <c r="D144" t="s">
        <v>12760</v>
      </c>
    </row>
    <row r="145" spans="1:5">
      <c r="A145" s="67" t="s">
        <v>12761</v>
      </c>
      <c r="B145" t="s">
        <v>12749</v>
      </c>
      <c r="C145" t="s">
        <v>12762</v>
      </c>
      <c r="D145" t="s">
        <v>12763</v>
      </c>
    </row>
    <row r="146" spans="1:5">
      <c r="A146" s="67" t="s">
        <v>12764</v>
      </c>
      <c r="B146" t="s">
        <v>12580</v>
      </c>
      <c r="D146" t="s">
        <v>12765</v>
      </c>
    </row>
    <row r="147" spans="1:5">
      <c r="A147" s="67" t="s">
        <v>12766</v>
      </c>
      <c r="B147" t="s">
        <v>12767</v>
      </c>
      <c r="D147" t="s">
        <v>12768</v>
      </c>
    </row>
    <row r="148" spans="1:5">
      <c r="A148" s="67" t="s">
        <v>12769</v>
      </c>
      <c r="B148" t="s">
        <v>12770</v>
      </c>
      <c r="C148" t="s">
        <v>12771</v>
      </c>
      <c r="D148" t="s">
        <v>12772</v>
      </c>
    </row>
    <row r="149" spans="1:5">
      <c r="A149" s="67" t="s">
        <v>12773</v>
      </c>
      <c r="B149" t="s">
        <v>12642</v>
      </c>
      <c r="C149" t="s">
        <v>12643</v>
      </c>
      <c r="D149" t="s">
        <v>12774</v>
      </c>
    </row>
    <row r="150" spans="1:5">
      <c r="A150" s="67" t="s">
        <v>12775</v>
      </c>
      <c r="B150" t="s">
        <v>12645</v>
      </c>
      <c r="C150" t="s">
        <v>12646</v>
      </c>
      <c r="D150" t="s">
        <v>12776</v>
      </c>
    </row>
    <row r="151" spans="1:5">
      <c r="A151" s="67" t="s">
        <v>12777</v>
      </c>
      <c r="B151" t="s">
        <v>12778</v>
      </c>
      <c r="D151" t="s">
        <v>12779</v>
      </c>
    </row>
    <row r="152" spans="1:5">
      <c r="A152" s="67" t="s">
        <v>12780</v>
      </c>
      <c r="C152" t="s">
        <v>12781</v>
      </c>
      <c r="D152" t="s">
        <v>12782</v>
      </c>
    </row>
    <row r="153" spans="1:5">
      <c r="A153" s="67" t="s">
        <v>12783</v>
      </c>
      <c r="C153" t="s">
        <v>12784</v>
      </c>
      <c r="D153" t="s">
        <v>12785</v>
      </c>
    </row>
    <row r="154" spans="1:5">
      <c r="A154" s="67" t="s">
        <v>12786</v>
      </c>
      <c r="B154" t="s">
        <v>12787</v>
      </c>
      <c r="C154" t="s">
        <v>12788</v>
      </c>
      <c r="D154" t="s">
        <v>12789</v>
      </c>
    </row>
    <row r="155" spans="1:5">
      <c r="A155" s="67" t="s">
        <v>12790</v>
      </c>
      <c r="B155" t="s">
        <v>12791</v>
      </c>
      <c r="C155" t="s">
        <v>12792</v>
      </c>
      <c r="D155" t="s">
        <v>12793</v>
      </c>
    </row>
    <row r="156" spans="1:5">
      <c r="A156" s="67" t="s">
        <v>11406</v>
      </c>
      <c r="E156" t="s">
        <v>12794</v>
      </c>
    </row>
    <row r="157" spans="1:5">
      <c r="A157" s="67" t="s">
        <v>12795</v>
      </c>
      <c r="B157" t="s">
        <v>12796</v>
      </c>
      <c r="C157" t="s">
        <v>12797</v>
      </c>
      <c r="D157" t="s">
        <v>12798</v>
      </c>
    </row>
    <row r="158" spans="1:5">
      <c r="A158" s="67" t="s">
        <v>12799</v>
      </c>
      <c r="B158" t="s">
        <v>3773</v>
      </c>
      <c r="C158" t="s">
        <v>3774</v>
      </c>
      <c r="D158" t="s">
        <v>3775</v>
      </c>
    </row>
    <row r="159" spans="1:5">
      <c r="A159" s="67" t="s">
        <v>12800</v>
      </c>
      <c r="B159" t="s">
        <v>12801</v>
      </c>
      <c r="C159" t="s">
        <v>12802</v>
      </c>
      <c r="D159" t="s">
        <v>12803</v>
      </c>
    </row>
    <row r="160" spans="1:5">
      <c r="A160" s="67" t="s">
        <v>12804</v>
      </c>
    </row>
    <row r="161" spans="1:4" ht="15" customHeight="1">
      <c r="A161" t="s">
        <v>12805</v>
      </c>
      <c r="C161" t="s">
        <v>12806</v>
      </c>
      <c r="D161" t="s">
        <v>12807</v>
      </c>
    </row>
    <row r="162" spans="1:4">
      <c r="A162" s="79" t="s">
        <v>878</v>
      </c>
      <c r="B162" s="79" t="s">
        <v>147</v>
      </c>
      <c r="C162" s="79" t="s">
        <v>148</v>
      </c>
      <c r="D162" s="79" t="s">
        <v>182</v>
      </c>
    </row>
    <row r="163" spans="1:4">
      <c r="A163" s="67" t="s">
        <v>3919</v>
      </c>
      <c r="B163" t="s">
        <v>3917</v>
      </c>
      <c r="D163" s="67" t="s">
        <v>3920</v>
      </c>
    </row>
    <row r="164" spans="1:4">
      <c r="A164" s="67" t="s">
        <v>7691</v>
      </c>
      <c r="B164" t="s">
        <v>3901</v>
      </c>
      <c r="C164" s="67" t="s">
        <v>3902</v>
      </c>
      <c r="D164" s="67" t="s">
        <v>3903</v>
      </c>
    </row>
    <row r="165" spans="1:4">
      <c r="A165" s="67" t="s">
        <v>3904</v>
      </c>
      <c r="B165" t="s">
        <v>3905</v>
      </c>
      <c r="C165" s="67" t="s">
        <v>3906</v>
      </c>
      <c r="D165" s="67" t="s">
        <v>3907</v>
      </c>
    </row>
    <row r="166" spans="1:4">
      <c r="A166" s="67" t="s">
        <v>12808</v>
      </c>
      <c r="B166" t="s">
        <v>3909</v>
      </c>
      <c r="C166" s="67" t="s">
        <v>3910</v>
      </c>
      <c r="D166" s="67" t="s">
        <v>3911</v>
      </c>
    </row>
    <row r="167" spans="1:4">
      <c r="A167" s="67" t="s">
        <v>7692</v>
      </c>
      <c r="B167" t="s">
        <v>3913</v>
      </c>
      <c r="C167" s="67" t="s">
        <v>3914</v>
      </c>
      <c r="D167" s="67" t="s">
        <v>3915</v>
      </c>
    </row>
    <row r="168" spans="1:4">
      <c r="A168" s="67" t="s">
        <v>12809</v>
      </c>
    </row>
    <row r="169" spans="1:4">
      <c r="A169" s="67" t="s">
        <v>12810</v>
      </c>
    </row>
    <row r="170" spans="1:4">
      <c r="A170" s="67" t="s">
        <v>12811</v>
      </c>
    </row>
    <row r="171" spans="1:4">
      <c r="A171" s="67" t="s">
        <v>12812</v>
      </c>
    </row>
    <row r="172" spans="1:4">
      <c r="A172" s="67" t="s">
        <v>12813</v>
      </c>
    </row>
    <row r="173" spans="1:4">
      <c r="A173" s="67" t="s">
        <v>12814</v>
      </c>
    </row>
    <row r="174" spans="1:4">
      <c r="A174" s="67" t="s">
        <v>12815</v>
      </c>
    </row>
    <row r="176" spans="1:4">
      <c r="A176" s="79" t="s">
        <v>428</v>
      </c>
      <c r="B176" s="79" t="s">
        <v>147</v>
      </c>
      <c r="C176" s="79" t="s">
        <v>148</v>
      </c>
      <c r="D176" s="79" t="s">
        <v>182</v>
      </c>
    </row>
    <row r="177" spans="1:4">
      <c r="A177" s="67" t="s">
        <v>3931</v>
      </c>
      <c r="B177" t="s">
        <v>3932</v>
      </c>
      <c r="C177" s="67" t="s">
        <v>3933</v>
      </c>
      <c r="D177" s="67" t="s">
        <v>3934</v>
      </c>
    </row>
    <row r="178" spans="1:4">
      <c r="A178" s="67" t="s">
        <v>3935</v>
      </c>
      <c r="B178" t="s">
        <v>3936</v>
      </c>
      <c r="C178" s="67" t="s">
        <v>3937</v>
      </c>
      <c r="D178" s="67" t="s">
        <v>3938</v>
      </c>
    </row>
    <row r="179" spans="1:4">
      <c r="A179" s="67" t="s">
        <v>3939</v>
      </c>
      <c r="B179" t="s">
        <v>3940</v>
      </c>
      <c r="C179" s="67" t="s">
        <v>3941</v>
      </c>
      <c r="D179" s="67" t="s">
        <v>3942</v>
      </c>
    </row>
    <row r="180" spans="1:4">
      <c r="A180" s="67" t="s">
        <v>3943</v>
      </c>
      <c r="B180" t="s">
        <v>3944</v>
      </c>
      <c r="C180" s="67" t="s">
        <v>3945</v>
      </c>
      <c r="D180" s="67" t="s">
        <v>3946</v>
      </c>
    </row>
    <row r="181" spans="1:4">
      <c r="A181" s="67" t="s">
        <v>3947</v>
      </c>
      <c r="B181" t="s">
        <v>3948</v>
      </c>
      <c r="C181" s="67" t="s">
        <v>3949</v>
      </c>
      <c r="D181" s="67" t="s">
        <v>3950</v>
      </c>
    </row>
    <row r="182" spans="1:4">
      <c r="A182" s="67" t="s">
        <v>3951</v>
      </c>
      <c r="B182" t="s">
        <v>3952</v>
      </c>
      <c r="C182" s="67" t="s">
        <v>3953</v>
      </c>
      <c r="D182" s="67" t="s">
        <v>3954</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F16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6">
      <c r="A1" s="79" t="s">
        <v>146</v>
      </c>
      <c r="B1" s="79" t="s">
        <v>147</v>
      </c>
      <c r="C1" s="79" t="s">
        <v>148</v>
      </c>
      <c r="D1" s="79" t="s">
        <v>182</v>
      </c>
      <c r="E1" s="34"/>
      <c r="F1" s="34"/>
    </row>
    <row r="2" spans="1:6">
      <c r="A2" s="67" t="s">
        <v>12816</v>
      </c>
      <c r="B2" s="70" t="s">
        <v>12817</v>
      </c>
      <c r="C2" s="67" t="s">
        <v>12818</v>
      </c>
      <c r="D2" s="67" t="s">
        <v>12819</v>
      </c>
      <c r="E2" s="34"/>
      <c r="F2" s="34"/>
    </row>
    <row r="3" spans="1:6">
      <c r="A3" s="67" t="s">
        <v>12820</v>
      </c>
      <c r="B3" s="70" t="s">
        <v>12821</v>
      </c>
      <c r="C3" s="34"/>
      <c r="D3" s="67" t="s">
        <v>12822</v>
      </c>
      <c r="E3" s="34"/>
      <c r="F3" s="34"/>
    </row>
    <row r="4" spans="1:6">
      <c r="A4" s="67" t="s">
        <v>12823</v>
      </c>
      <c r="B4" s="34"/>
      <c r="C4" s="34"/>
      <c r="D4" s="67" t="s">
        <v>12824</v>
      </c>
      <c r="E4" s="34"/>
      <c r="F4" s="34"/>
    </row>
    <row r="5" spans="1:6">
      <c r="A5" s="67" t="s">
        <v>12825</v>
      </c>
      <c r="B5" s="34"/>
      <c r="C5" s="34"/>
      <c r="D5" s="67" t="s">
        <v>12826</v>
      </c>
      <c r="E5" s="34"/>
      <c r="F5" s="34"/>
    </row>
    <row r="6" spans="1:6" ht="15" customHeight="1">
      <c r="A6" s="34"/>
      <c r="B6" s="34"/>
      <c r="C6" s="34"/>
      <c r="D6" s="34"/>
      <c r="E6" s="34"/>
      <c r="F6" s="34"/>
    </row>
    <row r="7" spans="1:6">
      <c r="A7" s="79" t="s">
        <v>181</v>
      </c>
      <c r="B7" s="79" t="s">
        <v>147</v>
      </c>
      <c r="C7" s="79" t="s">
        <v>148</v>
      </c>
      <c r="D7" s="79" t="s">
        <v>182</v>
      </c>
      <c r="E7" s="79" t="s">
        <v>184</v>
      </c>
      <c r="F7" s="34"/>
    </row>
    <row r="8" spans="1:6" ht="15" customHeight="1">
      <c r="A8" s="34" t="s">
        <v>12827</v>
      </c>
      <c r="B8" s="34" t="s">
        <v>12828</v>
      </c>
      <c r="C8" s="34" t="s">
        <v>12829</v>
      </c>
      <c r="D8" s="34" t="s">
        <v>12830</v>
      </c>
      <c r="E8" s="34" t="s">
        <v>12831</v>
      </c>
      <c r="F8" s="34"/>
    </row>
    <row r="9" spans="1:6" ht="15" customHeight="1">
      <c r="A9" s="34" t="s">
        <v>12832</v>
      </c>
      <c r="B9" s="34" t="s">
        <v>12833</v>
      </c>
      <c r="C9" s="34" t="s">
        <v>12834</v>
      </c>
      <c r="D9" s="34" t="s">
        <v>12835</v>
      </c>
      <c r="E9" s="34" t="s">
        <v>12832</v>
      </c>
      <c r="F9" s="34"/>
    </row>
    <row r="10" spans="1:6" ht="15" customHeight="1">
      <c r="A10" s="34" t="s">
        <v>12836</v>
      </c>
      <c r="B10" s="34" t="s">
        <v>12837</v>
      </c>
      <c r="C10" s="34" t="s">
        <v>12838</v>
      </c>
      <c r="D10" s="34" t="s">
        <v>12839</v>
      </c>
      <c r="E10" s="34" t="s">
        <v>12840</v>
      </c>
      <c r="F10" s="34"/>
    </row>
    <row r="11" spans="1:6" ht="15" customHeight="1">
      <c r="A11" s="34" t="s">
        <v>12841</v>
      </c>
      <c r="B11" s="34" t="s">
        <v>12842</v>
      </c>
      <c r="C11" s="34" t="s">
        <v>12843</v>
      </c>
      <c r="D11" s="34" t="s">
        <v>12844</v>
      </c>
      <c r="E11" s="34" t="s">
        <v>6891</v>
      </c>
      <c r="F11" s="34"/>
    </row>
    <row r="12" spans="1:6" ht="15" customHeight="1">
      <c r="A12" s="34" t="s">
        <v>12845</v>
      </c>
      <c r="B12" s="34" t="s">
        <v>12846</v>
      </c>
      <c r="C12" s="34" t="s">
        <v>12847</v>
      </c>
      <c r="D12" s="34" t="s">
        <v>12848</v>
      </c>
      <c r="E12" s="34" t="s">
        <v>12831</v>
      </c>
      <c r="F12" s="34"/>
    </row>
    <row r="13" spans="1:6" ht="15" customHeight="1">
      <c r="A13" s="34"/>
      <c r="B13" s="34"/>
      <c r="C13" s="34"/>
      <c r="D13" s="34"/>
      <c r="E13" s="34"/>
      <c r="F13" s="34"/>
    </row>
    <row r="14" spans="1:6">
      <c r="A14" s="79" t="s">
        <v>209</v>
      </c>
      <c r="B14" s="79" t="s">
        <v>147</v>
      </c>
      <c r="C14" s="79" t="s">
        <v>148</v>
      </c>
      <c r="D14" s="79" t="s">
        <v>182</v>
      </c>
      <c r="E14" s="34"/>
      <c r="F14" s="34"/>
    </row>
    <row r="15" spans="1:6">
      <c r="A15" s="67" t="s">
        <v>5376</v>
      </c>
      <c r="B15" s="34" t="s">
        <v>164</v>
      </c>
      <c r="C15" s="34" t="s">
        <v>164</v>
      </c>
      <c r="D15" s="34" t="s">
        <v>12849</v>
      </c>
      <c r="E15" s="34"/>
      <c r="F15" s="34"/>
    </row>
    <row r="16" spans="1:6">
      <c r="A16" s="67" t="s">
        <v>12850</v>
      </c>
      <c r="B16" s="34" t="s">
        <v>164</v>
      </c>
      <c r="C16" s="34" t="s">
        <v>12851</v>
      </c>
      <c r="D16" s="34" t="s">
        <v>12852</v>
      </c>
      <c r="E16" s="34"/>
      <c r="F16" s="34"/>
    </row>
    <row r="17" spans="1:6">
      <c r="A17" s="67" t="s">
        <v>5752</v>
      </c>
      <c r="B17" s="34" t="s">
        <v>164</v>
      </c>
      <c r="C17" s="34" t="s">
        <v>12853</v>
      </c>
      <c r="D17" s="34" t="s">
        <v>12854</v>
      </c>
      <c r="E17" s="34"/>
      <c r="F17" s="34"/>
    </row>
    <row r="18" spans="1:6">
      <c r="A18" s="67" t="s">
        <v>12855</v>
      </c>
      <c r="B18" s="34" t="s">
        <v>164</v>
      </c>
      <c r="C18" s="34" t="s">
        <v>12856</v>
      </c>
      <c r="D18" s="34" t="s">
        <v>12857</v>
      </c>
      <c r="E18" s="34"/>
      <c r="F18" s="34"/>
    </row>
    <row r="19" spans="1:6">
      <c r="A19" s="67" t="s">
        <v>12858</v>
      </c>
      <c r="B19" s="34" t="s">
        <v>164</v>
      </c>
      <c r="C19" s="34" t="s">
        <v>12859</v>
      </c>
      <c r="D19" s="34" t="s">
        <v>12860</v>
      </c>
      <c r="E19" s="34"/>
      <c r="F19" s="34"/>
    </row>
    <row r="20" spans="1:6">
      <c r="A20" s="67" t="s">
        <v>5401</v>
      </c>
      <c r="B20" s="34" t="s">
        <v>12861</v>
      </c>
      <c r="C20" s="34" t="s">
        <v>164</v>
      </c>
      <c r="D20" s="34" t="s">
        <v>12862</v>
      </c>
      <c r="E20" s="34"/>
      <c r="F20" s="34"/>
    </row>
    <row r="21" spans="1:6">
      <c r="A21" s="67" t="s">
        <v>9570</v>
      </c>
      <c r="B21" s="34" t="s">
        <v>164</v>
      </c>
      <c r="C21" s="34" t="s">
        <v>12863</v>
      </c>
      <c r="D21" s="34" t="s">
        <v>12864</v>
      </c>
      <c r="E21" s="34"/>
      <c r="F21" s="34"/>
    </row>
    <row r="22" spans="1:6">
      <c r="A22" s="67" t="s">
        <v>12865</v>
      </c>
      <c r="B22" s="34" t="s">
        <v>12866</v>
      </c>
      <c r="C22" s="34" t="s">
        <v>12867</v>
      </c>
      <c r="D22" s="34" t="s">
        <v>12868</v>
      </c>
      <c r="E22" s="34"/>
      <c r="F22" s="34"/>
    </row>
    <row r="23" spans="1:6">
      <c r="A23" s="67" t="s">
        <v>5422</v>
      </c>
      <c r="B23" s="34" t="s">
        <v>164</v>
      </c>
      <c r="C23" s="34" t="s">
        <v>12869</v>
      </c>
      <c r="D23" s="34" t="s">
        <v>12870</v>
      </c>
      <c r="E23" s="34"/>
      <c r="F23" s="34"/>
    </row>
    <row r="24" spans="1:6">
      <c r="A24" s="67" t="s">
        <v>12871</v>
      </c>
      <c r="B24" s="34" t="s">
        <v>164</v>
      </c>
      <c r="C24" s="34" t="s">
        <v>12872</v>
      </c>
      <c r="D24" s="34" t="s">
        <v>12873</v>
      </c>
      <c r="E24" s="34"/>
      <c r="F24" s="34"/>
    </row>
    <row r="25" spans="1:6">
      <c r="A25" s="67" t="s">
        <v>5441</v>
      </c>
      <c r="B25" s="34" t="s">
        <v>164</v>
      </c>
      <c r="C25" s="34" t="s">
        <v>164</v>
      </c>
      <c r="D25" s="34" t="s">
        <v>12874</v>
      </c>
      <c r="E25" s="34"/>
      <c r="F25" s="34"/>
    </row>
    <row r="26" spans="1:6">
      <c r="A26" s="67" t="s">
        <v>8668</v>
      </c>
      <c r="B26" s="34" t="s">
        <v>164</v>
      </c>
      <c r="C26" s="34" t="s">
        <v>12875</v>
      </c>
      <c r="D26" s="34" t="s">
        <v>12876</v>
      </c>
      <c r="E26" s="34"/>
      <c r="F26" s="34"/>
    </row>
    <row r="27" spans="1:6">
      <c r="A27" s="67" t="s">
        <v>5806</v>
      </c>
      <c r="B27" s="34" t="s">
        <v>787</v>
      </c>
      <c r="C27" s="34" t="s">
        <v>164</v>
      </c>
      <c r="D27" s="34" t="s">
        <v>12877</v>
      </c>
      <c r="E27" s="34"/>
      <c r="F27" s="34"/>
    </row>
    <row r="28" spans="1:6">
      <c r="A28" s="67" t="s">
        <v>12878</v>
      </c>
      <c r="B28" s="34" t="s">
        <v>787</v>
      </c>
      <c r="C28" s="34" t="s">
        <v>787</v>
      </c>
      <c r="D28" s="34" t="s">
        <v>12879</v>
      </c>
      <c r="E28" s="34"/>
      <c r="F28" s="34"/>
    </row>
    <row r="29" spans="1:6">
      <c r="A29" s="67" t="s">
        <v>12880</v>
      </c>
      <c r="B29" s="34" t="s">
        <v>787</v>
      </c>
      <c r="C29" s="34" t="s">
        <v>787</v>
      </c>
      <c r="D29" s="34" t="s">
        <v>12881</v>
      </c>
      <c r="E29" s="34"/>
      <c r="F29" s="34"/>
    </row>
    <row r="30" spans="1:6">
      <c r="A30" s="67" t="s">
        <v>5187</v>
      </c>
      <c r="B30" s="34" t="s">
        <v>787</v>
      </c>
      <c r="C30" s="34" t="s">
        <v>787</v>
      </c>
      <c r="D30" s="34" t="s">
        <v>12882</v>
      </c>
      <c r="E30" s="34"/>
      <c r="F30" s="34"/>
    </row>
    <row r="31" spans="1:6">
      <c r="A31" s="67" t="s">
        <v>11961</v>
      </c>
      <c r="B31" s="34" t="s">
        <v>12883</v>
      </c>
      <c r="C31" s="34" t="s">
        <v>12884</v>
      </c>
      <c r="D31" s="34" t="s">
        <v>12885</v>
      </c>
      <c r="E31" s="34"/>
      <c r="F31" s="34"/>
    </row>
    <row r="32" spans="1:6">
      <c r="A32" s="67" t="s">
        <v>12886</v>
      </c>
      <c r="B32" s="34" t="s">
        <v>12887</v>
      </c>
      <c r="C32" s="34" t="s">
        <v>12888</v>
      </c>
      <c r="D32" s="34" t="s">
        <v>12889</v>
      </c>
      <c r="E32" s="34"/>
      <c r="F32" s="34"/>
    </row>
    <row r="33" spans="1:6">
      <c r="A33" s="67" t="s">
        <v>12890</v>
      </c>
      <c r="B33" s="34" t="s">
        <v>787</v>
      </c>
      <c r="C33" s="34" t="s">
        <v>787</v>
      </c>
      <c r="D33" s="34" t="s">
        <v>12891</v>
      </c>
      <c r="E33" s="34"/>
      <c r="F33" s="34"/>
    </row>
    <row r="34" spans="1:6">
      <c r="A34" s="67" t="s">
        <v>12892</v>
      </c>
      <c r="B34" s="34" t="s">
        <v>787</v>
      </c>
      <c r="C34" s="34" t="s">
        <v>787</v>
      </c>
      <c r="D34" s="34" t="s">
        <v>12893</v>
      </c>
      <c r="E34" s="34"/>
      <c r="F34" s="34"/>
    </row>
    <row r="35" spans="1:6">
      <c r="A35" s="67" t="s">
        <v>5203</v>
      </c>
      <c r="B35" s="34" t="s">
        <v>787</v>
      </c>
      <c r="C35" s="34" t="s">
        <v>787</v>
      </c>
      <c r="D35" s="34" t="s">
        <v>12894</v>
      </c>
      <c r="E35" s="34"/>
      <c r="F35" s="34"/>
    </row>
    <row r="36" spans="1:6">
      <c r="A36" s="67" t="s">
        <v>5206</v>
      </c>
      <c r="B36" s="34" t="s">
        <v>787</v>
      </c>
      <c r="C36" s="34" t="s">
        <v>787</v>
      </c>
      <c r="D36" s="34" t="s">
        <v>12895</v>
      </c>
      <c r="E36" s="34"/>
      <c r="F36" s="34"/>
    </row>
    <row r="37" spans="1:6">
      <c r="A37" s="67" t="s">
        <v>5511</v>
      </c>
      <c r="B37" s="34" t="s">
        <v>787</v>
      </c>
      <c r="C37" s="34" t="s">
        <v>787</v>
      </c>
      <c r="D37" s="34" t="s">
        <v>12896</v>
      </c>
      <c r="E37" s="34"/>
      <c r="F37" s="34"/>
    </row>
    <row r="38" spans="1:6">
      <c r="A38" s="67" t="s">
        <v>12897</v>
      </c>
      <c r="B38" s="34" t="s">
        <v>787</v>
      </c>
      <c r="C38" s="34" t="s">
        <v>787</v>
      </c>
      <c r="D38" s="34" t="s">
        <v>12898</v>
      </c>
      <c r="E38" s="34"/>
      <c r="F38" s="34"/>
    </row>
    <row r="39" spans="1:6">
      <c r="A39" s="67" t="s">
        <v>12899</v>
      </c>
      <c r="B39" s="34" t="s">
        <v>787</v>
      </c>
      <c r="C39" s="34" t="s">
        <v>787</v>
      </c>
      <c r="D39" s="34" t="s">
        <v>12900</v>
      </c>
      <c r="E39" s="34"/>
      <c r="F39" s="34"/>
    </row>
    <row r="40" spans="1:6">
      <c r="A40" s="67" t="s">
        <v>12901</v>
      </c>
      <c r="B40" s="34" t="s">
        <v>787</v>
      </c>
      <c r="C40" s="34" t="s">
        <v>787</v>
      </c>
      <c r="D40" s="34" t="s">
        <v>12902</v>
      </c>
      <c r="E40" s="34"/>
      <c r="F40" s="34"/>
    </row>
    <row r="41" spans="1:6">
      <c r="A41" s="67" t="s">
        <v>8756</v>
      </c>
      <c r="B41" s="34" t="s">
        <v>12903</v>
      </c>
      <c r="C41" s="34" t="s">
        <v>12904</v>
      </c>
      <c r="D41" s="34" t="s">
        <v>12905</v>
      </c>
      <c r="E41" s="34"/>
      <c r="F41" s="34"/>
    </row>
    <row r="42" spans="1:6">
      <c r="A42" s="67" t="s">
        <v>9166</v>
      </c>
      <c r="B42" s="34" t="s">
        <v>787</v>
      </c>
      <c r="C42" s="34" t="s">
        <v>787</v>
      </c>
      <c r="D42" s="34" t="s">
        <v>12906</v>
      </c>
      <c r="E42" s="34"/>
      <c r="F42" s="34"/>
    </row>
    <row r="43" spans="1:6">
      <c r="A43" s="67" t="s">
        <v>12907</v>
      </c>
      <c r="B43" s="34" t="s">
        <v>12908</v>
      </c>
      <c r="C43" s="34" t="s">
        <v>12909</v>
      </c>
      <c r="D43" s="34" t="s">
        <v>12910</v>
      </c>
      <c r="E43" s="34"/>
      <c r="F43" s="34"/>
    </row>
    <row r="44" spans="1:6">
      <c r="A44" s="67" t="s">
        <v>12911</v>
      </c>
      <c r="B44" s="34" t="s">
        <v>787</v>
      </c>
      <c r="C44" s="34" t="s">
        <v>787</v>
      </c>
      <c r="D44" s="34" t="s">
        <v>12912</v>
      </c>
      <c r="E44" s="34"/>
      <c r="F44" s="34"/>
    </row>
    <row r="45" spans="1:6">
      <c r="A45" s="67" t="s">
        <v>12913</v>
      </c>
      <c r="B45" s="34" t="s">
        <v>12914</v>
      </c>
      <c r="C45" s="34" t="s">
        <v>787</v>
      </c>
      <c r="D45" s="34" t="s">
        <v>12915</v>
      </c>
      <c r="E45" s="34"/>
      <c r="F45" s="34"/>
    </row>
    <row r="46" spans="1:6">
      <c r="A46" s="67" t="s">
        <v>12916</v>
      </c>
      <c r="B46" s="34" t="s">
        <v>12917</v>
      </c>
      <c r="C46" s="34" t="s">
        <v>12918</v>
      </c>
      <c r="D46" s="34" t="s">
        <v>12919</v>
      </c>
      <c r="E46" s="34"/>
      <c r="F46" s="34"/>
    </row>
    <row r="47" spans="1:6">
      <c r="A47" s="67" t="s">
        <v>6696</v>
      </c>
      <c r="B47" s="34" t="s">
        <v>787</v>
      </c>
      <c r="C47" s="34" t="s">
        <v>787</v>
      </c>
      <c r="D47" s="34" t="s">
        <v>12920</v>
      </c>
      <c r="E47" s="34"/>
      <c r="F47" s="34"/>
    </row>
    <row r="48" spans="1:6">
      <c r="A48" s="67" t="s">
        <v>8763</v>
      </c>
      <c r="B48" s="34" t="s">
        <v>12921</v>
      </c>
      <c r="C48" s="34" t="s">
        <v>12922</v>
      </c>
      <c r="D48" s="34" t="s">
        <v>12923</v>
      </c>
      <c r="E48" s="34"/>
      <c r="F48" s="34"/>
    </row>
    <row r="49" spans="1:6">
      <c r="A49" s="67" t="s">
        <v>12924</v>
      </c>
      <c r="B49" s="34" t="s">
        <v>12925</v>
      </c>
      <c r="C49" s="34" t="s">
        <v>12926</v>
      </c>
      <c r="D49" s="34" t="s">
        <v>12927</v>
      </c>
      <c r="E49" s="34"/>
      <c r="F49" s="34"/>
    </row>
    <row r="50" spans="1:6">
      <c r="A50" s="67" t="s">
        <v>12928</v>
      </c>
      <c r="B50" s="34" t="s">
        <v>787</v>
      </c>
      <c r="C50" s="34" t="s">
        <v>787</v>
      </c>
      <c r="D50" s="34" t="s">
        <v>12929</v>
      </c>
      <c r="E50" s="34"/>
      <c r="F50" s="34"/>
    </row>
    <row r="51" spans="1:6">
      <c r="A51" s="67" t="s">
        <v>12930</v>
      </c>
      <c r="B51" s="34" t="s">
        <v>787</v>
      </c>
      <c r="C51" s="34" t="s">
        <v>12931</v>
      </c>
      <c r="D51" s="34" t="s">
        <v>12932</v>
      </c>
      <c r="E51" s="34"/>
      <c r="F51" s="34"/>
    </row>
    <row r="52" spans="1:6">
      <c r="A52" s="67" t="s">
        <v>12933</v>
      </c>
      <c r="B52" s="34" t="s">
        <v>787</v>
      </c>
      <c r="C52" s="34" t="s">
        <v>787</v>
      </c>
      <c r="D52" s="34" t="s">
        <v>12934</v>
      </c>
      <c r="E52" s="34"/>
      <c r="F52" s="34"/>
    </row>
    <row r="53" spans="1:6">
      <c r="A53" s="67" t="s">
        <v>12935</v>
      </c>
      <c r="B53" s="34" t="s">
        <v>787</v>
      </c>
      <c r="C53" s="34" t="s">
        <v>787</v>
      </c>
      <c r="D53" s="34" t="s">
        <v>12936</v>
      </c>
      <c r="E53" s="34"/>
      <c r="F53" s="34"/>
    </row>
    <row r="54" spans="1:6" ht="15" customHeight="1">
      <c r="A54" s="34"/>
      <c r="B54" s="34"/>
      <c r="C54" s="34"/>
      <c r="D54" s="34"/>
      <c r="E54" s="34"/>
      <c r="F54" s="34"/>
    </row>
    <row r="55" spans="1:6">
      <c r="A55" s="79" t="s">
        <v>333</v>
      </c>
      <c r="B55" s="79" t="s">
        <v>147</v>
      </c>
      <c r="C55" s="79" t="s">
        <v>148</v>
      </c>
      <c r="D55" s="79" t="s">
        <v>182</v>
      </c>
      <c r="E55" s="34"/>
      <c r="F55" s="34"/>
    </row>
    <row r="56" spans="1:6">
      <c r="A56" s="67" t="s">
        <v>12937</v>
      </c>
      <c r="B56" s="34" t="s">
        <v>787</v>
      </c>
      <c r="C56" s="34" t="s">
        <v>787</v>
      </c>
      <c r="D56" s="34" t="s">
        <v>12938</v>
      </c>
      <c r="E56" s="34"/>
      <c r="F56" s="34"/>
    </row>
    <row r="57" spans="1:6">
      <c r="A57" s="67" t="s">
        <v>12939</v>
      </c>
      <c r="B57" s="34" t="s">
        <v>787</v>
      </c>
      <c r="C57" s="34" t="s">
        <v>787</v>
      </c>
      <c r="D57" s="34" t="s">
        <v>12940</v>
      </c>
      <c r="E57" s="34"/>
      <c r="F57" s="34"/>
    </row>
    <row r="58" spans="1:6">
      <c r="A58" s="67" t="s">
        <v>12941</v>
      </c>
      <c r="B58" s="34" t="s">
        <v>12942</v>
      </c>
      <c r="C58" s="34" t="s">
        <v>12943</v>
      </c>
      <c r="D58" s="34" t="s">
        <v>12944</v>
      </c>
      <c r="E58" s="34"/>
      <c r="F58" s="34"/>
    </row>
    <row r="59" spans="1:6">
      <c r="A59" s="67" t="s">
        <v>12945</v>
      </c>
      <c r="B59" s="34" t="s">
        <v>787</v>
      </c>
      <c r="C59" s="34" t="s">
        <v>787</v>
      </c>
      <c r="D59" s="34" t="s">
        <v>12946</v>
      </c>
      <c r="E59" s="34"/>
      <c r="F59" s="34"/>
    </row>
    <row r="60" spans="1:6">
      <c r="A60" s="67" t="s">
        <v>12947</v>
      </c>
      <c r="B60" s="34" t="s">
        <v>787</v>
      </c>
      <c r="C60" s="34" t="s">
        <v>787</v>
      </c>
      <c r="D60" s="34" t="s">
        <v>12948</v>
      </c>
      <c r="E60" s="34"/>
      <c r="F60" s="34"/>
    </row>
    <row r="61" spans="1:6">
      <c r="A61" s="67" t="s">
        <v>12949</v>
      </c>
      <c r="B61" s="34" t="s">
        <v>787</v>
      </c>
      <c r="C61" s="34" t="s">
        <v>787</v>
      </c>
      <c r="D61" s="34" t="s">
        <v>12950</v>
      </c>
      <c r="E61" s="34"/>
      <c r="F61" s="34"/>
    </row>
    <row r="62" spans="1:6">
      <c r="A62" s="67" t="s">
        <v>12951</v>
      </c>
      <c r="B62" s="34" t="s">
        <v>787</v>
      </c>
      <c r="C62" s="34" t="s">
        <v>12952</v>
      </c>
      <c r="D62" s="34" t="s">
        <v>12953</v>
      </c>
      <c r="E62" s="34"/>
      <c r="F62" s="34"/>
    </row>
    <row r="63" spans="1:6">
      <c r="A63" s="67" t="s">
        <v>12954</v>
      </c>
      <c r="B63" s="34" t="s">
        <v>787</v>
      </c>
      <c r="C63" s="34" t="s">
        <v>787</v>
      </c>
      <c r="D63" s="34" t="s">
        <v>12955</v>
      </c>
      <c r="E63" s="34"/>
      <c r="F63" s="34"/>
    </row>
    <row r="64" spans="1:6">
      <c r="A64" s="67" t="s">
        <v>12956</v>
      </c>
      <c r="B64" s="34" t="s">
        <v>787</v>
      </c>
      <c r="C64" s="34" t="s">
        <v>787</v>
      </c>
      <c r="D64" s="34" t="s">
        <v>12957</v>
      </c>
      <c r="E64" s="34"/>
      <c r="F64" s="34"/>
    </row>
    <row r="65" spans="1:6">
      <c r="A65" s="67" t="s">
        <v>12958</v>
      </c>
      <c r="B65" s="34" t="s">
        <v>787</v>
      </c>
      <c r="C65" s="34" t="s">
        <v>12959</v>
      </c>
      <c r="D65" s="34" t="s">
        <v>12960</v>
      </c>
      <c r="E65" s="34"/>
      <c r="F65" s="34"/>
    </row>
    <row r="66" spans="1:6">
      <c r="A66" s="67" t="s">
        <v>12961</v>
      </c>
      <c r="B66" s="34" t="s">
        <v>787</v>
      </c>
      <c r="C66" s="34" t="s">
        <v>787</v>
      </c>
      <c r="D66" s="34" t="s">
        <v>12962</v>
      </c>
      <c r="E66" s="34"/>
      <c r="F66" s="34"/>
    </row>
    <row r="67" spans="1:6">
      <c r="A67" s="67" t="s">
        <v>12963</v>
      </c>
      <c r="B67" s="34" t="s">
        <v>12903</v>
      </c>
      <c r="C67" s="34" t="s">
        <v>12904</v>
      </c>
      <c r="D67" s="34" t="s">
        <v>12964</v>
      </c>
      <c r="E67" s="34"/>
      <c r="F67" s="34"/>
    </row>
    <row r="68" spans="1:6">
      <c r="A68" s="67" t="s">
        <v>12965</v>
      </c>
      <c r="B68" s="34" t="s">
        <v>787</v>
      </c>
      <c r="C68" s="34" t="s">
        <v>787</v>
      </c>
      <c r="D68" s="34" t="s">
        <v>12966</v>
      </c>
      <c r="E68" s="34"/>
      <c r="F68" s="34"/>
    </row>
    <row r="69" spans="1:6">
      <c r="A69" s="67" t="s">
        <v>12967</v>
      </c>
      <c r="B69" s="34" t="s">
        <v>12968</v>
      </c>
      <c r="C69" s="34" t="s">
        <v>12969</v>
      </c>
      <c r="D69" s="34" t="s">
        <v>12970</v>
      </c>
      <c r="E69" s="34"/>
      <c r="F69" s="34"/>
    </row>
    <row r="70" spans="1:6">
      <c r="A70" s="67" t="s">
        <v>12971</v>
      </c>
      <c r="B70" s="34" t="s">
        <v>12972</v>
      </c>
      <c r="C70" s="34" t="s">
        <v>787</v>
      </c>
      <c r="D70" s="34" t="s">
        <v>12973</v>
      </c>
      <c r="E70" s="34"/>
      <c r="F70" s="34"/>
    </row>
    <row r="71" spans="1:6">
      <c r="A71" s="67" t="s">
        <v>12974</v>
      </c>
      <c r="B71" s="34" t="s">
        <v>12975</v>
      </c>
      <c r="C71" s="34" t="s">
        <v>12976</v>
      </c>
      <c r="D71" s="34" t="s">
        <v>12977</v>
      </c>
      <c r="E71" s="34"/>
      <c r="F71" s="34"/>
    </row>
    <row r="72" spans="1:6">
      <c r="A72" s="67" t="s">
        <v>12978</v>
      </c>
      <c r="B72" s="34" t="s">
        <v>787</v>
      </c>
      <c r="C72" s="34" t="s">
        <v>787</v>
      </c>
      <c r="D72" s="34" t="s">
        <v>12979</v>
      </c>
      <c r="E72" s="34"/>
      <c r="F72" s="34"/>
    </row>
    <row r="73" spans="1:6">
      <c r="A73" s="67" t="s">
        <v>11175</v>
      </c>
      <c r="B73" s="34" t="s">
        <v>787</v>
      </c>
      <c r="C73" s="34" t="s">
        <v>787</v>
      </c>
      <c r="D73" s="34" t="s">
        <v>12980</v>
      </c>
      <c r="E73" s="34"/>
      <c r="F73" s="34"/>
    </row>
    <row r="74" spans="1:6">
      <c r="A74" s="67" t="s">
        <v>12981</v>
      </c>
      <c r="B74" s="34" t="s">
        <v>12982</v>
      </c>
      <c r="C74" s="34" t="s">
        <v>12983</v>
      </c>
      <c r="D74" s="34" t="s">
        <v>12984</v>
      </c>
      <c r="E74" s="34"/>
      <c r="F74" s="34"/>
    </row>
    <row r="75" spans="1:6">
      <c r="A75" s="67" t="s">
        <v>12985</v>
      </c>
      <c r="B75" s="34" t="s">
        <v>12986</v>
      </c>
      <c r="C75" s="34" t="s">
        <v>12987</v>
      </c>
      <c r="D75" s="34" t="s">
        <v>12988</v>
      </c>
      <c r="E75" s="34"/>
      <c r="F75" s="34"/>
    </row>
    <row r="76" spans="1:6">
      <c r="A76" s="67" t="s">
        <v>12989</v>
      </c>
      <c r="B76" s="34" t="s">
        <v>787</v>
      </c>
      <c r="C76" s="34" t="s">
        <v>12990</v>
      </c>
      <c r="D76" s="34" t="s">
        <v>12991</v>
      </c>
      <c r="E76" s="34"/>
      <c r="F76" s="34"/>
    </row>
    <row r="77" spans="1:6">
      <c r="A77" s="67" t="s">
        <v>12992</v>
      </c>
      <c r="B77" s="34" t="s">
        <v>12993</v>
      </c>
      <c r="C77" s="34" t="s">
        <v>12994</v>
      </c>
      <c r="D77" s="34" t="s">
        <v>12995</v>
      </c>
      <c r="E77" s="34"/>
      <c r="F77" s="34"/>
    </row>
    <row r="78" spans="1:6">
      <c r="A78" s="67" t="s">
        <v>12996</v>
      </c>
      <c r="B78" s="34" t="s">
        <v>12997</v>
      </c>
      <c r="C78" s="34" t="s">
        <v>12998</v>
      </c>
      <c r="D78" s="34" t="s">
        <v>12999</v>
      </c>
      <c r="E78" s="34"/>
      <c r="F78" s="34"/>
    </row>
    <row r="79" spans="1:6">
      <c r="A79" s="67" t="s">
        <v>13000</v>
      </c>
      <c r="B79" s="34" t="s">
        <v>787</v>
      </c>
      <c r="C79" s="34" t="s">
        <v>787</v>
      </c>
      <c r="D79" s="34" t="s">
        <v>13001</v>
      </c>
      <c r="E79" s="34"/>
      <c r="F79" s="34"/>
    </row>
    <row r="80" spans="1:6">
      <c r="A80" s="67" t="s">
        <v>13002</v>
      </c>
      <c r="B80" s="34" t="s">
        <v>13003</v>
      </c>
      <c r="C80" s="34" t="s">
        <v>13004</v>
      </c>
      <c r="D80" s="34" t="s">
        <v>13005</v>
      </c>
      <c r="E80" s="34"/>
      <c r="F80" s="34"/>
    </row>
    <row r="81" spans="1:6">
      <c r="A81" s="67" t="s">
        <v>13006</v>
      </c>
      <c r="B81" s="34" t="s">
        <v>13007</v>
      </c>
      <c r="C81" s="34" t="s">
        <v>13008</v>
      </c>
      <c r="D81" s="34" t="s">
        <v>13009</v>
      </c>
      <c r="E81" s="34"/>
      <c r="F81" s="34"/>
    </row>
    <row r="82" spans="1:6">
      <c r="A82" s="67" t="s">
        <v>13010</v>
      </c>
      <c r="B82" s="34" t="s">
        <v>12975</v>
      </c>
      <c r="C82" s="34" t="s">
        <v>12976</v>
      </c>
      <c r="D82" s="34" t="s">
        <v>13011</v>
      </c>
      <c r="E82" s="34"/>
      <c r="F82" s="34"/>
    </row>
    <row r="83" spans="1:6">
      <c r="A83" s="67" t="s">
        <v>13012</v>
      </c>
      <c r="B83" s="34" t="s">
        <v>13013</v>
      </c>
      <c r="C83" t="s">
        <v>787</v>
      </c>
      <c r="D83" s="34" t="s">
        <v>13014</v>
      </c>
      <c r="E83" s="34"/>
      <c r="F83" s="34"/>
    </row>
    <row r="84" spans="1:6" ht="15" customHeight="1">
      <c r="A84" s="34"/>
      <c r="B84" s="34"/>
      <c r="C84" s="34"/>
      <c r="D84" s="34"/>
      <c r="E84" s="34"/>
      <c r="F84" s="34"/>
    </row>
    <row r="85" spans="1:6">
      <c r="A85" s="79" t="s">
        <v>878</v>
      </c>
      <c r="B85" s="79" t="s">
        <v>147</v>
      </c>
      <c r="C85" s="79" t="s">
        <v>148</v>
      </c>
      <c r="D85" s="79" t="s">
        <v>182</v>
      </c>
      <c r="E85" s="34"/>
      <c r="F85" s="34"/>
    </row>
    <row r="86" spans="1:6">
      <c r="A86" s="67" t="s">
        <v>13015</v>
      </c>
      <c r="B86" s="34" t="s">
        <v>13016</v>
      </c>
      <c r="C86" s="34" t="s">
        <v>13017</v>
      </c>
      <c r="D86" s="34" t="s">
        <v>13018</v>
      </c>
      <c r="E86" s="34"/>
      <c r="F86" s="34"/>
    </row>
    <row r="87" spans="1:6">
      <c r="A87" s="67" t="s">
        <v>13019</v>
      </c>
      <c r="B87" s="34" t="s">
        <v>787</v>
      </c>
      <c r="C87" s="34" t="s">
        <v>787</v>
      </c>
      <c r="D87" s="34" t="s">
        <v>13020</v>
      </c>
      <c r="E87" s="34"/>
      <c r="F87" s="34"/>
    </row>
    <row r="88" spans="1:6">
      <c r="A88" s="67" t="s">
        <v>13021</v>
      </c>
      <c r="B88" s="34" t="s">
        <v>13022</v>
      </c>
      <c r="C88" s="34" t="s">
        <v>13023</v>
      </c>
      <c r="D88" s="34" t="s">
        <v>13024</v>
      </c>
      <c r="E88" s="34"/>
      <c r="F88" s="34"/>
    </row>
    <row r="89" spans="1:6">
      <c r="A89" s="67" t="s">
        <v>13025</v>
      </c>
      <c r="B89" s="34" t="s">
        <v>787</v>
      </c>
      <c r="C89" s="34" t="s">
        <v>787</v>
      </c>
      <c r="D89" s="34" t="s">
        <v>13026</v>
      </c>
      <c r="E89" s="34"/>
      <c r="F89" s="34"/>
    </row>
    <row r="90" spans="1:6">
      <c r="A90" s="67" t="s">
        <v>13027</v>
      </c>
      <c r="B90" s="34" t="s">
        <v>787</v>
      </c>
      <c r="C90" s="34" t="s">
        <v>787</v>
      </c>
      <c r="D90" s="34" t="s">
        <v>13028</v>
      </c>
      <c r="E90" s="34"/>
      <c r="F90" s="34"/>
    </row>
    <row r="91" spans="1:6">
      <c r="A91" s="67" t="s">
        <v>13029</v>
      </c>
      <c r="B91" s="34" t="s">
        <v>787</v>
      </c>
      <c r="C91" s="34" t="s">
        <v>787</v>
      </c>
      <c r="D91" s="34" t="s">
        <v>13030</v>
      </c>
      <c r="E91" s="34"/>
      <c r="F91" s="34"/>
    </row>
    <row r="92" spans="1:6">
      <c r="A92" s="67" t="s">
        <v>13031</v>
      </c>
      <c r="B92" s="34" t="s">
        <v>13032</v>
      </c>
      <c r="C92" s="34" t="s">
        <v>13033</v>
      </c>
      <c r="D92" s="34" t="s">
        <v>13034</v>
      </c>
      <c r="E92" s="34"/>
      <c r="F92" s="34"/>
    </row>
    <row r="93" spans="1:6">
      <c r="A93" s="67" t="s">
        <v>13035</v>
      </c>
      <c r="B93" s="34" t="s">
        <v>13036</v>
      </c>
      <c r="C93" s="34" t="s">
        <v>13037</v>
      </c>
      <c r="D93" s="34" t="s">
        <v>13038</v>
      </c>
      <c r="E93" s="34"/>
      <c r="F93" s="34"/>
    </row>
    <row r="94" spans="1:6">
      <c r="A94" s="67" t="s">
        <v>13039</v>
      </c>
      <c r="B94" s="34" t="s">
        <v>787</v>
      </c>
      <c r="C94" s="34" t="s">
        <v>13040</v>
      </c>
      <c r="D94" s="34" t="s">
        <v>13041</v>
      </c>
      <c r="E94" s="34"/>
      <c r="F94" s="34"/>
    </row>
    <row r="95" spans="1:6">
      <c r="A95" s="67" t="s">
        <v>13042</v>
      </c>
      <c r="B95" s="34" t="s">
        <v>13043</v>
      </c>
      <c r="C95" s="34" t="s">
        <v>13044</v>
      </c>
      <c r="D95" s="34" t="s">
        <v>13045</v>
      </c>
      <c r="E95" s="34"/>
      <c r="F95" s="34"/>
    </row>
    <row r="96" spans="1:6">
      <c r="A96" s="67" t="s">
        <v>13046</v>
      </c>
      <c r="B96" s="34" t="s">
        <v>787</v>
      </c>
      <c r="C96" s="34" t="s">
        <v>787</v>
      </c>
      <c r="D96" s="34" t="s">
        <v>13047</v>
      </c>
      <c r="E96" s="34"/>
      <c r="F96" s="34"/>
    </row>
    <row r="97" spans="1:6" ht="15" customHeight="1">
      <c r="A97" s="34"/>
      <c r="B97" s="34"/>
      <c r="C97" s="34"/>
      <c r="D97" s="34"/>
      <c r="E97" s="34"/>
      <c r="F97" s="34"/>
    </row>
    <row r="98" spans="1:6">
      <c r="A98" s="79" t="s">
        <v>388</v>
      </c>
      <c r="B98" s="79" t="s">
        <v>147</v>
      </c>
      <c r="C98" s="79" t="s">
        <v>148</v>
      </c>
      <c r="D98" s="79" t="s">
        <v>182</v>
      </c>
      <c r="E98" s="79" t="s">
        <v>490</v>
      </c>
      <c r="F98" s="34"/>
    </row>
    <row r="99" spans="1:6" ht="15" customHeight="1">
      <c r="A99" s="34" t="s">
        <v>13048</v>
      </c>
      <c r="B99" s="34" t="s">
        <v>787</v>
      </c>
      <c r="C99" s="34" t="s">
        <v>787</v>
      </c>
      <c r="D99" s="34" t="s">
        <v>13049</v>
      </c>
      <c r="E99" s="34" t="s">
        <v>13050</v>
      </c>
      <c r="F99" s="34"/>
    </row>
    <row r="100" spans="1:6" ht="15" customHeight="1">
      <c r="A100" s="34" t="s">
        <v>13051</v>
      </c>
      <c r="B100" s="34" t="s">
        <v>787</v>
      </c>
      <c r="C100" s="34" t="s">
        <v>787</v>
      </c>
      <c r="D100" s="34" t="s">
        <v>13052</v>
      </c>
      <c r="E100" s="34" t="s">
        <v>13053</v>
      </c>
      <c r="F100" s="34"/>
    </row>
    <row r="101" spans="1:6" ht="15" customHeight="1">
      <c r="A101" s="34" t="s">
        <v>13054</v>
      </c>
      <c r="B101" s="34" t="s">
        <v>13055</v>
      </c>
      <c r="C101" s="34" t="s">
        <v>13056</v>
      </c>
      <c r="D101" s="34" t="s">
        <v>13057</v>
      </c>
      <c r="E101" s="34" t="s">
        <v>13058</v>
      </c>
      <c r="F101" s="34"/>
    </row>
    <row r="102" spans="1:6" ht="15" customHeight="1">
      <c r="A102" s="34" t="s">
        <v>13059</v>
      </c>
      <c r="B102" s="34" t="s">
        <v>787</v>
      </c>
      <c r="C102" s="34" t="s">
        <v>787</v>
      </c>
      <c r="D102" s="34" t="s">
        <v>13060</v>
      </c>
      <c r="E102" s="34" t="s">
        <v>13061</v>
      </c>
      <c r="F102" s="34"/>
    </row>
    <row r="103" spans="1:6" ht="15" customHeight="1">
      <c r="A103" s="34" t="s">
        <v>13062</v>
      </c>
      <c r="B103" s="34" t="s">
        <v>13016</v>
      </c>
      <c r="C103" s="34" t="s">
        <v>13017</v>
      </c>
      <c r="D103" s="34" t="s">
        <v>13063</v>
      </c>
      <c r="E103" s="34" t="s">
        <v>13064</v>
      </c>
      <c r="F103" s="34"/>
    </row>
    <row r="104" spans="1:6" ht="15" customHeight="1">
      <c r="A104" s="34" t="s">
        <v>13065</v>
      </c>
      <c r="B104" s="34" t="s">
        <v>787</v>
      </c>
      <c r="C104" s="34" t="s">
        <v>787</v>
      </c>
      <c r="D104" s="34" t="s">
        <v>787</v>
      </c>
      <c r="E104" s="34" t="s">
        <v>13066</v>
      </c>
      <c r="F104" s="34"/>
    </row>
    <row r="105" spans="1:6" ht="15" customHeight="1">
      <c r="A105" s="34" t="s">
        <v>13067</v>
      </c>
      <c r="B105" s="34" t="s">
        <v>13068</v>
      </c>
      <c r="C105" s="34" t="s">
        <v>13069</v>
      </c>
      <c r="D105" s="34" t="s">
        <v>13070</v>
      </c>
      <c r="E105" s="34" t="s">
        <v>13071</v>
      </c>
      <c r="F105" s="34"/>
    </row>
    <row r="106" spans="1:6" ht="15" customHeight="1">
      <c r="A106" s="34" t="s">
        <v>13072</v>
      </c>
      <c r="B106" s="34" t="s">
        <v>787</v>
      </c>
      <c r="C106" s="34" t="s">
        <v>13073</v>
      </c>
      <c r="D106" s="34" t="s">
        <v>13074</v>
      </c>
      <c r="E106" s="34" t="s">
        <v>13075</v>
      </c>
      <c r="F106" s="34"/>
    </row>
    <row r="107" spans="1:6" ht="15" customHeight="1">
      <c r="A107" s="34" t="s">
        <v>13076</v>
      </c>
      <c r="B107" s="34" t="s">
        <v>787</v>
      </c>
      <c r="C107" s="34" t="s">
        <v>787</v>
      </c>
      <c r="D107" s="34" t="s">
        <v>13077</v>
      </c>
      <c r="E107" s="34" t="s">
        <v>13078</v>
      </c>
      <c r="F107" s="34"/>
    </row>
    <row r="108" spans="1:6" ht="15" customHeight="1">
      <c r="A108" s="34" t="s">
        <v>13079</v>
      </c>
      <c r="B108" s="34" t="s">
        <v>787</v>
      </c>
      <c r="C108" s="34" t="s">
        <v>787</v>
      </c>
      <c r="D108" s="34" t="s">
        <v>13052</v>
      </c>
      <c r="E108" s="34" t="s">
        <v>13080</v>
      </c>
      <c r="F108" s="34"/>
    </row>
    <row r="109" spans="1:6" ht="15" customHeight="1">
      <c r="A109" s="34" t="s">
        <v>13081</v>
      </c>
      <c r="B109" s="34" t="s">
        <v>787</v>
      </c>
      <c r="C109" s="34" t="s">
        <v>787</v>
      </c>
      <c r="D109" s="34" t="s">
        <v>13082</v>
      </c>
      <c r="E109" s="34" t="s">
        <v>13083</v>
      </c>
      <c r="F109" s="34"/>
    </row>
    <row r="110" spans="1:6" ht="15" customHeight="1">
      <c r="A110" s="34" t="s">
        <v>13084</v>
      </c>
      <c r="B110" s="34" t="s">
        <v>787</v>
      </c>
      <c r="C110" s="34" t="s">
        <v>787</v>
      </c>
      <c r="D110" s="34" t="s">
        <v>13085</v>
      </c>
      <c r="E110" s="34" t="s">
        <v>13086</v>
      </c>
      <c r="F110" s="34"/>
    </row>
    <row r="111" spans="1:6" ht="15" customHeight="1">
      <c r="A111" s="34" t="s">
        <v>13087</v>
      </c>
      <c r="B111" s="34" t="s">
        <v>13088</v>
      </c>
      <c r="C111" s="34" t="s">
        <v>13089</v>
      </c>
      <c r="D111" s="34" t="s">
        <v>13090</v>
      </c>
      <c r="E111" s="34" t="s">
        <v>13091</v>
      </c>
      <c r="F111" s="34"/>
    </row>
    <row r="112" spans="1:6" ht="15" customHeight="1">
      <c r="A112" s="34" t="s">
        <v>13092</v>
      </c>
      <c r="B112" s="34" t="s">
        <v>13093</v>
      </c>
      <c r="C112" s="34" t="s">
        <v>13094</v>
      </c>
      <c r="D112" s="34" t="s">
        <v>13095</v>
      </c>
      <c r="E112" s="34" t="s">
        <v>13096</v>
      </c>
      <c r="F112" s="34"/>
    </row>
    <row r="113" spans="1:6" ht="15" customHeight="1">
      <c r="A113" s="34" t="s">
        <v>13097</v>
      </c>
      <c r="B113" s="34" t="s">
        <v>13098</v>
      </c>
      <c r="C113" s="34" t="s">
        <v>13099</v>
      </c>
      <c r="D113" s="34" t="s">
        <v>13100</v>
      </c>
      <c r="E113" s="34" t="s">
        <v>13096</v>
      </c>
      <c r="F113" s="34"/>
    </row>
    <row r="114" spans="1:6" ht="15" customHeight="1">
      <c r="A114" s="34" t="s">
        <v>13101</v>
      </c>
      <c r="B114" s="34" t="s">
        <v>787</v>
      </c>
      <c r="C114" s="34" t="s">
        <v>787</v>
      </c>
      <c r="D114" s="34" t="s">
        <v>13102</v>
      </c>
      <c r="E114" s="34" t="s">
        <v>13103</v>
      </c>
      <c r="F114" s="34"/>
    </row>
    <row r="115" spans="1:6" ht="15" customHeight="1">
      <c r="A115" s="34" t="s">
        <v>13104</v>
      </c>
      <c r="B115" s="34" t="s">
        <v>13105</v>
      </c>
      <c r="C115" s="34" t="s">
        <v>13106</v>
      </c>
      <c r="D115" s="34" t="s">
        <v>13107</v>
      </c>
      <c r="E115" s="34" t="s">
        <v>13108</v>
      </c>
      <c r="F115" s="34"/>
    </row>
    <row r="116" spans="1:6" ht="15" customHeight="1">
      <c r="A116" s="34" t="s">
        <v>13109</v>
      </c>
      <c r="B116" s="34" t="s">
        <v>787</v>
      </c>
      <c r="C116" s="34" t="s">
        <v>787</v>
      </c>
      <c r="D116" s="34" t="s">
        <v>13110</v>
      </c>
      <c r="E116" s="34" t="s">
        <v>13111</v>
      </c>
      <c r="F116" s="34"/>
    </row>
    <row r="117" spans="1:6" ht="15" customHeight="1">
      <c r="A117" s="34" t="s">
        <v>13112</v>
      </c>
      <c r="B117" s="34" t="s">
        <v>787</v>
      </c>
      <c r="C117" s="34" t="s">
        <v>787</v>
      </c>
      <c r="D117" s="34" t="s">
        <v>787</v>
      </c>
      <c r="E117" s="34" t="s">
        <v>13113</v>
      </c>
      <c r="F117" s="34"/>
    </row>
    <row r="118" spans="1:6" ht="15" customHeight="1">
      <c r="A118" s="34" t="s">
        <v>13114</v>
      </c>
      <c r="B118" s="34" t="s">
        <v>13115</v>
      </c>
      <c r="C118" s="34" t="s">
        <v>787</v>
      </c>
      <c r="D118" s="34" t="s">
        <v>13116</v>
      </c>
      <c r="E118" s="34" t="s">
        <v>13117</v>
      </c>
      <c r="F118" s="34"/>
    </row>
    <row r="119" spans="1:6" ht="15" customHeight="1">
      <c r="A119" s="34" t="s">
        <v>13118</v>
      </c>
      <c r="B119" s="34" t="s">
        <v>787</v>
      </c>
      <c r="C119" s="34" t="s">
        <v>787</v>
      </c>
      <c r="D119" s="34" t="s">
        <v>13119</v>
      </c>
      <c r="E119" s="34" t="s">
        <v>13120</v>
      </c>
      <c r="F119" s="34"/>
    </row>
    <row r="120" spans="1:6" ht="15" customHeight="1">
      <c r="A120" s="34" t="s">
        <v>13121</v>
      </c>
      <c r="B120" s="34" t="s">
        <v>787</v>
      </c>
      <c r="C120" s="34" t="s">
        <v>13122</v>
      </c>
      <c r="D120" s="34" t="s">
        <v>13123</v>
      </c>
      <c r="E120" s="34" t="s">
        <v>13124</v>
      </c>
      <c r="F120" s="34"/>
    </row>
    <row r="121" spans="1:6" ht="15" customHeight="1">
      <c r="A121" s="34" t="s">
        <v>13125</v>
      </c>
      <c r="B121" s="34" t="s">
        <v>787</v>
      </c>
      <c r="C121" s="34" t="s">
        <v>787</v>
      </c>
      <c r="D121" s="34" t="s">
        <v>13126</v>
      </c>
      <c r="E121" s="34" t="s">
        <v>13127</v>
      </c>
      <c r="F121" s="34"/>
    </row>
    <row r="122" spans="1:6" ht="15" customHeight="1">
      <c r="A122" s="34" t="s">
        <v>13128</v>
      </c>
      <c r="B122" s="34" t="s">
        <v>787</v>
      </c>
      <c r="C122" s="34" t="s">
        <v>787</v>
      </c>
      <c r="D122" s="34" t="s">
        <v>787</v>
      </c>
      <c r="E122" s="34" t="s">
        <v>13129</v>
      </c>
      <c r="F122" s="34"/>
    </row>
    <row r="123" spans="1:6" ht="15" customHeight="1">
      <c r="A123" s="34" t="s">
        <v>13130</v>
      </c>
      <c r="B123" s="34" t="s">
        <v>787</v>
      </c>
      <c r="C123" s="34" t="s">
        <v>787</v>
      </c>
      <c r="D123" s="34" t="s">
        <v>13131</v>
      </c>
      <c r="E123" s="34" t="s">
        <v>13132</v>
      </c>
      <c r="F123" s="34"/>
    </row>
    <row r="124" spans="1:6" ht="15" customHeight="1">
      <c r="A124" s="34" t="s">
        <v>13133</v>
      </c>
      <c r="B124" s="34" t="s">
        <v>787</v>
      </c>
      <c r="C124" s="34" t="s">
        <v>787</v>
      </c>
      <c r="D124" s="34" t="s">
        <v>13134</v>
      </c>
      <c r="E124" s="34" t="s">
        <v>13135</v>
      </c>
      <c r="F124" s="34"/>
    </row>
    <row r="125" spans="1:6" ht="15" customHeight="1">
      <c r="A125" s="34" t="s">
        <v>13136</v>
      </c>
      <c r="B125" s="34" t="s">
        <v>787</v>
      </c>
      <c r="C125" s="34" t="s">
        <v>787</v>
      </c>
      <c r="D125" s="34" t="s">
        <v>13137</v>
      </c>
      <c r="E125" s="34" t="s">
        <v>13138</v>
      </c>
      <c r="F125" s="34"/>
    </row>
    <row r="126" spans="1:6" ht="15" customHeight="1">
      <c r="A126" s="34" t="s">
        <v>13139</v>
      </c>
      <c r="B126" s="34" t="s">
        <v>787</v>
      </c>
      <c r="C126" s="34" t="s">
        <v>787</v>
      </c>
      <c r="D126" s="34" t="s">
        <v>13140</v>
      </c>
      <c r="E126" s="34" t="s">
        <v>13141</v>
      </c>
      <c r="F126" s="34"/>
    </row>
    <row r="127" spans="1:6" ht="15" customHeight="1">
      <c r="A127" s="34" t="s">
        <v>13142</v>
      </c>
      <c r="B127" s="34" t="s">
        <v>787</v>
      </c>
      <c r="C127" s="34" t="s">
        <v>787</v>
      </c>
      <c r="D127" s="34" t="s">
        <v>13143</v>
      </c>
      <c r="E127" s="34" t="s">
        <v>13144</v>
      </c>
      <c r="F127" s="34"/>
    </row>
    <row r="128" spans="1:6" ht="15" customHeight="1">
      <c r="A128" s="34" t="s">
        <v>13145</v>
      </c>
      <c r="B128" s="34" t="s">
        <v>787</v>
      </c>
      <c r="C128" s="34" t="s">
        <v>787</v>
      </c>
      <c r="D128" s="34" t="s">
        <v>13146</v>
      </c>
      <c r="E128" s="34" t="s">
        <v>13147</v>
      </c>
      <c r="F128" s="34"/>
    </row>
    <row r="129" spans="1:6" ht="15" customHeight="1">
      <c r="A129" s="34" t="s">
        <v>13148</v>
      </c>
      <c r="B129" s="34" t="s">
        <v>787</v>
      </c>
      <c r="C129" s="34" t="s">
        <v>787</v>
      </c>
      <c r="D129" s="34" t="s">
        <v>13149</v>
      </c>
      <c r="E129" s="34" t="s">
        <v>13150</v>
      </c>
      <c r="F129" s="34"/>
    </row>
    <row r="130" spans="1:6" ht="15" customHeight="1">
      <c r="A130" s="34" t="s">
        <v>13151</v>
      </c>
      <c r="B130" s="34" t="s">
        <v>787</v>
      </c>
      <c r="C130" s="34" t="s">
        <v>787</v>
      </c>
      <c r="D130" s="34" t="s">
        <v>13152</v>
      </c>
      <c r="E130" s="34" t="s">
        <v>13153</v>
      </c>
      <c r="F130" s="34"/>
    </row>
    <row r="131" spans="1:6" ht="15" customHeight="1">
      <c r="A131" s="34" t="s">
        <v>13154</v>
      </c>
      <c r="B131" s="34" t="s">
        <v>787</v>
      </c>
      <c r="C131" s="34" t="s">
        <v>787</v>
      </c>
      <c r="D131" s="34" t="s">
        <v>13155</v>
      </c>
      <c r="E131" s="34" t="s">
        <v>13156</v>
      </c>
      <c r="F131" s="34"/>
    </row>
    <row r="132" spans="1:6" ht="15" customHeight="1">
      <c r="A132" s="34" t="s">
        <v>13157</v>
      </c>
      <c r="B132" s="34" t="s">
        <v>787</v>
      </c>
      <c r="C132" s="34" t="s">
        <v>787</v>
      </c>
      <c r="D132" s="34" t="s">
        <v>787</v>
      </c>
      <c r="E132" s="34" t="s">
        <v>13158</v>
      </c>
      <c r="F132" s="34"/>
    </row>
    <row r="133" spans="1:6" ht="15" customHeight="1">
      <c r="A133" s="34" t="s">
        <v>13159</v>
      </c>
      <c r="B133" s="34" t="s">
        <v>787</v>
      </c>
      <c r="C133" s="34" t="s">
        <v>787</v>
      </c>
      <c r="D133" s="34" t="s">
        <v>13160</v>
      </c>
      <c r="E133" s="34" t="s">
        <v>12827</v>
      </c>
      <c r="F133" s="34"/>
    </row>
    <row r="134" spans="1:6" ht="15" customHeight="1">
      <c r="A134" s="34" t="s">
        <v>13161</v>
      </c>
      <c r="B134" s="34" t="s">
        <v>787</v>
      </c>
      <c r="C134" s="34" t="s">
        <v>787</v>
      </c>
      <c r="D134" s="34" t="s">
        <v>13162</v>
      </c>
      <c r="E134" s="34" t="s">
        <v>13163</v>
      </c>
      <c r="F134" s="34"/>
    </row>
    <row r="135" spans="1:6" ht="15" customHeight="1">
      <c r="A135" s="34" t="s">
        <v>13164</v>
      </c>
      <c r="B135" s="34" t="s">
        <v>13165</v>
      </c>
      <c r="C135" s="34" t="s">
        <v>13166</v>
      </c>
      <c r="D135" s="34" t="s">
        <v>13167</v>
      </c>
      <c r="E135" s="34" t="s">
        <v>12836</v>
      </c>
      <c r="F135" s="34"/>
    </row>
    <row r="136" spans="1:6" ht="15" customHeight="1">
      <c r="A136" s="34" t="s">
        <v>13168</v>
      </c>
      <c r="B136" s="34" t="s">
        <v>787</v>
      </c>
      <c r="C136" s="34" t="s">
        <v>787</v>
      </c>
      <c r="D136" s="34" t="s">
        <v>13169</v>
      </c>
      <c r="E136" s="34" t="s">
        <v>12841</v>
      </c>
      <c r="F136" s="34"/>
    </row>
    <row r="137" spans="1:6" ht="15" customHeight="1">
      <c r="A137" s="34" t="s">
        <v>13170</v>
      </c>
      <c r="B137" s="34" t="s">
        <v>13171</v>
      </c>
      <c r="C137" s="34" t="s">
        <v>13172</v>
      </c>
      <c r="D137" s="34" t="s">
        <v>13173</v>
      </c>
      <c r="E137" s="34" t="s">
        <v>13174</v>
      </c>
      <c r="F137" s="34"/>
    </row>
    <row r="138" spans="1:6" ht="15" customHeight="1">
      <c r="A138" s="34" t="s">
        <v>13175</v>
      </c>
      <c r="B138" s="34" t="s">
        <v>787</v>
      </c>
      <c r="C138" s="34" t="s">
        <v>787</v>
      </c>
      <c r="D138" s="34" t="s">
        <v>13052</v>
      </c>
      <c r="E138" s="34" t="s">
        <v>13176</v>
      </c>
      <c r="F138" s="34"/>
    </row>
    <row r="139" spans="1:6" ht="15" customHeight="1">
      <c r="A139" s="34" t="s">
        <v>13177</v>
      </c>
      <c r="B139" s="34" t="s">
        <v>787</v>
      </c>
      <c r="C139" s="34" t="s">
        <v>13178</v>
      </c>
      <c r="D139" s="34" t="s">
        <v>13179</v>
      </c>
      <c r="E139" s="34" t="s">
        <v>13180</v>
      </c>
      <c r="F139" s="34"/>
    </row>
    <row r="140" spans="1:6" ht="15" customHeight="1">
      <c r="A140" s="34" t="s">
        <v>13181</v>
      </c>
      <c r="B140" s="34" t="s">
        <v>13182</v>
      </c>
      <c r="C140" s="34" t="s">
        <v>13183</v>
      </c>
      <c r="D140" s="34" t="s">
        <v>13184</v>
      </c>
      <c r="E140" s="34" t="s">
        <v>13185</v>
      </c>
      <c r="F140" s="34"/>
    </row>
    <row r="141" spans="1:6" ht="15" customHeight="1">
      <c r="A141" s="34"/>
      <c r="B141" s="34"/>
      <c r="C141" s="34"/>
      <c r="D141" s="34"/>
      <c r="E141" s="34"/>
      <c r="F141" s="34"/>
    </row>
    <row r="142" spans="1:6">
      <c r="A142" s="79" t="s">
        <v>428</v>
      </c>
      <c r="B142" s="79" t="s">
        <v>147</v>
      </c>
      <c r="C142" s="79" t="s">
        <v>148</v>
      </c>
      <c r="D142" s="79" t="s">
        <v>182</v>
      </c>
      <c r="E142" s="34"/>
      <c r="F142" s="34"/>
    </row>
    <row r="143" spans="1:6">
      <c r="A143" s="31"/>
      <c r="B143" s="34"/>
      <c r="C143" s="34"/>
      <c r="D143" s="34"/>
      <c r="E143" s="34"/>
      <c r="F143" s="34"/>
    </row>
    <row r="144" spans="1:6">
      <c r="A144" s="31"/>
      <c r="B144" s="34"/>
      <c r="C144" s="34"/>
      <c r="D144" s="34"/>
      <c r="E144" s="34"/>
      <c r="F144" s="34"/>
    </row>
    <row r="145" spans="1:6">
      <c r="A145" s="31"/>
      <c r="B145" s="34"/>
      <c r="C145" s="34"/>
      <c r="D145" s="34"/>
      <c r="E145" s="34"/>
      <c r="F145" s="34"/>
    </row>
    <row r="146" spans="1:6">
      <c r="A146" s="31"/>
      <c r="B146" s="34"/>
      <c r="C146" s="34"/>
      <c r="D146" s="34"/>
      <c r="E146" s="34"/>
      <c r="F146" s="34"/>
    </row>
    <row r="147" spans="1:6">
      <c r="A147" s="31"/>
      <c r="B147" s="34"/>
      <c r="C147" s="34"/>
      <c r="D147" s="34"/>
      <c r="E147" s="34"/>
      <c r="F147" s="34"/>
    </row>
    <row r="148" spans="1:6">
      <c r="A148" s="31"/>
      <c r="B148" s="34"/>
      <c r="C148" s="34"/>
      <c r="D148" s="34"/>
      <c r="E148" s="34"/>
      <c r="F148" s="34"/>
    </row>
    <row r="149" spans="1:6">
      <c r="A149" s="31"/>
      <c r="B149" s="34"/>
      <c r="C149" s="34"/>
      <c r="D149" s="34"/>
      <c r="E149" s="34"/>
      <c r="F149" s="34"/>
    </row>
    <row r="150" spans="1:6">
      <c r="A150" s="31"/>
      <c r="B150" s="34"/>
      <c r="C150" s="34"/>
      <c r="D150" s="34"/>
      <c r="E150" s="34"/>
      <c r="F150" s="34"/>
    </row>
    <row r="151" spans="1:6">
      <c r="A151" s="31"/>
      <c r="B151" s="34"/>
      <c r="C151" s="34"/>
      <c r="D151" s="34"/>
      <c r="E151" s="34"/>
      <c r="F151" s="34"/>
    </row>
    <row r="152" spans="1:6">
      <c r="A152" s="31"/>
      <c r="B152" s="34"/>
      <c r="C152" s="34"/>
      <c r="D152" s="34"/>
      <c r="E152" s="34"/>
      <c r="F152" s="34"/>
    </row>
    <row r="153" spans="1:6">
      <c r="A153" s="31"/>
      <c r="B153" s="34"/>
      <c r="C153" s="34"/>
      <c r="D153" s="34"/>
      <c r="E153" s="34"/>
      <c r="F153" s="34"/>
    </row>
    <row r="154" spans="1:6">
      <c r="A154" s="31"/>
      <c r="B154" s="34"/>
      <c r="C154" s="34"/>
      <c r="D154" s="34"/>
      <c r="E154" s="34"/>
      <c r="F154" s="34"/>
    </row>
    <row r="155" spans="1:6">
      <c r="A155" s="31"/>
      <c r="B155" s="34"/>
      <c r="C155" s="34"/>
      <c r="D155" s="34"/>
      <c r="E155" s="34"/>
      <c r="F155" s="34"/>
    </row>
    <row r="156" spans="1:6">
      <c r="A156" s="31"/>
      <c r="B156" s="34"/>
      <c r="C156" s="34"/>
      <c r="D156" s="34"/>
      <c r="E156" s="34"/>
      <c r="F156" s="34"/>
    </row>
    <row r="157" spans="1:6">
      <c r="A157" s="31"/>
      <c r="B157" s="34"/>
      <c r="C157" s="34"/>
      <c r="D157" s="34"/>
      <c r="E157" s="34"/>
      <c r="F157" s="34"/>
    </row>
    <row r="158" spans="1:6">
      <c r="A158" s="31"/>
      <c r="B158" s="34"/>
      <c r="C158" s="34"/>
      <c r="D158" s="34"/>
      <c r="E158" s="34"/>
      <c r="F158" s="34"/>
    </row>
    <row r="159" spans="1:6">
      <c r="A159" s="31"/>
      <c r="B159" s="34"/>
      <c r="C159" s="34"/>
      <c r="D159" s="34"/>
      <c r="E159" s="34"/>
      <c r="F159" s="34"/>
    </row>
    <row r="160" spans="1:6">
      <c r="A160" s="31"/>
      <c r="B160" s="34"/>
      <c r="C160" s="34"/>
      <c r="D160" s="34"/>
      <c r="E160" s="34"/>
      <c r="F160" s="34"/>
    </row>
    <row r="161" spans="1:6">
      <c r="A161" s="31"/>
      <c r="B161" s="34"/>
      <c r="C161" s="34"/>
      <c r="D161" s="34"/>
      <c r="E161" s="34"/>
      <c r="F161" s="34"/>
    </row>
    <row r="162" spans="1:6">
      <c r="A162" s="31"/>
      <c r="B162" s="34"/>
      <c r="C162" s="34"/>
      <c r="D162" s="34"/>
      <c r="E162" s="34"/>
      <c r="F162" s="34"/>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F164"/>
  <sheetViews>
    <sheetView workbookViewId="0"/>
  </sheetViews>
  <sheetFormatPr defaultColWidth="9.140625" defaultRowHeight="15" customHeight="1"/>
  <cols>
    <col min="1" max="1" width="26.7109375" customWidth="1"/>
    <col min="2" max="2" width="17.85546875" customWidth="1"/>
    <col min="3" max="3" width="30.28515625" customWidth="1"/>
    <col min="4" max="4" width="24.7109375" customWidth="1"/>
    <col min="5" max="5" width="21.7109375" customWidth="1"/>
  </cols>
  <sheetData>
    <row r="1" spans="1:6">
      <c r="A1" s="79" t="s">
        <v>146</v>
      </c>
      <c r="B1" s="79" t="s">
        <v>147</v>
      </c>
      <c r="C1" s="79" t="s">
        <v>148</v>
      </c>
      <c r="D1" s="79" t="s">
        <v>182</v>
      </c>
      <c r="E1" s="77" t="s">
        <v>13186</v>
      </c>
      <c r="F1" s="67"/>
    </row>
    <row r="2" spans="1:6">
      <c r="A2" t="s">
        <v>13187</v>
      </c>
      <c r="B2" t="s">
        <v>13188</v>
      </c>
      <c r="C2" s="67" t="s">
        <v>13189</v>
      </c>
      <c r="D2" s="67" t="s">
        <v>13190</v>
      </c>
      <c r="E2" s="34"/>
      <c r="F2" s="67"/>
    </row>
    <row r="3" spans="1:6">
      <c r="A3" s="67" t="s">
        <v>13191</v>
      </c>
      <c r="B3" t="s">
        <v>13192</v>
      </c>
      <c r="C3" s="63"/>
      <c r="D3" s="67" t="s">
        <v>13193</v>
      </c>
      <c r="E3" s="34"/>
      <c r="F3" s="67"/>
    </row>
    <row r="4" spans="1:6">
      <c r="A4" s="67" t="s">
        <v>13194</v>
      </c>
      <c r="B4" t="s">
        <v>13192</v>
      </c>
      <c r="C4" s="34" t="s">
        <v>13195</v>
      </c>
      <c r="D4" s="67" t="s">
        <v>13196</v>
      </c>
      <c r="E4" s="34"/>
      <c r="F4" s="67"/>
    </row>
    <row r="5" spans="1:6">
      <c r="A5" s="67" t="s">
        <v>13197</v>
      </c>
      <c r="B5" t="s">
        <v>13198</v>
      </c>
      <c r="C5" s="34"/>
      <c r="D5" s="67" t="s">
        <v>13199</v>
      </c>
      <c r="E5" s="34"/>
      <c r="F5" s="67"/>
    </row>
    <row r="6" spans="1:6">
      <c r="A6" t="s">
        <v>13200</v>
      </c>
      <c r="C6" s="34"/>
      <c r="D6" t="s">
        <v>13201</v>
      </c>
      <c r="E6" s="34"/>
      <c r="F6" s="67"/>
    </row>
    <row r="7" spans="1:6">
      <c r="A7" t="s">
        <v>13202</v>
      </c>
      <c r="C7" s="34"/>
      <c r="D7" t="s">
        <v>13203</v>
      </c>
      <c r="E7" s="34" t="s">
        <v>13204</v>
      </c>
      <c r="F7" s="67"/>
    </row>
    <row r="8" spans="1:6">
      <c r="A8" t="s">
        <v>13205</v>
      </c>
      <c r="C8" s="34"/>
      <c r="D8" t="s">
        <v>13206</v>
      </c>
      <c r="E8" s="34" t="s">
        <v>13207</v>
      </c>
      <c r="F8" s="67"/>
    </row>
    <row r="9" spans="1:6">
      <c r="C9" s="34"/>
      <c r="E9" s="34"/>
      <c r="F9" s="67"/>
    </row>
    <row r="10" spans="1:6">
      <c r="A10" s="79" t="s">
        <v>990</v>
      </c>
      <c r="B10" s="79" t="s">
        <v>147</v>
      </c>
      <c r="C10" s="79" t="s">
        <v>148</v>
      </c>
      <c r="D10" s="79" t="s">
        <v>182</v>
      </c>
      <c r="E10" s="79" t="s">
        <v>13208</v>
      </c>
      <c r="F10" s="67"/>
    </row>
    <row r="11" spans="1:6">
      <c r="A11" t="s">
        <v>13209</v>
      </c>
      <c r="B11" t="s">
        <v>787</v>
      </c>
      <c r="C11" s="34" t="s">
        <v>787</v>
      </c>
      <c r="D11" t="s">
        <v>13210</v>
      </c>
      <c r="E11" s="34" t="s">
        <v>13211</v>
      </c>
      <c r="F11" s="67"/>
    </row>
    <row r="12" spans="1:6">
      <c r="A12" t="s">
        <v>13212</v>
      </c>
      <c r="B12" t="s">
        <v>787</v>
      </c>
      <c r="C12" s="34" t="s">
        <v>787</v>
      </c>
      <c r="D12" t="s">
        <v>13213</v>
      </c>
      <c r="E12" s="34" t="s">
        <v>13214</v>
      </c>
      <c r="F12" s="67"/>
    </row>
    <row r="13" spans="1:6">
      <c r="A13" t="s">
        <v>13215</v>
      </c>
      <c r="B13" t="s">
        <v>13216</v>
      </c>
      <c r="C13" s="34" t="s">
        <v>13217</v>
      </c>
      <c r="D13" t="s">
        <v>13218</v>
      </c>
      <c r="E13" s="34" t="s">
        <v>13219</v>
      </c>
      <c r="F13" s="67"/>
    </row>
    <row r="14" spans="1:6">
      <c r="A14" t="s">
        <v>13220</v>
      </c>
      <c r="B14" t="s">
        <v>13221</v>
      </c>
      <c r="C14" s="34" t="s">
        <v>13222</v>
      </c>
      <c r="D14" t="s">
        <v>13223</v>
      </c>
      <c r="E14" s="34" t="s">
        <v>13224</v>
      </c>
      <c r="F14" s="67"/>
    </row>
    <row r="15" spans="1:6">
      <c r="A15" t="s">
        <v>13225</v>
      </c>
      <c r="B15" t="s">
        <v>787</v>
      </c>
      <c r="C15" t="s">
        <v>787</v>
      </c>
      <c r="D15" t="s">
        <v>13226</v>
      </c>
      <c r="E15" s="34" t="s">
        <v>7052</v>
      </c>
      <c r="F15" s="67"/>
    </row>
    <row r="16" spans="1:6">
      <c r="A16" t="s">
        <v>12261</v>
      </c>
      <c r="B16" t="s">
        <v>13227</v>
      </c>
      <c r="C16" s="34"/>
      <c r="E16" s="34"/>
      <c r="F16" s="67"/>
    </row>
    <row r="17" spans="1:6">
      <c r="C17" s="34"/>
      <c r="E17" s="34"/>
      <c r="F17" s="67"/>
    </row>
    <row r="18" spans="1:6">
      <c r="C18" s="34"/>
      <c r="E18" s="34"/>
      <c r="F18" s="67"/>
    </row>
    <row r="19" spans="1:6">
      <c r="A19" s="79" t="s">
        <v>209</v>
      </c>
      <c r="B19" s="79" t="s">
        <v>147</v>
      </c>
      <c r="C19" s="79" t="s">
        <v>148</v>
      </c>
      <c r="D19" s="79" t="s">
        <v>182</v>
      </c>
      <c r="E19" s="34"/>
      <c r="F19" s="67"/>
    </row>
    <row r="20" spans="1:6">
      <c r="A20" s="67" t="s">
        <v>13228</v>
      </c>
      <c r="C20" s="63"/>
      <c r="D20" t="s">
        <v>13229</v>
      </c>
      <c r="E20" s="34"/>
      <c r="F20" s="67"/>
    </row>
    <row r="21" spans="1:6">
      <c r="A21" s="32" t="s">
        <v>11517</v>
      </c>
      <c r="C21" s="63"/>
      <c r="D21" t="s">
        <v>13230</v>
      </c>
      <c r="E21" s="34"/>
      <c r="F21" s="67"/>
    </row>
    <row r="22" spans="1:6">
      <c r="A22" s="67" t="s">
        <v>5383</v>
      </c>
      <c r="B22" t="s">
        <v>13231</v>
      </c>
      <c r="C22" s="34"/>
      <c r="D22" t="s">
        <v>13232</v>
      </c>
      <c r="E22" s="34"/>
      <c r="F22" s="67"/>
    </row>
    <row r="23" spans="1:6">
      <c r="A23" s="67" t="s">
        <v>13233</v>
      </c>
      <c r="C23" s="34" t="s">
        <v>13234</v>
      </c>
      <c r="D23" t="s">
        <v>13235</v>
      </c>
      <c r="E23" s="34"/>
      <c r="F23" s="67"/>
    </row>
    <row r="24" spans="1:6">
      <c r="A24" s="67" t="s">
        <v>13236</v>
      </c>
      <c r="C24" s="34" t="s">
        <v>13237</v>
      </c>
      <c r="D24" t="s">
        <v>13238</v>
      </c>
      <c r="E24" s="34"/>
      <c r="F24" s="67"/>
    </row>
    <row r="25" spans="1:6">
      <c r="A25" s="32" t="s">
        <v>13239</v>
      </c>
      <c r="B25" t="s">
        <v>13240</v>
      </c>
      <c r="C25" s="34" t="s">
        <v>13241</v>
      </c>
      <c r="D25" t="s">
        <v>13242</v>
      </c>
      <c r="E25" s="34"/>
      <c r="F25" s="67"/>
    </row>
    <row r="26" spans="1:6">
      <c r="A26" s="67" t="s">
        <v>5389</v>
      </c>
      <c r="C26" s="34" t="s">
        <v>13243</v>
      </c>
      <c r="D26" t="s">
        <v>13244</v>
      </c>
      <c r="E26" s="34"/>
      <c r="F26" s="67"/>
    </row>
    <row r="27" spans="1:6">
      <c r="A27" s="67" t="s">
        <v>5403</v>
      </c>
      <c r="C27" s="34"/>
      <c r="D27" t="s">
        <v>13245</v>
      </c>
      <c r="E27" s="34"/>
      <c r="F27" s="67"/>
    </row>
    <row r="28" spans="1:6">
      <c r="A28" s="67" t="s">
        <v>13246</v>
      </c>
      <c r="B28" t="s">
        <v>13247</v>
      </c>
      <c r="C28" s="34"/>
      <c r="D28" t="s">
        <v>13248</v>
      </c>
      <c r="E28" s="34"/>
      <c r="F28" s="67"/>
    </row>
    <row r="29" spans="1:6">
      <c r="A29" s="32" t="s">
        <v>5436</v>
      </c>
      <c r="C29" s="34"/>
      <c r="D29" t="s">
        <v>13249</v>
      </c>
      <c r="E29" s="34"/>
      <c r="F29" s="67"/>
    </row>
    <row r="30" spans="1:6">
      <c r="A30" s="67" t="s">
        <v>13250</v>
      </c>
      <c r="C30" s="34"/>
      <c r="D30" t="s">
        <v>13251</v>
      </c>
      <c r="E30" s="34"/>
      <c r="F30" s="67"/>
    </row>
    <row r="31" spans="1:6">
      <c r="A31" s="67" t="s">
        <v>5806</v>
      </c>
      <c r="B31" t="s">
        <v>13252</v>
      </c>
      <c r="C31" s="34"/>
      <c r="D31" t="s">
        <v>13253</v>
      </c>
      <c r="E31" s="34"/>
      <c r="F31" s="67"/>
    </row>
    <row r="32" spans="1:6">
      <c r="A32" s="67" t="s">
        <v>13254</v>
      </c>
      <c r="C32" s="63"/>
      <c r="D32" t="s">
        <v>13255</v>
      </c>
      <c r="E32" s="34"/>
      <c r="F32" s="67"/>
    </row>
    <row r="33" spans="1:6">
      <c r="A33" s="67" t="s">
        <v>7964</v>
      </c>
      <c r="C33" s="63"/>
      <c r="D33" t="s">
        <v>13256</v>
      </c>
      <c r="E33" s="34"/>
      <c r="F33" s="67"/>
    </row>
    <row r="34" spans="1:6">
      <c r="A34" s="32" t="s">
        <v>5455</v>
      </c>
      <c r="C34" s="63"/>
      <c r="D34" t="s">
        <v>13257</v>
      </c>
      <c r="E34" s="34"/>
      <c r="F34" s="67"/>
    </row>
    <row r="35" spans="1:6">
      <c r="A35" s="67" t="s">
        <v>13258</v>
      </c>
      <c r="C35" s="63"/>
      <c r="D35" t="s">
        <v>13259</v>
      </c>
      <c r="E35" s="34"/>
      <c r="F35" s="67"/>
    </row>
    <row r="36" spans="1:6">
      <c r="A36" s="67" t="s">
        <v>6202</v>
      </c>
      <c r="C36" s="63"/>
      <c r="D36" t="s">
        <v>13260</v>
      </c>
      <c r="E36" s="34"/>
      <c r="F36" s="67"/>
    </row>
    <row r="37" spans="1:6">
      <c r="A37" s="67" t="s">
        <v>5466</v>
      </c>
      <c r="B37" t="s">
        <v>13231</v>
      </c>
      <c r="C37" s="63"/>
      <c r="D37" t="s">
        <v>13261</v>
      </c>
      <c r="E37" s="34"/>
      <c r="F37" s="67"/>
    </row>
    <row r="38" spans="1:6">
      <c r="A38" s="32" t="s">
        <v>5187</v>
      </c>
      <c r="C38" s="34" t="s">
        <v>13262</v>
      </c>
      <c r="D38" t="s">
        <v>13263</v>
      </c>
      <c r="E38" s="34"/>
      <c r="F38" s="67"/>
    </row>
    <row r="39" spans="1:6">
      <c r="A39" s="67" t="s">
        <v>13264</v>
      </c>
      <c r="B39" t="s">
        <v>13265</v>
      </c>
      <c r="C39" s="34" t="s">
        <v>13266</v>
      </c>
      <c r="D39" t="s">
        <v>13267</v>
      </c>
      <c r="E39" s="34"/>
      <c r="F39" s="67"/>
    </row>
    <row r="40" spans="1:6">
      <c r="A40" s="67" t="s">
        <v>5203</v>
      </c>
      <c r="C40" s="63"/>
      <c r="D40" s="67" t="s">
        <v>13268</v>
      </c>
      <c r="E40" s="34"/>
      <c r="F40" s="67"/>
    </row>
    <row r="41" spans="1:6">
      <c r="A41" s="32" t="s">
        <v>5206</v>
      </c>
      <c r="C41" s="63"/>
      <c r="D41" t="s">
        <v>13269</v>
      </c>
      <c r="E41" s="34"/>
      <c r="F41" s="67"/>
    </row>
    <row r="42" spans="1:6">
      <c r="A42" s="67" t="s">
        <v>5500</v>
      </c>
      <c r="B42" t="s">
        <v>13231</v>
      </c>
      <c r="C42" s="63"/>
      <c r="D42" t="s">
        <v>13270</v>
      </c>
      <c r="E42" s="34"/>
      <c r="F42" s="67"/>
    </row>
    <row r="43" spans="1:6">
      <c r="A43" s="67" t="s">
        <v>5507</v>
      </c>
      <c r="C43" s="63"/>
      <c r="D43" t="s">
        <v>13271</v>
      </c>
      <c r="E43" s="34"/>
      <c r="F43" s="67"/>
    </row>
    <row r="44" spans="1:6">
      <c r="A44" s="32" t="s">
        <v>5509</v>
      </c>
      <c r="B44" s="70" t="s">
        <v>13272</v>
      </c>
      <c r="C44" s="63" t="s">
        <v>13273</v>
      </c>
      <c r="D44" s="67" t="s">
        <v>13274</v>
      </c>
      <c r="E44" s="34"/>
      <c r="F44" s="67"/>
    </row>
    <row r="45" spans="1:6">
      <c r="A45" s="67" t="s">
        <v>5511</v>
      </c>
      <c r="B45" s="70" t="s">
        <v>13231</v>
      </c>
      <c r="C45" s="63"/>
      <c r="D45" t="s">
        <v>13275</v>
      </c>
      <c r="E45" s="34"/>
      <c r="F45" s="67"/>
    </row>
    <row r="46" spans="1:6">
      <c r="A46" s="67" t="s">
        <v>9918</v>
      </c>
      <c r="C46" s="63"/>
      <c r="D46" t="s">
        <v>13276</v>
      </c>
      <c r="E46" s="34"/>
      <c r="F46" s="67"/>
    </row>
    <row r="47" spans="1:6">
      <c r="A47" s="67" t="s">
        <v>5523</v>
      </c>
      <c r="B47" t="s">
        <v>13277</v>
      </c>
      <c r="C47" s="63"/>
      <c r="D47" t="s">
        <v>13278</v>
      </c>
      <c r="E47" s="34"/>
      <c r="F47" s="67"/>
    </row>
    <row r="48" spans="1:6">
      <c r="A48" s="32" t="s">
        <v>8678</v>
      </c>
      <c r="C48" s="63"/>
      <c r="D48" t="s">
        <v>13279</v>
      </c>
      <c r="E48" s="34"/>
      <c r="F48" s="67"/>
    </row>
    <row r="49" spans="1:6">
      <c r="A49" s="67" t="s">
        <v>13280</v>
      </c>
      <c r="B49" t="s">
        <v>13231</v>
      </c>
      <c r="C49" s="63"/>
      <c r="D49" t="s">
        <v>13281</v>
      </c>
      <c r="E49" s="34"/>
      <c r="F49" s="67"/>
    </row>
    <row r="50" spans="1:6">
      <c r="A50" s="67" t="s">
        <v>13282</v>
      </c>
      <c r="B50" t="s">
        <v>13283</v>
      </c>
      <c r="C50" s="34" t="s">
        <v>13284</v>
      </c>
      <c r="D50" t="s">
        <v>13285</v>
      </c>
      <c r="E50" s="34"/>
      <c r="F50" s="67"/>
    </row>
    <row r="51" spans="1:6">
      <c r="A51" s="67" t="s">
        <v>5524</v>
      </c>
      <c r="C51" s="34"/>
      <c r="D51" t="s">
        <v>13286</v>
      </c>
      <c r="E51" s="34"/>
      <c r="F51" s="67"/>
    </row>
    <row r="52" spans="1:6">
      <c r="A52" s="32" t="s">
        <v>5527</v>
      </c>
      <c r="C52" s="34"/>
      <c r="D52" t="s">
        <v>13287</v>
      </c>
      <c r="E52" s="34"/>
      <c r="F52" s="67"/>
    </row>
    <row r="53" spans="1:6">
      <c r="A53" s="67" t="s">
        <v>13288</v>
      </c>
      <c r="C53" s="63"/>
      <c r="D53" t="s">
        <v>13289</v>
      </c>
      <c r="E53" s="34"/>
      <c r="F53" s="67"/>
    </row>
    <row r="54" spans="1:6">
      <c r="A54" s="67" t="s">
        <v>93</v>
      </c>
      <c r="C54" s="63"/>
      <c r="D54" t="s">
        <v>13290</v>
      </c>
      <c r="E54" s="34"/>
      <c r="F54" s="67"/>
    </row>
    <row r="55" spans="1:6">
      <c r="A55" s="32" t="s">
        <v>13291</v>
      </c>
      <c r="C55" s="34"/>
      <c r="D55" t="s">
        <v>13292</v>
      </c>
      <c r="E55" s="34"/>
      <c r="F55" s="67"/>
    </row>
    <row r="56" spans="1:6">
      <c r="A56" s="67" t="s">
        <v>13293</v>
      </c>
      <c r="C56" s="34"/>
      <c r="D56" t="s">
        <v>13294</v>
      </c>
      <c r="E56" s="34"/>
      <c r="F56" s="67"/>
    </row>
    <row r="57" spans="1:6">
      <c r="A57" s="67" t="s">
        <v>6286</v>
      </c>
      <c r="C57" s="63"/>
      <c r="D57" t="s">
        <v>13295</v>
      </c>
      <c r="E57" s="34"/>
      <c r="F57" s="67"/>
    </row>
    <row r="58" spans="1:6">
      <c r="A58" s="32" t="s">
        <v>13296</v>
      </c>
      <c r="C58" s="34"/>
      <c r="D58" t="s">
        <v>13297</v>
      </c>
      <c r="E58" s="34"/>
      <c r="F58" s="67"/>
    </row>
    <row r="59" spans="1:6">
      <c r="A59" s="67" t="s">
        <v>5541</v>
      </c>
      <c r="B59" t="s">
        <v>13231</v>
      </c>
      <c r="C59" s="63"/>
      <c r="D59" t="s">
        <v>13298</v>
      </c>
      <c r="E59" s="34"/>
      <c r="F59" s="67"/>
    </row>
    <row r="60" spans="1:6">
      <c r="A60" s="67" t="s">
        <v>13299</v>
      </c>
      <c r="C60" s="63"/>
      <c r="D60" t="s">
        <v>13300</v>
      </c>
      <c r="E60" s="34"/>
      <c r="F60" s="67"/>
    </row>
    <row r="61" spans="1:6">
      <c r="A61" s="67" t="s">
        <v>5543</v>
      </c>
      <c r="C61" s="63"/>
      <c r="D61" t="s">
        <v>13301</v>
      </c>
      <c r="E61" s="34"/>
      <c r="F61" s="67"/>
    </row>
    <row r="62" spans="1:6">
      <c r="A62" s="67" t="s">
        <v>13302</v>
      </c>
      <c r="C62" s="63"/>
      <c r="D62" t="s">
        <v>13303</v>
      </c>
      <c r="E62" s="34"/>
      <c r="F62" s="67"/>
    </row>
    <row r="63" spans="1:6">
      <c r="A63" s="67" t="s">
        <v>11762</v>
      </c>
      <c r="C63" s="63"/>
      <c r="D63" t="s">
        <v>13304</v>
      </c>
      <c r="E63" s="34"/>
      <c r="F63" s="67"/>
    </row>
    <row r="64" spans="1:6">
      <c r="A64" s="67" t="s">
        <v>13305</v>
      </c>
      <c r="C64" s="63"/>
      <c r="D64" t="s">
        <v>13306</v>
      </c>
      <c r="E64" s="34"/>
      <c r="F64" s="67"/>
    </row>
    <row r="65" spans="1:6">
      <c r="A65" s="67" t="s">
        <v>6327</v>
      </c>
      <c r="B65" t="s">
        <v>13307</v>
      </c>
      <c r="C65" s="63"/>
      <c r="D65" s="67" t="s">
        <v>13308</v>
      </c>
      <c r="E65" s="34"/>
      <c r="F65" s="67"/>
    </row>
    <row r="66" spans="1:6">
      <c r="A66" s="67" t="s">
        <v>13309</v>
      </c>
      <c r="C66" s="34" t="s">
        <v>13310</v>
      </c>
      <c r="D66" t="s">
        <v>13311</v>
      </c>
      <c r="E66" s="34"/>
      <c r="F66" s="67"/>
    </row>
    <row r="67" spans="1:6">
      <c r="A67" s="67" t="s">
        <v>12025</v>
      </c>
      <c r="C67" s="63"/>
      <c r="D67" t="s">
        <v>13312</v>
      </c>
      <c r="E67" s="34"/>
      <c r="F67" s="67"/>
    </row>
    <row r="68" spans="1:6">
      <c r="A68" s="32" t="s">
        <v>12026</v>
      </c>
      <c r="C68" s="63"/>
      <c r="D68" s="67" t="s">
        <v>13313</v>
      </c>
      <c r="E68" s="34"/>
      <c r="F68" s="67"/>
    </row>
    <row r="69" spans="1:6">
      <c r="A69" s="67" t="s">
        <v>5573</v>
      </c>
      <c r="B69" t="s">
        <v>13231</v>
      </c>
      <c r="C69" s="63"/>
      <c r="D69" t="s">
        <v>13314</v>
      </c>
      <c r="E69" s="34"/>
      <c r="F69" s="67"/>
    </row>
    <row r="70" spans="1:6">
      <c r="A70" s="67" t="s">
        <v>6346</v>
      </c>
      <c r="C70" s="63"/>
      <c r="D70" t="s">
        <v>13315</v>
      </c>
      <c r="E70" s="34"/>
      <c r="F70" s="67"/>
    </row>
    <row r="71" spans="1:6">
      <c r="A71" s="32" t="s">
        <v>13316</v>
      </c>
      <c r="C71" s="63"/>
      <c r="D71" t="s">
        <v>13317</v>
      </c>
      <c r="E71" s="34"/>
      <c r="F71" s="67"/>
    </row>
    <row r="72" spans="1:6">
      <c r="A72" s="67" t="s">
        <v>13318</v>
      </c>
      <c r="C72" s="63"/>
      <c r="D72" t="s">
        <v>13319</v>
      </c>
      <c r="E72" s="34"/>
      <c r="F72" s="67"/>
    </row>
    <row r="73" spans="1:6">
      <c r="A73" s="67" t="s">
        <v>10514</v>
      </c>
      <c r="C73" s="63"/>
      <c r="D73" t="s">
        <v>13320</v>
      </c>
      <c r="E73" s="34"/>
      <c r="F73" s="67"/>
    </row>
    <row r="74" spans="1:6">
      <c r="A74" s="67" t="s">
        <v>123</v>
      </c>
      <c r="C74" s="63"/>
      <c r="D74" t="s">
        <v>13321</v>
      </c>
      <c r="E74" s="34"/>
      <c r="F74" s="67"/>
    </row>
    <row r="75" spans="1:6">
      <c r="C75" s="34"/>
      <c r="E75" s="34"/>
      <c r="F75" s="67"/>
    </row>
    <row r="76" spans="1:6">
      <c r="A76" s="79" t="s">
        <v>333</v>
      </c>
      <c r="B76" s="79" t="s">
        <v>147</v>
      </c>
      <c r="C76" s="79" t="s">
        <v>148</v>
      </c>
      <c r="D76" s="79" t="s">
        <v>182</v>
      </c>
      <c r="E76" s="34"/>
      <c r="F76" s="67"/>
    </row>
    <row r="77" spans="1:6">
      <c r="A77" s="67" t="s">
        <v>13322</v>
      </c>
      <c r="B77" s="70" t="s">
        <v>13323</v>
      </c>
      <c r="C77" s="67" t="s">
        <v>13324</v>
      </c>
      <c r="D77" s="67" t="s">
        <v>13325</v>
      </c>
      <c r="E77" s="34"/>
      <c r="F77" s="67"/>
    </row>
    <row r="78" spans="1:6">
      <c r="A78" s="67" t="s">
        <v>12795</v>
      </c>
      <c r="B78" s="70" t="s">
        <v>12796</v>
      </c>
      <c r="C78" s="67" t="s">
        <v>12797</v>
      </c>
      <c r="D78" s="67" t="s">
        <v>12798</v>
      </c>
      <c r="E78" s="34"/>
      <c r="F78" s="67"/>
    </row>
    <row r="79" spans="1:6">
      <c r="A79" s="67" t="s">
        <v>13326</v>
      </c>
      <c r="B79" s="67" t="s">
        <v>13327</v>
      </c>
      <c r="C79" s="34" t="s">
        <v>13328</v>
      </c>
      <c r="D79" s="67" t="s">
        <v>13329</v>
      </c>
      <c r="E79" s="34"/>
      <c r="F79" s="67"/>
    </row>
    <row r="80" spans="1:6">
      <c r="A80" s="67" t="s">
        <v>7685</v>
      </c>
      <c r="B80" t="s">
        <v>7686</v>
      </c>
      <c r="C80" s="34"/>
      <c r="D80" s="67" t="s">
        <v>7688</v>
      </c>
      <c r="E80" s="34"/>
      <c r="F80" s="67"/>
    </row>
    <row r="81" spans="1:6">
      <c r="A81" s="67" t="s">
        <v>13330</v>
      </c>
      <c r="C81" s="34"/>
      <c r="D81" s="67" t="s">
        <v>13331</v>
      </c>
      <c r="E81" s="34"/>
      <c r="F81" s="67"/>
    </row>
    <row r="82" spans="1:6">
      <c r="A82" s="67" t="s">
        <v>13332</v>
      </c>
      <c r="B82" s="70" t="s">
        <v>13333</v>
      </c>
      <c r="C82" s="67" t="s">
        <v>13334</v>
      </c>
      <c r="D82" s="67" t="s">
        <v>13335</v>
      </c>
      <c r="E82" s="34"/>
      <c r="F82" s="67"/>
    </row>
    <row r="83" spans="1:6">
      <c r="C83" s="34"/>
      <c r="E83" s="34"/>
      <c r="F83" s="67"/>
    </row>
    <row r="84" spans="1:6">
      <c r="A84" s="79" t="s">
        <v>878</v>
      </c>
      <c r="B84" s="79" t="s">
        <v>147</v>
      </c>
      <c r="C84" s="79" t="s">
        <v>148</v>
      </c>
      <c r="D84" s="79" t="s">
        <v>182</v>
      </c>
      <c r="E84" s="34"/>
      <c r="F84" s="67"/>
    </row>
    <row r="85" spans="1:6">
      <c r="A85" s="67" t="s">
        <v>13336</v>
      </c>
      <c r="B85" s="70" t="s">
        <v>13337</v>
      </c>
      <c r="C85" s="67" t="s">
        <v>13338</v>
      </c>
      <c r="D85" s="67" t="s">
        <v>13339</v>
      </c>
      <c r="E85" s="34"/>
      <c r="F85" s="67"/>
    </row>
    <row r="86" spans="1:6">
      <c r="A86" s="67" t="s">
        <v>13340</v>
      </c>
      <c r="B86" t="s">
        <v>13341</v>
      </c>
      <c r="C86" s="34" t="s">
        <v>13342</v>
      </c>
      <c r="D86" s="67" t="s">
        <v>13343</v>
      </c>
      <c r="E86" s="34"/>
      <c r="F86" s="67"/>
    </row>
    <row r="87" spans="1:6">
      <c r="A87" s="67" t="s">
        <v>13344</v>
      </c>
      <c r="C87" s="34" t="s">
        <v>13345</v>
      </c>
      <c r="D87" s="67" t="s">
        <v>13346</v>
      </c>
      <c r="E87" s="34"/>
      <c r="F87" s="67"/>
    </row>
    <row r="88" spans="1:6">
      <c r="A88" s="67" t="s">
        <v>13347</v>
      </c>
      <c r="C88" s="34"/>
      <c r="D88" s="67" t="s">
        <v>13348</v>
      </c>
      <c r="E88" s="34"/>
      <c r="F88" s="67"/>
    </row>
    <row r="89" spans="1:6">
      <c r="A89" s="97" t="s">
        <v>13349</v>
      </c>
      <c r="C89" s="34" t="s">
        <v>13350</v>
      </c>
      <c r="D89" t="s">
        <v>13351</v>
      </c>
      <c r="E89" s="34"/>
      <c r="F89" s="67"/>
    </row>
    <row r="90" spans="1:6">
      <c r="A90" s="97" t="s">
        <v>13352</v>
      </c>
      <c r="C90" s="34" t="s">
        <v>13353</v>
      </c>
      <c r="D90" t="s">
        <v>13354</v>
      </c>
      <c r="E90" s="34"/>
      <c r="F90" s="67"/>
    </row>
    <row r="91" spans="1:6">
      <c r="A91" s="97" t="s">
        <v>13355</v>
      </c>
      <c r="C91" s="34"/>
      <c r="D91" t="s">
        <v>13356</v>
      </c>
      <c r="E91" s="34"/>
      <c r="F91" s="67"/>
    </row>
    <row r="92" spans="1:6">
      <c r="A92" s="97" t="s">
        <v>13357</v>
      </c>
      <c r="C92" s="34"/>
      <c r="D92" t="s">
        <v>13358</v>
      </c>
      <c r="E92" s="34"/>
      <c r="F92" s="67"/>
    </row>
    <row r="93" spans="1:6">
      <c r="A93" s="97" t="s">
        <v>13359</v>
      </c>
      <c r="B93" t="s">
        <v>13360</v>
      </c>
      <c r="C93" s="34" t="s">
        <v>13361</v>
      </c>
      <c r="D93" t="s">
        <v>13362</v>
      </c>
      <c r="E93" s="34"/>
      <c r="F93" s="67"/>
    </row>
    <row r="94" spans="1:6">
      <c r="A94" s="97" t="s">
        <v>13363</v>
      </c>
      <c r="C94" s="34"/>
      <c r="D94" t="s">
        <v>13364</v>
      </c>
      <c r="E94" s="34"/>
      <c r="F94" s="67"/>
    </row>
    <row r="95" spans="1:6">
      <c r="A95" s="97" t="s">
        <v>13365</v>
      </c>
      <c r="C95" s="34"/>
      <c r="D95" t="s">
        <v>13366</v>
      </c>
      <c r="E95" s="34"/>
      <c r="F95" s="67"/>
    </row>
    <row r="96" spans="1:6">
      <c r="A96" s="97" t="s">
        <v>9423</v>
      </c>
      <c r="C96" s="34"/>
      <c r="D96" t="s">
        <v>13367</v>
      </c>
      <c r="E96" s="34"/>
      <c r="F96" s="67"/>
    </row>
    <row r="97" spans="1:6">
      <c r="A97" s="97" t="s">
        <v>13368</v>
      </c>
      <c r="C97" s="34"/>
      <c r="D97" t="s">
        <v>13369</v>
      </c>
      <c r="E97" s="34"/>
      <c r="F97" s="67"/>
    </row>
    <row r="98" spans="1:6">
      <c r="A98" s="97" t="s">
        <v>13370</v>
      </c>
      <c r="C98" s="34"/>
      <c r="D98" t="s">
        <v>13371</v>
      </c>
      <c r="E98" s="34"/>
      <c r="F98" s="67"/>
    </row>
    <row r="99" spans="1:6">
      <c r="A99" s="97" t="s">
        <v>13372</v>
      </c>
      <c r="C99" s="34"/>
      <c r="D99" t="s">
        <v>13373</v>
      </c>
      <c r="E99" s="34"/>
      <c r="F99" s="67"/>
    </row>
    <row r="100" spans="1:6">
      <c r="A100" s="97" t="s">
        <v>13374</v>
      </c>
      <c r="C100" s="34"/>
      <c r="D100" t="s">
        <v>13375</v>
      </c>
      <c r="E100" s="34"/>
      <c r="F100" s="67"/>
    </row>
    <row r="101" spans="1:6">
      <c r="A101" s="97" t="s">
        <v>13376</v>
      </c>
      <c r="C101" s="34"/>
      <c r="D101" t="s">
        <v>13377</v>
      </c>
      <c r="E101" s="34"/>
      <c r="F101" s="67"/>
    </row>
    <row r="102" spans="1:6">
      <c r="A102" s="97" t="s">
        <v>13378</v>
      </c>
      <c r="C102" s="34"/>
      <c r="D102" t="s">
        <v>13379</v>
      </c>
      <c r="E102" s="34"/>
      <c r="F102" s="67"/>
    </row>
    <row r="103" spans="1:6">
      <c r="A103" s="10" t="s">
        <v>13380</v>
      </c>
      <c r="B103" s="56"/>
      <c r="C103" s="48"/>
      <c r="D103" s="56" t="s">
        <v>13381</v>
      </c>
      <c r="E103" s="48"/>
      <c r="F103" s="30"/>
    </row>
    <row r="104" spans="1:6">
      <c r="A104" s="97" t="s">
        <v>13382</v>
      </c>
      <c r="C104" s="34"/>
      <c r="D104" t="s">
        <v>13383</v>
      </c>
      <c r="E104" s="34"/>
      <c r="F104" s="67"/>
    </row>
    <row r="105" spans="1:6">
      <c r="A105" s="97" t="s">
        <v>13384</v>
      </c>
      <c r="C105" s="34"/>
      <c r="D105" t="s">
        <v>13385</v>
      </c>
      <c r="E105" s="34"/>
      <c r="F105" s="67"/>
    </row>
    <row r="106" spans="1:6">
      <c r="A106" s="97" t="s">
        <v>13386</v>
      </c>
      <c r="C106" s="34"/>
      <c r="D106" t="s">
        <v>13387</v>
      </c>
      <c r="E106" s="34"/>
      <c r="F106" s="67"/>
    </row>
    <row r="107" spans="1:6">
      <c r="A107" s="97" t="s">
        <v>13388</v>
      </c>
      <c r="C107" s="34"/>
      <c r="D107" t="s">
        <v>13389</v>
      </c>
      <c r="E107" s="34"/>
      <c r="F107" s="67"/>
    </row>
    <row r="108" spans="1:6">
      <c r="A108" s="97" t="s">
        <v>13390</v>
      </c>
      <c r="C108" s="34"/>
      <c r="D108" t="s">
        <v>13391</v>
      </c>
      <c r="E108" s="34"/>
      <c r="F108" s="67"/>
    </row>
    <row r="109" spans="1:6">
      <c r="A109" s="97" t="s">
        <v>13392</v>
      </c>
      <c r="C109" s="34"/>
      <c r="D109" t="s">
        <v>13393</v>
      </c>
      <c r="E109" s="34"/>
      <c r="F109" s="67"/>
    </row>
    <row r="110" spans="1:6">
      <c r="A110" s="97" t="s">
        <v>13394</v>
      </c>
      <c r="C110" s="34"/>
      <c r="D110" t="s">
        <v>13395</v>
      </c>
      <c r="E110" s="34"/>
      <c r="F110" s="67"/>
    </row>
    <row r="111" spans="1:6">
      <c r="A111" s="97" t="s">
        <v>13396</v>
      </c>
      <c r="C111" s="34"/>
      <c r="D111" t="s">
        <v>13397</v>
      </c>
      <c r="E111" s="34"/>
      <c r="F111" s="67"/>
    </row>
    <row r="112" spans="1:6">
      <c r="A112" s="97" t="s">
        <v>13398</v>
      </c>
      <c r="C112" s="34"/>
      <c r="D112" t="s">
        <v>13399</v>
      </c>
      <c r="E112" s="34"/>
      <c r="F112" s="67"/>
    </row>
    <row r="113" spans="1:6">
      <c r="A113" s="97" t="s">
        <v>13400</v>
      </c>
      <c r="C113" s="34"/>
      <c r="D113" t="s">
        <v>13401</v>
      </c>
      <c r="E113" s="34"/>
      <c r="F113" s="67"/>
    </row>
    <row r="114" spans="1:6">
      <c r="A114" s="97" t="s">
        <v>13402</v>
      </c>
      <c r="C114" s="34"/>
      <c r="D114" t="s">
        <v>13403</v>
      </c>
      <c r="E114" s="34"/>
      <c r="F114" s="67"/>
    </row>
    <row r="115" spans="1:6">
      <c r="A115" s="67"/>
      <c r="C115" s="34"/>
      <c r="E115" s="34"/>
      <c r="F115" s="67"/>
    </row>
    <row r="116" spans="1:6">
      <c r="A116" s="60" t="s">
        <v>13404</v>
      </c>
      <c r="B116" s="79" t="s">
        <v>147</v>
      </c>
      <c r="C116" s="79" t="s">
        <v>148</v>
      </c>
      <c r="D116" s="79" t="s">
        <v>182</v>
      </c>
      <c r="E116" s="34"/>
      <c r="F116" s="67"/>
    </row>
    <row r="117" spans="1:6">
      <c r="A117" s="97" t="s">
        <v>13405</v>
      </c>
      <c r="C117" s="34" t="s">
        <v>13406</v>
      </c>
      <c r="D117" t="s">
        <v>13407</v>
      </c>
      <c r="E117" s="34"/>
      <c r="F117" s="67"/>
    </row>
    <row r="118" spans="1:6">
      <c r="A118" s="67" t="s">
        <v>13408</v>
      </c>
      <c r="B118" t="s">
        <v>13409</v>
      </c>
      <c r="C118" s="34" t="s">
        <v>13410</v>
      </c>
      <c r="D118" t="s">
        <v>13411</v>
      </c>
      <c r="E118" s="34"/>
      <c r="F118" s="67"/>
    </row>
    <row r="119" spans="1:6">
      <c r="A119" s="67" t="s">
        <v>13412</v>
      </c>
      <c r="B119" t="s">
        <v>13413</v>
      </c>
      <c r="C119" s="34" t="s">
        <v>13414</v>
      </c>
      <c r="D119" t="s">
        <v>13415</v>
      </c>
      <c r="E119" s="34"/>
      <c r="F119" s="67"/>
    </row>
    <row r="120" spans="1:6">
      <c r="A120" s="67" t="s">
        <v>13416</v>
      </c>
      <c r="B120" t="s">
        <v>13417</v>
      </c>
      <c r="C120" s="34" t="s">
        <v>13418</v>
      </c>
      <c r="D120" t="s">
        <v>13419</v>
      </c>
      <c r="E120" s="34"/>
      <c r="F120" s="67"/>
    </row>
    <row r="121" spans="1:6">
      <c r="A121" s="67" t="s">
        <v>13420</v>
      </c>
      <c r="B121" t="s">
        <v>13421</v>
      </c>
      <c r="C121" s="34" t="s">
        <v>13422</v>
      </c>
      <c r="D121" t="s">
        <v>13423</v>
      </c>
      <c r="E121" s="34"/>
      <c r="F121" s="67"/>
    </row>
    <row r="122" spans="1:6">
      <c r="A122" s="67" t="s">
        <v>13424</v>
      </c>
      <c r="B122" t="s">
        <v>13425</v>
      </c>
      <c r="C122" s="34" t="s">
        <v>13426</v>
      </c>
      <c r="D122" t="s">
        <v>13427</v>
      </c>
      <c r="E122" s="34"/>
      <c r="F122" s="67"/>
    </row>
    <row r="123" spans="1:6">
      <c r="A123" s="67" t="s">
        <v>13428</v>
      </c>
      <c r="C123" s="34"/>
      <c r="D123" t="s">
        <v>13429</v>
      </c>
      <c r="E123" s="34"/>
      <c r="F123" s="67"/>
    </row>
    <row r="124" spans="1:6">
      <c r="A124" s="67" t="s">
        <v>13430</v>
      </c>
      <c r="B124" t="s">
        <v>13431</v>
      </c>
      <c r="C124" s="34" t="s">
        <v>13432</v>
      </c>
      <c r="D124" t="s">
        <v>13433</v>
      </c>
      <c r="E124" s="34"/>
      <c r="F124" s="67"/>
    </row>
    <row r="125" spans="1:6">
      <c r="A125" s="67" t="s">
        <v>13434</v>
      </c>
      <c r="B125" t="s">
        <v>13435</v>
      </c>
      <c r="C125" s="34" t="s">
        <v>13436</v>
      </c>
      <c r="D125" t="s">
        <v>13437</v>
      </c>
      <c r="E125" s="34"/>
      <c r="F125" s="67"/>
    </row>
    <row r="126" spans="1:6">
      <c r="A126" s="67" t="s">
        <v>13438</v>
      </c>
      <c r="C126" s="34" t="s">
        <v>13439</v>
      </c>
      <c r="D126" t="s">
        <v>13440</v>
      </c>
      <c r="E126" s="34"/>
      <c r="F126" s="67"/>
    </row>
    <row r="127" spans="1:6">
      <c r="A127" s="67"/>
      <c r="C127" s="34"/>
      <c r="E127" s="34"/>
      <c r="F127" s="67"/>
    </row>
    <row r="128" spans="1:6">
      <c r="A128" s="60" t="s">
        <v>13441</v>
      </c>
      <c r="B128" s="79" t="s">
        <v>147</v>
      </c>
      <c r="C128" s="79" t="s">
        <v>148</v>
      </c>
      <c r="D128" s="79" t="s">
        <v>182</v>
      </c>
      <c r="E128" s="34"/>
      <c r="F128" s="67"/>
    </row>
    <row r="129" spans="1:6">
      <c r="A129" s="97" t="s">
        <v>13442</v>
      </c>
      <c r="C129" s="34"/>
      <c r="D129" t="s">
        <v>13443</v>
      </c>
      <c r="E129" s="34"/>
      <c r="F129" s="67"/>
    </row>
    <row r="130" spans="1:6">
      <c r="A130" s="97" t="s">
        <v>13444</v>
      </c>
      <c r="B130" t="s">
        <v>13247</v>
      </c>
      <c r="C130" s="34"/>
      <c r="D130" t="s">
        <v>13445</v>
      </c>
      <c r="E130" s="34"/>
      <c r="F130" s="67"/>
    </row>
    <row r="131" spans="1:6">
      <c r="A131" s="97"/>
      <c r="C131" s="34"/>
      <c r="E131" s="34"/>
      <c r="F131" s="67"/>
    </row>
    <row r="132" spans="1:6">
      <c r="A132" s="60" t="s">
        <v>1593</v>
      </c>
      <c r="B132" s="79" t="s">
        <v>147</v>
      </c>
      <c r="C132" s="79" t="s">
        <v>148</v>
      </c>
      <c r="D132" s="79" t="s">
        <v>182</v>
      </c>
      <c r="E132" s="79" t="s">
        <v>490</v>
      </c>
      <c r="F132" s="67"/>
    </row>
    <row r="133" spans="1:6">
      <c r="A133" s="97" t="s">
        <v>13446</v>
      </c>
      <c r="B133" t="s">
        <v>787</v>
      </c>
      <c r="C133" s="34" t="s">
        <v>13447</v>
      </c>
      <c r="D133" t="s">
        <v>13448</v>
      </c>
      <c r="E133" s="34" t="s">
        <v>13449</v>
      </c>
      <c r="F133" s="67"/>
    </row>
    <row r="134" spans="1:6">
      <c r="A134" s="97" t="s">
        <v>13450</v>
      </c>
      <c r="B134" t="s">
        <v>13451</v>
      </c>
      <c r="C134" s="34" t="s">
        <v>13452</v>
      </c>
      <c r="D134" t="s">
        <v>13453</v>
      </c>
      <c r="E134" s="34" t="s">
        <v>13454</v>
      </c>
      <c r="F134" s="67"/>
    </row>
    <row r="135" spans="1:6">
      <c r="A135" s="97" t="s">
        <v>13455</v>
      </c>
      <c r="B135" t="s">
        <v>13456</v>
      </c>
      <c r="C135" s="34" t="s">
        <v>13457</v>
      </c>
      <c r="D135" s="97" t="s">
        <v>13458</v>
      </c>
      <c r="E135" s="34" t="s">
        <v>13459</v>
      </c>
      <c r="F135" s="67"/>
    </row>
    <row r="136" spans="1:6">
      <c r="A136" s="97" t="s">
        <v>13460</v>
      </c>
      <c r="B136" t="s">
        <v>787</v>
      </c>
      <c r="C136" s="34" t="s">
        <v>13461</v>
      </c>
      <c r="D136" t="s">
        <v>13462</v>
      </c>
      <c r="E136" s="34" t="s">
        <v>13463</v>
      </c>
      <c r="F136" s="67"/>
    </row>
    <row r="137" spans="1:6">
      <c r="A137" s="97" t="s">
        <v>13464</v>
      </c>
      <c r="B137" t="s">
        <v>13465</v>
      </c>
      <c r="C137" s="34" t="s">
        <v>13466</v>
      </c>
      <c r="D137" t="s">
        <v>13467</v>
      </c>
      <c r="E137" s="34" t="s">
        <v>13468</v>
      </c>
      <c r="F137" s="67"/>
    </row>
    <row r="138" spans="1:6">
      <c r="A138" s="97" t="s">
        <v>13469</v>
      </c>
      <c r="B138" t="s">
        <v>13470</v>
      </c>
      <c r="C138" s="34" t="s">
        <v>13471</v>
      </c>
      <c r="D138" t="s">
        <v>13472</v>
      </c>
      <c r="E138" s="34" t="s">
        <v>13473</v>
      </c>
      <c r="F138" s="67"/>
    </row>
    <row r="139" spans="1:6">
      <c r="A139" s="97" t="s">
        <v>13474</v>
      </c>
      <c r="B139" t="s">
        <v>13475</v>
      </c>
      <c r="C139" s="34" t="s">
        <v>13476</v>
      </c>
      <c r="D139" t="s">
        <v>13477</v>
      </c>
      <c r="E139" s="34" t="s">
        <v>13225</v>
      </c>
      <c r="F139" s="67"/>
    </row>
    <row r="140" spans="1:6">
      <c r="A140" s="97" t="s">
        <v>13478</v>
      </c>
      <c r="B140" t="s">
        <v>787</v>
      </c>
      <c r="C140" s="34" t="s">
        <v>13479</v>
      </c>
      <c r="D140" t="s">
        <v>13480</v>
      </c>
      <c r="E140" s="34" t="s">
        <v>13481</v>
      </c>
      <c r="F140" s="67"/>
    </row>
    <row r="141" spans="1:6">
      <c r="A141" s="97" t="s">
        <v>13482</v>
      </c>
      <c r="B141" t="s">
        <v>787</v>
      </c>
      <c r="C141" s="34" t="s">
        <v>13483</v>
      </c>
      <c r="D141" t="s">
        <v>13484</v>
      </c>
      <c r="E141" s="34" t="s">
        <v>13485</v>
      </c>
      <c r="F141" s="67"/>
    </row>
    <row r="142" spans="1:6">
      <c r="A142" s="97" t="s">
        <v>13486</v>
      </c>
      <c r="B142" t="s">
        <v>787</v>
      </c>
      <c r="C142" s="34" t="s">
        <v>13487</v>
      </c>
      <c r="D142" t="s">
        <v>13488</v>
      </c>
      <c r="E142" s="34" t="s">
        <v>13489</v>
      </c>
      <c r="F142" s="67"/>
    </row>
    <row r="143" spans="1:6">
      <c r="A143" s="97" t="s">
        <v>13490</v>
      </c>
      <c r="B143" t="s">
        <v>13491</v>
      </c>
      <c r="C143" s="34" t="s">
        <v>13492</v>
      </c>
      <c r="D143" t="s">
        <v>13493</v>
      </c>
      <c r="E143" s="34" t="s">
        <v>523</v>
      </c>
      <c r="F143" s="67"/>
    </row>
    <row r="144" spans="1:6">
      <c r="A144" s="97" t="s">
        <v>13494</v>
      </c>
      <c r="B144" t="s">
        <v>787</v>
      </c>
      <c r="C144" s="34" t="s">
        <v>787</v>
      </c>
      <c r="D144" t="s">
        <v>13495</v>
      </c>
      <c r="E144" s="34" t="s">
        <v>13496</v>
      </c>
      <c r="F144" s="67"/>
    </row>
    <row r="145" spans="1:6">
      <c r="A145" s="97" t="s">
        <v>13497</v>
      </c>
      <c r="B145" t="s">
        <v>787</v>
      </c>
      <c r="C145" s="34" t="s">
        <v>13498</v>
      </c>
      <c r="D145" t="s">
        <v>13499</v>
      </c>
      <c r="E145" s="34" t="s">
        <v>13500</v>
      </c>
      <c r="F145" s="67"/>
    </row>
    <row r="146" spans="1:6">
      <c r="A146" s="97" t="s">
        <v>13501</v>
      </c>
      <c r="B146" t="s">
        <v>13502</v>
      </c>
      <c r="C146" s="34" t="s">
        <v>13503</v>
      </c>
      <c r="D146" s="34" t="s">
        <v>13504</v>
      </c>
      <c r="E146" s="34" t="s">
        <v>13212</v>
      </c>
      <c r="F146" s="67"/>
    </row>
    <row r="147" spans="1:6">
      <c r="A147" s="97" t="s">
        <v>13505</v>
      </c>
      <c r="B147" t="s">
        <v>13506</v>
      </c>
      <c r="C147" s="34" t="s">
        <v>13507</v>
      </c>
      <c r="D147" t="s">
        <v>13508</v>
      </c>
      <c r="E147" s="34" t="s">
        <v>13509</v>
      </c>
      <c r="F147" s="67"/>
    </row>
    <row r="148" spans="1:6">
      <c r="A148" s="97" t="s">
        <v>13510</v>
      </c>
      <c r="B148" t="s">
        <v>13511</v>
      </c>
      <c r="C148" s="34" t="s">
        <v>13512</v>
      </c>
      <c r="D148" t="s">
        <v>13513</v>
      </c>
      <c r="E148" s="34" t="s">
        <v>13514</v>
      </c>
      <c r="F148" s="67"/>
    </row>
    <row r="149" spans="1:6">
      <c r="A149" s="97" t="s">
        <v>13515</v>
      </c>
      <c r="B149" t="s">
        <v>787</v>
      </c>
      <c r="C149" s="34" t="s">
        <v>787</v>
      </c>
      <c r="D149" t="s">
        <v>13516</v>
      </c>
      <c r="E149" s="34" t="s">
        <v>13517</v>
      </c>
      <c r="F149" s="67"/>
    </row>
    <row r="150" spans="1:6">
      <c r="A150" s="97" t="s">
        <v>13518</v>
      </c>
      <c r="B150" t="s">
        <v>13519</v>
      </c>
      <c r="C150" s="34" t="s">
        <v>13520</v>
      </c>
      <c r="D150" t="s">
        <v>13521</v>
      </c>
      <c r="E150" s="34" t="s">
        <v>13522</v>
      </c>
      <c r="F150" s="67"/>
    </row>
    <row r="151" spans="1:6">
      <c r="A151" s="97" t="s">
        <v>13523</v>
      </c>
      <c r="B151" t="s">
        <v>13524</v>
      </c>
      <c r="C151" s="34" t="s">
        <v>13525</v>
      </c>
      <c r="D151" t="s">
        <v>13526</v>
      </c>
      <c r="E151" s="34" t="s">
        <v>13220</v>
      </c>
      <c r="F151" s="67"/>
    </row>
    <row r="152" spans="1:6">
      <c r="A152" s="97" t="s">
        <v>13527</v>
      </c>
      <c r="B152" t="s">
        <v>13528</v>
      </c>
      <c r="C152" s="34" t="s">
        <v>13529</v>
      </c>
      <c r="D152" t="s">
        <v>13530</v>
      </c>
      <c r="E152" s="34" t="s">
        <v>516</v>
      </c>
      <c r="F152" s="67"/>
    </row>
    <row r="153" spans="1:6">
      <c r="A153" s="97" t="s">
        <v>13531</v>
      </c>
      <c r="B153" t="s">
        <v>13532</v>
      </c>
      <c r="C153" s="34" t="s">
        <v>13533</v>
      </c>
      <c r="D153" t="s">
        <v>13534</v>
      </c>
      <c r="E153" s="34" t="s">
        <v>13215</v>
      </c>
      <c r="F153" s="67"/>
    </row>
    <row r="154" spans="1:6">
      <c r="A154" s="97" t="s">
        <v>13535</v>
      </c>
      <c r="B154" t="s">
        <v>13536</v>
      </c>
      <c r="C154" s="34" t="s">
        <v>13537</v>
      </c>
      <c r="D154" t="s">
        <v>13538</v>
      </c>
      <c r="E154" s="34" t="s">
        <v>13539</v>
      </c>
      <c r="F154" s="67"/>
    </row>
    <row r="155" spans="1:6">
      <c r="A155" s="97" t="s">
        <v>13540</v>
      </c>
      <c r="B155" t="s">
        <v>787</v>
      </c>
      <c r="C155" s="34" t="s">
        <v>787</v>
      </c>
      <c r="D155" t="s">
        <v>13541</v>
      </c>
      <c r="E155" s="34" t="s">
        <v>516</v>
      </c>
      <c r="F155" s="67"/>
    </row>
    <row r="156" spans="1:6">
      <c r="A156" s="97" t="s">
        <v>13542</v>
      </c>
      <c r="B156" t="s">
        <v>787</v>
      </c>
      <c r="C156" s="34" t="s">
        <v>13543</v>
      </c>
      <c r="D156" t="s">
        <v>13544</v>
      </c>
      <c r="E156" s="34" t="s">
        <v>13545</v>
      </c>
      <c r="F156" s="67"/>
    </row>
    <row r="157" spans="1:6">
      <c r="A157" s="97" t="s">
        <v>13546</v>
      </c>
      <c r="B157" t="s">
        <v>13547</v>
      </c>
      <c r="C157" s="34" t="s">
        <v>13548</v>
      </c>
      <c r="D157" t="s">
        <v>13549</v>
      </c>
      <c r="E157" s="34" t="s">
        <v>13550</v>
      </c>
      <c r="F157" s="67"/>
    </row>
    <row r="158" spans="1:6">
      <c r="A158" s="97" t="s">
        <v>13551</v>
      </c>
      <c r="B158" t="s">
        <v>787</v>
      </c>
      <c r="C158" s="34" t="s">
        <v>787</v>
      </c>
      <c r="D158" t="s">
        <v>13552</v>
      </c>
      <c r="E158" s="34" t="s">
        <v>13212</v>
      </c>
      <c r="F158" s="67"/>
    </row>
    <row r="159" spans="1:6">
      <c r="A159" s="97" t="s">
        <v>13553</v>
      </c>
      <c r="B159" t="s">
        <v>13554</v>
      </c>
      <c r="C159" s="34" t="s">
        <v>13555</v>
      </c>
      <c r="D159" t="s">
        <v>13556</v>
      </c>
      <c r="E159" s="34" t="s">
        <v>13557</v>
      </c>
      <c r="F159" s="67"/>
    </row>
    <row r="160" spans="1:6">
      <c r="A160" s="97" t="s">
        <v>13558</v>
      </c>
      <c r="B160" t="s">
        <v>13559</v>
      </c>
      <c r="C160" s="34" t="s">
        <v>13560</v>
      </c>
      <c r="D160" t="s">
        <v>13561</v>
      </c>
      <c r="E160" s="34" t="s">
        <v>13496</v>
      </c>
      <c r="F160" s="67"/>
    </row>
    <row r="161" spans="1:6">
      <c r="A161" s="97" t="s">
        <v>13562</v>
      </c>
      <c r="B161" t="s">
        <v>13563</v>
      </c>
      <c r="C161" s="34" t="s">
        <v>13564</v>
      </c>
      <c r="D161" t="s">
        <v>13565</v>
      </c>
      <c r="E161" s="34" t="s">
        <v>13566</v>
      </c>
      <c r="F161" s="67"/>
    </row>
    <row r="162" spans="1:6">
      <c r="A162" s="97" t="s">
        <v>13567</v>
      </c>
      <c r="B162" t="s">
        <v>13568</v>
      </c>
      <c r="C162" s="34" t="s">
        <v>13569</v>
      </c>
      <c r="D162" t="s">
        <v>13570</v>
      </c>
      <c r="E162" s="34" t="s">
        <v>13557</v>
      </c>
      <c r="F162" s="67"/>
    </row>
    <row r="163" spans="1:6">
      <c r="A163" s="97" t="s">
        <v>13571</v>
      </c>
      <c r="B163" t="s">
        <v>13572</v>
      </c>
      <c r="C163" s="34" t="s">
        <v>13573</v>
      </c>
      <c r="D163" t="s">
        <v>13574</v>
      </c>
      <c r="E163" s="34" t="s">
        <v>13575</v>
      </c>
      <c r="F163" s="67"/>
    </row>
    <row r="164" spans="1:6">
      <c r="A164" s="97"/>
      <c r="C164" s="34"/>
      <c r="E164" s="34"/>
      <c r="F164" s="67"/>
    </row>
  </sheetData>
  <customSheetViews>
    <customSheetView guid="{617856E6-44D1-4ADD-8CA5-796514BA6839}">
      <pageMargins left="0.7" right="0.7" top="0.75" bottom="0.75" header="0.3" footer="0.3"/>
    </customSheetView>
  </customSheetViews>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cfRule type="containsText" dxfId="0" priority="1" stopIfTrue="1" operator="containsText" text="County">
      <formula>NOT(ISERROR(SEARCH("County", F1)))</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D151"/>
  <sheetViews>
    <sheetView workbookViewId="0"/>
  </sheetViews>
  <sheetFormatPr defaultColWidth="9.140625" defaultRowHeight="15" customHeight="1"/>
  <cols>
    <col min="1" max="1" width="29.7109375" customWidth="1"/>
    <col min="2" max="2" width="17.85546875" customWidth="1"/>
    <col min="3" max="3" width="14" customWidth="1"/>
    <col min="4" max="4" width="21.28515625" customWidth="1"/>
  </cols>
  <sheetData>
    <row r="1" spans="1:4">
      <c r="A1" s="79"/>
      <c r="B1" s="79" t="s">
        <v>147</v>
      </c>
      <c r="C1" s="79" t="s">
        <v>148</v>
      </c>
      <c r="D1" s="79" t="s">
        <v>182</v>
      </c>
    </row>
    <row r="2" spans="1:4" ht="64.5">
      <c r="A2" s="67" t="s">
        <v>13576</v>
      </c>
      <c r="C2" t="s">
        <v>13577</v>
      </c>
      <c r="D2" s="67" t="s">
        <v>13578</v>
      </c>
    </row>
    <row r="3" spans="1:4">
      <c r="A3" s="67" t="s">
        <v>13579</v>
      </c>
      <c r="B3" s="70"/>
      <c r="C3" s="67" t="s">
        <v>13580</v>
      </c>
      <c r="D3" s="67" t="s">
        <v>13581</v>
      </c>
    </row>
    <row r="4" spans="1:4">
      <c r="A4" s="67" t="s">
        <v>13582</v>
      </c>
      <c r="D4" s="67" t="s">
        <v>13583</v>
      </c>
    </row>
    <row r="5" spans="1:4">
      <c r="A5" s="67" t="s">
        <v>13584</v>
      </c>
      <c r="D5" s="67" t="s">
        <v>13585</v>
      </c>
    </row>
    <row r="7" spans="1:4">
      <c r="A7" s="79" t="s">
        <v>209</v>
      </c>
      <c r="B7" s="79" t="s">
        <v>147</v>
      </c>
      <c r="C7" s="79" t="s">
        <v>148</v>
      </c>
      <c r="D7" s="79" t="s">
        <v>182</v>
      </c>
    </row>
    <row r="8" spans="1:4" ht="26.25">
      <c r="A8" s="67" t="s">
        <v>5376</v>
      </c>
      <c r="D8" t="s">
        <v>13586</v>
      </c>
    </row>
    <row r="9" spans="1:4" ht="26.25">
      <c r="A9" s="67" t="s">
        <v>10346</v>
      </c>
      <c r="D9" t="s">
        <v>13587</v>
      </c>
    </row>
    <row r="10" spans="1:4" ht="90">
      <c r="A10" s="67" t="s">
        <v>13588</v>
      </c>
      <c r="C10" t="s">
        <v>13589</v>
      </c>
      <c r="D10" t="s">
        <v>13590</v>
      </c>
    </row>
    <row r="11" spans="1:4" ht="77.25">
      <c r="A11" s="67" t="s">
        <v>13591</v>
      </c>
      <c r="B11" t="s">
        <v>13592</v>
      </c>
      <c r="C11" t="s">
        <v>13593</v>
      </c>
      <c r="D11" t="s">
        <v>13594</v>
      </c>
    </row>
    <row r="12" spans="1:4" ht="26.25">
      <c r="A12" s="67" t="s">
        <v>5385</v>
      </c>
      <c r="D12" t="s">
        <v>13595</v>
      </c>
    </row>
    <row r="13" spans="1:4" ht="90">
      <c r="A13" s="67" t="s">
        <v>8725</v>
      </c>
      <c r="C13" t="s">
        <v>13596</v>
      </c>
      <c r="D13" t="s">
        <v>13597</v>
      </c>
    </row>
    <row r="14" spans="1:4" ht="26.25">
      <c r="A14" s="67" t="s">
        <v>13598</v>
      </c>
      <c r="D14" t="s">
        <v>13599</v>
      </c>
    </row>
    <row r="15" spans="1:4" ht="26.25">
      <c r="A15" s="67" t="s">
        <v>13600</v>
      </c>
      <c r="D15" t="s">
        <v>13601</v>
      </c>
    </row>
    <row r="16" spans="1:4" ht="26.25">
      <c r="A16" s="67" t="s">
        <v>8101</v>
      </c>
      <c r="D16" t="s">
        <v>13602</v>
      </c>
    </row>
    <row r="17" spans="1:4" ht="26.25">
      <c r="A17" s="67" t="s">
        <v>5401</v>
      </c>
      <c r="D17" t="s">
        <v>13603</v>
      </c>
    </row>
    <row r="18" spans="1:4" ht="26.25">
      <c r="A18" s="67" t="s">
        <v>9570</v>
      </c>
      <c r="D18" t="s">
        <v>13604</v>
      </c>
    </row>
    <row r="19" spans="1:4" ht="26.25">
      <c r="A19" s="67" t="s">
        <v>5413</v>
      </c>
      <c r="D19" t="s">
        <v>13605</v>
      </c>
    </row>
    <row r="20" spans="1:4" ht="26.25">
      <c r="A20" s="67" t="s">
        <v>13606</v>
      </c>
      <c r="D20" t="s">
        <v>13607</v>
      </c>
    </row>
    <row r="21" spans="1:4" ht="39">
      <c r="A21" s="67" t="s">
        <v>8225</v>
      </c>
      <c r="C21" t="s">
        <v>13608</v>
      </c>
      <c r="D21" t="s">
        <v>13609</v>
      </c>
    </row>
    <row r="22" spans="1:4" ht="77.25">
      <c r="A22" s="67" t="s">
        <v>13610</v>
      </c>
      <c r="C22" t="s">
        <v>13611</v>
      </c>
      <c r="D22" t="s">
        <v>13612</v>
      </c>
    </row>
    <row r="23" spans="1:4" ht="77.25">
      <c r="A23" s="67" t="s">
        <v>5422</v>
      </c>
      <c r="B23" t="s">
        <v>13613</v>
      </c>
      <c r="C23" t="s">
        <v>13614</v>
      </c>
      <c r="D23" t="s">
        <v>13615</v>
      </c>
    </row>
    <row r="24" spans="1:4" ht="39">
      <c r="A24" s="67" t="s">
        <v>10102</v>
      </c>
      <c r="C24" t="s">
        <v>13616</v>
      </c>
      <c r="D24" t="s">
        <v>13617</v>
      </c>
    </row>
    <row r="25" spans="1:4" ht="39">
      <c r="A25" s="67" t="s">
        <v>13618</v>
      </c>
      <c r="B25" t="s">
        <v>13619</v>
      </c>
      <c r="C25" t="s">
        <v>13620</v>
      </c>
      <c r="D25" t="s">
        <v>13621</v>
      </c>
    </row>
    <row r="26" spans="1:4" ht="90">
      <c r="A26" s="67" t="s">
        <v>11545</v>
      </c>
      <c r="C26" t="s">
        <v>13622</v>
      </c>
      <c r="D26" t="s">
        <v>13623</v>
      </c>
    </row>
    <row r="27" spans="1:4">
      <c r="A27" s="67" t="s">
        <v>13624</v>
      </c>
      <c r="D27" t="s">
        <v>13625</v>
      </c>
    </row>
    <row r="28" spans="1:4" ht="26.25">
      <c r="A28" s="67" t="s">
        <v>11302</v>
      </c>
      <c r="D28" t="s">
        <v>13626</v>
      </c>
    </row>
    <row r="29" spans="1:4" ht="26.25">
      <c r="A29" s="67" t="s">
        <v>5806</v>
      </c>
      <c r="B29" t="s">
        <v>13627</v>
      </c>
      <c r="D29" t="s">
        <v>13628</v>
      </c>
    </row>
    <row r="30" spans="1:4" ht="26.25">
      <c r="A30" s="67" t="s">
        <v>13629</v>
      </c>
      <c r="B30" t="s">
        <v>13630</v>
      </c>
      <c r="D30" t="s">
        <v>13631</v>
      </c>
    </row>
    <row r="31" spans="1:4" ht="26.25">
      <c r="A31" s="67" t="s">
        <v>13632</v>
      </c>
      <c r="D31" t="s">
        <v>13633</v>
      </c>
    </row>
    <row r="32" spans="1:4" ht="26.25">
      <c r="A32" s="67" t="s">
        <v>53</v>
      </c>
      <c r="D32" t="s">
        <v>13634</v>
      </c>
    </row>
    <row r="33" spans="1:4" ht="26.25">
      <c r="A33" s="67" t="s">
        <v>8116</v>
      </c>
      <c r="D33" t="s">
        <v>13635</v>
      </c>
    </row>
    <row r="34" spans="1:4" ht="26.25">
      <c r="A34" s="67" t="s">
        <v>5466</v>
      </c>
      <c r="D34" t="s">
        <v>13636</v>
      </c>
    </row>
    <row r="35" spans="1:4" ht="51.75">
      <c r="A35" s="67" t="s">
        <v>5187</v>
      </c>
      <c r="B35" t="s">
        <v>13637</v>
      </c>
      <c r="C35" t="s">
        <v>13638</v>
      </c>
      <c r="D35" t="s">
        <v>13639</v>
      </c>
    </row>
    <row r="36" spans="1:4" ht="77.25">
      <c r="A36" s="67" t="s">
        <v>13640</v>
      </c>
      <c r="C36" t="s">
        <v>13641</v>
      </c>
      <c r="D36" t="s">
        <v>13642</v>
      </c>
    </row>
    <row r="37" spans="1:4" ht="29.25" customHeight="1">
      <c r="A37" s="67" t="s">
        <v>13643</v>
      </c>
      <c r="B37" t="s">
        <v>13644</v>
      </c>
      <c r="C37" t="s">
        <v>13645</v>
      </c>
      <c r="D37" t="s">
        <v>13646</v>
      </c>
    </row>
    <row r="38" spans="1:4" ht="26.25">
      <c r="A38" s="67" t="s">
        <v>13647</v>
      </c>
      <c r="D38" t="s">
        <v>13648</v>
      </c>
    </row>
    <row r="39" spans="1:4" ht="64.5">
      <c r="A39" s="67" t="s">
        <v>13649</v>
      </c>
      <c r="B39" t="s">
        <v>13650</v>
      </c>
      <c r="C39" t="s">
        <v>13651</v>
      </c>
      <c r="D39" t="s">
        <v>13652</v>
      </c>
    </row>
    <row r="40" spans="1:4" ht="26.25">
      <c r="A40" s="67" t="s">
        <v>7280</v>
      </c>
      <c r="D40" t="s">
        <v>13653</v>
      </c>
    </row>
    <row r="41" spans="1:4" ht="26.25">
      <c r="A41" s="67" t="s">
        <v>13654</v>
      </c>
      <c r="D41" t="s">
        <v>13655</v>
      </c>
    </row>
    <row r="42" spans="1:4" ht="64.5">
      <c r="A42" s="67" t="s">
        <v>5206</v>
      </c>
      <c r="B42" t="s">
        <v>13656</v>
      </c>
      <c r="C42" t="s">
        <v>13657</v>
      </c>
      <c r="D42" t="s">
        <v>13658</v>
      </c>
    </row>
    <row r="43" spans="1:4" ht="26.25">
      <c r="A43" s="67" t="s">
        <v>13659</v>
      </c>
      <c r="D43" t="s">
        <v>13660</v>
      </c>
    </row>
    <row r="44" spans="1:4" ht="26.25">
      <c r="A44" s="67" t="s">
        <v>13661</v>
      </c>
      <c r="D44" t="s">
        <v>13662</v>
      </c>
    </row>
    <row r="45" spans="1:4" ht="26.25">
      <c r="A45" s="67" t="s">
        <v>13663</v>
      </c>
      <c r="D45" t="s">
        <v>13664</v>
      </c>
    </row>
    <row r="46" spans="1:4" ht="51.75">
      <c r="A46" s="67" t="s">
        <v>8129</v>
      </c>
      <c r="C46" t="s">
        <v>13665</v>
      </c>
      <c r="D46" t="s">
        <v>13666</v>
      </c>
    </row>
    <row r="47" spans="1:4" ht="26.25">
      <c r="A47" s="67" t="s">
        <v>8131</v>
      </c>
      <c r="D47" t="s">
        <v>13667</v>
      </c>
    </row>
    <row r="48" spans="1:4" ht="39">
      <c r="A48" s="67" t="s">
        <v>13668</v>
      </c>
      <c r="C48" s="67" t="s">
        <v>13669</v>
      </c>
      <c r="D48" t="s">
        <v>13670</v>
      </c>
    </row>
    <row r="49" spans="1:4" ht="26.25">
      <c r="A49" s="67" t="s">
        <v>5524</v>
      </c>
      <c r="D49" t="s">
        <v>13671</v>
      </c>
    </row>
    <row r="50" spans="1:4" ht="26.25">
      <c r="A50" s="67" t="s">
        <v>13672</v>
      </c>
      <c r="D50" t="s">
        <v>13673</v>
      </c>
    </row>
    <row r="51" spans="1:4" ht="26.25">
      <c r="A51" s="67" t="s">
        <v>5218</v>
      </c>
      <c r="D51" t="s">
        <v>13674</v>
      </c>
    </row>
    <row r="52" spans="1:4" ht="39">
      <c r="A52" s="67" t="s">
        <v>13675</v>
      </c>
      <c r="B52" s="67"/>
      <c r="C52" t="s">
        <v>13676</v>
      </c>
      <c r="D52" t="s">
        <v>13677</v>
      </c>
    </row>
    <row r="53" spans="1:4" ht="39">
      <c r="A53" s="67" t="s">
        <v>13678</v>
      </c>
      <c r="C53" t="s">
        <v>13679</v>
      </c>
      <c r="D53" t="s">
        <v>13680</v>
      </c>
    </row>
    <row r="54" spans="1:4" ht="26.25">
      <c r="A54" s="67" t="s">
        <v>13681</v>
      </c>
      <c r="D54" t="s">
        <v>13682</v>
      </c>
    </row>
    <row r="55" spans="1:4" ht="26.25">
      <c r="A55" s="67" t="s">
        <v>8756</v>
      </c>
      <c r="B55" s="67"/>
      <c r="D55" t="s">
        <v>13683</v>
      </c>
    </row>
    <row r="56" spans="1:4" ht="26.25">
      <c r="A56" s="67" t="s">
        <v>6290</v>
      </c>
      <c r="D56" t="s">
        <v>13684</v>
      </c>
    </row>
    <row r="57" spans="1:4" ht="26.25">
      <c r="A57" s="67" t="s">
        <v>10495</v>
      </c>
      <c r="B57" t="s">
        <v>13685</v>
      </c>
      <c r="D57" t="s">
        <v>13686</v>
      </c>
    </row>
    <row r="58" spans="1:4" ht="26.25">
      <c r="A58" s="67" t="s">
        <v>13687</v>
      </c>
      <c r="D58" t="s">
        <v>13688</v>
      </c>
    </row>
    <row r="59" spans="1:4" ht="26.25">
      <c r="A59" s="67" t="s">
        <v>13689</v>
      </c>
      <c r="B59" t="s">
        <v>13690</v>
      </c>
      <c r="D59" t="s">
        <v>13691</v>
      </c>
    </row>
    <row r="60" spans="1:4" ht="26.25">
      <c r="A60" s="67" t="s">
        <v>5545</v>
      </c>
      <c r="D60" t="s">
        <v>13692</v>
      </c>
    </row>
    <row r="61" spans="1:4" ht="26.25">
      <c r="A61" s="67" t="s">
        <v>8261</v>
      </c>
      <c r="B61" t="s">
        <v>13693</v>
      </c>
      <c r="D61" t="s">
        <v>13694</v>
      </c>
    </row>
    <row r="62" spans="1:4" ht="26.25">
      <c r="A62" s="67" t="s">
        <v>12003</v>
      </c>
      <c r="B62" t="s">
        <v>13695</v>
      </c>
      <c r="D62" t="s">
        <v>13696</v>
      </c>
    </row>
    <row r="63" spans="1:4" ht="39">
      <c r="A63" s="67" t="s">
        <v>13697</v>
      </c>
      <c r="B63" t="s">
        <v>13698</v>
      </c>
      <c r="C63" t="s">
        <v>13699</v>
      </c>
      <c r="D63" t="s">
        <v>13700</v>
      </c>
    </row>
    <row r="64" spans="1:4" ht="26.25">
      <c r="A64" s="67" t="s">
        <v>13701</v>
      </c>
      <c r="D64" t="s">
        <v>13702</v>
      </c>
    </row>
    <row r="65" spans="1:4" ht="26.25">
      <c r="A65" s="67" t="s">
        <v>13703</v>
      </c>
      <c r="D65" t="s">
        <v>13704</v>
      </c>
    </row>
    <row r="66" spans="1:4" ht="26.25">
      <c r="A66" s="67" t="s">
        <v>13705</v>
      </c>
      <c r="D66" t="s">
        <v>13706</v>
      </c>
    </row>
    <row r="67" spans="1:4" ht="64.5">
      <c r="A67" s="67" t="s">
        <v>13707</v>
      </c>
      <c r="B67" t="s">
        <v>13708</v>
      </c>
      <c r="C67" t="s">
        <v>13709</v>
      </c>
      <c r="D67" t="s">
        <v>13710</v>
      </c>
    </row>
    <row r="68" spans="1:4" ht="26.25">
      <c r="A68" s="67" t="s">
        <v>6327</v>
      </c>
      <c r="D68" t="s">
        <v>13711</v>
      </c>
    </row>
    <row r="69" spans="1:4" ht="26.25">
      <c r="A69" s="67" t="s">
        <v>13712</v>
      </c>
      <c r="D69" t="s">
        <v>13713</v>
      </c>
    </row>
    <row r="70" spans="1:4" ht="26.25">
      <c r="A70" s="67" t="s">
        <v>7344</v>
      </c>
      <c r="D70" t="s">
        <v>13714</v>
      </c>
    </row>
    <row r="71" spans="1:4" ht="39">
      <c r="A71" s="67" t="s">
        <v>13715</v>
      </c>
      <c r="B71" t="s">
        <v>13716</v>
      </c>
      <c r="C71" t="s">
        <v>13717</v>
      </c>
      <c r="D71" t="s">
        <v>13718</v>
      </c>
    </row>
    <row r="72" spans="1:4" ht="26.25">
      <c r="A72" s="67" t="s">
        <v>11714</v>
      </c>
      <c r="D72" t="s">
        <v>13719</v>
      </c>
    </row>
    <row r="73" spans="1:4" ht="26.25">
      <c r="A73" s="67" t="s">
        <v>13720</v>
      </c>
      <c r="B73" t="s">
        <v>13721</v>
      </c>
      <c r="D73" t="s">
        <v>13722</v>
      </c>
    </row>
    <row r="74" spans="1:4" ht="90">
      <c r="A74" s="67" t="s">
        <v>117</v>
      </c>
      <c r="B74" t="s">
        <v>13723</v>
      </c>
      <c r="C74" t="s">
        <v>13724</v>
      </c>
      <c r="D74" t="s">
        <v>13725</v>
      </c>
    </row>
    <row r="75" spans="1:4" ht="51.75">
      <c r="A75" s="67" t="s">
        <v>13726</v>
      </c>
      <c r="B75" t="s">
        <v>13727</v>
      </c>
      <c r="C75" t="s">
        <v>13728</v>
      </c>
      <c r="D75" t="s">
        <v>13729</v>
      </c>
    </row>
    <row r="76" spans="1:4" ht="26.25">
      <c r="A76" s="67" t="s">
        <v>13730</v>
      </c>
      <c r="D76" t="s">
        <v>13731</v>
      </c>
    </row>
    <row r="77" spans="1:4" ht="90">
      <c r="A77" s="67" t="s">
        <v>13732</v>
      </c>
      <c r="C77" t="s">
        <v>13733</v>
      </c>
      <c r="D77" t="s">
        <v>13734</v>
      </c>
    </row>
    <row r="78" spans="1:4" ht="102.75">
      <c r="A78" s="67" t="s">
        <v>5581</v>
      </c>
      <c r="B78" t="s">
        <v>13735</v>
      </c>
      <c r="C78" t="s">
        <v>13736</v>
      </c>
      <c r="D78" t="s">
        <v>13737</v>
      </c>
    </row>
    <row r="79" spans="1:4" ht="26.25">
      <c r="A79" s="67" t="s">
        <v>10514</v>
      </c>
      <c r="D79" t="s">
        <v>13738</v>
      </c>
    </row>
    <row r="81" spans="1:4">
      <c r="A81" s="79" t="s">
        <v>333</v>
      </c>
    </row>
    <row r="82" spans="1:4" ht="51.75">
      <c r="A82" s="67" t="s">
        <v>13739</v>
      </c>
      <c r="B82" t="s">
        <v>13740</v>
      </c>
      <c r="C82" t="s">
        <v>13741</v>
      </c>
      <c r="D82" t="s">
        <v>13742</v>
      </c>
    </row>
    <row r="83" spans="1:4" ht="51.75">
      <c r="A83" s="67" t="s">
        <v>13743</v>
      </c>
      <c r="B83" t="s">
        <v>13744</v>
      </c>
      <c r="C83" t="s">
        <v>13745</v>
      </c>
      <c r="D83" t="s">
        <v>13746</v>
      </c>
    </row>
    <row r="84" spans="1:4" ht="51.75">
      <c r="A84" s="67" t="s">
        <v>8164</v>
      </c>
      <c r="B84" t="s">
        <v>13747</v>
      </c>
      <c r="C84" t="s">
        <v>13748</v>
      </c>
      <c r="D84" t="s">
        <v>13749</v>
      </c>
    </row>
    <row r="85" spans="1:4" ht="90">
      <c r="A85" s="67" t="s">
        <v>13750</v>
      </c>
      <c r="B85" t="s">
        <v>13751</v>
      </c>
      <c r="C85" t="s">
        <v>13752</v>
      </c>
      <c r="D85" t="s">
        <v>13753</v>
      </c>
    </row>
    <row r="86" spans="1:4" ht="39">
      <c r="A86" s="67" t="s">
        <v>3068</v>
      </c>
      <c r="B86" t="s">
        <v>10190</v>
      </c>
      <c r="C86" t="s">
        <v>10191</v>
      </c>
      <c r="D86" t="s">
        <v>3071</v>
      </c>
    </row>
    <row r="87" spans="1:4" ht="51.75">
      <c r="A87" s="67" t="s">
        <v>13754</v>
      </c>
      <c r="B87" s="67" t="s">
        <v>13755</v>
      </c>
      <c r="C87" t="s">
        <v>13756</v>
      </c>
      <c r="D87" t="s">
        <v>6379</v>
      </c>
    </row>
    <row r="88" spans="1:4" ht="64.5">
      <c r="A88" s="67" t="s">
        <v>13757</v>
      </c>
      <c r="C88" t="s">
        <v>13758</v>
      </c>
      <c r="D88" t="s">
        <v>13759</v>
      </c>
    </row>
    <row r="89" spans="1:4" ht="77.25">
      <c r="A89" s="67" t="s">
        <v>13760</v>
      </c>
      <c r="C89" t="s">
        <v>13761</v>
      </c>
      <c r="D89" t="s">
        <v>13762</v>
      </c>
    </row>
    <row r="90" spans="1:4" ht="90">
      <c r="A90" s="67" t="s">
        <v>13763</v>
      </c>
      <c r="C90" t="s">
        <v>13764</v>
      </c>
      <c r="D90" t="s">
        <v>13765</v>
      </c>
    </row>
    <row r="91" spans="1:4" ht="64.5">
      <c r="A91" s="67" t="s">
        <v>13766</v>
      </c>
      <c r="B91" t="s">
        <v>13767</v>
      </c>
      <c r="C91" t="s">
        <v>13768</v>
      </c>
      <c r="D91" t="s">
        <v>13769</v>
      </c>
    </row>
    <row r="92" spans="1:4" ht="26.25">
      <c r="A92" s="67" t="s">
        <v>13770</v>
      </c>
      <c r="D92" t="s">
        <v>13771</v>
      </c>
    </row>
    <row r="93" spans="1:4" ht="115.5">
      <c r="A93" s="67" t="s">
        <v>13772</v>
      </c>
      <c r="C93" t="s">
        <v>13773</v>
      </c>
      <c r="D93" s="67" t="s">
        <v>13774</v>
      </c>
    </row>
    <row r="94" spans="1:4" ht="26.25">
      <c r="A94" s="67" t="s">
        <v>13775</v>
      </c>
      <c r="D94" t="s">
        <v>13776</v>
      </c>
    </row>
    <row r="95" spans="1:4" ht="77.25">
      <c r="A95" s="67" t="s">
        <v>13777</v>
      </c>
      <c r="C95" t="s">
        <v>13778</v>
      </c>
      <c r="D95" t="s">
        <v>13779</v>
      </c>
    </row>
    <row r="96" spans="1:4">
      <c r="A96" s="67" t="s">
        <v>13780</v>
      </c>
      <c r="D96" t="s">
        <v>13781</v>
      </c>
    </row>
    <row r="97" spans="1:4" ht="26.25">
      <c r="A97" s="67" t="s">
        <v>13782</v>
      </c>
      <c r="D97" t="s">
        <v>13783</v>
      </c>
    </row>
    <row r="98" spans="1:4" ht="102.75">
      <c r="A98" s="67" t="s">
        <v>13784</v>
      </c>
      <c r="C98" t="s">
        <v>13785</v>
      </c>
      <c r="D98" t="s">
        <v>13786</v>
      </c>
    </row>
    <row r="99" spans="1:4" ht="26.25">
      <c r="A99" s="67" t="s">
        <v>13787</v>
      </c>
      <c r="D99" t="s">
        <v>13788</v>
      </c>
    </row>
    <row r="100" spans="1:4">
      <c r="A100" s="67" t="s">
        <v>13789</v>
      </c>
      <c r="D100" t="s">
        <v>13790</v>
      </c>
    </row>
    <row r="102" spans="1:4">
      <c r="A102" s="79" t="s">
        <v>878</v>
      </c>
    </row>
    <row r="103" spans="1:4" ht="102.75">
      <c r="A103" s="67" t="s">
        <v>13791</v>
      </c>
      <c r="B103" t="s">
        <v>13792</v>
      </c>
      <c r="C103" t="s">
        <v>13793</v>
      </c>
      <c r="D103" t="s">
        <v>13794</v>
      </c>
    </row>
    <row r="104" spans="1:4" ht="64.5">
      <c r="A104" s="67" t="s">
        <v>13795</v>
      </c>
      <c r="C104" t="s">
        <v>13796</v>
      </c>
      <c r="D104" t="s">
        <v>13797</v>
      </c>
    </row>
    <row r="105" spans="1:4" ht="90">
      <c r="A105" s="67" t="s">
        <v>13798</v>
      </c>
      <c r="C105" t="s">
        <v>13799</v>
      </c>
      <c r="D105" t="s">
        <v>13800</v>
      </c>
    </row>
    <row r="106" spans="1:4" ht="39">
      <c r="A106" s="67" t="s">
        <v>13801</v>
      </c>
      <c r="C106" t="s">
        <v>13802</v>
      </c>
      <c r="D106" t="s">
        <v>13803</v>
      </c>
    </row>
    <row r="107" spans="1:4" ht="51.75">
      <c r="A107" s="67" t="s">
        <v>13804</v>
      </c>
      <c r="C107" t="s">
        <v>13805</v>
      </c>
      <c r="D107" t="s">
        <v>13806</v>
      </c>
    </row>
    <row r="108" spans="1:4" ht="51.75">
      <c r="A108" s="67" t="s">
        <v>13807</v>
      </c>
      <c r="B108" t="s">
        <v>13808</v>
      </c>
      <c r="C108" t="s">
        <v>13809</v>
      </c>
      <c r="D108" t="s">
        <v>13810</v>
      </c>
    </row>
    <row r="109" spans="1:4" ht="77.25">
      <c r="A109" s="67" t="s">
        <v>13811</v>
      </c>
      <c r="B109" t="s">
        <v>13812</v>
      </c>
      <c r="C109" t="s">
        <v>13813</v>
      </c>
      <c r="D109" s="67" t="s">
        <v>13814</v>
      </c>
    </row>
    <row r="110" spans="1:4" ht="90">
      <c r="A110" s="67" t="s">
        <v>13815</v>
      </c>
      <c r="C110" t="s">
        <v>13816</v>
      </c>
      <c r="D110" t="s">
        <v>13817</v>
      </c>
    </row>
    <row r="112" spans="1:4">
      <c r="A112" s="79" t="s">
        <v>428</v>
      </c>
    </row>
    <row r="113" spans="1:4" ht="51.75">
      <c r="A113" s="97" t="s">
        <v>13818</v>
      </c>
      <c r="B113" t="s">
        <v>13819</v>
      </c>
      <c r="C113" t="s">
        <v>13820</v>
      </c>
      <c r="D113" t="s">
        <v>13821</v>
      </c>
    </row>
    <row r="114" spans="1:4" ht="39">
      <c r="A114" s="97" t="s">
        <v>13822</v>
      </c>
      <c r="B114" t="s">
        <v>13823</v>
      </c>
      <c r="C114" t="s">
        <v>13824</v>
      </c>
      <c r="D114" t="s">
        <v>13825</v>
      </c>
    </row>
    <row r="115" spans="1:4" ht="39">
      <c r="A115" s="97" t="s">
        <v>13826</v>
      </c>
      <c r="B115" t="s">
        <v>13827</v>
      </c>
      <c r="C115" t="s">
        <v>13828</v>
      </c>
      <c r="D115" t="s">
        <v>13829</v>
      </c>
    </row>
    <row r="116" spans="1:4" ht="39">
      <c r="A116" s="97" t="s">
        <v>13830</v>
      </c>
      <c r="B116" t="s">
        <v>13831</v>
      </c>
      <c r="C116" t="s">
        <v>13832</v>
      </c>
      <c r="D116" t="s">
        <v>13833</v>
      </c>
    </row>
    <row r="117" spans="1:4" ht="51.75">
      <c r="A117" s="97" t="s">
        <v>13834</v>
      </c>
      <c r="B117" t="s">
        <v>13835</v>
      </c>
      <c r="C117" t="s">
        <v>13836</v>
      </c>
      <c r="D117" t="s">
        <v>13837</v>
      </c>
    </row>
    <row r="118" spans="1:4" ht="39">
      <c r="A118" s="97" t="s">
        <v>13838</v>
      </c>
      <c r="B118" t="s">
        <v>13839</v>
      </c>
      <c r="C118" t="s">
        <v>13840</v>
      </c>
      <c r="D118" t="s">
        <v>13841</v>
      </c>
    </row>
    <row r="119" spans="1:4" ht="51.75">
      <c r="A119" s="97" t="s">
        <v>13842</v>
      </c>
      <c r="B119" t="s">
        <v>13843</v>
      </c>
      <c r="C119" t="s">
        <v>13844</v>
      </c>
      <c r="D119" t="s">
        <v>13845</v>
      </c>
    </row>
    <row r="120" spans="1:4" ht="77.25">
      <c r="A120" s="97" t="s">
        <v>13846</v>
      </c>
      <c r="B120" t="s">
        <v>13847</v>
      </c>
      <c r="C120" t="s">
        <v>13848</v>
      </c>
      <c r="D120" t="s">
        <v>13849</v>
      </c>
    </row>
    <row r="121" spans="1:4" ht="39">
      <c r="A121" s="97" t="s">
        <v>13850</v>
      </c>
      <c r="B121" t="s">
        <v>13851</v>
      </c>
      <c r="C121" t="s">
        <v>13852</v>
      </c>
      <c r="D121" t="s">
        <v>13853</v>
      </c>
    </row>
    <row r="122" spans="1:4" ht="39">
      <c r="A122" s="97" t="s">
        <v>13854</v>
      </c>
      <c r="B122" t="s">
        <v>13855</v>
      </c>
      <c r="C122" t="s">
        <v>13856</v>
      </c>
      <c r="D122" t="s">
        <v>13857</v>
      </c>
    </row>
    <row r="123" spans="1:4" ht="39">
      <c r="A123" s="97" t="s">
        <v>13858</v>
      </c>
      <c r="B123" t="s">
        <v>13859</v>
      </c>
      <c r="C123" t="s">
        <v>13860</v>
      </c>
      <c r="D123" t="s">
        <v>13861</v>
      </c>
    </row>
    <row r="124" spans="1:4" ht="39">
      <c r="A124" s="97" t="s">
        <v>13862</v>
      </c>
      <c r="B124" t="s">
        <v>13863</v>
      </c>
      <c r="C124" t="s">
        <v>13864</v>
      </c>
      <c r="D124" t="s">
        <v>13865</v>
      </c>
    </row>
    <row r="125" spans="1:4" ht="39">
      <c r="A125" s="97" t="s">
        <v>13866</v>
      </c>
      <c r="B125" t="s">
        <v>13867</v>
      </c>
      <c r="C125" t="s">
        <v>13868</v>
      </c>
      <c r="D125" t="s">
        <v>13869</v>
      </c>
    </row>
    <row r="126" spans="1:4" ht="51.75">
      <c r="A126" s="97" t="s">
        <v>13870</v>
      </c>
      <c r="B126" t="s">
        <v>13871</v>
      </c>
      <c r="C126" t="s">
        <v>13872</v>
      </c>
      <c r="D126" t="s">
        <v>13873</v>
      </c>
    </row>
    <row r="127" spans="1:4" ht="39">
      <c r="A127" s="97" t="s">
        <v>13874</v>
      </c>
      <c r="B127" t="s">
        <v>13875</v>
      </c>
      <c r="C127" t="s">
        <v>13876</v>
      </c>
      <c r="D127" t="s">
        <v>13877</v>
      </c>
    </row>
    <row r="128" spans="1:4" ht="39">
      <c r="A128" s="97" t="s">
        <v>13878</v>
      </c>
      <c r="B128" t="s">
        <v>13879</v>
      </c>
      <c r="C128" t="s">
        <v>13880</v>
      </c>
      <c r="D128" t="s">
        <v>13881</v>
      </c>
    </row>
    <row r="129" spans="1:4" ht="77.25">
      <c r="A129" s="97" t="s">
        <v>13882</v>
      </c>
      <c r="B129" t="s">
        <v>13883</v>
      </c>
      <c r="C129" t="s">
        <v>13884</v>
      </c>
      <c r="D129" t="s">
        <v>13885</v>
      </c>
    </row>
    <row r="130" spans="1:4" ht="51.75">
      <c r="A130" s="97" t="s">
        <v>13886</v>
      </c>
      <c r="B130" t="s">
        <v>13887</v>
      </c>
      <c r="C130" t="s">
        <v>13888</v>
      </c>
      <c r="D130" t="s">
        <v>13889</v>
      </c>
    </row>
    <row r="131" spans="1:4" ht="77.25">
      <c r="A131" s="97" t="s">
        <v>13890</v>
      </c>
      <c r="B131" t="s">
        <v>13891</v>
      </c>
      <c r="C131" t="s">
        <v>13892</v>
      </c>
      <c r="D131" t="s">
        <v>13893</v>
      </c>
    </row>
    <row r="132" spans="1:4" ht="90">
      <c r="A132" s="97" t="s">
        <v>13894</v>
      </c>
      <c r="C132" t="s">
        <v>13895</v>
      </c>
      <c r="D132" t="s">
        <v>13896</v>
      </c>
    </row>
    <row r="133" spans="1:4">
      <c r="A133" s="31"/>
    </row>
    <row r="134" spans="1:4">
      <c r="A134" s="31"/>
    </row>
    <row r="135" spans="1:4">
      <c r="A135" s="31"/>
    </row>
    <row r="136" spans="1:4">
      <c r="A136" s="31"/>
    </row>
    <row r="137" spans="1:4">
      <c r="A137" s="31"/>
    </row>
    <row r="138" spans="1:4">
      <c r="A138" s="31"/>
    </row>
    <row r="139" spans="1:4">
      <c r="A139" s="31"/>
    </row>
    <row r="140" spans="1:4">
      <c r="A140" s="31"/>
    </row>
    <row r="141" spans="1:4">
      <c r="A141" s="31"/>
    </row>
    <row r="142" spans="1:4">
      <c r="A142" s="31"/>
    </row>
    <row r="143" spans="1:4">
      <c r="A143" s="31"/>
    </row>
    <row r="144" spans="1:4">
      <c r="A144" s="31"/>
    </row>
    <row r="145" spans="1:1">
      <c r="A145" s="31"/>
    </row>
    <row r="146" spans="1:1">
      <c r="A146" s="31"/>
    </row>
    <row r="147" spans="1:1">
      <c r="A147" s="31"/>
    </row>
    <row r="148" spans="1:1">
      <c r="A148" s="31"/>
    </row>
    <row r="149" spans="1:1">
      <c r="A149" s="31"/>
    </row>
    <row r="150" spans="1:1">
      <c r="A150" s="31"/>
    </row>
    <row r="151" spans="1:1">
      <c r="A151" s="31"/>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D5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13897</v>
      </c>
      <c r="D2" s="67" t="s">
        <v>13898</v>
      </c>
    </row>
    <row r="3" spans="1:4">
      <c r="A3" s="67" t="s">
        <v>13899</v>
      </c>
      <c r="D3" s="67" t="s">
        <v>13900</v>
      </c>
    </row>
    <row r="4" spans="1:4">
      <c r="A4" s="67" t="s">
        <v>13901</v>
      </c>
      <c r="B4" s="58" t="s">
        <v>13902</v>
      </c>
      <c r="C4" s="67" t="s">
        <v>13903</v>
      </c>
      <c r="D4" s="67" t="s">
        <v>13904</v>
      </c>
    </row>
    <row r="5" spans="1:4">
      <c r="A5" s="67" t="s">
        <v>13905</v>
      </c>
      <c r="D5" s="67" t="s">
        <v>13906</v>
      </c>
    </row>
    <row r="7" spans="1:4">
      <c r="A7" s="79" t="s">
        <v>209</v>
      </c>
      <c r="B7" s="79" t="s">
        <v>147</v>
      </c>
      <c r="C7" s="79" t="s">
        <v>148</v>
      </c>
      <c r="D7" s="79" t="s">
        <v>182</v>
      </c>
    </row>
    <row r="8" spans="1:4">
      <c r="A8" s="67" t="s">
        <v>9553</v>
      </c>
      <c r="B8" s="58" t="s">
        <v>13907</v>
      </c>
      <c r="C8" s="67" t="s">
        <v>13908</v>
      </c>
      <c r="D8" s="67" t="s">
        <v>13909</v>
      </c>
    </row>
    <row r="9" spans="1:4">
      <c r="A9" s="67" t="s">
        <v>8655</v>
      </c>
      <c r="D9" s="67" t="s">
        <v>13910</v>
      </c>
    </row>
    <row r="10" spans="1:4">
      <c r="A10" s="67" t="s">
        <v>11661</v>
      </c>
      <c r="D10" s="67" t="s">
        <v>13911</v>
      </c>
    </row>
    <row r="11" spans="1:4">
      <c r="A11" s="67" t="s">
        <v>8658</v>
      </c>
      <c r="D11" s="67" t="s">
        <v>13912</v>
      </c>
    </row>
    <row r="12" spans="1:4">
      <c r="A12" s="67" t="s">
        <v>13913</v>
      </c>
      <c r="D12" s="67" t="s">
        <v>13914</v>
      </c>
    </row>
    <row r="13" spans="1:4">
      <c r="A13" s="67" t="s">
        <v>11082</v>
      </c>
      <c r="B13" s="58" t="s">
        <v>13915</v>
      </c>
      <c r="C13" s="67" t="s">
        <v>13916</v>
      </c>
      <c r="D13" s="67" t="s">
        <v>13917</v>
      </c>
    </row>
    <row r="14" spans="1:4">
      <c r="A14" s="67" t="s">
        <v>5175</v>
      </c>
      <c r="D14" s="67" t="s">
        <v>13918</v>
      </c>
    </row>
    <row r="15" spans="1:4">
      <c r="A15" s="67" t="s">
        <v>13919</v>
      </c>
      <c r="D15" s="67" t="s">
        <v>13920</v>
      </c>
    </row>
    <row r="16" spans="1:4">
      <c r="A16" s="67" t="s">
        <v>13921</v>
      </c>
      <c r="D16" s="67" t="s">
        <v>13922</v>
      </c>
    </row>
    <row r="17" spans="1:4">
      <c r="A17" s="67" t="s">
        <v>5475</v>
      </c>
      <c r="D17" s="67" t="s">
        <v>13923</v>
      </c>
    </row>
    <row r="18" spans="1:4">
      <c r="A18" s="67" t="s">
        <v>13924</v>
      </c>
      <c r="D18" s="67" t="s">
        <v>13925</v>
      </c>
    </row>
    <row r="19" spans="1:4">
      <c r="A19" s="67" t="s">
        <v>5206</v>
      </c>
      <c r="B19" s="58" t="s">
        <v>13926</v>
      </c>
      <c r="C19" s="67" t="s">
        <v>13927</v>
      </c>
      <c r="D19" s="67" t="s">
        <v>13928</v>
      </c>
    </row>
    <row r="20" spans="1:4">
      <c r="A20" s="67" t="s">
        <v>13929</v>
      </c>
      <c r="C20" s="67" t="s">
        <v>13930</v>
      </c>
      <c r="D20" s="67" t="s">
        <v>13931</v>
      </c>
    </row>
    <row r="21" spans="1:4">
      <c r="A21" s="67" t="s">
        <v>13932</v>
      </c>
      <c r="D21" s="67" t="s">
        <v>13933</v>
      </c>
    </row>
    <row r="22" spans="1:4">
      <c r="A22" s="67" t="s">
        <v>8681</v>
      </c>
      <c r="D22" s="67" t="s">
        <v>13934</v>
      </c>
    </row>
    <row r="23" spans="1:4">
      <c r="A23" s="67" t="s">
        <v>8585</v>
      </c>
      <c r="C23" s="67" t="s">
        <v>13935</v>
      </c>
      <c r="D23" s="67" t="s">
        <v>13936</v>
      </c>
    </row>
    <row r="24" spans="1:4">
      <c r="A24" s="67" t="s">
        <v>6684</v>
      </c>
      <c r="D24" s="67" t="s">
        <v>13937</v>
      </c>
    </row>
    <row r="25" spans="1:4">
      <c r="A25" s="67" t="s">
        <v>13938</v>
      </c>
      <c r="D25" s="67" t="s">
        <v>13939</v>
      </c>
    </row>
    <row r="26" spans="1:4">
      <c r="A26" s="67" t="s">
        <v>13940</v>
      </c>
      <c r="D26" s="67" t="s">
        <v>13941</v>
      </c>
    </row>
    <row r="27" spans="1:4">
      <c r="A27" s="67" t="s">
        <v>5235</v>
      </c>
      <c r="D27" s="67" t="s">
        <v>13942</v>
      </c>
    </row>
    <row r="28" spans="1:4">
      <c r="A28" s="67" t="s">
        <v>13943</v>
      </c>
      <c r="B28" s="58" t="s">
        <v>13944</v>
      </c>
      <c r="C28" s="67" t="s">
        <v>13945</v>
      </c>
      <c r="D28" s="67" t="s">
        <v>13946</v>
      </c>
    </row>
    <row r="29" spans="1:4">
      <c r="A29" s="67" t="s">
        <v>13947</v>
      </c>
      <c r="D29" s="67" t="s">
        <v>13948</v>
      </c>
    </row>
    <row r="30" spans="1:4">
      <c r="A30" s="67" t="s">
        <v>13949</v>
      </c>
      <c r="D30" s="67" t="s">
        <v>13950</v>
      </c>
    </row>
    <row r="32" spans="1:4">
      <c r="A32" s="79" t="s">
        <v>333</v>
      </c>
      <c r="B32" s="79" t="s">
        <v>147</v>
      </c>
      <c r="C32" s="79" t="s">
        <v>148</v>
      </c>
      <c r="D32" s="79" t="s">
        <v>182</v>
      </c>
    </row>
    <row r="33" spans="1:4">
      <c r="A33" s="67" t="s">
        <v>12226</v>
      </c>
      <c r="D33" s="67" t="s">
        <v>12980</v>
      </c>
    </row>
    <row r="34" spans="1:4">
      <c r="A34" s="67" t="s">
        <v>13951</v>
      </c>
      <c r="D34" s="67" t="s">
        <v>13952</v>
      </c>
    </row>
    <row r="35" spans="1:4">
      <c r="A35" s="67" t="s">
        <v>13953</v>
      </c>
      <c r="D35" s="67" t="s">
        <v>13954</v>
      </c>
    </row>
    <row r="36" spans="1:4">
      <c r="A36" s="67" t="s">
        <v>13955</v>
      </c>
      <c r="B36" s="70" t="s">
        <v>13956</v>
      </c>
      <c r="C36" s="67" t="s">
        <v>13957</v>
      </c>
      <c r="D36" s="67" t="s">
        <v>13958</v>
      </c>
    </row>
    <row r="37" spans="1:4">
      <c r="A37" s="67" t="s">
        <v>13959</v>
      </c>
      <c r="D37" s="67" t="s">
        <v>13960</v>
      </c>
    </row>
    <row r="38" spans="1:4">
      <c r="A38" s="67" t="s">
        <v>13961</v>
      </c>
      <c r="D38" s="67" t="s">
        <v>13962</v>
      </c>
    </row>
    <row r="40" spans="1:4">
      <c r="A40" s="79" t="s">
        <v>878</v>
      </c>
      <c r="B40" s="79" t="s">
        <v>147</v>
      </c>
      <c r="C40" s="79" t="s">
        <v>148</v>
      </c>
      <c r="D40" s="79" t="s">
        <v>182</v>
      </c>
    </row>
    <row r="41" spans="1:4">
      <c r="A41" s="67" t="s">
        <v>13963</v>
      </c>
      <c r="C41" s="67" t="s">
        <v>13964</v>
      </c>
      <c r="D41" s="67" t="s">
        <v>13965</v>
      </c>
    </row>
    <row r="42" spans="1:4">
      <c r="A42" s="67" t="s">
        <v>13966</v>
      </c>
      <c r="C42" s="67" t="s">
        <v>13967</v>
      </c>
      <c r="D42" s="67" t="s">
        <v>13968</v>
      </c>
    </row>
    <row r="43" spans="1:4">
      <c r="A43" s="67" t="s">
        <v>13969</v>
      </c>
      <c r="B43" s="58" t="s">
        <v>13970</v>
      </c>
      <c r="C43" s="67" t="s">
        <v>13971</v>
      </c>
      <c r="D43" s="67" t="s">
        <v>13972</v>
      </c>
    </row>
    <row r="44" spans="1:4">
      <c r="A44" s="67" t="s">
        <v>13973</v>
      </c>
      <c r="B44" s="58" t="s">
        <v>13974</v>
      </c>
      <c r="C44" s="67" t="s">
        <v>13975</v>
      </c>
      <c r="D44" s="67" t="s">
        <v>13976</v>
      </c>
    </row>
    <row r="45" spans="1:4">
      <c r="A45" s="67" t="s">
        <v>13977</v>
      </c>
      <c r="D45" s="67" t="s">
        <v>13978</v>
      </c>
    </row>
    <row r="46" spans="1:4">
      <c r="A46" s="67" t="s">
        <v>13979</v>
      </c>
      <c r="D46" s="67" t="s">
        <v>13980</v>
      </c>
    </row>
    <row r="47" spans="1:4">
      <c r="A47" s="67" t="s">
        <v>13981</v>
      </c>
      <c r="D47" s="67" t="s">
        <v>13982</v>
      </c>
    </row>
    <row r="48" spans="1:4">
      <c r="A48" s="67" t="s">
        <v>13983</v>
      </c>
      <c r="B48" s="58" t="s">
        <v>13984</v>
      </c>
      <c r="D48" s="67" t="s">
        <v>13985</v>
      </c>
    </row>
    <row r="49" spans="1:4">
      <c r="A49" s="67" t="s">
        <v>13986</v>
      </c>
      <c r="D49" s="67" t="s">
        <v>13987</v>
      </c>
    </row>
    <row r="51" spans="1:4">
      <c r="A51" s="79" t="s">
        <v>428</v>
      </c>
      <c r="B51" s="79" t="s">
        <v>147</v>
      </c>
      <c r="C51" s="79" t="s">
        <v>148</v>
      </c>
      <c r="D51"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D3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13988</v>
      </c>
      <c r="B2" t="s">
        <v>13989</v>
      </c>
      <c r="C2" t="s">
        <v>13990</v>
      </c>
      <c r="D2" t="s">
        <v>13991</v>
      </c>
    </row>
    <row r="3" spans="1:4">
      <c r="A3" s="67" t="s">
        <v>13992</v>
      </c>
      <c r="D3" t="s">
        <v>13993</v>
      </c>
    </row>
    <row r="5" spans="1:4">
      <c r="A5" s="79" t="s">
        <v>209</v>
      </c>
      <c r="B5" s="79" t="s">
        <v>147</v>
      </c>
      <c r="C5" s="79" t="s">
        <v>148</v>
      </c>
      <c r="D5" s="79" t="s">
        <v>182</v>
      </c>
    </row>
    <row r="6" spans="1:4" ht="15" customHeight="1">
      <c r="A6" t="s">
        <v>13994</v>
      </c>
      <c r="D6" t="s">
        <v>13995</v>
      </c>
    </row>
    <row r="7" spans="1:4" ht="15" customHeight="1">
      <c r="A7" t="s">
        <v>13996</v>
      </c>
      <c r="D7" t="s">
        <v>13995</v>
      </c>
    </row>
    <row r="8" spans="1:4" ht="15" customHeight="1">
      <c r="A8" t="s">
        <v>13997</v>
      </c>
      <c r="D8" t="s">
        <v>13995</v>
      </c>
    </row>
    <row r="9" spans="1:4" ht="15" customHeight="1">
      <c r="A9" t="s">
        <v>13998</v>
      </c>
      <c r="D9" t="s">
        <v>13995</v>
      </c>
    </row>
    <row r="10" spans="1:4" ht="15" customHeight="1">
      <c r="A10" t="s">
        <v>13999</v>
      </c>
      <c r="D10" t="s">
        <v>13995</v>
      </c>
    </row>
    <row r="11" spans="1:4" ht="15" customHeight="1">
      <c r="A11" t="s">
        <v>14000</v>
      </c>
      <c r="D11" t="s">
        <v>13995</v>
      </c>
    </row>
    <row r="12" spans="1:4" ht="15" customHeight="1">
      <c r="A12" t="s">
        <v>14001</v>
      </c>
      <c r="D12" t="s">
        <v>13995</v>
      </c>
    </row>
    <row r="13" spans="1:4" ht="15" customHeight="1">
      <c r="A13" t="s">
        <v>14002</v>
      </c>
      <c r="D13" t="s">
        <v>13995</v>
      </c>
    </row>
    <row r="14" spans="1:4" ht="15" customHeight="1">
      <c r="A14" t="s">
        <v>14003</v>
      </c>
      <c r="D14" t="s">
        <v>13995</v>
      </c>
    </row>
    <row r="15" spans="1:4" ht="15" customHeight="1">
      <c r="A15" t="s">
        <v>14004</v>
      </c>
      <c r="D15" t="s">
        <v>13995</v>
      </c>
    </row>
    <row r="16" spans="1:4" ht="15" customHeight="1">
      <c r="A16" t="s">
        <v>14005</v>
      </c>
      <c r="D16" t="s">
        <v>13995</v>
      </c>
    </row>
    <row r="17" spans="1:4" ht="15" customHeight="1">
      <c r="A17" t="s">
        <v>14006</v>
      </c>
      <c r="D17" t="s">
        <v>13995</v>
      </c>
    </row>
    <row r="18" spans="1:4" ht="15" customHeight="1">
      <c r="A18" t="s">
        <v>14007</v>
      </c>
      <c r="D18" t="s">
        <v>13995</v>
      </c>
    </row>
    <row r="19" spans="1:4" ht="15" customHeight="1">
      <c r="A19" t="s">
        <v>14008</v>
      </c>
      <c r="D19" t="s">
        <v>13995</v>
      </c>
    </row>
    <row r="20" spans="1:4" ht="15" customHeight="1">
      <c r="A20" t="s">
        <v>14009</v>
      </c>
      <c r="D20" t="s">
        <v>13995</v>
      </c>
    </row>
    <row r="21" spans="1:4" ht="15" customHeight="1">
      <c r="A21" t="s">
        <v>14010</v>
      </c>
      <c r="D21" t="s">
        <v>13995</v>
      </c>
    </row>
    <row r="22" spans="1:4" ht="15" customHeight="1">
      <c r="A22" t="s">
        <v>14011</v>
      </c>
      <c r="D22" t="s">
        <v>13995</v>
      </c>
    </row>
    <row r="24" spans="1:4">
      <c r="A24" s="79" t="s">
        <v>333</v>
      </c>
      <c r="B24" s="79" t="s">
        <v>147</v>
      </c>
      <c r="C24" s="79" t="s">
        <v>148</v>
      </c>
      <c r="D24" s="79" t="s">
        <v>182</v>
      </c>
    </row>
    <row r="25" spans="1:4" ht="15" customHeight="1">
      <c r="A25" t="s">
        <v>14012</v>
      </c>
      <c r="D25" t="s">
        <v>14013</v>
      </c>
    </row>
    <row r="27" spans="1:4">
      <c r="A27" s="79" t="s">
        <v>878</v>
      </c>
      <c r="B27" s="79" t="s">
        <v>147</v>
      </c>
      <c r="C27" s="79" t="s">
        <v>148</v>
      </c>
      <c r="D27" s="79" t="s">
        <v>182</v>
      </c>
    </row>
    <row r="28" spans="1:4" ht="15" customHeight="1">
      <c r="A28" t="s">
        <v>14014</v>
      </c>
      <c r="D28" t="s">
        <v>13995</v>
      </c>
    </row>
    <row r="29" spans="1:4" ht="15" customHeight="1">
      <c r="A29" t="s">
        <v>14015</v>
      </c>
      <c r="D29" t="s">
        <v>13995</v>
      </c>
    </row>
    <row r="30" spans="1:4" ht="15" customHeight="1">
      <c r="A30" t="s">
        <v>14016</v>
      </c>
      <c r="D30" t="s">
        <v>13995</v>
      </c>
    </row>
    <row r="32" spans="1:4">
      <c r="A32" s="79" t="s">
        <v>14017</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14018</v>
      </c>
    </row>
    <row r="3" spans="1:4">
      <c r="A3" s="67" t="s">
        <v>14019</v>
      </c>
    </row>
    <row r="4" spans="1:4">
      <c r="A4" s="67" t="s">
        <v>14020</v>
      </c>
      <c r="D4" s="11" t="str">
        <f>HYPERLINK("http://www.dhs.gov/redirect?url=http%3A%2F%2Fwww.guamhs.org%2Fmain%2F","http://www.guamhs.org/main/")</f>
        <v>http://www.guamhs.org/main/</v>
      </c>
    </row>
    <row r="5" spans="1:4">
      <c r="A5" s="67" t="s">
        <v>14021</v>
      </c>
      <c r="D5" s="67" t="s">
        <v>14022</v>
      </c>
    </row>
    <row r="7" spans="1:4">
      <c r="A7" s="79" t="s">
        <v>209</v>
      </c>
      <c r="B7" s="79" t="s">
        <v>147</v>
      </c>
      <c r="C7" s="79" t="s">
        <v>148</v>
      </c>
      <c r="D7" s="79" t="s">
        <v>182</v>
      </c>
    </row>
    <row r="9" spans="1:4">
      <c r="A9" s="79" t="s">
        <v>428</v>
      </c>
    </row>
    <row r="25" spans="1:1">
      <c r="A25" s="79" t="s">
        <v>333</v>
      </c>
    </row>
    <row r="33" spans="1:1">
      <c r="A33" s="79" t="s">
        <v>878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14023</v>
      </c>
    </row>
    <row r="3" spans="1:4">
      <c r="A3" s="67" t="s">
        <v>14024</v>
      </c>
    </row>
    <row r="4" spans="1:4">
      <c r="A4" s="67" t="s">
        <v>14025</v>
      </c>
    </row>
    <row r="5" spans="1:4">
      <c r="A5" s="67" t="s">
        <v>14026</v>
      </c>
    </row>
    <row r="7" spans="1:4">
      <c r="A7" s="79" t="s">
        <v>209</v>
      </c>
      <c r="B7" s="79" t="s">
        <v>147</v>
      </c>
      <c r="C7" s="79" t="s">
        <v>148</v>
      </c>
      <c r="D7" s="79" t="s">
        <v>182</v>
      </c>
    </row>
    <row r="9" spans="1:4">
      <c r="A9" s="79" t="s">
        <v>428</v>
      </c>
      <c r="B9" s="79" t="s">
        <v>147</v>
      </c>
      <c r="C9" s="79" t="s">
        <v>148</v>
      </c>
      <c r="D9" s="79" t="s">
        <v>182</v>
      </c>
    </row>
    <row r="25" spans="1:4">
      <c r="A25" s="79" t="s">
        <v>333</v>
      </c>
      <c r="B25" s="79" t="s">
        <v>147</v>
      </c>
      <c r="C25" s="79" t="s">
        <v>148</v>
      </c>
      <c r="D25" s="79" t="s">
        <v>182</v>
      </c>
    </row>
    <row r="33" spans="1:1">
      <c r="A33" s="79" t="s">
        <v>878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14027</v>
      </c>
    </row>
    <row r="3" spans="1:4">
      <c r="A3" s="67" t="s">
        <v>14028</v>
      </c>
    </row>
    <row r="4" spans="1:4">
      <c r="A4" s="67" t="s">
        <v>14029</v>
      </c>
    </row>
    <row r="5" spans="1:4">
      <c r="A5" s="67" t="s">
        <v>14030</v>
      </c>
      <c r="D5" s="67" t="s">
        <v>14031</v>
      </c>
    </row>
    <row r="6" spans="1:4" ht="15" customHeight="1">
      <c r="A6" t="s">
        <v>14032</v>
      </c>
      <c r="C6" t="s">
        <v>14033</v>
      </c>
    </row>
    <row r="7" spans="1:4">
      <c r="A7" s="79" t="s">
        <v>209</v>
      </c>
      <c r="B7" s="79" t="s">
        <v>147</v>
      </c>
      <c r="C7" s="79" t="s">
        <v>148</v>
      </c>
      <c r="D7" s="79" t="s">
        <v>182</v>
      </c>
    </row>
    <row r="9" spans="1:4">
      <c r="A9" s="79" t="s">
        <v>333</v>
      </c>
    </row>
    <row r="25" spans="1:1">
      <c r="A25" s="79" t="s">
        <v>394</v>
      </c>
    </row>
    <row r="33" spans="1:1">
      <c r="A33" s="79" t="s">
        <v>14017</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21"/>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 min="5" max="5" width="20" customWidth="1"/>
    <col min="6" max="6" width="27.42578125" customWidth="1"/>
  </cols>
  <sheetData>
    <row r="1" spans="1:11">
      <c r="A1" s="79" t="s">
        <v>146</v>
      </c>
      <c r="B1" s="79" t="s">
        <v>147</v>
      </c>
      <c r="C1" s="79" t="s">
        <v>148</v>
      </c>
      <c r="D1" s="79" t="s">
        <v>182</v>
      </c>
      <c r="E1" s="41" t="s">
        <v>746</v>
      </c>
      <c r="F1" s="41" t="s">
        <v>2</v>
      </c>
    </row>
    <row r="2" spans="1:11">
      <c r="A2" s="67" t="s">
        <v>747</v>
      </c>
      <c r="B2" s="70" t="s">
        <v>164</v>
      </c>
      <c r="C2" s="11" t="s">
        <v>164</v>
      </c>
      <c r="D2" s="67" t="s">
        <v>748</v>
      </c>
      <c r="F2" s="34" t="str">
        <f>HYPERLINK("http://alaska.gov/socialmedia.html","Links to Alaska Social media")</f>
        <v>Links to Alaska Social media</v>
      </c>
      <c r="I2" s="67"/>
      <c r="J2" s="67"/>
      <c r="K2" s="67"/>
    </row>
    <row r="3" spans="1:11">
      <c r="A3" s="67" t="s">
        <v>749</v>
      </c>
      <c r="B3" s="70" t="s">
        <v>750</v>
      </c>
      <c r="C3" t="s">
        <v>751</v>
      </c>
      <c r="D3" s="11" t="s">
        <v>752</v>
      </c>
    </row>
    <row r="4" spans="1:11">
      <c r="A4" s="67" t="s">
        <v>753</v>
      </c>
      <c r="B4" t="s">
        <v>164</v>
      </c>
      <c r="C4" t="s">
        <v>164</v>
      </c>
      <c r="D4" s="67" t="s">
        <v>754</v>
      </c>
    </row>
    <row r="5" spans="1:11" ht="15" customHeight="1">
      <c r="A5" t="s">
        <v>755</v>
      </c>
      <c r="B5" t="s">
        <v>164</v>
      </c>
      <c r="C5" t="s">
        <v>164</v>
      </c>
      <c r="D5" t="s">
        <v>756</v>
      </c>
    </row>
    <row r="6" spans="1:11" ht="15" customHeight="1">
      <c r="A6" t="s">
        <v>757</v>
      </c>
      <c r="B6" t="s">
        <v>758</v>
      </c>
      <c r="C6" t="s">
        <v>759</v>
      </c>
      <c r="D6" t="s">
        <v>760</v>
      </c>
    </row>
    <row r="7" spans="1:11" ht="15" customHeight="1">
      <c r="A7" t="s">
        <v>761</v>
      </c>
      <c r="B7" t="s">
        <v>762</v>
      </c>
      <c r="C7" t="s">
        <v>164</v>
      </c>
      <c r="D7" t="s">
        <v>763</v>
      </c>
    </row>
    <row r="8" spans="1:11" ht="15" customHeight="1">
      <c r="A8" t="s">
        <v>764</v>
      </c>
      <c r="B8" t="s">
        <v>164</v>
      </c>
      <c r="C8" t="s">
        <v>765</v>
      </c>
      <c r="D8" t="s">
        <v>766</v>
      </c>
    </row>
    <row r="9" spans="1:11" ht="15" customHeight="1">
      <c r="A9" t="s">
        <v>767</v>
      </c>
      <c r="C9" t="s">
        <v>768</v>
      </c>
      <c r="D9" t="s">
        <v>769</v>
      </c>
    </row>
    <row r="10" spans="1:11" ht="15" customHeight="1">
      <c r="A10" t="s">
        <v>770</v>
      </c>
      <c r="D10" t="s">
        <v>771</v>
      </c>
    </row>
    <row r="11" spans="1:11" ht="15" customHeight="1">
      <c r="A11" s="7" t="s">
        <v>180</v>
      </c>
    </row>
    <row r="12" spans="1:11" ht="15" customHeight="1">
      <c r="A12" s="3" t="s">
        <v>181</v>
      </c>
      <c r="B12" s="3" t="s">
        <v>147</v>
      </c>
      <c r="C12" s="77" t="s">
        <v>148</v>
      </c>
      <c r="D12" s="77" t="s">
        <v>182</v>
      </c>
      <c r="E12" s="14" t="s">
        <v>183</v>
      </c>
      <c r="F12" s="61" t="s">
        <v>184</v>
      </c>
    </row>
    <row r="13" spans="1:11" ht="15" customHeight="1">
      <c r="A13" t="str">
        <f>HYPERLINK("http://en.wikipedia.org/wiki/Anchorage,_Alaska","Anchorage")</f>
        <v>Anchorage</v>
      </c>
      <c r="B13" t="s">
        <v>164</v>
      </c>
      <c r="C13" t="s">
        <v>164</v>
      </c>
      <c r="D13" t="s">
        <v>772</v>
      </c>
      <c r="E13" t="str">
        <f>HYPERLINK("http://www.muni.org/departments/oem/pages/default.aspx","Anchorage OEM")</f>
        <v>Anchorage OEM</v>
      </c>
    </row>
    <row r="14" spans="1:11" ht="15" customHeight="1">
      <c r="A14" t="str">
        <f>HYPERLINK("http://en.wikipedia.org/wiki/Fairbanks,_Alaska","Fairbanks"    )</f>
        <v>Fairbanks</v>
      </c>
      <c r="B14" t="s">
        <v>773</v>
      </c>
      <c r="C14" t="s">
        <v>164</v>
      </c>
      <c r="D14" t="s">
        <v>774</v>
      </c>
      <c r="E14" t="str">
        <f>HYPERLINK("http://co.fairbanks.ak.us/EmergencyOperations/default.htm","Fairbanks OEM")</f>
        <v>Fairbanks OEM</v>
      </c>
    </row>
    <row r="15" spans="1:11" ht="15" customHeight="1">
      <c r="A15" t="str">
        <f>HYPERLINK("http://en.wikipedia.org/wiki/Juneau,_Alaska#External_links","Juneau")</f>
        <v>Juneau</v>
      </c>
      <c r="B15" t="s">
        <v>775</v>
      </c>
      <c r="C15" t="s">
        <v>164</v>
      </c>
      <c r="D15" t="s">
        <v>776</v>
      </c>
      <c r="E15" t="str">
        <f>HYPERLINK("http://www.juneau.org/emergency/index.php","Juneau OEM")</f>
        <v>Juneau OEM</v>
      </c>
    </row>
    <row r="16" spans="1:11" ht="15" customHeight="1">
      <c r="A16" t="str">
        <f>HYPERLINK("http://en.wikipedia.org/wiki/Sitka,_Alaska","Sitka")</f>
        <v>Sitka</v>
      </c>
      <c r="B16" t="s">
        <v>164</v>
      </c>
      <c r="C16" t="s">
        <v>164</v>
      </c>
      <c r="D16" t="s">
        <v>777</v>
      </c>
    </row>
    <row r="17" spans="1:6" ht="15" customHeight="1">
      <c r="A17" t="str">
        <f>HYPERLINK("http://en.wikipedia.org/wiki/Ketchikan,_Alaska","Ketchikan")</f>
        <v>Ketchikan</v>
      </c>
      <c r="B17" t="s">
        <v>778</v>
      </c>
      <c r="D17" t="s">
        <v>779</v>
      </c>
    </row>
    <row r="19" spans="1:6">
      <c r="A19" s="79" t="s">
        <v>780</v>
      </c>
      <c r="B19" s="79" t="s">
        <v>147</v>
      </c>
      <c r="C19" s="79" t="s">
        <v>148</v>
      </c>
      <c r="D19" s="79" t="s">
        <v>182</v>
      </c>
      <c r="E19" s="41" t="s">
        <v>781</v>
      </c>
      <c r="F19" s="72" t="s">
        <v>782</v>
      </c>
    </row>
    <row r="20" spans="1:6">
      <c r="A20" s="74" t="s">
        <v>783</v>
      </c>
      <c r="B20" t="s">
        <v>164</v>
      </c>
      <c r="C20" s="67" t="s">
        <v>164</v>
      </c>
      <c r="D20" s="67" t="s">
        <v>784</v>
      </c>
    </row>
    <row r="21" spans="1:6">
      <c r="A21" s="67" t="str">
        <f>HYPERLINK("http://en.wikipedia.org/wiki/Aleutians_East_Borough","Aleutians East Borough")</f>
        <v>Aleutians East Borough</v>
      </c>
      <c r="B21" t="s">
        <v>164</v>
      </c>
      <c r="C21" s="67" t="s">
        <v>785</v>
      </c>
      <c r="D21" s="67" t="s">
        <v>786</v>
      </c>
      <c r="E21" t="s">
        <v>787</v>
      </c>
    </row>
    <row r="22" spans="1:6">
      <c r="A22" s="67" t="str">
        <f>HYPERLINK("http://en.wikipedia.org/wiki/Anchorage,_Alaska","Anchorage")</f>
        <v>Anchorage</v>
      </c>
      <c r="B22" t="s">
        <v>164</v>
      </c>
      <c r="C22" t="s">
        <v>164</v>
      </c>
      <c r="D22" s="67" t="s">
        <v>772</v>
      </c>
      <c r="E22" t="s">
        <v>788</v>
      </c>
    </row>
    <row r="23" spans="1:6">
      <c r="A23" s="67" t="str">
        <f>HYPERLINK("http://en.wikipedia.org/wiki/Bristol_Bay_Borough","Bristol Bay Borough")</f>
        <v>Bristol Bay Borough</v>
      </c>
      <c r="B23" t="s">
        <v>164</v>
      </c>
      <c r="C23" t="s">
        <v>164</v>
      </c>
      <c r="D23" s="67" t="s">
        <v>789</v>
      </c>
      <c r="E23" t="s">
        <v>790</v>
      </c>
    </row>
    <row r="24" spans="1:6">
      <c r="A24" s="67" t="str">
        <f>HYPERLINK("http://en.wikipedia.org/wiki/Denali_Borough","Denali Borough")</f>
        <v>Denali Borough</v>
      </c>
      <c r="B24" t="s">
        <v>164</v>
      </c>
      <c r="C24" t="s">
        <v>164</v>
      </c>
      <c r="D24" s="67" t="s">
        <v>791</v>
      </c>
      <c r="E24" t="s">
        <v>787</v>
      </c>
    </row>
    <row r="25" spans="1:6">
      <c r="A25" s="67" t="str">
        <f>HYPERLINK("http://en.wikipedia.org/wiki/Fairbanks_North_Star_Borough","Fairbanks North Star Borough")</f>
        <v>Fairbanks North Star Borough</v>
      </c>
      <c r="B25" t="s">
        <v>164</v>
      </c>
      <c r="C25" s="34" t="s">
        <v>792</v>
      </c>
      <c r="D25" s="67" t="s">
        <v>793</v>
      </c>
      <c r="E25" t="s">
        <v>794</v>
      </c>
    </row>
    <row r="26" spans="1:6">
      <c r="A26" s="67" t="str">
        <f>HYPERLINK("http://en.wikipedia.org/wiki/Haines_Borough","Haines Borough")</f>
        <v>Haines Borough</v>
      </c>
      <c r="B26" t="s">
        <v>164</v>
      </c>
      <c r="C26" t="s">
        <v>795</v>
      </c>
      <c r="D26" s="67" t="s">
        <v>796</v>
      </c>
      <c r="E26" t="s">
        <v>797</v>
      </c>
    </row>
    <row r="27" spans="1:6">
      <c r="A27" s="67" t="str">
        <f>HYPERLINK("http://en.wikipedia.org/wiki/Juneau","Juneau")</f>
        <v>Juneau</v>
      </c>
      <c r="B27" t="s">
        <v>775</v>
      </c>
      <c r="C27" t="s">
        <v>164</v>
      </c>
      <c r="D27" s="67" t="s">
        <v>776</v>
      </c>
      <c r="E27" t="s">
        <v>798</v>
      </c>
    </row>
    <row r="28" spans="1:6">
      <c r="A28" s="67" t="str">
        <f>HYPERLINK("http://en.wikipedia.org/wiki/Kenai_Peninsula_Borough","Kenai Peninsula Borough")</f>
        <v>Kenai Peninsula Borough</v>
      </c>
      <c r="B28" t="s">
        <v>164</v>
      </c>
      <c r="C28" t="s">
        <v>799</v>
      </c>
      <c r="D28" s="67" t="s">
        <v>800</v>
      </c>
      <c r="E28" t="s">
        <v>801</v>
      </c>
    </row>
    <row r="29" spans="1:6">
      <c r="A29" s="67" t="str">
        <f>HYPERLINK("http://en.wikipedia.org/wiki/Ketchikan_Gateway_Borough","Ketchikan Gateway Borough")</f>
        <v>Ketchikan Gateway Borough</v>
      </c>
      <c r="B29" s="54" t="s">
        <v>802</v>
      </c>
      <c r="C29" t="s">
        <v>164</v>
      </c>
      <c r="D29" s="67" t="s">
        <v>803</v>
      </c>
      <c r="E29" t="s">
        <v>787</v>
      </c>
    </row>
    <row r="30" spans="1:6">
      <c r="A30" s="67" t="str">
        <f>HYPERLINK("http://en.wikipedia.org/wiki/Kodiak_Island_Borough,_Alaska","Kodiak Island Borough")</f>
        <v>Kodiak Island Borough</v>
      </c>
      <c r="B30" t="s">
        <v>164</v>
      </c>
      <c r="C30" t="s">
        <v>164</v>
      </c>
      <c r="D30" s="67" t="s">
        <v>804</v>
      </c>
      <c r="E30" s="34" t="s">
        <v>805</v>
      </c>
    </row>
    <row r="31" spans="1:6">
      <c r="A31" s="67" t="str">
        <f>HYPERLINK("http://en.wikipedia.org/wiki/Lake_and_Peninsula_Borough","Lake and Peninsula Borough")</f>
        <v>Lake and Peninsula Borough</v>
      </c>
      <c r="B31" t="s">
        <v>164</v>
      </c>
      <c r="C31" t="s">
        <v>806</v>
      </c>
      <c r="D31" s="67" t="s">
        <v>807</v>
      </c>
      <c r="E31" t="s">
        <v>787</v>
      </c>
    </row>
    <row r="32" spans="1:6">
      <c r="A32" s="67" t="str">
        <f>HYPERLINK("http://en.wikipedia.org/wiki/Matanuska-Susitna_Borough","Matanuska-Susitna Borough")</f>
        <v>Matanuska-Susitna Borough</v>
      </c>
      <c r="B32" t="s">
        <v>164</v>
      </c>
      <c r="C32" t="s">
        <v>164</v>
      </c>
      <c r="D32" t="s">
        <v>808</v>
      </c>
      <c r="E32" s="67" t="s">
        <v>809</v>
      </c>
    </row>
    <row r="33" spans="1:6">
      <c r="A33" s="67" t="str">
        <f>HYPERLINK("http://en.wikipedia.org/wiki/North_Slope_Borough","North Slope Borough")</f>
        <v>North Slope Borough</v>
      </c>
      <c r="B33" t="s">
        <v>164</v>
      </c>
      <c r="C33" t="s">
        <v>164</v>
      </c>
      <c r="D33" s="67" t="s">
        <v>810</v>
      </c>
      <c r="E33" s="34" t="s">
        <v>811</v>
      </c>
    </row>
    <row r="34" spans="1:6">
      <c r="A34" s="67" t="str">
        <f>HYPERLINK("http://en.wikipedia.org/wiki/Northwest_Arctic_Borough","Northwest Arctic Borough")</f>
        <v>Northwest Arctic Borough</v>
      </c>
      <c r="B34" t="s">
        <v>164</v>
      </c>
      <c r="C34" t="s">
        <v>164</v>
      </c>
      <c r="D34" s="67" t="s">
        <v>812</v>
      </c>
      <c r="E34" t="s">
        <v>787</v>
      </c>
    </row>
    <row r="35" spans="1:6">
      <c r="A35" s="67" t="str">
        <f>HYPERLINK("http://en.wikipedia.org/wiki/Sitka","Sitka")</f>
        <v>Sitka</v>
      </c>
      <c r="B35" t="s">
        <v>164</v>
      </c>
      <c r="C35" s="67" t="s">
        <v>813</v>
      </c>
      <c r="D35" s="67" t="s">
        <v>814</v>
      </c>
      <c r="E35" t="s">
        <v>787</v>
      </c>
    </row>
    <row r="36" spans="1:6">
      <c r="A36" s="67" t="str">
        <f>HYPERLINK("http://en.wikipedia.org/wiki/Skagway","Skagway")</f>
        <v>Skagway</v>
      </c>
      <c r="B36" t="s">
        <v>164</v>
      </c>
      <c r="C36" t="s">
        <v>164</v>
      </c>
      <c r="D36" s="67" t="s">
        <v>815</v>
      </c>
      <c r="E36" t="s">
        <v>816</v>
      </c>
    </row>
    <row r="37" spans="1:6">
      <c r="A37" s="67" t="str">
        <f>HYPERLINK("http://en.wikipedia.org/wiki/Wrangell,_Alaska","Wrangell")</f>
        <v>Wrangell</v>
      </c>
      <c r="B37" s="70" t="s">
        <v>817</v>
      </c>
      <c r="C37" s="67" t="s">
        <v>818</v>
      </c>
      <c r="D37" s="67" t="s">
        <v>819</v>
      </c>
      <c r="E37" t="s">
        <v>820</v>
      </c>
    </row>
    <row r="38" spans="1:6">
      <c r="A38" s="67" t="str">
        <f>HYPERLINK("http://en.wikipedia.org/wiki/Yakutat_City_and_Borough","Yakutat City and Borough")</f>
        <v>Yakutat City and Borough</v>
      </c>
      <c r="B38" t="s">
        <v>164</v>
      </c>
      <c r="C38" t="s">
        <v>164</v>
      </c>
      <c r="D38" s="67" t="s">
        <v>821</v>
      </c>
      <c r="E38" s="34" t="s">
        <v>822</v>
      </c>
    </row>
    <row r="39" spans="1:6" ht="15" customHeight="1">
      <c r="F39" s="29"/>
    </row>
    <row r="40" spans="1:6">
      <c r="A40" s="79" t="s">
        <v>333</v>
      </c>
      <c r="B40" s="79" t="s">
        <v>147</v>
      </c>
      <c r="C40" s="79" t="s">
        <v>148</v>
      </c>
      <c r="D40" s="79" t="s">
        <v>182</v>
      </c>
    </row>
    <row r="41" spans="1:6">
      <c r="A41" s="67" t="s">
        <v>823</v>
      </c>
      <c r="B41" t="s">
        <v>164</v>
      </c>
      <c r="C41" t="s">
        <v>164</v>
      </c>
      <c r="D41" s="67" t="s">
        <v>824</v>
      </c>
    </row>
    <row r="42" spans="1:6">
      <c r="A42" s="67" t="s">
        <v>825</v>
      </c>
      <c r="B42" t="s">
        <v>164</v>
      </c>
      <c r="C42" s="67" t="s">
        <v>826</v>
      </c>
      <c r="D42" s="67" t="s">
        <v>827</v>
      </c>
    </row>
    <row r="43" spans="1:6">
      <c r="A43" s="67" t="s">
        <v>828</v>
      </c>
      <c r="B43" t="s">
        <v>164</v>
      </c>
      <c r="C43" s="67" t="s">
        <v>829</v>
      </c>
      <c r="D43" s="67" t="s">
        <v>830</v>
      </c>
    </row>
    <row r="44" spans="1:6">
      <c r="A44" s="67" t="s">
        <v>831</v>
      </c>
      <c r="B44" t="s">
        <v>164</v>
      </c>
      <c r="C44" s="67" t="s">
        <v>832</v>
      </c>
      <c r="D44" s="67" t="s">
        <v>833</v>
      </c>
    </row>
    <row r="45" spans="1:6">
      <c r="A45" s="67" t="s">
        <v>834</v>
      </c>
      <c r="B45" s="70" t="s">
        <v>835</v>
      </c>
      <c r="C45" s="67" t="s">
        <v>836</v>
      </c>
      <c r="D45" s="67" t="s">
        <v>837</v>
      </c>
    </row>
    <row r="46" spans="1:6">
      <c r="A46" s="67" t="s">
        <v>838</v>
      </c>
      <c r="B46" t="s">
        <v>164</v>
      </c>
      <c r="C46" t="s">
        <v>164</v>
      </c>
      <c r="D46" s="67" t="s">
        <v>839</v>
      </c>
    </row>
    <row r="47" spans="1:6">
      <c r="A47" s="67" t="s">
        <v>840</v>
      </c>
      <c r="B47" t="s">
        <v>164</v>
      </c>
      <c r="C47" t="s">
        <v>841</v>
      </c>
      <c r="D47" s="67" t="s">
        <v>842</v>
      </c>
    </row>
    <row r="48" spans="1:6" ht="15" customHeight="1">
      <c r="A48" t="s">
        <v>843</v>
      </c>
      <c r="B48" t="s">
        <v>164</v>
      </c>
      <c r="C48" t="s">
        <v>844</v>
      </c>
      <c r="D48" s="34" t="s">
        <v>845</v>
      </c>
    </row>
    <row r="49" spans="1:6" ht="15" customHeight="1">
      <c r="A49" s="34" t="s">
        <v>846</v>
      </c>
      <c r="B49" t="s">
        <v>847</v>
      </c>
      <c r="C49" t="s">
        <v>848</v>
      </c>
      <c r="D49" t="s">
        <v>849</v>
      </c>
    </row>
    <row r="50" spans="1:6" ht="15" customHeight="1">
      <c r="A50" s="34" t="s">
        <v>850</v>
      </c>
      <c r="B50" t="s">
        <v>164</v>
      </c>
      <c r="C50" t="s">
        <v>164</v>
      </c>
      <c r="D50" t="s">
        <v>851</v>
      </c>
    </row>
    <row r="51" spans="1:6" ht="15" customHeight="1">
      <c r="A51" t="s">
        <v>852</v>
      </c>
      <c r="B51" t="s">
        <v>164</v>
      </c>
      <c r="C51" t="s">
        <v>164</v>
      </c>
      <c r="D51" t="s">
        <v>853</v>
      </c>
    </row>
    <row r="52" spans="1:6" ht="15" customHeight="1">
      <c r="A52" s="34" t="s">
        <v>854</v>
      </c>
      <c r="B52" t="s">
        <v>855</v>
      </c>
      <c r="C52" t="s">
        <v>856</v>
      </c>
      <c r="D52" t="s">
        <v>857</v>
      </c>
    </row>
    <row r="53" spans="1:6" ht="15" customHeight="1">
      <c r="A53" s="34" t="s">
        <v>858</v>
      </c>
      <c r="B53" t="s">
        <v>164</v>
      </c>
      <c r="C53" t="s">
        <v>164</v>
      </c>
      <c r="D53" t="s">
        <v>859</v>
      </c>
    </row>
    <row r="54" spans="1:6" ht="15" customHeight="1">
      <c r="A54" s="34"/>
    </row>
    <row r="55" spans="1:6">
      <c r="A55" s="75" t="s">
        <v>388</v>
      </c>
      <c r="B55" s="5" t="s">
        <v>147</v>
      </c>
      <c r="C55" s="79" t="s">
        <v>210</v>
      </c>
      <c r="D55" s="79" t="s">
        <v>182</v>
      </c>
      <c r="E55" s="79" t="s">
        <v>490</v>
      </c>
    </row>
    <row r="56" spans="1:6">
      <c r="A56" s="67" t="s">
        <v>860</v>
      </c>
      <c r="B56" s="70" t="s">
        <v>164</v>
      </c>
      <c r="C56" s="67" t="s">
        <v>164</v>
      </c>
      <c r="D56" s="67" t="s">
        <v>861</v>
      </c>
      <c r="E56" t="s">
        <v>862</v>
      </c>
    </row>
    <row r="57" spans="1:6">
      <c r="A57" s="67" t="s">
        <v>863</v>
      </c>
      <c r="B57" s="70" t="s">
        <v>864</v>
      </c>
      <c r="C57" s="67" t="s">
        <v>865</v>
      </c>
      <c r="D57" s="67" t="s">
        <v>866</v>
      </c>
      <c r="E57" t="s">
        <v>867</v>
      </c>
    </row>
    <row r="58" spans="1:6">
      <c r="A58" s="67" t="s">
        <v>868</v>
      </c>
      <c r="B58" s="70" t="s">
        <v>164</v>
      </c>
      <c r="C58" s="67" t="s">
        <v>164</v>
      </c>
      <c r="D58" s="67" t="s">
        <v>869</v>
      </c>
      <c r="E58" t="s">
        <v>870</v>
      </c>
    </row>
    <row r="59" spans="1:6">
      <c r="A59" s="67" t="s">
        <v>871</v>
      </c>
      <c r="B59" s="70"/>
      <c r="C59" s="67" t="s">
        <v>872</v>
      </c>
      <c r="D59" s="67" t="s">
        <v>873</v>
      </c>
      <c r="E59" t="s">
        <v>874</v>
      </c>
    </row>
    <row r="60" spans="1:6">
      <c r="A60" s="67" t="s">
        <v>875</v>
      </c>
      <c r="B60" s="70" t="s">
        <v>876</v>
      </c>
      <c r="C60" s="67"/>
      <c r="D60" s="67" t="s">
        <v>877</v>
      </c>
      <c r="E60" t="s">
        <v>875</v>
      </c>
    </row>
    <row r="61" spans="1:6" ht="15" customHeight="1">
      <c r="A61" s="34"/>
    </row>
    <row r="62" spans="1:6">
      <c r="A62" s="79" t="s">
        <v>878</v>
      </c>
      <c r="B62" s="79" t="s">
        <v>147</v>
      </c>
      <c r="C62" s="79" t="s">
        <v>148</v>
      </c>
      <c r="D62" s="79" t="s">
        <v>182</v>
      </c>
      <c r="E62" s="72"/>
      <c r="F62" s="72"/>
    </row>
    <row r="63" spans="1:6">
      <c r="A63" s="74" t="s">
        <v>879</v>
      </c>
      <c r="B63" s="67" t="s">
        <v>164</v>
      </c>
      <c r="C63" s="67" t="s">
        <v>164</v>
      </c>
      <c r="D63" s="67" t="s">
        <v>880</v>
      </c>
      <c r="F63" s="34" t="s">
        <v>881</v>
      </c>
    </row>
    <row r="64" spans="1:6">
      <c r="A64" s="74" t="s">
        <v>882</v>
      </c>
      <c r="B64" s="67" t="s">
        <v>164</v>
      </c>
      <c r="C64" s="67" t="s">
        <v>164</v>
      </c>
      <c r="D64" s="67" t="s">
        <v>164</v>
      </c>
      <c r="E64" t="s">
        <v>883</v>
      </c>
      <c r="F64" t="s">
        <v>884</v>
      </c>
    </row>
    <row r="65" spans="1:6">
      <c r="A65" s="74" t="s">
        <v>885</v>
      </c>
      <c r="B65" s="67" t="s">
        <v>164</v>
      </c>
      <c r="C65" s="67" t="s">
        <v>164</v>
      </c>
      <c r="D65" s="67" t="s">
        <v>886</v>
      </c>
    </row>
    <row r="66" spans="1:6">
      <c r="A66" s="67" t="s">
        <v>887</v>
      </c>
      <c r="B66" s="67" t="s">
        <v>888</v>
      </c>
      <c r="C66" s="67" t="s">
        <v>889</v>
      </c>
      <c r="D66" s="67" t="s">
        <v>890</v>
      </c>
    </row>
    <row r="67" spans="1:6">
      <c r="A67" s="67" t="s">
        <v>891</v>
      </c>
      <c r="B67" t="s">
        <v>164</v>
      </c>
      <c r="C67" t="s">
        <v>164</v>
      </c>
      <c r="D67" s="67" t="s">
        <v>892</v>
      </c>
    </row>
    <row r="68" spans="1:6">
      <c r="A68" s="67" t="s">
        <v>893</v>
      </c>
      <c r="B68" t="s">
        <v>164</v>
      </c>
      <c r="C68" t="s">
        <v>164</v>
      </c>
      <c r="D68" s="67" t="s">
        <v>894</v>
      </c>
    </row>
    <row r="69" spans="1:6">
      <c r="A69" s="67" t="s">
        <v>895</v>
      </c>
      <c r="B69" s="67" t="s">
        <v>888</v>
      </c>
      <c r="C69" s="67" t="s">
        <v>896</v>
      </c>
      <c r="D69" s="67" t="s">
        <v>897</v>
      </c>
    </row>
    <row r="70" spans="1:6">
      <c r="A70" s="67" t="s">
        <v>898</v>
      </c>
      <c r="B70" t="s">
        <v>164</v>
      </c>
      <c r="C70" t="s">
        <v>164</v>
      </c>
      <c r="D70" s="67" t="s">
        <v>899</v>
      </c>
    </row>
    <row r="71" spans="1:6">
      <c r="A71" s="67" t="s">
        <v>900</v>
      </c>
      <c r="B71" t="s">
        <v>164</v>
      </c>
      <c r="C71" s="34" t="s">
        <v>901</v>
      </c>
      <c r="D71" s="67" t="s">
        <v>902</v>
      </c>
    </row>
    <row r="72" spans="1:6">
      <c r="A72" s="67" t="s">
        <v>903</v>
      </c>
      <c r="B72" t="s">
        <v>164</v>
      </c>
      <c r="C72" t="s">
        <v>164</v>
      </c>
      <c r="D72" s="67" t="s">
        <v>904</v>
      </c>
    </row>
    <row r="73" spans="1:6">
      <c r="A73" s="67" t="s">
        <v>905</v>
      </c>
      <c r="B73" t="s">
        <v>164</v>
      </c>
      <c r="C73" t="s">
        <v>164</v>
      </c>
      <c r="D73" s="67" t="s">
        <v>906</v>
      </c>
    </row>
    <row r="75" spans="1:6">
      <c r="A75" s="79" t="s">
        <v>428</v>
      </c>
      <c r="B75" s="79" t="s">
        <v>147</v>
      </c>
      <c r="C75" s="79" t="s">
        <v>148</v>
      </c>
      <c r="D75" s="79" t="s">
        <v>182</v>
      </c>
    </row>
    <row r="76" spans="1:6">
      <c r="A76" s="83" t="s">
        <v>907</v>
      </c>
      <c r="B76" s="69"/>
      <c r="C76" s="67"/>
      <c r="D76" s="67" t="s">
        <v>908</v>
      </c>
      <c r="F76" s="65"/>
    </row>
    <row r="77" spans="1:6">
      <c r="A77" s="83" t="s">
        <v>909</v>
      </c>
      <c r="B77" s="69"/>
      <c r="C77" s="67"/>
      <c r="D77" s="67" t="s">
        <v>910</v>
      </c>
      <c r="F77" s="65"/>
    </row>
    <row r="78" spans="1:6">
      <c r="A78" s="83" t="s">
        <v>911</v>
      </c>
      <c r="B78" s="69"/>
      <c r="C78" s="67"/>
      <c r="D78" s="67" t="s">
        <v>912</v>
      </c>
      <c r="F78" s="65"/>
    </row>
    <row r="79" spans="1:6">
      <c r="A79" s="67" t="s">
        <v>913</v>
      </c>
      <c r="B79" s="70" t="s">
        <v>914</v>
      </c>
      <c r="C79" s="67" t="s">
        <v>915</v>
      </c>
      <c r="D79" s="67" t="s">
        <v>916</v>
      </c>
    </row>
    <row r="80" spans="1:6">
      <c r="A80" s="67" t="s">
        <v>917</v>
      </c>
      <c r="B80" s="70" t="s">
        <v>918</v>
      </c>
      <c r="C80" s="67" t="s">
        <v>919</v>
      </c>
      <c r="D80" s="67" t="s">
        <v>920</v>
      </c>
    </row>
    <row r="81" spans="1:6">
      <c r="A81" s="67" t="s">
        <v>921</v>
      </c>
      <c r="B81" s="70" t="s">
        <v>922</v>
      </c>
      <c r="C81" s="67" t="s">
        <v>923</v>
      </c>
      <c r="D81" s="67" t="s">
        <v>924</v>
      </c>
    </row>
    <row r="82" spans="1:6">
      <c r="A82" s="67"/>
      <c r="B82" s="70"/>
      <c r="C82" s="67"/>
      <c r="D82" s="67"/>
    </row>
    <row r="83" spans="1:6">
      <c r="A83" s="75" t="s">
        <v>489</v>
      </c>
      <c r="B83" s="5" t="s">
        <v>147</v>
      </c>
      <c r="C83" s="79" t="s">
        <v>210</v>
      </c>
      <c r="D83" s="79" t="s">
        <v>182</v>
      </c>
      <c r="E83" s="79" t="s">
        <v>490</v>
      </c>
    </row>
    <row r="84" spans="1:6">
      <c r="A84" s="26" t="s">
        <v>925</v>
      </c>
      <c r="B84" s="18"/>
      <c r="C84" s="97"/>
      <c r="D84" s="97" t="s">
        <v>926</v>
      </c>
      <c r="E84" s="97"/>
      <c r="F84" t="s">
        <v>927</v>
      </c>
    </row>
    <row r="85" spans="1:6">
      <c r="A85" s="67" t="s">
        <v>928</v>
      </c>
      <c r="B85" s="70" t="s">
        <v>929</v>
      </c>
      <c r="C85" s="67" t="s">
        <v>930</v>
      </c>
      <c r="D85" s="67" t="s">
        <v>931</v>
      </c>
      <c r="E85" t="s">
        <v>932</v>
      </c>
    </row>
    <row r="86" spans="1:6">
      <c r="A86" s="67" t="s">
        <v>933</v>
      </c>
      <c r="B86" s="70" t="s">
        <v>934</v>
      </c>
      <c r="C86" s="67" t="s">
        <v>935</v>
      </c>
      <c r="D86" s="67" t="s">
        <v>936</v>
      </c>
      <c r="E86" t="s">
        <v>937</v>
      </c>
    </row>
    <row r="87" spans="1:6">
      <c r="A87" s="67" t="s">
        <v>938</v>
      </c>
      <c r="B87" s="70" t="s">
        <v>939</v>
      </c>
      <c r="C87" s="67" t="s">
        <v>940</v>
      </c>
      <c r="D87" s="67" t="s">
        <v>941</v>
      </c>
      <c r="E87" t="s">
        <v>942</v>
      </c>
    </row>
    <row r="88" spans="1:6">
      <c r="A88" s="67" t="s">
        <v>943</v>
      </c>
      <c r="B88" s="70"/>
      <c r="C88" s="67" t="s">
        <v>944</v>
      </c>
      <c r="D88" s="67" t="s">
        <v>945</v>
      </c>
      <c r="E88" t="s">
        <v>946</v>
      </c>
    </row>
    <row r="89" spans="1:6" ht="15" customHeight="1">
      <c r="A89" t="s">
        <v>947</v>
      </c>
      <c r="B89" t="s">
        <v>948</v>
      </c>
      <c r="C89" t="s">
        <v>949</v>
      </c>
      <c r="D89" t="s">
        <v>950</v>
      </c>
      <c r="E89" t="s">
        <v>862</v>
      </c>
    </row>
    <row r="90" spans="1:6" ht="15" customHeight="1">
      <c r="A90" t="s">
        <v>951</v>
      </c>
      <c r="B90" t="s">
        <v>952</v>
      </c>
      <c r="C90" t="s">
        <v>953</v>
      </c>
      <c r="D90" t="s">
        <v>954</v>
      </c>
      <c r="E90" t="s">
        <v>867</v>
      </c>
    </row>
    <row r="91" spans="1:6" ht="15" customHeight="1">
      <c r="A91" t="s">
        <v>955</v>
      </c>
      <c r="B91" t="s">
        <v>956</v>
      </c>
      <c r="C91" t="s">
        <v>957</v>
      </c>
      <c r="D91" t="s">
        <v>958</v>
      </c>
      <c r="E91" t="s">
        <v>959</v>
      </c>
    </row>
    <row r="92" spans="1:6" ht="15" customHeight="1">
      <c r="A92" t="s">
        <v>960</v>
      </c>
      <c r="C92" t="s">
        <v>961</v>
      </c>
      <c r="D92" t="s">
        <v>962</v>
      </c>
      <c r="E92" t="s">
        <v>963</v>
      </c>
    </row>
    <row r="93" spans="1:6" ht="15" customHeight="1">
      <c r="A93" t="s">
        <v>964</v>
      </c>
      <c r="B93" t="s">
        <v>965</v>
      </c>
      <c r="C93" t="s">
        <v>966</v>
      </c>
      <c r="D93" t="s">
        <v>967</v>
      </c>
      <c r="E93" t="s">
        <v>867</v>
      </c>
    </row>
    <row r="94" spans="1:6" ht="15" customHeight="1">
      <c r="A94" t="s">
        <v>968</v>
      </c>
      <c r="C94" t="s">
        <v>969</v>
      </c>
      <c r="D94" t="s">
        <v>970</v>
      </c>
      <c r="E94" t="s">
        <v>971</v>
      </c>
    </row>
    <row r="95" spans="1:6">
      <c r="A95" s="67" t="s">
        <v>972</v>
      </c>
      <c r="B95" s="70"/>
      <c r="C95" s="67" t="s">
        <v>973</v>
      </c>
      <c r="D95" s="67" t="s">
        <v>974</v>
      </c>
      <c r="E95" t="s">
        <v>867</v>
      </c>
    </row>
    <row r="96" spans="1:6">
      <c r="A96" s="67" t="s">
        <v>975</v>
      </c>
      <c r="B96" s="70"/>
      <c r="C96" s="67"/>
      <c r="D96" s="67" t="s">
        <v>976</v>
      </c>
      <c r="E96" t="s">
        <v>937</v>
      </c>
    </row>
    <row r="97" spans="1:4">
      <c r="A97" s="67"/>
      <c r="B97" s="70"/>
      <c r="C97" s="67"/>
      <c r="D97" s="67"/>
    </row>
    <row r="98" spans="1:4">
      <c r="A98" s="67"/>
      <c r="B98" s="70"/>
      <c r="C98" s="67"/>
      <c r="D98" s="67"/>
    </row>
    <row r="99" spans="1:4">
      <c r="A99" s="67"/>
      <c r="B99" s="70"/>
      <c r="C99" s="67"/>
      <c r="D99" s="67"/>
    </row>
    <row r="100" spans="1:4">
      <c r="A100" s="67"/>
      <c r="B100" s="70"/>
      <c r="C100" s="67"/>
      <c r="D100" s="67"/>
    </row>
    <row r="101" spans="1:4">
      <c r="A101" s="67"/>
      <c r="B101" s="70"/>
      <c r="C101" s="67"/>
      <c r="D101" s="67"/>
    </row>
    <row r="102" spans="1:4">
      <c r="A102" s="67"/>
      <c r="B102" s="70"/>
      <c r="C102" s="67"/>
      <c r="D102" s="67"/>
    </row>
    <row r="103" spans="1:4">
      <c r="A103" s="67"/>
      <c r="B103" s="70"/>
      <c r="C103" s="67"/>
      <c r="D103" s="67"/>
    </row>
    <row r="104" spans="1:4">
      <c r="A104" s="67"/>
      <c r="B104" s="70"/>
      <c r="C104" s="67"/>
      <c r="D104" s="67"/>
    </row>
    <row r="105" spans="1:4">
      <c r="A105" s="67"/>
      <c r="B105" s="70"/>
      <c r="C105" s="67"/>
      <c r="D105" s="67"/>
    </row>
    <row r="106" spans="1:4">
      <c r="A106" s="67"/>
      <c r="B106" s="70"/>
      <c r="C106" s="67"/>
      <c r="D106" s="67"/>
    </row>
    <row r="107" spans="1:4">
      <c r="A107" s="67"/>
      <c r="B107" s="70"/>
      <c r="C107" s="67"/>
      <c r="D107" s="67"/>
    </row>
    <row r="108" spans="1:4">
      <c r="A108" s="67"/>
      <c r="B108" s="70"/>
      <c r="C108" s="67"/>
      <c r="D108" s="67"/>
    </row>
    <row r="109" spans="1:4">
      <c r="A109" s="67"/>
      <c r="B109" s="70"/>
      <c r="C109" s="67"/>
      <c r="D109" s="67"/>
    </row>
    <row r="110" spans="1:4">
      <c r="A110" s="67"/>
      <c r="B110" s="70"/>
      <c r="C110" s="67"/>
      <c r="D110" s="67"/>
    </row>
    <row r="111" spans="1:4">
      <c r="A111" s="67"/>
      <c r="B111" s="70"/>
      <c r="C111" s="67"/>
      <c r="D111" s="67"/>
    </row>
    <row r="112" spans="1:4">
      <c r="A112" s="67"/>
      <c r="B112" s="70"/>
      <c r="C112" s="67"/>
      <c r="D112" s="67"/>
    </row>
    <row r="113" spans="1:4">
      <c r="A113" s="67"/>
      <c r="B113" s="70"/>
      <c r="C113" s="67"/>
      <c r="D113" s="67"/>
    </row>
    <row r="114" spans="1:4">
      <c r="A114" s="67"/>
      <c r="B114" s="70"/>
      <c r="C114" s="67"/>
      <c r="D114" s="67"/>
    </row>
    <row r="115" spans="1:4">
      <c r="A115" s="67"/>
      <c r="B115" s="70"/>
      <c r="C115" s="67"/>
      <c r="D115" s="67"/>
    </row>
    <row r="116" spans="1:4">
      <c r="A116" s="67"/>
      <c r="B116" s="70"/>
      <c r="C116" s="67"/>
      <c r="D116" s="67"/>
    </row>
    <row r="117" spans="1:4">
      <c r="A117" s="67"/>
      <c r="B117" s="70"/>
      <c r="C117" s="67"/>
      <c r="D117" s="67"/>
    </row>
    <row r="118" spans="1:4">
      <c r="A118" s="67"/>
      <c r="B118" s="70"/>
      <c r="C118" s="67"/>
      <c r="D118" s="67"/>
    </row>
    <row r="119" spans="1:4">
      <c r="A119" s="67"/>
      <c r="B119" s="70"/>
      <c r="C119" s="67"/>
      <c r="D119" s="67"/>
    </row>
    <row r="120" spans="1:4">
      <c r="A120" s="67"/>
      <c r="B120" s="70"/>
      <c r="C120" s="67"/>
      <c r="D120" s="67"/>
    </row>
    <row r="121" spans="1:4">
      <c r="A121" s="67"/>
      <c r="B121" s="70"/>
      <c r="C121" s="67"/>
      <c r="D121" s="67"/>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14034</v>
      </c>
    </row>
    <row r="3" spans="1:4">
      <c r="A3" s="67" t="s">
        <v>14035</v>
      </c>
    </row>
    <row r="4" spans="1:4">
      <c r="A4" s="67" t="s">
        <v>14036</v>
      </c>
      <c r="D4" s="11" t="str">
        <f>HYPERLINK("http://www.dhs.gov/redirect?url=http%3A%2F%2Fwww.guamhs.org%2Fmain%2F","http://www.guamhs.org/main/")</f>
        <v>http://www.guamhs.org/main/</v>
      </c>
    </row>
    <row r="5" spans="1:4">
      <c r="A5" s="67" t="s">
        <v>14037</v>
      </c>
      <c r="D5" s="67" t="s">
        <v>14038</v>
      </c>
    </row>
    <row r="7" spans="1:4">
      <c r="A7" s="79" t="s">
        <v>209</v>
      </c>
      <c r="B7" s="79" t="s">
        <v>147</v>
      </c>
      <c r="C7" s="79" t="s">
        <v>148</v>
      </c>
      <c r="D7" s="79" t="s">
        <v>182</v>
      </c>
    </row>
    <row r="9" spans="1:4">
      <c r="A9" s="79" t="s">
        <v>428</v>
      </c>
    </row>
    <row r="25" spans="1:1">
      <c r="A25" s="79" t="s">
        <v>333</v>
      </c>
    </row>
    <row r="33" spans="1:1">
      <c r="A33" s="79" t="s">
        <v>878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14039</v>
      </c>
    </row>
    <row r="3" spans="1:4">
      <c r="A3" s="67" t="s">
        <v>14040</v>
      </c>
    </row>
    <row r="4" spans="1:4">
      <c r="A4" s="67" t="s">
        <v>14041</v>
      </c>
    </row>
    <row r="5" spans="1:4">
      <c r="A5" s="67" t="s">
        <v>14042</v>
      </c>
    </row>
    <row r="7" spans="1:4">
      <c r="A7" s="79" t="s">
        <v>209</v>
      </c>
      <c r="B7" s="79" t="s">
        <v>147</v>
      </c>
      <c r="C7" s="79" t="s">
        <v>148</v>
      </c>
      <c r="D7" s="79" t="s">
        <v>182</v>
      </c>
    </row>
    <row r="9" spans="1:4">
      <c r="A9" s="79" t="s">
        <v>428</v>
      </c>
    </row>
    <row r="25" spans="1:1">
      <c r="A25" s="79" t="s">
        <v>333</v>
      </c>
    </row>
    <row r="33" spans="1:1">
      <c r="A33" s="79" t="s">
        <v>878</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D33"/>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14043</v>
      </c>
    </row>
    <row r="3" spans="1:4">
      <c r="A3" s="67" t="s">
        <v>14044</v>
      </c>
    </row>
    <row r="4" spans="1:4">
      <c r="A4" s="67" t="s">
        <v>14045</v>
      </c>
    </row>
    <row r="5" spans="1:4">
      <c r="A5" s="67" t="s">
        <v>14046</v>
      </c>
      <c r="D5" s="67" t="s">
        <v>14047</v>
      </c>
    </row>
    <row r="7" spans="1:4">
      <c r="A7" s="79" t="s">
        <v>209</v>
      </c>
      <c r="B7" s="79" t="s">
        <v>147</v>
      </c>
      <c r="C7" s="79" t="s">
        <v>148</v>
      </c>
      <c r="D7" s="79" t="s">
        <v>182</v>
      </c>
    </row>
    <row r="9" spans="1:4">
      <c r="A9" s="79" t="s">
        <v>333</v>
      </c>
    </row>
    <row r="25" spans="1:1">
      <c r="A25" s="79" t="s">
        <v>394</v>
      </c>
    </row>
    <row r="33" spans="1:1">
      <c r="A33" s="79" t="s">
        <v>14017</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D38"/>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146</v>
      </c>
      <c r="B1" s="79" t="s">
        <v>147</v>
      </c>
      <c r="C1" s="79" t="s">
        <v>148</v>
      </c>
      <c r="D1" s="79" t="s">
        <v>182</v>
      </c>
    </row>
    <row r="2" spans="1:4">
      <c r="A2" s="67" t="s">
        <v>14048</v>
      </c>
      <c r="D2" t="s">
        <v>14049</v>
      </c>
    </row>
    <row r="3" spans="1:4">
      <c r="A3" s="67" t="s">
        <v>14050</v>
      </c>
      <c r="D3" s="67" t="s">
        <v>14051</v>
      </c>
    </row>
    <row r="5" spans="1:4">
      <c r="A5" s="79" t="s">
        <v>14052</v>
      </c>
      <c r="B5" s="79" t="s">
        <v>147</v>
      </c>
      <c r="C5" s="79" t="s">
        <v>148</v>
      </c>
      <c r="D5" s="79" t="s">
        <v>182</v>
      </c>
    </row>
    <row r="6" spans="1:4">
      <c r="A6" s="67" t="s">
        <v>14053</v>
      </c>
      <c r="D6" t="s">
        <v>13995</v>
      </c>
    </row>
    <row r="7" spans="1:4">
      <c r="A7" s="67" t="s">
        <v>14054</v>
      </c>
      <c r="D7" t="s">
        <v>13995</v>
      </c>
    </row>
    <row r="8" spans="1:4">
      <c r="A8" s="67" t="s">
        <v>14055</v>
      </c>
    </row>
    <row r="9" spans="1:4">
      <c r="A9" s="67" t="s">
        <v>14056</v>
      </c>
    </row>
    <row r="10" spans="1:4">
      <c r="A10" s="67" t="s">
        <v>14057</v>
      </c>
    </row>
    <row r="11" spans="1:4">
      <c r="A11" s="67" t="s">
        <v>14058</v>
      </c>
    </row>
    <row r="12" spans="1:4">
      <c r="A12" s="67" t="s">
        <v>14059</v>
      </c>
    </row>
    <row r="13" spans="1:4">
      <c r="A13" s="67" t="s">
        <v>14060</v>
      </c>
    </row>
    <row r="14" spans="1:4">
      <c r="A14" s="67" t="s">
        <v>14061</v>
      </c>
    </row>
    <row r="15" spans="1:4">
      <c r="A15" s="67" t="s">
        <v>14062</v>
      </c>
    </row>
    <row r="16" spans="1:4">
      <c r="A16" s="67" t="s">
        <v>14063</v>
      </c>
    </row>
    <row r="17" spans="1:4">
      <c r="A17" s="67" t="s">
        <v>14064</v>
      </c>
    </row>
    <row r="18" spans="1:4">
      <c r="A18" s="67" t="s">
        <v>14065</v>
      </c>
    </row>
    <row r="19" spans="1:4">
      <c r="A19" s="67" t="s">
        <v>14066</v>
      </c>
    </row>
    <row r="20" spans="1:4">
      <c r="A20" s="67" t="s">
        <v>14067</v>
      </c>
    </row>
    <row r="21" spans="1:4">
      <c r="A21" s="67" t="s">
        <v>14068</v>
      </c>
    </row>
    <row r="22" spans="1:4">
      <c r="A22" s="67" t="s">
        <v>14069</v>
      </c>
    </row>
    <row r="23" spans="1:4">
      <c r="A23" s="67" t="s">
        <v>14070</v>
      </c>
    </row>
    <row r="24" spans="1:4">
      <c r="A24" s="67" t="s">
        <v>14071</v>
      </c>
    </row>
    <row r="25" spans="1:4">
      <c r="A25" s="67" t="s">
        <v>14072</v>
      </c>
    </row>
    <row r="26" spans="1:4">
      <c r="A26" s="67" t="s">
        <v>14073</v>
      </c>
    </row>
    <row r="27" spans="1:4">
      <c r="A27" s="67" t="s">
        <v>14074</v>
      </c>
    </row>
    <row r="28" spans="1:4">
      <c r="A28" s="67" t="s">
        <v>14075</v>
      </c>
    </row>
    <row r="29" spans="1:4">
      <c r="A29" s="67" t="s">
        <v>14076</v>
      </c>
    </row>
    <row r="31" spans="1:4">
      <c r="A31" s="79" t="s">
        <v>333</v>
      </c>
      <c r="B31" s="79" t="s">
        <v>147</v>
      </c>
      <c r="C31" s="79" t="s">
        <v>148</v>
      </c>
      <c r="D31" s="79" t="s">
        <v>182</v>
      </c>
    </row>
    <row r="32" spans="1:4" ht="15" customHeight="1">
      <c r="A32" t="s">
        <v>14077</v>
      </c>
      <c r="D32" t="s">
        <v>14078</v>
      </c>
    </row>
    <row r="33" spans="1:4" ht="15" customHeight="1">
      <c r="A33" t="s">
        <v>14079</v>
      </c>
      <c r="D33" t="s">
        <v>14080</v>
      </c>
    </row>
    <row r="35" spans="1:4">
      <c r="A35" s="79" t="s">
        <v>878</v>
      </c>
      <c r="B35" s="79" t="s">
        <v>147</v>
      </c>
      <c r="C35" s="79" t="s">
        <v>148</v>
      </c>
      <c r="D35" s="79" t="s">
        <v>182</v>
      </c>
    </row>
    <row r="36" spans="1:4" ht="15" customHeight="1">
      <c r="A36" t="s">
        <v>14081</v>
      </c>
      <c r="D36" t="s">
        <v>14082</v>
      </c>
    </row>
    <row r="38" spans="1:4">
      <c r="A38" s="79" t="s">
        <v>14017</v>
      </c>
      <c r="B38" s="79" t="s">
        <v>147</v>
      </c>
      <c r="C38" s="79" t="s">
        <v>148</v>
      </c>
      <c r="D38" s="79" t="s">
        <v>182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D32"/>
  <sheetViews>
    <sheetView workbookViewId="0"/>
  </sheetViews>
  <sheetFormatPr defaultColWidth="9.140625" defaultRowHeight="15" customHeight="1"/>
  <cols>
    <col min="1" max="1" width="26.7109375" customWidth="1"/>
    <col min="2" max="2" width="17.85546875" customWidth="1"/>
    <col min="3" max="3" width="14" customWidth="1"/>
    <col min="4" max="4" width="21.28515625" customWidth="1"/>
  </cols>
  <sheetData>
    <row r="1" spans="1:4">
      <c r="A1" s="79" t="s">
        <v>14083</v>
      </c>
      <c r="B1" s="79" t="s">
        <v>147</v>
      </c>
      <c r="C1" s="79" t="s">
        <v>148</v>
      </c>
      <c r="D1" s="79" t="s">
        <v>182</v>
      </c>
    </row>
    <row r="2" spans="1:4">
      <c r="A2" s="67" t="s">
        <v>14084</v>
      </c>
      <c r="D2" t="s">
        <v>14085</v>
      </c>
    </row>
    <row r="3" spans="1:4">
      <c r="A3" s="67" t="s">
        <v>14086</v>
      </c>
      <c r="D3" s="67" t="s">
        <v>14087</v>
      </c>
    </row>
    <row r="5" spans="1:4">
      <c r="A5" s="79" t="s">
        <v>146</v>
      </c>
      <c r="B5" s="79" t="s">
        <v>147</v>
      </c>
      <c r="C5" s="79" t="s">
        <v>148</v>
      </c>
      <c r="D5" s="79" t="s">
        <v>182</v>
      </c>
    </row>
    <row r="6" spans="1:4" ht="15" customHeight="1">
      <c r="A6" t="s">
        <v>14088</v>
      </c>
      <c r="D6" t="s">
        <v>13995</v>
      </c>
    </row>
    <row r="7" spans="1:4" ht="15" customHeight="1">
      <c r="A7" t="s">
        <v>14089</v>
      </c>
      <c r="D7" t="s">
        <v>14090</v>
      </c>
    </row>
    <row r="8" spans="1:4" ht="15" customHeight="1">
      <c r="A8" t="s">
        <v>14091</v>
      </c>
      <c r="D8" t="s">
        <v>13995</v>
      </c>
    </row>
    <row r="9" spans="1:4" ht="15" customHeight="1">
      <c r="A9" t="s">
        <v>14092</v>
      </c>
      <c r="D9" t="s">
        <v>14093</v>
      </c>
    </row>
    <row r="10" spans="1:4" ht="15" customHeight="1">
      <c r="A10" t="s">
        <v>14094</v>
      </c>
      <c r="D10" t="s">
        <v>13995</v>
      </c>
    </row>
    <row r="11" spans="1:4" ht="15" customHeight="1">
      <c r="A11" t="s">
        <v>14095</v>
      </c>
      <c r="C11" t="s">
        <v>14096</v>
      </c>
      <c r="D11" t="s">
        <v>14097</v>
      </c>
    </row>
    <row r="12" spans="1:4" ht="15" customHeight="1">
      <c r="A12" t="s">
        <v>14098</v>
      </c>
      <c r="D12" t="s">
        <v>13995</v>
      </c>
    </row>
    <row r="13" spans="1:4" ht="15" customHeight="1">
      <c r="A13" t="s">
        <v>14099</v>
      </c>
      <c r="D13" t="s">
        <v>13995</v>
      </c>
    </row>
    <row r="14" spans="1:4" ht="15" customHeight="1">
      <c r="A14" t="s">
        <v>14100</v>
      </c>
      <c r="D14" t="s">
        <v>13995</v>
      </c>
    </row>
    <row r="15" spans="1:4" ht="15" customHeight="1">
      <c r="A15" t="s">
        <v>14101</v>
      </c>
      <c r="D15" t="s">
        <v>14102</v>
      </c>
    </row>
    <row r="16" spans="1:4" ht="15" customHeight="1">
      <c r="A16" t="s">
        <v>14103</v>
      </c>
      <c r="D16" t="s">
        <v>13995</v>
      </c>
    </row>
    <row r="17" spans="1:4" ht="15" customHeight="1">
      <c r="A17" t="s">
        <v>14104</v>
      </c>
      <c r="D17" t="s">
        <v>13995</v>
      </c>
    </row>
    <row r="18" spans="1:4" ht="15" customHeight="1">
      <c r="A18" t="s">
        <v>14105</v>
      </c>
      <c r="D18" t="s">
        <v>13995</v>
      </c>
    </row>
    <row r="19" spans="1:4" ht="15" customHeight="1">
      <c r="A19" t="s">
        <v>14106</v>
      </c>
      <c r="D19" t="s">
        <v>13995</v>
      </c>
    </row>
    <row r="20" spans="1:4" ht="15" customHeight="1">
      <c r="A20" t="s">
        <v>14107</v>
      </c>
      <c r="D20" t="s">
        <v>13995</v>
      </c>
    </row>
    <row r="21" spans="1:4" ht="15" customHeight="1">
      <c r="A21" t="s">
        <v>14108</v>
      </c>
      <c r="D21" t="s">
        <v>14109</v>
      </c>
    </row>
    <row r="23" spans="1:4">
      <c r="A23" s="79" t="s">
        <v>333</v>
      </c>
      <c r="B23" s="79" t="s">
        <v>147</v>
      </c>
      <c r="C23" s="79" t="s">
        <v>148</v>
      </c>
      <c r="D23" s="79" t="s">
        <v>182</v>
      </c>
    </row>
    <row r="24" spans="1:4" ht="15" customHeight="1">
      <c r="A24" t="s">
        <v>14110</v>
      </c>
      <c r="D24" t="s">
        <v>14111</v>
      </c>
    </row>
    <row r="25" spans="1:4" ht="15" customHeight="1">
      <c r="A25" t="s">
        <v>14112</v>
      </c>
      <c r="D25" t="s">
        <v>14113</v>
      </c>
    </row>
    <row r="27" spans="1:4">
      <c r="A27" s="79" t="s">
        <v>394</v>
      </c>
      <c r="B27" s="79" t="s">
        <v>147</v>
      </c>
      <c r="C27" s="79" t="s">
        <v>148</v>
      </c>
      <c r="D27" s="79" t="s">
        <v>182</v>
      </c>
    </row>
    <row r="28" spans="1:4" ht="15" customHeight="1">
      <c r="A28" t="s">
        <v>14114</v>
      </c>
      <c r="D28" t="s">
        <v>14082</v>
      </c>
    </row>
    <row r="29" spans="1:4" ht="15" customHeight="1">
      <c r="A29" t="s">
        <v>14115</v>
      </c>
      <c r="D29" t="s">
        <v>14082</v>
      </c>
    </row>
    <row r="30" spans="1:4" ht="15" customHeight="1">
      <c r="A30" t="s">
        <v>14116</v>
      </c>
      <c r="D30" t="s">
        <v>14082</v>
      </c>
    </row>
    <row r="32" spans="1:4">
      <c r="A32" s="79" t="s">
        <v>14017</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8"/>
  <sheetViews>
    <sheetView topLeftCell="A126" workbookViewId="0">
      <selection activeCell="D145" sqref="D145"/>
    </sheetView>
  </sheetViews>
  <sheetFormatPr defaultColWidth="9.140625" defaultRowHeight="15" customHeight="1"/>
  <cols>
    <col min="1" max="1" width="26.7109375" customWidth="1"/>
    <col min="2" max="2" width="21.42578125" customWidth="1"/>
    <col min="3" max="3" width="20.7109375" customWidth="1"/>
    <col min="4" max="4" width="28.5703125" customWidth="1"/>
    <col min="5" max="5" width="26.28515625" customWidth="1"/>
    <col min="6" max="6" width="17.42578125" customWidth="1"/>
  </cols>
  <sheetData>
    <row r="1" spans="1:6">
      <c r="A1" s="79" t="s">
        <v>146</v>
      </c>
      <c r="B1" s="79" t="s">
        <v>147</v>
      </c>
      <c r="C1" s="79" t="s">
        <v>148</v>
      </c>
      <c r="D1" s="79" t="s">
        <v>182</v>
      </c>
      <c r="E1" s="46"/>
      <c r="F1" s="34"/>
    </row>
    <row r="2" spans="1:6">
      <c r="A2" s="67" t="s">
        <v>977</v>
      </c>
      <c r="D2" s="67" t="s">
        <v>978</v>
      </c>
      <c r="E2" s="34"/>
      <c r="F2" s="34"/>
    </row>
    <row r="3" spans="1:6">
      <c r="A3" s="67" t="s">
        <v>979</v>
      </c>
      <c r="D3" s="67" t="s">
        <v>980</v>
      </c>
      <c r="E3" s="34"/>
      <c r="F3" s="34"/>
    </row>
    <row r="4" spans="1:6">
      <c r="A4" s="67" t="s">
        <v>981</v>
      </c>
      <c r="D4" s="67" t="s">
        <v>982</v>
      </c>
      <c r="E4" s="34"/>
      <c r="F4" s="34"/>
    </row>
    <row r="5" spans="1:6">
      <c r="A5" s="67" t="s">
        <v>983</v>
      </c>
      <c r="D5" s="67" t="s">
        <v>984</v>
      </c>
      <c r="E5" s="34"/>
      <c r="F5" s="34"/>
    </row>
    <row r="6" spans="1:6" ht="15" customHeight="1">
      <c r="A6" t="s">
        <v>985</v>
      </c>
      <c r="D6" s="34" t="s">
        <v>986</v>
      </c>
      <c r="E6" s="34"/>
      <c r="F6" s="34"/>
    </row>
    <row r="7" spans="1:6" ht="15" customHeight="1">
      <c r="A7" s="34" t="s">
        <v>987</v>
      </c>
      <c r="D7" s="34" t="s">
        <v>988</v>
      </c>
      <c r="E7" s="34"/>
      <c r="F7" s="34"/>
    </row>
    <row r="8" spans="1:6" ht="15" customHeight="1">
      <c r="A8" s="86" t="s">
        <v>989</v>
      </c>
      <c r="D8" s="34"/>
      <c r="E8" s="34"/>
      <c r="F8" s="34"/>
    </row>
    <row r="9" spans="1:6" ht="15" customHeight="1">
      <c r="A9" s="3" t="s">
        <v>990</v>
      </c>
      <c r="B9" s="3" t="s">
        <v>147</v>
      </c>
      <c r="C9" s="77" t="s">
        <v>148</v>
      </c>
      <c r="D9" s="77" t="s">
        <v>182</v>
      </c>
      <c r="E9" s="14" t="s">
        <v>183</v>
      </c>
      <c r="F9" s="61" t="s">
        <v>184</v>
      </c>
    </row>
    <row r="10" spans="1:6" ht="15" customHeight="1">
      <c r="A10" t="str">
        <f>HYPERLINK("http://en.wikipedia.org/wiki/Phoenix,_Arizona","Phoenix")</f>
        <v>Phoenix</v>
      </c>
      <c r="B10" t="s">
        <v>991</v>
      </c>
      <c r="C10" s="34" t="s">
        <v>992</v>
      </c>
      <c r="D10" s="34" t="s">
        <v>993</v>
      </c>
      <c r="E10" s="55" t="str">
        <f>HYPERLINK("http://phoenix.gov/emergency/index.html"," Phoenix OEM")</f>
        <v xml:space="preserve"> Phoenix OEM</v>
      </c>
      <c r="F10" s="34"/>
    </row>
    <row r="11" spans="1:6" ht="15" customHeight="1">
      <c r="A11" t="str">
        <f>HYPERLINK("http://en.wikipedia.org/wiki/Tucson,_Arizona#External_links","Tucson")</f>
        <v>Tucson</v>
      </c>
      <c r="B11" t="s">
        <v>994</v>
      </c>
      <c r="C11" s="34" t="s">
        <v>164</v>
      </c>
      <c r="D11" s="34" t="s">
        <v>995</v>
      </c>
      <c r="E11" s="55" t="str">
        <f>HYPERLINK("http://cms3.tucsonaz.gov/emergencymanagement","Tucson OEM")</f>
        <v>Tucson OEM</v>
      </c>
      <c r="F11" s="34"/>
    </row>
    <row r="12" spans="1:6" ht="15" customHeight="1">
      <c r="A12" t="str">
        <f>HYPERLINK("http://en.wikipedia.org/wiki/Mesa,_Arizona","Mesa")</f>
        <v>Mesa</v>
      </c>
      <c r="B12" t="s">
        <v>996</v>
      </c>
      <c r="C12" s="34" t="s">
        <v>997</v>
      </c>
      <c r="D12" s="34" t="s">
        <v>998</v>
      </c>
      <c r="E12" s="55" t="str">
        <f>HYPERLINK("http://www.mesaaz.gov/Home/","Mesa Emer. Services")</f>
        <v>Mesa Emer. Services</v>
      </c>
      <c r="F12" s="34"/>
    </row>
    <row r="13" spans="1:6" ht="15" customHeight="1">
      <c r="A13" s="55" t="str">
        <f>HYPERLINK("http://en.wikipedia.org/wiki/Chandler,_Arizona","Chandler")</f>
        <v>Chandler</v>
      </c>
      <c r="B13" t="s">
        <v>999</v>
      </c>
      <c r="C13" s="34" t="s">
        <v>1000</v>
      </c>
      <c r="D13" s="34" t="s">
        <v>1001</v>
      </c>
      <c r="E13" t="str">
        <f>HYPERLINK("http://www.chandleraz.gov/default.aspx?pageid=905","Chandler Emer. Ser.")</f>
        <v>Chandler Emer. Ser.</v>
      </c>
      <c r="F13" s="34"/>
    </row>
    <row r="14" spans="1:6" ht="15" customHeight="1">
      <c r="A14" s="55" t="str">
        <f>HYPERLINK("http://en.wikipedia.org/wiki/Yuma,_Arizona","Yuma")</f>
        <v>Yuma</v>
      </c>
      <c r="C14" s="34"/>
      <c r="D14" s="34" t="s">
        <v>1002</v>
      </c>
      <c r="E14" t="str">
        <f>HYPERLINK("http://tw.yumaaz.gov/WebWare/Default.aspx?Category=39&amp;t=-1","Yuma OEM")</f>
        <v>Yuma OEM</v>
      </c>
      <c r="F14" s="34"/>
    </row>
    <row r="15" spans="1:6" ht="15" customHeight="1">
      <c r="A15" s="51" t="str">
        <f>HYPERLINK("http://en.wikipedia.org/wiki/Flagstaff,_Arizona","Flagstaff")</f>
        <v>Flagstaff</v>
      </c>
      <c r="B15" t="s">
        <v>1003</v>
      </c>
      <c r="C15" s="34" t="s">
        <v>1004</v>
      </c>
      <c r="D15" s="34" t="s">
        <v>1005</v>
      </c>
      <c r="E15" t="str">
        <f>HYPERLINK("http://www.flagstaff.az.gov/index.aspx?nid=18","Flagstaff Emergency Ser.")</f>
        <v>Flagstaff Emergency Ser.</v>
      </c>
      <c r="F15" s="34"/>
    </row>
    <row r="16" spans="1:6" ht="15" customHeight="1">
      <c r="A16" s="51" t="str">
        <f>HYPERLINK("http://en.wikipedia.org/wiki/Glendale,_Arizona","Glendale")</f>
        <v>Glendale</v>
      </c>
      <c r="C16" s="34" t="s">
        <v>1006</v>
      </c>
      <c r="D16" s="34" t="s">
        <v>1007</v>
      </c>
      <c r="F16" s="34"/>
    </row>
    <row r="17" spans="1:6">
      <c r="A17" s="111" t="s">
        <v>209</v>
      </c>
      <c r="B17" s="79" t="s">
        <v>147</v>
      </c>
      <c r="C17" s="79" t="s">
        <v>148</v>
      </c>
      <c r="D17" s="79" t="s">
        <v>182</v>
      </c>
      <c r="E17" s="79" t="s">
        <v>183</v>
      </c>
      <c r="F17" s="79" t="s">
        <v>211</v>
      </c>
    </row>
    <row r="18" spans="1:6">
      <c r="A18" s="74" t="s">
        <v>1008</v>
      </c>
      <c r="D18" s="67" t="s">
        <v>1009</v>
      </c>
      <c r="E18" s="34"/>
      <c r="F18" s="34"/>
    </row>
    <row r="19" spans="1:6">
      <c r="A19" s="67" t="str">
        <f>HYPERLINK("http://en.wikipedia.org/wiki/Apache_County,_Arizona","Apache")</f>
        <v>Apache</v>
      </c>
      <c r="B19" t="s">
        <v>164</v>
      </c>
      <c r="C19" t="s">
        <v>164</v>
      </c>
      <c r="D19" s="67" t="s">
        <v>1010</v>
      </c>
      <c r="E19" s="34" t="str">
        <f>HYPERLINK("http://www.co.apache.az.us/Emergency-911.asp","Apache 911")</f>
        <v>Apache 911</v>
      </c>
      <c r="F19" s="34"/>
    </row>
    <row r="20" spans="1:6">
      <c r="A20" s="67" t="str">
        <f>HYPERLINK("http://en.wikipedia.org/wiki/Cochise_County,_Arizona","Cochise")</f>
        <v>Cochise</v>
      </c>
      <c r="B20" t="s">
        <v>1011</v>
      </c>
      <c r="C20" s="34" t="s">
        <v>1012</v>
      </c>
      <c r="D20" s="67" t="s">
        <v>1013</v>
      </c>
      <c r="E20" s="34" t="str">
        <f>HYPERLINK("http://www.cochise.az.gov/cochise_emergency_services.aspx?id=9442","Cochise EMA")</f>
        <v>Cochise EMA</v>
      </c>
      <c r="F20" s="34"/>
    </row>
    <row r="21" spans="1:6">
      <c r="A21" s="67" t="str">
        <f>HYPERLINK("http://en.wikipedia.org/wiki/Coconino_County,_Arizona","Coconino")</f>
        <v>Coconino</v>
      </c>
      <c r="B21" s="70" t="s">
        <v>1014</v>
      </c>
      <c r="C21" s="67" t="s">
        <v>1015</v>
      </c>
      <c r="D21" s="67" t="s">
        <v>1016</v>
      </c>
      <c r="E21" s="34" t="str">
        <f>HYPERLINK("http://www.coconino.az.gov/index.aspx?NID=207","Coconino EMA")</f>
        <v>Coconino EMA</v>
      </c>
      <c r="F21" s="34"/>
    </row>
    <row r="22" spans="1:6">
      <c r="A22" s="67" t="str">
        <f>HYPERLINK("http://en.wikipedia.org/wiki/Gila_County,_Arizona","Gila")</f>
        <v>Gila</v>
      </c>
      <c r="B22" s="70" t="s">
        <v>164</v>
      </c>
      <c r="C22" t="s">
        <v>164</v>
      </c>
      <c r="D22" s="67" t="s">
        <v>1017</v>
      </c>
      <c r="E22" s="34" t="str">
        <f>HYPERLINK("http://www.gilacountyaz.gov/government/health_and_emergency_services/emergency_management/index.php","Gila EMA")</f>
        <v>Gila EMA</v>
      </c>
      <c r="F22" s="34"/>
    </row>
    <row r="23" spans="1:6">
      <c r="A23" s="67" t="str">
        <f>HYPERLINK("http://en.wikipedia.org/wiki/Graham_County,_Arizona","Graham")</f>
        <v>Graham</v>
      </c>
      <c r="B23" s="70" t="s">
        <v>164</v>
      </c>
      <c r="C23" t="s">
        <v>164</v>
      </c>
      <c r="D23" s="67" t="s">
        <v>1018</v>
      </c>
      <c r="E23" s="34" t="str">
        <f>HYPERLINK("http://www.graham.az.gov/Graham_CMS/Health.aspx?id=3435","Graham EMA")</f>
        <v>Graham EMA</v>
      </c>
      <c r="F23" s="34"/>
    </row>
    <row r="24" spans="1:6">
      <c r="A24" s="67" t="str">
        <f>HYPERLINK("http://en.wikipedia.org/wiki/Greenlee_County,_Arizona","Greenlee")</f>
        <v>Greenlee</v>
      </c>
      <c r="B24" s="70" t="s">
        <v>164</v>
      </c>
      <c r="C24" t="s">
        <v>164</v>
      </c>
      <c r="D24" s="67" t="s">
        <v>1019</v>
      </c>
      <c r="E24" s="34" t="str">
        <f>HYPERLINK("http://www.co.greenlee.az.us/sheriff/","Greenlee Sheriff")</f>
        <v>Greenlee Sheriff</v>
      </c>
      <c r="F24" s="34"/>
    </row>
    <row r="25" spans="1:6">
      <c r="A25" s="67" t="str">
        <f>HYPERLINK("http://en.wikipedia.org/wiki/La_Paz_County,_Arizona","La Paz")</f>
        <v>La Paz</v>
      </c>
      <c r="B25" s="70" t="s">
        <v>164</v>
      </c>
      <c r="C25" s="34" t="s">
        <v>1020</v>
      </c>
      <c r="D25" s="67" t="s">
        <v>1021</v>
      </c>
      <c r="E25" s="34" t="str">
        <f>HYPERLINK("http://www.co.la-paz.az.us/Emergency_Services.html","La Paz EMA")</f>
        <v>La Paz EMA</v>
      </c>
    </row>
    <row r="26" spans="1:6">
      <c r="A26" s="67" t="str">
        <f>HYPERLINK("http://en.wikipedia.org/wiki/Maricopa_County,_Arizona","Maricopa")</f>
        <v>Maricopa</v>
      </c>
      <c r="B26" s="70" t="s">
        <v>1022</v>
      </c>
      <c r="C26" t="s">
        <v>1023</v>
      </c>
      <c r="D26" s="67" t="s">
        <v>1024</v>
      </c>
      <c r="E26" s="34" t="str">
        <f>HYPERLINK("http://www.maricopa.gov/emerg_mgt","Maricopa EMA")</f>
        <v>Maricopa EMA</v>
      </c>
      <c r="F26" s="34"/>
    </row>
    <row r="27" spans="1:6">
      <c r="A27" s="67" t="str">
        <f>HYPERLINK("http://en.wikipedia.org/wiki/Mohave_County,_Arizona","Mohave")</f>
        <v>Mohave</v>
      </c>
      <c r="B27" s="70" t="s">
        <v>1025</v>
      </c>
      <c r="C27" s="34" t="s">
        <v>1026</v>
      </c>
      <c r="D27" s="67" t="s">
        <v>1027</v>
      </c>
      <c r="E27" s="34" t="str">
        <f>HYPERLINK("http://www.mohavecounty.us/ContentPage.aspx?id=124&amp;cid=407","Mohave EMA")</f>
        <v>Mohave EMA</v>
      </c>
      <c r="F27" s="34"/>
    </row>
    <row r="28" spans="1:6">
      <c r="A28" s="67" t="str">
        <f>HYPERLINK("http://en.wikipedia.org/wiki/Navajo_County,_Arizona","Navajo")</f>
        <v>Navajo</v>
      </c>
      <c r="B28" s="70" t="s">
        <v>1028</v>
      </c>
      <c r="C28" s="67" t="s">
        <v>1029</v>
      </c>
      <c r="D28" s="67" t="s">
        <v>1030</v>
      </c>
      <c r="E28" s="34" t="str">
        <f>HYPERLINK("http://www.navajocountyaz.gov/emergencymanagement/","Navajo EMA")</f>
        <v>Navajo EMA</v>
      </c>
      <c r="F28" s="34"/>
    </row>
    <row r="29" spans="1:6">
      <c r="A29" s="67" t="str">
        <f>HYPERLINK("http://en.wikipedia.org/wiki/Pima_County,_Arizona","Pima")</f>
        <v>Pima</v>
      </c>
      <c r="B29" s="70" t="s">
        <v>1031</v>
      </c>
      <c r="C29" s="67" t="s">
        <v>1032</v>
      </c>
      <c r="D29" s="67" t="s">
        <v>1033</v>
      </c>
      <c r="E29" s="34"/>
      <c r="F29" s="34"/>
    </row>
    <row r="30" spans="1:6">
      <c r="A30" s="67" t="str">
        <f>HYPERLINK("http://en.wikipedia.org/wiki/Pinal_County,_Arizona","Pinal")</f>
        <v>Pinal</v>
      </c>
      <c r="B30" s="70" t="s">
        <v>1034</v>
      </c>
      <c r="C30" s="34" t="s">
        <v>1035</v>
      </c>
      <c r="D30" s="67" t="s">
        <v>1036</v>
      </c>
      <c r="E30" s="34" t="str">
        <f>HYPERLINK("http://www.pinalcountyaz.gov/departments/publicworks/emergencymanagement/Pages/Home.aspx","Pinal EMA")</f>
        <v>Pinal EMA</v>
      </c>
      <c r="F30" s="34"/>
    </row>
    <row r="31" spans="1:6">
      <c r="A31" s="67" t="str">
        <f>HYPERLINK("http://en.wikipedia.org/wiki/Santa_Cruz_County,_Arizona","Santa Cruz")</f>
        <v>Santa Cruz</v>
      </c>
      <c r="B31" s="70" t="s">
        <v>164</v>
      </c>
      <c r="C31" t="s">
        <v>1037</v>
      </c>
      <c r="D31" s="67" t="s">
        <v>1038</v>
      </c>
      <c r="E31" s="34" t="str">
        <f>HYPERLINK("http://www.co.santa-cruz.az.us/es/oem/index.html","Santa Cruz OEM")</f>
        <v>Santa Cruz OEM</v>
      </c>
      <c r="F31" s="34"/>
    </row>
    <row r="32" spans="1:6">
      <c r="A32" s="67" t="str">
        <f>HYPERLINK("http://en.wikipedia.org/wiki/Yavapai_County,_Arizona","Yavapai")</f>
        <v>Yavapai</v>
      </c>
      <c r="B32" s="70" t="s">
        <v>1039</v>
      </c>
      <c r="C32" t="s">
        <v>164</v>
      </c>
      <c r="D32" s="67" t="s">
        <v>1040</v>
      </c>
      <c r="E32" s="34" t="str">
        <f>HYPERLINK("http://www.regionalinfo-alert.org/A23","Yavapai Regional Alert\")</f>
        <v>Yavapai Regional Alert\</v>
      </c>
      <c r="F32" s="34"/>
    </row>
    <row r="33" spans="1:7">
      <c r="A33" s="67" t="str">
        <f>HYPERLINK("http://en.wikipedia.org/wiki/Yuma_County,_Arizona","Yuma")</f>
        <v>Yuma</v>
      </c>
      <c r="B33" s="70" t="s">
        <v>1041</v>
      </c>
      <c r="C33" t="s">
        <v>164</v>
      </c>
      <c r="D33" s="67" t="s">
        <v>1042</v>
      </c>
      <c r="E33" s="34" t="str">
        <f>HYPERLINK("http://www.co.yuma.az.us/index.aspx?page=266","Yuma EMA")</f>
        <v>Yuma EMA</v>
      </c>
    </row>
    <row r="34" spans="1:7" ht="15" customHeight="1">
      <c r="B34" s="70"/>
      <c r="E34" s="34"/>
      <c r="F34" s="34"/>
    </row>
    <row r="35" spans="1:7">
      <c r="A35" s="79" t="s">
        <v>333</v>
      </c>
      <c r="B35" s="79" t="s">
        <v>147</v>
      </c>
      <c r="C35" s="79" t="s">
        <v>148</v>
      </c>
      <c r="D35" s="79" t="s">
        <v>182</v>
      </c>
      <c r="E35" s="46"/>
      <c r="F35" s="34"/>
    </row>
    <row r="36" spans="1:7">
      <c r="A36" s="74" t="s">
        <v>1043</v>
      </c>
      <c r="B36" s="67" t="s">
        <v>164</v>
      </c>
      <c r="C36" s="67" t="s">
        <v>1044</v>
      </c>
      <c r="D36" s="67" t="s">
        <v>1045</v>
      </c>
      <c r="E36" s="34" t="s">
        <v>1046</v>
      </c>
      <c r="F36" s="34"/>
    </row>
    <row r="37" spans="1:7">
      <c r="A37" s="74"/>
      <c r="B37" s="67"/>
      <c r="C37" s="67"/>
      <c r="D37" s="67"/>
      <c r="E37" s="34"/>
      <c r="F37" s="34"/>
    </row>
    <row r="38" spans="1:7">
      <c r="A38" s="60" t="s">
        <v>1047</v>
      </c>
      <c r="B38" s="43"/>
      <c r="C38" s="43"/>
      <c r="D38" s="43"/>
      <c r="E38" s="89"/>
      <c r="F38" s="89"/>
      <c r="G38" s="72"/>
    </row>
    <row r="39" spans="1:7">
      <c r="A39" s="67" t="s">
        <v>1048</v>
      </c>
      <c r="B39" s="54" t="s">
        <v>1049</v>
      </c>
      <c r="C39" s="70" t="s">
        <v>1050</v>
      </c>
      <c r="D39" s="67" t="s">
        <v>1051</v>
      </c>
      <c r="E39" s="34"/>
      <c r="F39" s="34"/>
    </row>
    <row r="40" spans="1:7">
      <c r="A40" s="67" t="s">
        <v>1052</v>
      </c>
      <c r="B40" s="70" t="s">
        <v>1053</v>
      </c>
      <c r="C40" s="67" t="s">
        <v>1054</v>
      </c>
      <c r="D40" s="67" t="s">
        <v>1055</v>
      </c>
      <c r="E40" s="34"/>
      <c r="F40" s="34"/>
    </row>
    <row r="41" spans="1:7">
      <c r="A41" s="67" t="s">
        <v>1056</v>
      </c>
      <c r="B41" s="54" t="s">
        <v>1057</v>
      </c>
      <c r="C41" s="70" t="s">
        <v>164</v>
      </c>
      <c r="D41" s="67" t="s">
        <v>1058</v>
      </c>
      <c r="E41" s="34"/>
      <c r="F41" s="34"/>
    </row>
    <row r="42" spans="1:7">
      <c r="A42" s="67" t="s">
        <v>1059</v>
      </c>
      <c r="B42" s="70" t="s">
        <v>1060</v>
      </c>
      <c r="C42" s="67" t="s">
        <v>164</v>
      </c>
      <c r="D42" s="67" t="s">
        <v>1061</v>
      </c>
      <c r="E42" s="34"/>
      <c r="F42" s="34"/>
    </row>
    <row r="43" spans="1:7">
      <c r="A43" s="67" t="s">
        <v>1062</v>
      </c>
      <c r="B43" s="70" t="s">
        <v>164</v>
      </c>
      <c r="C43" s="67" t="s">
        <v>164</v>
      </c>
      <c r="D43" s="67" t="s">
        <v>1063</v>
      </c>
      <c r="E43" s="34"/>
      <c r="F43" s="34"/>
    </row>
    <row r="44" spans="1:7">
      <c r="A44" s="67"/>
      <c r="B44" s="70"/>
      <c r="C44" s="67"/>
      <c r="D44" s="67"/>
      <c r="E44" s="34"/>
      <c r="F44" s="34"/>
    </row>
    <row r="45" spans="1:7">
      <c r="A45" s="60" t="s">
        <v>1064</v>
      </c>
      <c r="B45" s="47"/>
      <c r="C45" s="43"/>
      <c r="D45" s="43"/>
      <c r="E45" s="89"/>
      <c r="F45" s="89"/>
      <c r="G45" s="72"/>
    </row>
    <row r="46" spans="1:7">
      <c r="A46" s="67" t="s">
        <v>1065</v>
      </c>
      <c r="B46" s="70" t="s">
        <v>1066</v>
      </c>
      <c r="C46" s="67" t="s">
        <v>1067</v>
      </c>
      <c r="D46" s="67" t="s">
        <v>1068</v>
      </c>
      <c r="E46" s="34"/>
      <c r="F46" s="34" t="s">
        <v>1069</v>
      </c>
    </row>
    <row r="47" spans="1:7">
      <c r="A47" s="67" t="s">
        <v>1070</v>
      </c>
      <c r="B47" s="70" t="s">
        <v>164</v>
      </c>
      <c r="C47" t="s">
        <v>164</v>
      </c>
      <c r="D47" s="67" t="s">
        <v>1071</v>
      </c>
      <c r="E47" s="34"/>
      <c r="F47" s="34"/>
    </row>
    <row r="48" spans="1:7">
      <c r="A48" s="67" t="s">
        <v>1072</v>
      </c>
      <c r="B48" s="70" t="s">
        <v>1073</v>
      </c>
      <c r="C48" s="67" t="s">
        <v>1074</v>
      </c>
      <c r="D48" s="67" t="s">
        <v>1075</v>
      </c>
      <c r="E48" s="34"/>
      <c r="F48" s="34"/>
    </row>
    <row r="49" spans="1:7">
      <c r="A49" s="67" t="s">
        <v>1076</v>
      </c>
      <c r="B49" s="70" t="s">
        <v>164</v>
      </c>
      <c r="C49" t="s">
        <v>164</v>
      </c>
      <c r="D49" s="67" t="s">
        <v>1077</v>
      </c>
      <c r="E49" s="34"/>
      <c r="F49" s="34"/>
    </row>
    <row r="50" spans="1:7" ht="15" customHeight="1">
      <c r="A50" t="s">
        <v>1078</v>
      </c>
      <c r="B50" t="s">
        <v>164</v>
      </c>
      <c r="C50" t="s">
        <v>164</v>
      </c>
      <c r="D50" t="s">
        <v>1079</v>
      </c>
      <c r="E50" s="34"/>
      <c r="F50" s="34"/>
    </row>
    <row r="51" spans="1:7" ht="15" customHeight="1">
      <c r="A51" t="s">
        <v>1080</v>
      </c>
      <c r="B51" t="s">
        <v>164</v>
      </c>
      <c r="C51" t="s">
        <v>164</v>
      </c>
      <c r="D51" t="s">
        <v>1081</v>
      </c>
      <c r="E51" s="34"/>
      <c r="F51" s="34"/>
    </row>
    <row r="52" spans="1:7" ht="15" customHeight="1">
      <c r="A52" t="s">
        <v>1082</v>
      </c>
      <c r="B52" t="s">
        <v>164</v>
      </c>
      <c r="C52" s="34" t="s">
        <v>1083</v>
      </c>
      <c r="D52" t="s">
        <v>1084</v>
      </c>
      <c r="E52" s="34"/>
      <c r="F52" s="34"/>
    </row>
    <row r="53" spans="1:7" ht="15" customHeight="1">
      <c r="A53" t="s">
        <v>1085</v>
      </c>
      <c r="B53" t="s">
        <v>164</v>
      </c>
      <c r="C53" t="s">
        <v>164</v>
      </c>
      <c r="D53" t="s">
        <v>1086</v>
      </c>
      <c r="E53" s="34"/>
      <c r="F53" s="34"/>
    </row>
    <row r="54" spans="1:7" ht="15" customHeight="1">
      <c r="A54" t="s">
        <v>1087</v>
      </c>
      <c r="B54" t="s">
        <v>164</v>
      </c>
      <c r="C54" t="s">
        <v>164</v>
      </c>
      <c r="D54" t="s">
        <v>1088</v>
      </c>
      <c r="E54" s="34"/>
      <c r="F54" s="34"/>
    </row>
    <row r="55" spans="1:7" ht="15" customHeight="1">
      <c r="A55" t="s">
        <v>1089</v>
      </c>
      <c r="B55" t="s">
        <v>1090</v>
      </c>
      <c r="C55" s="34" t="s">
        <v>1091</v>
      </c>
      <c r="D55" s="34" t="s">
        <v>1092</v>
      </c>
      <c r="E55" s="34"/>
      <c r="F55" s="34"/>
    </row>
    <row r="56" spans="1:7" ht="15" customHeight="1">
      <c r="E56" s="34"/>
      <c r="F56" s="34"/>
    </row>
    <row r="57" spans="1:7" ht="15" customHeight="1">
      <c r="A57" s="41" t="s">
        <v>1093</v>
      </c>
      <c r="B57" s="72"/>
      <c r="C57" s="72"/>
      <c r="D57" s="72"/>
      <c r="E57" s="89"/>
      <c r="F57" s="89"/>
      <c r="G57" s="72"/>
    </row>
    <row r="58" spans="1:7" ht="15" customHeight="1">
      <c r="A58" t="s">
        <v>1059</v>
      </c>
      <c r="B58" t="s">
        <v>1094</v>
      </c>
      <c r="C58" t="s">
        <v>164</v>
      </c>
      <c r="D58" t="s">
        <v>1061</v>
      </c>
      <c r="E58" s="34"/>
      <c r="F58" s="34"/>
    </row>
    <row r="59" spans="1:7" ht="15" customHeight="1">
      <c r="A59" t="s">
        <v>1062</v>
      </c>
      <c r="B59" t="s">
        <v>164</v>
      </c>
      <c r="C59" t="s">
        <v>164</v>
      </c>
      <c r="D59" t="s">
        <v>1063</v>
      </c>
      <c r="E59" s="34"/>
      <c r="F59" s="34"/>
    </row>
    <row r="60" spans="1:7" ht="15" customHeight="1">
      <c r="A60" s="33"/>
      <c r="E60" s="34"/>
      <c r="F60" s="34"/>
    </row>
    <row r="61" spans="1:7">
      <c r="A61" s="79" t="s">
        <v>878</v>
      </c>
      <c r="B61" s="79" t="s">
        <v>147</v>
      </c>
      <c r="C61" s="79" t="s">
        <v>148</v>
      </c>
      <c r="D61" s="79" t="s">
        <v>182</v>
      </c>
      <c r="E61" s="46"/>
      <c r="F61" s="34"/>
    </row>
    <row r="62" spans="1:7">
      <c r="A62" s="74" t="s">
        <v>1095</v>
      </c>
      <c r="B62" s="67" t="s">
        <v>164</v>
      </c>
      <c r="C62" s="67" t="s">
        <v>164</v>
      </c>
      <c r="D62" s="67" t="s">
        <v>1096</v>
      </c>
      <c r="E62" s="34"/>
      <c r="F62" s="34"/>
    </row>
    <row r="63" spans="1:7">
      <c r="A63" s="67" t="s">
        <v>1097</v>
      </c>
      <c r="B63" s="67" t="s">
        <v>164</v>
      </c>
      <c r="C63" s="67" t="s">
        <v>164</v>
      </c>
      <c r="D63" s="67" t="s">
        <v>1098</v>
      </c>
      <c r="E63" s="34"/>
      <c r="F63" s="34" t="s">
        <v>1099</v>
      </c>
    </row>
    <row r="64" spans="1:7">
      <c r="A64" s="67" t="s">
        <v>1100</v>
      </c>
      <c r="B64" s="70" t="s">
        <v>1101</v>
      </c>
      <c r="C64" s="67" t="s">
        <v>1102</v>
      </c>
      <c r="D64" s="67" t="s">
        <v>1103</v>
      </c>
      <c r="E64" s="34"/>
      <c r="F64" s="34"/>
    </row>
    <row r="65" spans="1:6">
      <c r="A65" s="67" t="s">
        <v>1104</v>
      </c>
      <c r="B65" s="70" t="s">
        <v>164</v>
      </c>
      <c r="C65" t="s">
        <v>164</v>
      </c>
      <c r="D65" s="67" t="s">
        <v>1105</v>
      </c>
      <c r="E65" s="34"/>
      <c r="F65" s="34"/>
    </row>
    <row r="66" spans="1:6">
      <c r="A66" s="67" t="s">
        <v>1106</v>
      </c>
      <c r="B66" s="70" t="s">
        <v>164</v>
      </c>
      <c r="C66" t="s">
        <v>164</v>
      </c>
      <c r="D66" s="67" t="s">
        <v>1107</v>
      </c>
      <c r="E66" s="34"/>
      <c r="F66" s="34"/>
    </row>
    <row r="67" spans="1:6">
      <c r="A67" s="67" t="s">
        <v>1108</v>
      </c>
      <c r="B67" s="70" t="s">
        <v>1109</v>
      </c>
      <c r="C67" s="67" t="s">
        <v>1110</v>
      </c>
      <c r="D67" s="67" t="s">
        <v>1111</v>
      </c>
      <c r="E67" s="34"/>
      <c r="F67" s="34"/>
    </row>
    <row r="68" spans="1:6">
      <c r="A68" s="67" t="s">
        <v>1112</v>
      </c>
      <c r="B68" s="70" t="s">
        <v>1113</v>
      </c>
      <c r="C68" s="67" t="s">
        <v>1114</v>
      </c>
      <c r="D68" s="67" t="s">
        <v>1115</v>
      </c>
      <c r="E68" s="34"/>
      <c r="F68" s="34"/>
    </row>
    <row r="69" spans="1:6">
      <c r="A69" s="67" t="s">
        <v>1116</v>
      </c>
      <c r="B69" s="70" t="s">
        <v>1117</v>
      </c>
      <c r="C69" s="67" t="s">
        <v>1118</v>
      </c>
      <c r="D69" s="67" t="s">
        <v>1119</v>
      </c>
      <c r="E69" s="34"/>
      <c r="F69" s="34"/>
    </row>
    <row r="70" spans="1:6">
      <c r="A70" s="67" t="s">
        <v>1120</v>
      </c>
      <c r="B70" s="70" t="s">
        <v>1121</v>
      </c>
      <c r="C70" s="67" t="s">
        <v>1122</v>
      </c>
      <c r="D70" s="67" t="s">
        <v>1123</v>
      </c>
      <c r="E70" s="34"/>
      <c r="F70" s="34"/>
    </row>
    <row r="71" spans="1:6" ht="15" customHeight="1">
      <c r="E71" s="34"/>
      <c r="F71" s="87"/>
    </row>
    <row r="72" spans="1:6">
      <c r="A72" s="79" t="s">
        <v>428</v>
      </c>
      <c r="B72" s="79" t="s">
        <v>147</v>
      </c>
      <c r="C72" s="79" t="s">
        <v>148</v>
      </c>
      <c r="D72" s="79" t="s">
        <v>182</v>
      </c>
      <c r="E72" s="46"/>
      <c r="F72" s="34"/>
    </row>
    <row r="73" spans="1:6">
      <c r="A73" s="83" t="s">
        <v>1124</v>
      </c>
      <c r="B73" s="69"/>
      <c r="C73" s="67"/>
      <c r="D73" s="67" t="s">
        <v>1125</v>
      </c>
      <c r="F73" s="65"/>
    </row>
    <row r="74" spans="1:6">
      <c r="A74" s="83" t="s">
        <v>1126</v>
      </c>
      <c r="B74" s="69"/>
      <c r="C74" s="67"/>
      <c r="D74" s="67" t="s">
        <v>1127</v>
      </c>
      <c r="F74" s="65"/>
    </row>
    <row r="75" spans="1:6">
      <c r="A75" s="83" t="s">
        <v>1128</v>
      </c>
      <c r="B75" s="69"/>
      <c r="C75" s="67"/>
      <c r="D75" s="67" t="s">
        <v>1129</v>
      </c>
      <c r="F75" s="65"/>
    </row>
    <row r="76" spans="1:6">
      <c r="A76" s="67" t="s">
        <v>1130</v>
      </c>
      <c r="B76" s="70" t="s">
        <v>1131</v>
      </c>
      <c r="C76" s="67" t="s">
        <v>1132</v>
      </c>
      <c r="D76" s="67" t="s">
        <v>1133</v>
      </c>
      <c r="E76" s="34"/>
      <c r="F76" s="34"/>
    </row>
    <row r="77" spans="1:6">
      <c r="A77" s="67" t="s">
        <v>1134</v>
      </c>
      <c r="B77" s="70" t="s">
        <v>1135</v>
      </c>
      <c r="C77" s="67" t="s">
        <v>1136</v>
      </c>
      <c r="D77" s="67" t="s">
        <v>1137</v>
      </c>
      <c r="E77" s="34"/>
      <c r="F77" s="34"/>
    </row>
    <row r="78" spans="1:6">
      <c r="A78" s="67" t="s">
        <v>1138</v>
      </c>
      <c r="B78" s="70" t="s">
        <v>1139</v>
      </c>
      <c r="C78" s="67" t="s">
        <v>1140</v>
      </c>
      <c r="D78" s="67" t="s">
        <v>1141</v>
      </c>
      <c r="E78" s="34"/>
      <c r="F78" s="34"/>
    </row>
    <row r="79" spans="1:6">
      <c r="A79" s="67" t="s">
        <v>1142</v>
      </c>
      <c r="B79" s="70" t="s">
        <v>1143</v>
      </c>
      <c r="C79" s="67" t="s">
        <v>1144</v>
      </c>
      <c r="D79" s="67" t="s">
        <v>1145</v>
      </c>
      <c r="E79" s="34"/>
      <c r="F79" s="34"/>
    </row>
    <row r="80" spans="1:6">
      <c r="A80" s="67" t="s">
        <v>1146</v>
      </c>
      <c r="B80" s="70" t="s">
        <v>1147</v>
      </c>
      <c r="C80" s="67" t="s">
        <v>1148</v>
      </c>
      <c r="D80" s="67" t="s">
        <v>1149</v>
      </c>
      <c r="E80" s="34"/>
      <c r="F80" s="34"/>
    </row>
    <row r="81" spans="1:6">
      <c r="A81" s="67" t="s">
        <v>1150</v>
      </c>
      <c r="B81" s="70" t="s">
        <v>1151</v>
      </c>
      <c r="C81" s="67" t="s">
        <v>1152</v>
      </c>
      <c r="D81" s="67" t="s">
        <v>1153</v>
      </c>
      <c r="E81" s="34"/>
      <c r="F81" s="34"/>
    </row>
    <row r="82" spans="1:6">
      <c r="A82" s="67" t="s">
        <v>1154</v>
      </c>
      <c r="B82" s="70" t="s">
        <v>1155</v>
      </c>
      <c r="C82" s="67" t="s">
        <v>1156</v>
      </c>
      <c r="D82" s="67" t="s">
        <v>1157</v>
      </c>
      <c r="E82" s="34"/>
      <c r="F82" s="34"/>
    </row>
    <row r="83" spans="1:6">
      <c r="A83" s="67" t="s">
        <v>1158</v>
      </c>
      <c r="B83" s="70" t="s">
        <v>1159</v>
      </c>
      <c r="C83" s="67" t="s">
        <v>1160</v>
      </c>
      <c r="D83" s="67" t="s">
        <v>1161</v>
      </c>
      <c r="E83" s="34"/>
      <c r="F83" s="34"/>
    </row>
    <row r="84" spans="1:6">
      <c r="A84" s="67" t="s">
        <v>1162</v>
      </c>
      <c r="B84" s="70" t="s">
        <v>1163</v>
      </c>
      <c r="C84" s="67" t="s">
        <v>1164</v>
      </c>
      <c r="D84" s="67" t="s">
        <v>1165</v>
      </c>
      <c r="E84" s="34"/>
      <c r="F84" s="34"/>
    </row>
    <row r="85" spans="1:6">
      <c r="A85" s="67" t="s">
        <v>1166</v>
      </c>
      <c r="B85" s="70" t="s">
        <v>1167</v>
      </c>
      <c r="C85" s="67" t="s">
        <v>1168</v>
      </c>
      <c r="D85" s="67" t="s">
        <v>1169</v>
      </c>
      <c r="E85" s="34"/>
      <c r="F85" s="34"/>
    </row>
    <row r="86" spans="1:6">
      <c r="A86" s="67" t="s">
        <v>1170</v>
      </c>
      <c r="B86" s="70" t="s">
        <v>1171</v>
      </c>
      <c r="C86" s="67" t="s">
        <v>1172</v>
      </c>
      <c r="D86" s="67" t="s">
        <v>1173</v>
      </c>
      <c r="E86" s="34"/>
      <c r="F86" s="34"/>
    </row>
    <row r="87" spans="1:6">
      <c r="A87" s="67" t="s">
        <v>1174</v>
      </c>
      <c r="B87" s="70" t="s">
        <v>1175</v>
      </c>
      <c r="C87" s="67" t="s">
        <v>1176</v>
      </c>
      <c r="D87" s="67" t="s">
        <v>1177</v>
      </c>
      <c r="E87" s="34"/>
      <c r="F87" s="34"/>
    </row>
    <row r="88" spans="1:6">
      <c r="A88" s="67" t="s">
        <v>1178</v>
      </c>
      <c r="B88" s="70" t="s">
        <v>1179</v>
      </c>
      <c r="C88" s="67" t="s">
        <v>1180</v>
      </c>
      <c r="D88" s="67" t="s">
        <v>1181</v>
      </c>
      <c r="E88" s="34"/>
      <c r="F88" s="34"/>
    </row>
    <row r="89" spans="1:6">
      <c r="A89" s="67" t="s">
        <v>1182</v>
      </c>
      <c r="B89" s="70" t="s">
        <v>1183</v>
      </c>
      <c r="C89" s="67" t="s">
        <v>1184</v>
      </c>
      <c r="D89" s="67" t="s">
        <v>1185</v>
      </c>
      <c r="E89" s="34"/>
      <c r="F89" s="34"/>
    </row>
    <row r="90" spans="1:6">
      <c r="A90" s="67" t="s">
        <v>1186</v>
      </c>
      <c r="B90" s="70" t="s">
        <v>1187</v>
      </c>
      <c r="C90" s="67" t="s">
        <v>1188</v>
      </c>
      <c r="D90" s="67" t="s">
        <v>1189</v>
      </c>
      <c r="E90" s="34"/>
      <c r="F90" s="34"/>
    </row>
    <row r="91" spans="1:6">
      <c r="A91" s="67" t="s">
        <v>1190</v>
      </c>
      <c r="B91" s="70" t="s">
        <v>1191</v>
      </c>
      <c r="C91" s="67" t="s">
        <v>1192</v>
      </c>
      <c r="D91" s="67" t="s">
        <v>1193</v>
      </c>
      <c r="E91" s="34"/>
      <c r="F91" s="34"/>
    </row>
    <row r="92" spans="1:6">
      <c r="A92" s="67" t="s">
        <v>1194</v>
      </c>
      <c r="D92" s="67" t="s">
        <v>1195</v>
      </c>
      <c r="E92" s="34"/>
      <c r="F92" s="34"/>
    </row>
    <row r="93" spans="1:6">
      <c r="A93" s="67"/>
      <c r="D93" s="67"/>
      <c r="E93" s="34"/>
      <c r="F93" s="34"/>
    </row>
    <row r="94" spans="1:6">
      <c r="A94" s="75" t="s">
        <v>489</v>
      </c>
      <c r="B94" s="5" t="s">
        <v>147</v>
      </c>
      <c r="C94" s="79" t="s">
        <v>210</v>
      </c>
      <c r="D94" s="79" t="s">
        <v>182</v>
      </c>
      <c r="E94" s="79" t="s">
        <v>490</v>
      </c>
      <c r="F94" s="34"/>
    </row>
    <row r="95" spans="1:6">
      <c r="A95" s="67" t="s">
        <v>1196</v>
      </c>
      <c r="B95" t="s">
        <v>1197</v>
      </c>
      <c r="C95" t="s">
        <v>1198</v>
      </c>
      <c r="D95" s="67" t="s">
        <v>1199</v>
      </c>
      <c r="E95" s="34" t="s">
        <v>1200</v>
      </c>
      <c r="F95" s="34"/>
    </row>
    <row r="96" spans="1:6">
      <c r="A96" s="67" t="s">
        <v>1201</v>
      </c>
      <c r="B96" t="s">
        <v>1202</v>
      </c>
      <c r="C96" t="s">
        <v>1203</v>
      </c>
      <c r="D96" s="67" t="s">
        <v>1204</v>
      </c>
      <c r="E96" s="34" t="s">
        <v>1205</v>
      </c>
      <c r="F96" s="34"/>
    </row>
    <row r="97" spans="1:6">
      <c r="A97" s="67" t="s">
        <v>1206</v>
      </c>
      <c r="B97" t="s">
        <v>1207</v>
      </c>
      <c r="C97" t="s">
        <v>1208</v>
      </c>
      <c r="D97" s="67" t="s">
        <v>1209</v>
      </c>
      <c r="E97" s="34" t="s">
        <v>1210</v>
      </c>
      <c r="F97" s="34"/>
    </row>
    <row r="98" spans="1:6">
      <c r="A98" s="67" t="s">
        <v>1211</v>
      </c>
      <c r="B98" t="s">
        <v>1212</v>
      </c>
      <c r="C98" t="s">
        <v>1213</v>
      </c>
      <c r="D98" s="67" t="s">
        <v>1214</v>
      </c>
      <c r="E98" s="34" t="s">
        <v>1215</v>
      </c>
      <c r="F98" s="34"/>
    </row>
    <row r="99" spans="1:6">
      <c r="A99" s="67" t="s">
        <v>1216</v>
      </c>
      <c r="B99" t="s">
        <v>1217</v>
      </c>
      <c r="C99" t="s">
        <v>1218</v>
      </c>
      <c r="D99" s="67" t="s">
        <v>1219</v>
      </c>
      <c r="E99" s="34" t="s">
        <v>1220</v>
      </c>
      <c r="F99" s="34"/>
    </row>
    <row r="100" spans="1:6">
      <c r="A100" s="67" t="s">
        <v>1221</v>
      </c>
      <c r="D100" s="67" t="s">
        <v>1222</v>
      </c>
      <c r="E100" s="34" t="s">
        <v>1223</v>
      </c>
      <c r="F100" s="34"/>
    </row>
    <row r="101" spans="1:6">
      <c r="A101" s="67" t="s">
        <v>1224</v>
      </c>
      <c r="B101" t="s">
        <v>1225</v>
      </c>
      <c r="C101" t="s">
        <v>1226</v>
      </c>
      <c r="D101" s="67" t="s">
        <v>1227</v>
      </c>
      <c r="E101" s="34" t="s">
        <v>1228</v>
      </c>
      <c r="F101" s="34"/>
    </row>
    <row r="102" spans="1:6">
      <c r="A102" s="67" t="s">
        <v>1229</v>
      </c>
      <c r="D102" s="67" t="s">
        <v>1230</v>
      </c>
      <c r="E102" s="34"/>
      <c r="F102" s="34"/>
    </row>
    <row r="103" spans="1:6">
      <c r="A103" s="67" t="s">
        <v>1231</v>
      </c>
      <c r="B103" t="s">
        <v>1232</v>
      </c>
      <c r="C103" t="s">
        <v>1233</v>
      </c>
      <c r="D103" s="67" t="s">
        <v>1234</v>
      </c>
      <c r="E103" s="34"/>
      <c r="F103" s="34"/>
    </row>
    <row r="104" spans="1:6">
      <c r="A104" s="67" t="s">
        <v>1235</v>
      </c>
      <c r="B104" t="s">
        <v>1236</v>
      </c>
      <c r="C104" t="s">
        <v>1237</v>
      </c>
      <c r="D104" s="67" t="s">
        <v>1238</v>
      </c>
      <c r="E104" s="34" t="s">
        <v>1239</v>
      </c>
      <c r="F104" s="34"/>
    </row>
    <row r="105" spans="1:6">
      <c r="A105" s="67" t="s">
        <v>1240</v>
      </c>
      <c r="B105" t="s">
        <v>1241</v>
      </c>
      <c r="C105" t="s">
        <v>1242</v>
      </c>
      <c r="D105" s="67" t="s">
        <v>1243</v>
      </c>
      <c r="E105" t="s">
        <v>1244</v>
      </c>
      <c r="F105" s="34"/>
    </row>
    <row r="106" spans="1:6">
      <c r="A106" s="67" t="s">
        <v>1245</v>
      </c>
      <c r="D106" s="67" t="s">
        <v>1246</v>
      </c>
      <c r="E106" s="34" t="s">
        <v>1215</v>
      </c>
      <c r="F106" s="34"/>
    </row>
    <row r="107" spans="1:6">
      <c r="A107" s="67" t="s">
        <v>1247</v>
      </c>
      <c r="D107" s="67" t="s">
        <v>1248</v>
      </c>
      <c r="E107" s="34" t="s">
        <v>1249</v>
      </c>
      <c r="F107" s="34"/>
    </row>
    <row r="108" spans="1:6">
      <c r="A108" s="67" t="s">
        <v>1250</v>
      </c>
      <c r="D108" s="67" t="s">
        <v>1251</v>
      </c>
      <c r="E108" s="34" t="s">
        <v>1252</v>
      </c>
      <c r="F108" s="34"/>
    </row>
    <row r="109" spans="1:6">
      <c r="A109" s="67" t="s">
        <v>1253</v>
      </c>
      <c r="D109" s="67" t="s">
        <v>1254</v>
      </c>
      <c r="E109" s="34" t="s">
        <v>1255</v>
      </c>
      <c r="F109" s="34"/>
    </row>
    <row r="110" spans="1:6">
      <c r="A110" s="67" t="s">
        <v>1256</v>
      </c>
      <c r="B110" t="s">
        <v>1257</v>
      </c>
      <c r="C110" t="s">
        <v>1258</v>
      </c>
      <c r="D110" s="67" t="s">
        <v>1259</v>
      </c>
      <c r="E110" s="34" t="s">
        <v>1260</v>
      </c>
      <c r="F110" s="34"/>
    </row>
    <row r="111" spans="1:6">
      <c r="A111" s="67" t="s">
        <v>1261</v>
      </c>
      <c r="B111" t="s">
        <v>1262</v>
      </c>
      <c r="C111" t="s">
        <v>1263</v>
      </c>
      <c r="D111" s="67" t="s">
        <v>1264</v>
      </c>
      <c r="E111" s="34" t="s">
        <v>1249</v>
      </c>
      <c r="F111" t="s">
        <v>1265</v>
      </c>
    </row>
    <row r="112" spans="1:6">
      <c r="A112" s="67" t="s">
        <v>1266</v>
      </c>
      <c r="B112" t="s">
        <v>1267</v>
      </c>
      <c r="C112" t="s">
        <v>1268</v>
      </c>
      <c r="D112" s="67" t="s">
        <v>1269</v>
      </c>
      <c r="E112" s="34" t="s">
        <v>1249</v>
      </c>
      <c r="F112" s="34"/>
    </row>
    <row r="113" spans="1:6">
      <c r="A113" s="67" t="s">
        <v>1270</v>
      </c>
      <c r="B113" t="s">
        <v>1271</v>
      </c>
      <c r="C113" t="s">
        <v>1272</v>
      </c>
      <c r="D113" s="67" t="s">
        <v>1273</v>
      </c>
      <c r="E113" s="34" t="s">
        <v>1215</v>
      </c>
      <c r="F113" s="34"/>
    </row>
    <row r="114" spans="1:6">
      <c r="A114" s="67" t="s">
        <v>1274</v>
      </c>
      <c r="B114" t="s">
        <v>1275</v>
      </c>
      <c r="C114" t="s">
        <v>1276</v>
      </c>
      <c r="D114" s="67" t="s">
        <v>1277</v>
      </c>
      <c r="E114" s="34" t="s">
        <v>1260</v>
      </c>
      <c r="F114" s="34"/>
    </row>
    <row r="115" spans="1:6">
      <c r="A115" s="67" t="s">
        <v>1278</v>
      </c>
      <c r="B115" t="s">
        <v>1279</v>
      </c>
      <c r="C115" t="s">
        <v>1280</v>
      </c>
      <c r="D115" s="67" t="s">
        <v>1281</v>
      </c>
      <c r="E115" s="34" t="s">
        <v>1260</v>
      </c>
      <c r="F115" s="34"/>
    </row>
    <row r="116" spans="1:6">
      <c r="A116" s="67" t="s">
        <v>1282</v>
      </c>
      <c r="B116" t="s">
        <v>1283</v>
      </c>
      <c r="C116" t="s">
        <v>1284</v>
      </c>
      <c r="D116" s="67" t="s">
        <v>1285</v>
      </c>
      <c r="E116" s="34" t="s">
        <v>1286</v>
      </c>
      <c r="F116" s="34"/>
    </row>
    <row r="117" spans="1:6">
      <c r="A117" s="67" t="s">
        <v>1287</v>
      </c>
      <c r="B117" t="s">
        <v>1288</v>
      </c>
      <c r="C117" t="s">
        <v>1289</v>
      </c>
      <c r="D117" s="67" t="s">
        <v>1290</v>
      </c>
      <c r="E117" s="34" t="s">
        <v>1291</v>
      </c>
      <c r="F117" s="34"/>
    </row>
    <row r="118" spans="1:6">
      <c r="A118" s="67" t="s">
        <v>1292</v>
      </c>
      <c r="B118" t="s">
        <v>1293</v>
      </c>
      <c r="C118" t="s">
        <v>1294</v>
      </c>
      <c r="D118" s="67" t="s">
        <v>1295</v>
      </c>
      <c r="E118" s="34" t="s">
        <v>1200</v>
      </c>
      <c r="F118" s="34"/>
    </row>
    <row r="119" spans="1:6">
      <c r="A119" s="67" t="s">
        <v>1296</v>
      </c>
      <c r="B119" t="s">
        <v>1297</v>
      </c>
      <c r="C119" t="s">
        <v>1298</v>
      </c>
      <c r="D119" s="67" t="s">
        <v>1299</v>
      </c>
      <c r="E119" s="34" t="s">
        <v>1291</v>
      </c>
      <c r="F119" s="34"/>
    </row>
    <row r="120" spans="1:6">
      <c r="A120" s="67" t="s">
        <v>1300</v>
      </c>
      <c r="B120" t="s">
        <v>1301</v>
      </c>
      <c r="C120" t="s">
        <v>1302</v>
      </c>
      <c r="D120" s="67" t="s">
        <v>1303</v>
      </c>
      <c r="E120" s="34" t="s">
        <v>1260</v>
      </c>
      <c r="F120" s="34"/>
    </row>
    <row r="121" spans="1:6">
      <c r="A121" s="67" t="s">
        <v>1304</v>
      </c>
      <c r="B121" t="s">
        <v>1305</v>
      </c>
      <c r="C121" t="s">
        <v>1306</v>
      </c>
      <c r="D121" s="67" t="s">
        <v>1307</v>
      </c>
      <c r="E121" s="34" t="s">
        <v>1260</v>
      </c>
      <c r="F121" s="34"/>
    </row>
    <row r="122" spans="1:6">
      <c r="A122" s="67" t="s">
        <v>1308</v>
      </c>
      <c r="B122" t="s">
        <v>1309</v>
      </c>
      <c r="C122" t="s">
        <v>1310</v>
      </c>
      <c r="D122" s="67" t="s">
        <v>1311</v>
      </c>
      <c r="E122" s="34" t="s">
        <v>1260</v>
      </c>
      <c r="F122" s="34"/>
    </row>
    <row r="123" spans="1:6">
      <c r="A123" s="67" t="s">
        <v>1312</v>
      </c>
      <c r="B123" t="s">
        <v>1309</v>
      </c>
      <c r="C123" t="s">
        <v>1310</v>
      </c>
      <c r="D123" s="67" t="s">
        <v>1313</v>
      </c>
      <c r="E123" s="34" t="s">
        <v>1215</v>
      </c>
      <c r="F123" s="34"/>
    </row>
    <row r="124" spans="1:6">
      <c r="A124" s="67" t="s">
        <v>1314</v>
      </c>
      <c r="B124" t="s">
        <v>1315</v>
      </c>
      <c r="C124" t="s">
        <v>1316</v>
      </c>
      <c r="D124" s="67" t="s">
        <v>1317</v>
      </c>
      <c r="E124" s="34" t="s">
        <v>1260</v>
      </c>
      <c r="F124" s="34"/>
    </row>
    <row r="125" spans="1:6">
      <c r="A125" s="67" t="s">
        <v>1318</v>
      </c>
      <c r="B125" t="s">
        <v>1319</v>
      </c>
      <c r="C125" t="s">
        <v>1320</v>
      </c>
      <c r="D125" s="67" t="s">
        <v>1321</v>
      </c>
      <c r="E125" s="34" t="s">
        <v>1210</v>
      </c>
      <c r="F125" s="34"/>
    </row>
    <row r="126" spans="1:6">
      <c r="A126" s="67" t="s">
        <v>1322</v>
      </c>
      <c r="B126" t="s">
        <v>1323</v>
      </c>
      <c r="C126" t="s">
        <v>1324</v>
      </c>
      <c r="D126" s="67" t="s">
        <v>1325</v>
      </c>
      <c r="E126" s="34" t="s">
        <v>1260</v>
      </c>
      <c r="F126" s="34"/>
    </row>
    <row r="127" spans="1:6">
      <c r="A127" s="67" t="s">
        <v>1326</v>
      </c>
      <c r="D127" s="67" t="s">
        <v>1327</v>
      </c>
      <c r="E127" s="34" t="s">
        <v>1260</v>
      </c>
      <c r="F127" s="34"/>
    </row>
    <row r="128" spans="1:6">
      <c r="A128" s="67" t="s">
        <v>1274</v>
      </c>
      <c r="B128" t="s">
        <v>1275</v>
      </c>
      <c r="C128" t="s">
        <v>1276</v>
      </c>
      <c r="D128" s="67" t="s">
        <v>1277</v>
      </c>
      <c r="E128" s="34" t="s">
        <v>1260</v>
      </c>
      <c r="F128" s="34"/>
    </row>
    <row r="129" spans="1:6">
      <c r="A129" s="67" t="s">
        <v>1328</v>
      </c>
      <c r="B129" t="s">
        <v>1329</v>
      </c>
      <c r="C129" t="s">
        <v>1330</v>
      </c>
      <c r="D129" s="67" t="s">
        <v>1331</v>
      </c>
      <c r="E129" s="34" t="s">
        <v>1291</v>
      </c>
      <c r="F129" s="34"/>
    </row>
    <row r="130" spans="1:6">
      <c r="A130" s="67" t="s">
        <v>1332</v>
      </c>
      <c r="D130" s="67" t="s">
        <v>1333</v>
      </c>
      <c r="E130" s="34" t="s">
        <v>1200</v>
      </c>
      <c r="F130" s="34"/>
    </row>
    <row r="131" spans="1:6">
      <c r="A131" s="67" t="s">
        <v>1334</v>
      </c>
      <c r="B131" t="s">
        <v>1335</v>
      </c>
      <c r="C131" t="s">
        <v>1336</v>
      </c>
      <c r="D131" s="67" t="s">
        <v>1337</v>
      </c>
      <c r="E131" s="34" t="s">
        <v>1338</v>
      </c>
      <c r="F131" s="34"/>
    </row>
    <row r="132" spans="1:6">
      <c r="A132" s="67" t="s">
        <v>1339</v>
      </c>
      <c r="B132" t="s">
        <v>1340</v>
      </c>
      <c r="C132" t="s">
        <v>1341</v>
      </c>
      <c r="D132" s="67" t="s">
        <v>1342</v>
      </c>
      <c r="E132" s="34" t="s">
        <v>1249</v>
      </c>
      <c r="F132" s="34"/>
    </row>
    <row r="133" spans="1:6">
      <c r="A133" s="67" t="s">
        <v>1343</v>
      </c>
      <c r="B133" t="s">
        <v>1344</v>
      </c>
      <c r="C133" t="s">
        <v>1345</v>
      </c>
      <c r="D133" s="67" t="s">
        <v>1346</v>
      </c>
      <c r="E133" s="34" t="s">
        <v>1338</v>
      </c>
      <c r="F133" s="34"/>
    </row>
    <row r="134" spans="1:6">
      <c r="A134" s="67" t="s">
        <v>1347</v>
      </c>
      <c r="B134" t="s">
        <v>1348</v>
      </c>
      <c r="C134" t="s">
        <v>1349</v>
      </c>
      <c r="D134" s="67" t="s">
        <v>1350</v>
      </c>
      <c r="E134" s="34" t="s">
        <v>1260</v>
      </c>
      <c r="F134" s="34"/>
    </row>
    <row r="135" spans="1:6">
      <c r="A135" s="67" t="s">
        <v>1351</v>
      </c>
      <c r="B135" t="s">
        <v>1352</v>
      </c>
      <c r="C135" t="s">
        <v>1353</v>
      </c>
      <c r="D135" s="67" t="s">
        <v>1354</v>
      </c>
      <c r="E135" s="34" t="s">
        <v>1200</v>
      </c>
      <c r="F135" s="34"/>
    </row>
    <row r="136" spans="1:6">
      <c r="A136" s="67" t="s">
        <v>1355</v>
      </c>
      <c r="D136" s="67" t="s">
        <v>1356</v>
      </c>
      <c r="E136" s="34" t="s">
        <v>1357</v>
      </c>
      <c r="F136" s="34"/>
    </row>
    <row r="137" spans="1:6">
      <c r="A137" s="67" t="s">
        <v>1358</v>
      </c>
      <c r="B137" t="s">
        <v>1359</v>
      </c>
      <c r="C137" t="s">
        <v>1360</v>
      </c>
      <c r="D137" s="67" t="s">
        <v>1361</v>
      </c>
      <c r="E137" s="34" t="s">
        <v>1200</v>
      </c>
      <c r="F137" s="34"/>
    </row>
    <row r="138" spans="1:6">
      <c r="A138" s="67" t="s">
        <v>1362</v>
      </c>
      <c r="B138" t="s">
        <v>1363</v>
      </c>
      <c r="C138" t="s">
        <v>1364</v>
      </c>
      <c r="D138" s="67" t="s">
        <v>1365</v>
      </c>
      <c r="E138" s="34" t="s">
        <v>1260</v>
      </c>
      <c r="F138" s="34"/>
    </row>
    <row r="139" spans="1:6">
      <c r="A139" s="67" t="s">
        <v>1366</v>
      </c>
      <c r="B139" t="s">
        <v>1367</v>
      </c>
      <c r="C139" t="s">
        <v>1368</v>
      </c>
      <c r="D139" s="67" t="s">
        <v>1369</v>
      </c>
      <c r="E139" s="34" t="s">
        <v>1260</v>
      </c>
      <c r="F139" s="34"/>
    </row>
    <row r="140" spans="1:6">
      <c r="A140" s="67" t="s">
        <v>1370</v>
      </c>
      <c r="B140" t="s">
        <v>1371</v>
      </c>
      <c r="C140" t="s">
        <v>1372</v>
      </c>
      <c r="D140" s="67" t="s">
        <v>1373</v>
      </c>
      <c r="E140" s="34" t="s">
        <v>1260</v>
      </c>
      <c r="F140" s="34"/>
    </row>
    <row r="141" spans="1:6">
      <c r="A141" s="67" t="s">
        <v>1374</v>
      </c>
      <c r="B141" t="s">
        <v>1375</v>
      </c>
      <c r="C141" t="s">
        <v>1376</v>
      </c>
      <c r="D141" s="67" t="s">
        <v>1377</v>
      </c>
      <c r="E141" s="34" t="s">
        <v>1260</v>
      </c>
      <c r="F141" s="34"/>
    </row>
    <row r="142" spans="1:6">
      <c r="A142" s="67" t="s">
        <v>1378</v>
      </c>
      <c r="B142" t="s">
        <v>1379</v>
      </c>
      <c r="C142" t="s">
        <v>1380</v>
      </c>
      <c r="D142" s="67" t="s">
        <v>1381</v>
      </c>
      <c r="E142" s="34" t="s">
        <v>1200</v>
      </c>
      <c r="F142" s="34"/>
    </row>
    <row r="143" spans="1:6">
      <c r="A143" s="67" t="s">
        <v>1300</v>
      </c>
      <c r="B143" t="s">
        <v>1301</v>
      </c>
      <c r="C143" t="s">
        <v>1302</v>
      </c>
      <c r="D143" s="67" t="s">
        <v>1303</v>
      </c>
      <c r="E143" s="34" t="s">
        <v>1260</v>
      </c>
      <c r="F143" s="34"/>
    </row>
    <row r="144" spans="1:6">
      <c r="A144" s="67"/>
      <c r="D144" s="67"/>
      <c r="E144" s="34"/>
      <c r="F144" s="34"/>
    </row>
    <row r="145" spans="1:6">
      <c r="A145" s="67"/>
      <c r="D145" s="67"/>
      <c r="E145" s="34"/>
      <c r="F145" s="34"/>
    </row>
    <row r="146" spans="1:6">
      <c r="A146" s="67"/>
      <c r="D146" s="67"/>
      <c r="E146" s="34"/>
      <c r="F146" s="34"/>
    </row>
    <row r="147" spans="1:6">
      <c r="A147" s="67"/>
      <c r="D147" s="67"/>
      <c r="E147" s="34"/>
      <c r="F147" s="34"/>
    </row>
    <row r="148" spans="1:6">
      <c r="A148" s="67"/>
      <c r="D148" s="67"/>
      <c r="E148" s="34"/>
      <c r="F148" s="34"/>
    </row>
  </sheetData>
  <customSheetViews>
    <customSheetView guid="{617856E6-44D1-4ADD-8CA5-796514BA6839}" topLeftCell="A126">
      <selection activeCell="D145" sqref="D14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177"/>
  <sheetViews>
    <sheetView topLeftCell="A154" workbookViewId="0">
      <selection activeCell="E136" sqref="E136:E177"/>
    </sheetView>
  </sheetViews>
  <sheetFormatPr defaultColWidth="9.140625" defaultRowHeight="15" customHeight="1"/>
  <cols>
    <col min="1" max="1" width="29.140625" customWidth="1"/>
    <col min="2" max="2" width="17.85546875" customWidth="1"/>
    <col min="3" max="3" width="14" customWidth="1"/>
    <col min="4" max="4" width="21.28515625" customWidth="1"/>
    <col min="5" max="5" width="25" customWidth="1"/>
    <col min="6" max="6" width="31.85546875" customWidth="1"/>
  </cols>
  <sheetData>
    <row r="1" spans="1:6">
      <c r="A1" s="79" t="s">
        <v>146</v>
      </c>
      <c r="B1" s="79" t="s">
        <v>147</v>
      </c>
      <c r="C1" s="79" t="s">
        <v>148</v>
      </c>
      <c r="D1" s="79" t="s">
        <v>182</v>
      </c>
      <c r="E1" s="97"/>
    </row>
    <row r="2" spans="1:6">
      <c r="A2" s="67" t="s">
        <v>1382</v>
      </c>
      <c r="B2" s="70" t="s">
        <v>1383</v>
      </c>
      <c r="C2" s="67" t="s">
        <v>1384</v>
      </c>
      <c r="D2" s="67" t="s">
        <v>1385</v>
      </c>
    </row>
    <row r="3" spans="1:6">
      <c r="A3" s="67" t="s">
        <v>1386</v>
      </c>
      <c r="B3" s="70" t="s">
        <v>1387</v>
      </c>
      <c r="C3" s="11" t="str">
        <f>HYPERLINK("http://www.facebook.com/Aremergencies","http://www.facebook.com/Aremergencies")</f>
        <v>http://www.facebook.com/Aremergencies</v>
      </c>
      <c r="D3" s="67" t="s">
        <v>1388</v>
      </c>
    </row>
    <row r="4" spans="1:6">
      <c r="A4" s="67" t="s">
        <v>1389</v>
      </c>
      <c r="D4" s="67" t="s">
        <v>1390</v>
      </c>
    </row>
    <row r="5" spans="1:6" ht="15" customHeight="1">
      <c r="A5" t="s">
        <v>1391</v>
      </c>
      <c r="D5" t="s">
        <v>1392</v>
      </c>
      <c r="F5" t="s">
        <v>1393</v>
      </c>
    </row>
    <row r="6" spans="1:6" ht="15" customHeight="1">
      <c r="A6" t="s">
        <v>1394</v>
      </c>
      <c r="D6" t="s">
        <v>1395</v>
      </c>
    </row>
    <row r="7" spans="1:6" ht="15" customHeight="1">
      <c r="A7" t="s">
        <v>1396</v>
      </c>
      <c r="B7" t="s">
        <v>1397</v>
      </c>
      <c r="C7" t="s">
        <v>1398</v>
      </c>
      <c r="D7" t="s">
        <v>1399</v>
      </c>
    </row>
    <row r="8" spans="1:6" ht="15" customHeight="1">
      <c r="A8" t="s">
        <v>1400</v>
      </c>
      <c r="D8" t="s">
        <v>1401</v>
      </c>
      <c r="F8" t="s">
        <v>1402</v>
      </c>
    </row>
    <row r="9" spans="1:6" ht="15" customHeight="1">
      <c r="A9" s="13" t="s">
        <v>1403</v>
      </c>
    </row>
    <row r="10" spans="1:6" ht="15" customHeight="1">
      <c r="A10" s="3" t="s">
        <v>181</v>
      </c>
      <c r="B10" s="3" t="s">
        <v>147</v>
      </c>
      <c r="C10" s="77" t="s">
        <v>148</v>
      </c>
      <c r="D10" s="77" t="s">
        <v>182</v>
      </c>
      <c r="E10" s="14" t="s">
        <v>183</v>
      </c>
      <c r="F10" s="61" t="s">
        <v>184</v>
      </c>
    </row>
    <row r="11" spans="1:6" ht="15" customHeight="1">
      <c r="A11" t="str">
        <f>HYPERLINK("http://en.wikipedia.org/wiki/Little_Rock,_Arkansas","Little Rock")</f>
        <v>Little Rock</v>
      </c>
      <c r="B11" t="s">
        <v>1404</v>
      </c>
      <c r="C11" s="34" t="s">
        <v>1405</v>
      </c>
      <c r="D11" s="34" t="s">
        <v>1406</v>
      </c>
      <c r="E11" s="55" t="str">
        <f>HYPERLINK("http://www.littlerock.org/citymanager/divisions/emergencymanagement/","Little Rock OEM")</f>
        <v>Little Rock OEM</v>
      </c>
      <c r="F11" s="34"/>
    </row>
    <row r="12" spans="1:6" ht="15" customHeight="1">
      <c r="A12" t="str">
        <f>HYPERLINK("http://en.wikipedia.org/wiki/Fort_Smith,_Arkansas","Fort Smith")</f>
        <v>Fort Smith</v>
      </c>
      <c r="B12" t="s">
        <v>1407</v>
      </c>
      <c r="C12" s="34" t="s">
        <v>1408</v>
      </c>
      <c r="D12" s="34" t="s">
        <v>1409</v>
      </c>
      <c r="E12" s="55"/>
      <c r="F12" s="34"/>
    </row>
    <row r="13" spans="1:6" ht="15" customHeight="1">
      <c r="A13" t="str">
        <f>HYPERLINK("http://en.wikipedia.org/wiki/Fayetteville,_Arkansas","Fayetteville")</f>
        <v>Fayetteville</v>
      </c>
      <c r="B13" t="s">
        <v>1410</v>
      </c>
      <c r="C13" s="34" t="s">
        <v>1411</v>
      </c>
      <c r="D13" s="34" t="s">
        <v>1412</v>
      </c>
      <c r="E13" s="55" t="str">
        <f>HYPERLINK("http://www.accessfayetteville.org/government/citizen_emergency_procedures/emergency/", "Fayetteville Citizen Emergency Procedures")</f>
        <v>Fayetteville Citizen Emergency Procedures</v>
      </c>
      <c r="F13" s="34"/>
    </row>
    <row r="14" spans="1:6" ht="15" customHeight="1">
      <c r="A14" t="str">
        <f>HYPERLINK("http://en.wikipedia.org/wiki/Springdale,_Arkansas","Springdale")</f>
        <v>Springdale</v>
      </c>
      <c r="B14" t="s">
        <v>1413</v>
      </c>
      <c r="C14" s="34" t="s">
        <v>1414</v>
      </c>
      <c r="D14" s="34" t="s">
        <v>1415</v>
      </c>
      <c r="E14" s="55"/>
      <c r="F14" s="34"/>
    </row>
    <row r="15" spans="1:6" ht="15" customHeight="1">
      <c r="A15" t="str">
        <f>HYPERLINK("http://en.wikipedia.org/wiki/Jonesboro,_Arkansas","Jonesboro")</f>
        <v>Jonesboro</v>
      </c>
      <c r="B15" t="s">
        <v>1416</v>
      </c>
      <c r="C15" s="34" t="s">
        <v>1417</v>
      </c>
      <c r="D15" s="34" t="s">
        <v>1418</v>
      </c>
      <c r="E15" s="55"/>
      <c r="F15" s="34"/>
    </row>
    <row r="16" spans="1:6" ht="15" customHeight="1">
      <c r="A16" t="str">
        <f>HYPERLINK("http://en.wikipedia.org/wiki/North_Little_Rock,_Arkansas","North Little Rock")</f>
        <v>North Little Rock</v>
      </c>
      <c r="B16" t="s">
        <v>1419</v>
      </c>
      <c r="C16" s="34" t="s">
        <v>1420</v>
      </c>
      <c r="D16" s="34" t="s">
        <v>1421</v>
      </c>
      <c r="E16" s="51"/>
      <c r="F16" s="34"/>
    </row>
    <row r="17" spans="1:6" ht="15" customHeight="1">
      <c r="C17" s="34"/>
      <c r="D17" s="34"/>
      <c r="E17" s="51"/>
      <c r="F17" s="34"/>
    </row>
    <row r="18" spans="1:6">
      <c r="A18" s="79" t="s">
        <v>209</v>
      </c>
      <c r="B18" s="79" t="s">
        <v>147</v>
      </c>
      <c r="C18" s="79" t="s">
        <v>148</v>
      </c>
      <c r="D18" s="79" t="s">
        <v>182</v>
      </c>
      <c r="E18" s="79" t="s">
        <v>183</v>
      </c>
      <c r="F18" s="79" t="s">
        <v>211</v>
      </c>
    </row>
    <row r="19" spans="1:6" ht="15" customHeight="1">
      <c r="D19" s="49" t="s">
        <v>1422</v>
      </c>
    </row>
    <row r="20" spans="1:6">
      <c r="A20" s="67" t="str">
        <f>HYPERLINK("http://en.wikipedia.org/wiki/Arkansas_County,_Arkansas","Arkansas")</f>
        <v>Arkansas</v>
      </c>
      <c r="B20" t="s">
        <v>164</v>
      </c>
      <c r="C20" t="s">
        <v>164</v>
      </c>
      <c r="D20" s="67" t="s">
        <v>1423</v>
      </c>
    </row>
    <row r="21" spans="1:6">
      <c r="A21" s="67" t="str">
        <f>HYPERLINK("http://en.wikipedia.org/wiki/Ashley_County,_Arkansas","Ashley")</f>
        <v>Ashley</v>
      </c>
      <c r="B21" t="s">
        <v>164</v>
      </c>
      <c r="C21" t="s">
        <v>164</v>
      </c>
      <c r="D21" s="67" t="s">
        <v>1424</v>
      </c>
    </row>
    <row r="22" spans="1:6">
      <c r="A22" s="67" t="str">
        <f>HYPERLINK("http://en.wikipedia.org/wiki/Baxter_County,_Arkansas","Baxter")</f>
        <v>Baxter</v>
      </c>
      <c r="B22" t="s">
        <v>164</v>
      </c>
      <c r="C22" t="s">
        <v>164</v>
      </c>
      <c r="D22" s="67" t="s">
        <v>1425</v>
      </c>
      <c r="E22" t="str">
        <f>HYPERLINK("http://www.baxtercounty.org/oem.php","Baxter OEM")</f>
        <v>Baxter OEM</v>
      </c>
    </row>
    <row r="23" spans="1:6">
      <c r="A23" s="67" t="str">
        <f>HYPERLINK("http://en.wikipedia.org/wiki/Benton_County,_Arkansas","Benton")</f>
        <v>Benton</v>
      </c>
      <c r="B23" t="s">
        <v>164</v>
      </c>
      <c r="C23" t="s">
        <v>164</v>
      </c>
      <c r="D23" s="67" t="s">
        <v>1426</v>
      </c>
      <c r="E23" t="str">
        <f>HYPERLINK("http://www.co.benton.ar.us/DEM/Programs.aspx","Benton EMA")</f>
        <v>Benton EMA</v>
      </c>
    </row>
    <row r="24" spans="1:6">
      <c r="A24" s="67" t="str">
        <f>HYPERLINK("http://en.wikipedia.org/wiki/Boone_County,_Arkansas","Boone")</f>
        <v>Boone</v>
      </c>
      <c r="B24" t="s">
        <v>164</v>
      </c>
      <c r="C24" t="s">
        <v>164</v>
      </c>
      <c r="D24" s="67" t="s">
        <v>1427</v>
      </c>
    </row>
    <row r="25" spans="1:6">
      <c r="A25" s="67" t="str">
        <f>HYPERLINK("http://en.wikipedia.org/wiki/Bradley_County,_Arkansas","Bradley")</f>
        <v>Bradley</v>
      </c>
      <c r="B25" t="s">
        <v>164</v>
      </c>
      <c r="C25" t="s">
        <v>164</v>
      </c>
      <c r="D25" s="67" t="s">
        <v>1428</v>
      </c>
      <c r="E25" t="str">
        <f>HYPERLINK("http://www.bradleycountyarkansas.com/oem.php","Bradley EMA")</f>
        <v>Bradley EMA</v>
      </c>
    </row>
    <row r="26" spans="1:6">
      <c r="A26" s="67" t="str">
        <f>HYPERLINK("http://en.wikipedia.org/wiki/Calhoun_County,_Arkansas","Calhoun")</f>
        <v>Calhoun</v>
      </c>
      <c r="B26" t="s">
        <v>164</v>
      </c>
      <c r="C26" t="s">
        <v>164</v>
      </c>
      <c r="D26" s="67" t="s">
        <v>1429</v>
      </c>
    </row>
    <row r="27" spans="1:6">
      <c r="A27" s="67" t="str">
        <f>HYPERLINK("http://en.wikipedia.org/wiki/Carroll_County,_Arkansas","Carroll ")</f>
        <v xml:space="preserve">Carroll </v>
      </c>
      <c r="B27" t="s">
        <v>164</v>
      </c>
      <c r="C27" t="s">
        <v>164</v>
      </c>
      <c r="D27" s="67" t="s">
        <v>1430</v>
      </c>
    </row>
    <row r="28" spans="1:6">
      <c r="A28" s="67" t="str">
        <f>HYPERLINK("http://en.wikipedia.org/wiki/Chicot_County,_Arkansas","Chicot")</f>
        <v>Chicot</v>
      </c>
      <c r="B28" t="s">
        <v>164</v>
      </c>
      <c r="C28" t="s">
        <v>164</v>
      </c>
      <c r="D28" s="67" t="s">
        <v>1431</v>
      </c>
    </row>
    <row r="29" spans="1:6">
      <c r="A29" s="67" t="str">
        <f>HYPERLINK("http://en.wikipedia.org/wiki/Clark_County,_Arkansas","Clark")</f>
        <v>Clark</v>
      </c>
      <c r="B29" t="s">
        <v>1432</v>
      </c>
      <c r="C29" t="s">
        <v>164</v>
      </c>
      <c r="D29" s="67" t="s">
        <v>1433</v>
      </c>
      <c r="F29" s="34" t="s">
        <v>1434</v>
      </c>
    </row>
    <row r="30" spans="1:6">
      <c r="A30" s="67" t="str">
        <f>HYPERLINK("http://en.wikipedia.org/wiki/Clay_County,_Arkansas","Clay")</f>
        <v>Clay</v>
      </c>
      <c r="B30" t="s">
        <v>164</v>
      </c>
      <c r="C30" t="s">
        <v>164</v>
      </c>
      <c r="D30" s="67" t="s">
        <v>1435</v>
      </c>
    </row>
    <row r="31" spans="1:6">
      <c r="A31" s="67" t="str">
        <f>HYPERLINK("http://en.wikipedia.org/wiki/Cleburne_County,_Arkansas","Cleburne")</f>
        <v>Cleburne</v>
      </c>
      <c r="B31" t="s">
        <v>164</v>
      </c>
      <c r="C31" s="67" t="s">
        <v>164</v>
      </c>
      <c r="D31" s="67" t="s">
        <v>1436</v>
      </c>
    </row>
    <row r="32" spans="1:6">
      <c r="A32" s="67" t="str">
        <f>HYPERLINK("http://en.wikipedia.org/wiki/Cleveland_County,_Arkansas","Cleveland")</f>
        <v>Cleveland</v>
      </c>
      <c r="B32" t="s">
        <v>164</v>
      </c>
      <c r="C32" t="s">
        <v>164</v>
      </c>
      <c r="D32" s="67" t="s">
        <v>1437</v>
      </c>
    </row>
    <row r="33" spans="1:6">
      <c r="A33" s="67" t="str">
        <f>HYPERLINK("http://en.wikipedia.org/wiki/Columbia_County,_Arkansas","Columbia")</f>
        <v>Columbia</v>
      </c>
      <c r="B33" t="s">
        <v>164</v>
      </c>
      <c r="C33" t="s">
        <v>164</v>
      </c>
      <c r="D33" s="67" t="s">
        <v>1438</v>
      </c>
      <c r="E33" t="str">
        <f>HYPERLINK("http://www.countyofcolumbia.net/county-sheriff/","Columbia Sheriff")</f>
        <v>Columbia Sheriff</v>
      </c>
    </row>
    <row r="34" spans="1:6">
      <c r="A34" s="67" t="str">
        <f>HYPERLINK("http://en.wikipedia.org/wiki/Conway_County,_Arkansas","Conway")</f>
        <v>Conway</v>
      </c>
      <c r="B34" t="s">
        <v>164</v>
      </c>
      <c r="C34" t="s">
        <v>164</v>
      </c>
      <c r="D34" s="67" t="s">
        <v>1439</v>
      </c>
    </row>
    <row r="35" spans="1:6">
      <c r="A35" s="67" t="str">
        <f>HYPERLINK("http://en.wikipedia.org/wiki/Craighead_County,_Arkansas","Craighead")</f>
        <v>Craighead</v>
      </c>
      <c r="B35" t="s">
        <v>1440</v>
      </c>
      <c r="C35" t="s">
        <v>164</v>
      </c>
      <c r="D35" s="67" t="s">
        <v>1441</v>
      </c>
      <c r="E35" t="str">
        <f>HYPERLINK("http://craigheadcounty.org/category/tags/emergency","Craighead EMA")</f>
        <v>Craighead EMA</v>
      </c>
    </row>
    <row r="36" spans="1:6">
      <c r="A36" s="67" t="str">
        <f>HYPERLINK("http://en.wikipedia.org/wiki/Crawford_County,_Arkansas","Crawford")</f>
        <v>Crawford</v>
      </c>
      <c r="B36" t="s">
        <v>164</v>
      </c>
      <c r="C36" s="67" t="s">
        <v>164</v>
      </c>
      <c r="D36" s="34" t="s">
        <v>1442</v>
      </c>
      <c r="E36" s="67" t="str">
        <f>HYPERLINK("http://www.ccdem.net/","Crawford EMA")</f>
        <v>Crawford EMA</v>
      </c>
    </row>
    <row r="37" spans="1:6">
      <c r="A37" s="67" t="str">
        <f>HYPERLINK("http://en.wikipedia.org/wiki/Crittenden_County,_Arkansas","Crittendon")</f>
        <v>Crittendon</v>
      </c>
      <c r="B37" t="s">
        <v>164</v>
      </c>
      <c r="C37" t="s">
        <v>164</v>
      </c>
      <c r="D37" s="67" t="s">
        <v>1443</v>
      </c>
    </row>
    <row r="38" spans="1:6">
      <c r="A38" s="67" t="str">
        <f>HYPERLINK("http://en.wikipedia.org/wiki/Cross_County,_Arkansas","Cross")</f>
        <v>Cross</v>
      </c>
      <c r="B38" t="s">
        <v>164</v>
      </c>
      <c r="C38" t="s">
        <v>164</v>
      </c>
      <c r="D38" s="67" t="s">
        <v>1444</v>
      </c>
    </row>
    <row r="39" spans="1:6">
      <c r="A39" s="67" t="str">
        <f>HYPERLINK("http://en.wikipedia.org/wiki/Dallas_County,_Arkansas","Dallas")</f>
        <v>Dallas</v>
      </c>
      <c r="B39" t="s">
        <v>164</v>
      </c>
      <c r="C39" t="s">
        <v>164</v>
      </c>
      <c r="D39" s="67" t="s">
        <v>1445</v>
      </c>
    </row>
    <row r="40" spans="1:6">
      <c r="A40" s="67" t="str">
        <f>HYPERLINK("http://en.wikipedia.org/wiki/Desha_County,_Arkansas","Desha")</f>
        <v>Desha</v>
      </c>
      <c r="B40" t="s">
        <v>164</v>
      </c>
      <c r="C40" t="s">
        <v>164</v>
      </c>
      <c r="D40" s="67" t="s">
        <v>1446</v>
      </c>
    </row>
    <row r="41" spans="1:6">
      <c r="A41" s="67" t="str">
        <f>HYPERLINK("http://en.wikipedia.org/wiki/Drew_County,_Arkansas","Drew")</f>
        <v>Drew</v>
      </c>
      <c r="B41" t="s">
        <v>164</v>
      </c>
      <c r="C41" t="s">
        <v>164</v>
      </c>
      <c r="D41" s="67" t="s">
        <v>1447</v>
      </c>
    </row>
    <row r="42" spans="1:6">
      <c r="A42" s="67" t="str">
        <f>HYPERLINK("http://en.wikipedia.org/wiki/Faulkner_County,_Arkansas","Faulkner")</f>
        <v>Faulkner</v>
      </c>
      <c r="B42" t="s">
        <v>164</v>
      </c>
      <c r="C42" t="s">
        <v>164</v>
      </c>
      <c r="D42" s="67" t="s">
        <v>1448</v>
      </c>
      <c r="E42" t="str">
        <f>HYPERLINK("http://www.faulknercounty.org/office-of-emergency-mgmt911","Faulkner EMA")</f>
        <v>Faulkner EMA</v>
      </c>
      <c r="F42" s="29"/>
    </row>
    <row r="43" spans="1:6">
      <c r="A43" s="67" t="str">
        <f>HYPERLINK("http://en.wikipedia.org/wiki/Franklin_County,_Arkansas","Franklin")</f>
        <v>Franklin</v>
      </c>
      <c r="B43" t="s">
        <v>164</v>
      </c>
      <c r="C43" t="s">
        <v>164</v>
      </c>
      <c r="D43" s="67" t="s">
        <v>1449</v>
      </c>
    </row>
    <row r="44" spans="1:6">
      <c r="A44" s="67" t="str">
        <f>HYPERLINK("http://en.wikipedia.org/wiki/Fulton_County,_Arkansas","Fulton")</f>
        <v>Fulton</v>
      </c>
      <c r="B44" t="s">
        <v>164</v>
      </c>
      <c r="C44" t="s">
        <v>164</v>
      </c>
      <c r="D44" s="67" t="s">
        <v>1450</v>
      </c>
    </row>
    <row r="45" spans="1:6">
      <c r="A45" s="67" t="str">
        <f>HYPERLINK("http://en.wikipedia.org/wiki/Garland_County,_Arkansas","Garland")</f>
        <v>Garland</v>
      </c>
      <c r="B45" t="s">
        <v>164</v>
      </c>
      <c r="C45" t="s">
        <v>164</v>
      </c>
      <c r="D45" s="67" t="s">
        <v>1451</v>
      </c>
    </row>
    <row r="46" spans="1:6">
      <c r="A46" s="67" t="str">
        <f>HYPERLINK("http://en.wikipedia.org/wiki/Grant_County,_Arkansas","Grant")</f>
        <v>Grant</v>
      </c>
      <c r="B46" t="s">
        <v>164</v>
      </c>
      <c r="C46" t="s">
        <v>164</v>
      </c>
      <c r="D46" s="67" t="s">
        <v>1452</v>
      </c>
    </row>
    <row r="47" spans="1:6">
      <c r="A47" s="67" t="str">
        <f>HYPERLINK("http://en.wikipedia.org/wiki/Greene_County,_Arkansas","Greene")</f>
        <v>Greene</v>
      </c>
      <c r="B47" t="s">
        <v>164</v>
      </c>
      <c r="C47" t="s">
        <v>164</v>
      </c>
      <c r="D47" s="67" t="s">
        <v>1453</v>
      </c>
    </row>
    <row r="48" spans="1:6">
      <c r="A48" s="67" t="str">
        <f>HYPERLINK("http://en.wikipedia.org/wiki/Hempstead_County,_Arkansas","Hempstead")</f>
        <v>Hempstead</v>
      </c>
      <c r="B48" t="s">
        <v>164</v>
      </c>
      <c r="C48" t="s">
        <v>164</v>
      </c>
      <c r="D48" s="67" t="s">
        <v>1454</v>
      </c>
    </row>
    <row r="49" spans="1:6">
      <c r="A49" s="67" t="str">
        <f>HYPERLINK("http://en.wikipedia.org/wiki/Hot_Springs,_Arkansas","Hot Spring")</f>
        <v>Hot Spring</v>
      </c>
      <c r="B49" t="s">
        <v>164</v>
      </c>
      <c r="C49" t="s">
        <v>164</v>
      </c>
      <c r="D49" s="67" t="s">
        <v>1455</v>
      </c>
    </row>
    <row r="50" spans="1:6">
      <c r="A50" s="67" t="str">
        <f>HYPERLINK("http://en.wikipedia.org/wiki/Howard_County,_Arkansas","Howard")</f>
        <v>Howard</v>
      </c>
      <c r="B50" t="s">
        <v>164</v>
      </c>
      <c r="C50" t="s">
        <v>164</v>
      </c>
      <c r="D50" s="67" t="s">
        <v>1456</v>
      </c>
    </row>
    <row r="51" spans="1:6">
      <c r="A51" s="67" t="str">
        <f>HYPERLINK("http://en.wikipedia.org/wiki/Independence_County,_Arkansas","Independence")</f>
        <v>Independence</v>
      </c>
      <c r="B51" t="s">
        <v>164</v>
      </c>
      <c r="C51" t="s">
        <v>164</v>
      </c>
      <c r="D51" s="67" t="s">
        <v>1457</v>
      </c>
    </row>
    <row r="52" spans="1:6">
      <c r="A52" s="67" t="str">
        <f>HYPERLINK("http://en.wikipedia.org/wiki/Izard_County,_Arkansas","Izard")</f>
        <v>Izard</v>
      </c>
      <c r="B52" t="s">
        <v>164</v>
      </c>
      <c r="C52" t="s">
        <v>164</v>
      </c>
      <c r="D52" s="67" t="s">
        <v>1458</v>
      </c>
    </row>
    <row r="53" spans="1:6">
      <c r="A53" s="67" t="str">
        <f>HYPERLINK("http://en.wikipedia.org/wiki/Jackson_County,_Arkansas","Jackson")</f>
        <v>Jackson</v>
      </c>
      <c r="B53" t="s">
        <v>164</v>
      </c>
      <c r="C53" t="s">
        <v>164</v>
      </c>
      <c r="D53" s="67" t="s">
        <v>1459</v>
      </c>
    </row>
    <row r="54" spans="1:6">
      <c r="A54" s="67" t="str">
        <f>HYPERLINK("http://en.wikipedia.org/wiki/Jefferson_County,_Arkansas","Jefferson")</f>
        <v>Jefferson</v>
      </c>
      <c r="B54" t="s">
        <v>164</v>
      </c>
      <c r="C54" t="s">
        <v>164</v>
      </c>
      <c r="D54" s="67" t="s">
        <v>1460</v>
      </c>
    </row>
    <row r="55" spans="1:6">
      <c r="A55" s="67" t="str">
        <f>HYPERLINK("http://en.wikipedia.org/wiki/Johnson_County,_Arkansas","Johnson")</f>
        <v>Johnson</v>
      </c>
      <c r="B55" t="s">
        <v>164</v>
      </c>
      <c r="C55" t="s">
        <v>164</v>
      </c>
      <c r="D55" s="67" t="s">
        <v>1461</v>
      </c>
      <c r="E55" t="str">
        <f>HYPERLINK("https://www.facebook.com/pages/Johnson-County-Sheriffs-Office-Arkansas/153523500150", "Johnson Sheriff - Facebook")</f>
        <v>Johnson Sheriff - Facebook</v>
      </c>
      <c r="F55" t="str">
        <f>HYPERLINK("","")</f>
        <v/>
      </c>
    </row>
    <row r="56" spans="1:6">
      <c r="A56" s="67" t="str">
        <f>HYPERLINK("http://en.wikipedia.org/wiki/Lafayette_County,_Arkansas","Lafayette")</f>
        <v>Lafayette</v>
      </c>
      <c r="B56" t="s">
        <v>164</v>
      </c>
      <c r="C56" t="s">
        <v>164</v>
      </c>
      <c r="D56" s="67" t="s">
        <v>1462</v>
      </c>
    </row>
    <row r="57" spans="1:6">
      <c r="A57" s="67" t="str">
        <f>HYPERLINK("http://en.wikipedia.org/wiki/Lawrence_County,_Arkansas","Lawrence")</f>
        <v>Lawrence</v>
      </c>
      <c r="B57" t="s">
        <v>164</v>
      </c>
      <c r="C57" t="s">
        <v>164</v>
      </c>
      <c r="D57" s="67" t="s">
        <v>1463</v>
      </c>
      <c r="E57" t="str">
        <f>HYPERLINK("https://www.facebook.com/lawrencecountysheriffsdepartment","Lawrence Sheriff - Facebook")</f>
        <v>Lawrence Sheriff - Facebook</v>
      </c>
      <c r="F57" s="29"/>
    </row>
    <row r="58" spans="1:6">
      <c r="A58" s="67" t="str">
        <f>HYPERLINK("http://en.wikipedia.org/wiki/Lee_County,_Arkansas","Lee")</f>
        <v>Lee</v>
      </c>
      <c r="B58" t="s">
        <v>164</v>
      </c>
      <c r="C58" t="s">
        <v>164</v>
      </c>
      <c r="D58" s="67" t="s">
        <v>1464</v>
      </c>
    </row>
    <row r="59" spans="1:6">
      <c r="A59" s="67" t="str">
        <f>HYPERLINK("http://en.wikipedia.org/wiki/Lincoln_County,_Arkansas","Lincoln")</f>
        <v>Lincoln</v>
      </c>
      <c r="B59" t="s">
        <v>164</v>
      </c>
      <c r="C59" t="s">
        <v>164</v>
      </c>
      <c r="D59" s="67" t="s">
        <v>1465</v>
      </c>
    </row>
    <row r="60" spans="1:6">
      <c r="A60" s="67" t="str">
        <f>HYPERLINK("http://en.wikipedia.org/wiki/Little_River_County,_Arkansas","Little River")</f>
        <v>Little River</v>
      </c>
      <c r="B60" t="s">
        <v>164</v>
      </c>
      <c r="C60" t="s">
        <v>164</v>
      </c>
      <c r="D60" s="67" t="s">
        <v>1466</v>
      </c>
    </row>
    <row r="61" spans="1:6">
      <c r="A61" s="67" t="str">
        <f>HYPERLINK("http://en.wikipedia.org/wiki/Logan_County,_Arkansas","Logan")</f>
        <v>Logan</v>
      </c>
      <c r="B61" t="s">
        <v>164</v>
      </c>
      <c r="C61" t="s">
        <v>164</v>
      </c>
      <c r="D61" s="67" t="s">
        <v>1467</v>
      </c>
    </row>
    <row r="62" spans="1:6">
      <c r="A62" s="67" t="str">
        <f>HYPERLINK("http://en.wikipedia.org/wiki/Lonoke_County,_Arkansas","Lonoke")</f>
        <v>Lonoke</v>
      </c>
      <c r="B62" t="s">
        <v>164</v>
      </c>
      <c r="C62" t="s">
        <v>164</v>
      </c>
      <c r="D62" s="67" t="s">
        <v>1468</v>
      </c>
    </row>
    <row r="63" spans="1:6">
      <c r="A63" s="67" t="str">
        <f>HYPERLINK("http://en.wikipedia.org/wiki/Madison_County,_Arkansas","Madison")</f>
        <v>Madison</v>
      </c>
      <c r="B63" t="s">
        <v>164</v>
      </c>
      <c r="C63" t="s">
        <v>164</v>
      </c>
      <c r="D63" s="67" t="s">
        <v>1469</v>
      </c>
    </row>
    <row r="64" spans="1:6">
      <c r="A64" s="67" t="str">
        <f>HYPERLINK("http://en.wikipedia.org/wiki/Marion_County,_Arkansas","Marion")</f>
        <v>Marion</v>
      </c>
      <c r="B64" t="s">
        <v>164</v>
      </c>
      <c r="C64" t="s">
        <v>164</v>
      </c>
      <c r="D64" s="67" t="s">
        <v>1470</v>
      </c>
    </row>
    <row r="65" spans="1:5">
      <c r="A65" s="67" t="str">
        <f>HYPERLINK("http://en.wikipedia.org/wiki/Miller_County,_Arkansas","Miller")</f>
        <v>Miller</v>
      </c>
      <c r="B65" t="s">
        <v>164</v>
      </c>
      <c r="C65" s="67" t="s">
        <v>1471</v>
      </c>
      <c r="D65" s="67" t="s">
        <v>1472</v>
      </c>
      <c r="E65" t="str">
        <f>HYPERLINK("http://www.millercountyar.org/office-of-emergency-mgmt911.html","Miller EMA")</f>
        <v>Miller EMA</v>
      </c>
    </row>
    <row r="66" spans="1:5">
      <c r="A66" s="67" t="str">
        <f>HYPERLINK("http://en.wikipedia.org/wiki/Mississippi_County,_Arkansas","Mississippi")</f>
        <v>Mississippi</v>
      </c>
      <c r="B66" t="s">
        <v>164</v>
      </c>
      <c r="C66" t="s">
        <v>164</v>
      </c>
      <c r="D66" s="67" t="s">
        <v>1473</v>
      </c>
      <c r="E66" t="str">
        <f>HYPERLINK("http://www.mcagov.com/offices/office-emergency-management", "MCAGOV EMA")</f>
        <v>MCAGOV EMA</v>
      </c>
    </row>
    <row r="67" spans="1:5">
      <c r="A67" s="67" t="str">
        <f>HYPERLINK("http://en.wikipedia.org/wiki/Monroe_County,_Arkansas","Monroe")</f>
        <v>Monroe</v>
      </c>
      <c r="B67" t="s">
        <v>164</v>
      </c>
      <c r="C67" t="s">
        <v>164</v>
      </c>
      <c r="D67" s="67" t="s">
        <v>1474</v>
      </c>
    </row>
    <row r="68" spans="1:5">
      <c r="A68" s="67" t="str">
        <f>HYPERLINK("http://en.wikipedia.org/wiki/Montgomery_County,_Arkansas","Montgomery")</f>
        <v>Montgomery</v>
      </c>
      <c r="B68" t="s">
        <v>164</v>
      </c>
      <c r="C68" t="s">
        <v>164</v>
      </c>
      <c r="D68" s="67" t="s">
        <v>1475</v>
      </c>
    </row>
    <row r="69" spans="1:5">
      <c r="A69" s="67" t="str">
        <f>HYPERLINK("http://en.wikipedia.org/wiki/Nevada_County,_Arkansas","Nevada")</f>
        <v>Nevada</v>
      </c>
      <c r="B69" t="s">
        <v>164</v>
      </c>
      <c r="C69" t="s">
        <v>164</v>
      </c>
      <c r="D69" s="67" t="s">
        <v>1476</v>
      </c>
    </row>
    <row r="70" spans="1:5">
      <c r="A70" s="67" t="str">
        <f>HYPERLINK("http://en.wikipedia.org/wiki/Newton_County,_Arkansas","Newton")</f>
        <v>Newton</v>
      </c>
      <c r="B70" t="s">
        <v>164</v>
      </c>
      <c r="C70" t="s">
        <v>164</v>
      </c>
      <c r="D70" s="67" t="s">
        <v>1477</v>
      </c>
    </row>
    <row r="71" spans="1:5">
      <c r="A71" s="67" t="str">
        <f>HYPERLINK("http://en.wikipedia.org/wiki/Ouachita_County,_Arkansas","Ouachita")</f>
        <v>Ouachita</v>
      </c>
      <c r="B71" t="s">
        <v>164</v>
      </c>
      <c r="C71" t="s">
        <v>164</v>
      </c>
      <c r="D71" s="67" t="s">
        <v>1478</v>
      </c>
    </row>
    <row r="72" spans="1:5">
      <c r="A72" s="67" t="str">
        <f>HYPERLINK("http://en.wikipedia.org/wiki/Perry_County,_Arkansas","Perry")</f>
        <v>Perry</v>
      </c>
      <c r="B72" t="s">
        <v>164</v>
      </c>
      <c r="C72" t="s">
        <v>164</v>
      </c>
      <c r="D72" s="67" t="s">
        <v>1479</v>
      </c>
    </row>
    <row r="73" spans="1:5">
      <c r="A73" s="67" t="str">
        <f>HYPERLINK("http://en.wikipedia.org/wiki/Phillips_County,_Arkansas","Phillips")</f>
        <v>Phillips</v>
      </c>
      <c r="B73" t="s">
        <v>164</v>
      </c>
      <c r="C73" t="s">
        <v>164</v>
      </c>
      <c r="D73" s="67" t="s">
        <v>1480</v>
      </c>
    </row>
    <row r="74" spans="1:5">
      <c r="A74" s="67" t="str">
        <f>HYPERLINK("http://en.wikipedia.org/wiki/Pike_County,_Arkansas","Pike")</f>
        <v>Pike</v>
      </c>
      <c r="B74" t="s">
        <v>164</v>
      </c>
      <c r="C74" t="s">
        <v>164</v>
      </c>
      <c r="D74" s="67" t="s">
        <v>1481</v>
      </c>
    </row>
    <row r="75" spans="1:5">
      <c r="A75" s="67" t="str">
        <f>HYPERLINK("http://en.wikipedia.org/wiki/Poinsett_County,_Arkansas","Poinsett")</f>
        <v>Poinsett</v>
      </c>
      <c r="B75" t="s">
        <v>164</v>
      </c>
      <c r="C75" t="s">
        <v>1482</v>
      </c>
      <c r="D75" s="67" t="s">
        <v>1483</v>
      </c>
    </row>
    <row r="76" spans="1:5">
      <c r="A76" s="67" t="str">
        <f>HYPERLINK("http://en.wikipedia.org/wiki/Polk_County,_Arkansas","Polk")</f>
        <v>Polk</v>
      </c>
      <c r="B76" t="s">
        <v>164</v>
      </c>
      <c r="C76" t="s">
        <v>164</v>
      </c>
      <c r="D76" s="67" t="s">
        <v>1484</v>
      </c>
    </row>
    <row r="77" spans="1:5">
      <c r="A77" s="67" t="str">
        <f>HYPERLINK("http://en.wikipedia.org/wiki/Pope_County,_Arkansas","Pope")</f>
        <v>Pope</v>
      </c>
      <c r="B77" t="s">
        <v>164</v>
      </c>
      <c r="C77" t="s">
        <v>164</v>
      </c>
      <c r="D77" s="67" t="s">
        <v>1485</v>
      </c>
    </row>
    <row r="78" spans="1:5">
      <c r="A78" s="67" t="str">
        <f>HYPERLINK("http://en.wikipedia.org/wiki/Prairie_County,_Arkansas","Prairie ")</f>
        <v xml:space="preserve">Prairie </v>
      </c>
      <c r="B78" t="s">
        <v>164</v>
      </c>
      <c r="C78" t="s">
        <v>164</v>
      </c>
      <c r="D78" s="67" t="s">
        <v>1486</v>
      </c>
    </row>
    <row r="79" spans="1:5">
      <c r="A79" s="67" t="str">
        <f>HYPERLINK("http://en.wikipedia.org/wiki/Pulaski_County,_Arkansas","Pulaski")</f>
        <v>Pulaski</v>
      </c>
      <c r="B79" t="s">
        <v>164</v>
      </c>
      <c r="C79" t="s">
        <v>164</v>
      </c>
      <c r="D79" s="67" t="s">
        <v>1487</v>
      </c>
      <c r="E79" t="str">
        <f>HYPERLINK("http://co.pulaski.ar.us/oem/","Pulaski OEM")</f>
        <v>Pulaski OEM</v>
      </c>
    </row>
    <row r="80" spans="1:5">
      <c r="A80" s="67" t="str">
        <f>HYPERLINK("http://en.wikipedia.org/wiki/Randolph_County,_Arkansas","Randolph")</f>
        <v>Randolph</v>
      </c>
      <c r="B80" t="s">
        <v>164</v>
      </c>
      <c r="C80" t="s">
        <v>164</v>
      </c>
      <c r="D80" s="67" t="s">
        <v>1488</v>
      </c>
    </row>
    <row r="81" spans="1:6">
      <c r="A81" s="67" t="str">
        <f>HYPERLINK("http://en.wikipedia.org/wiki/St._Francis_County,_Arkansas","St. Francis")</f>
        <v>St. Francis</v>
      </c>
      <c r="B81" t="s">
        <v>164</v>
      </c>
      <c r="C81" s="67" t="s">
        <v>164</v>
      </c>
      <c r="D81" s="67" t="s">
        <v>1489</v>
      </c>
    </row>
    <row r="82" spans="1:6">
      <c r="A82" s="67" t="str">
        <f>HYPERLINK("http://en.wikipedia.org/wiki/Saline_County,_Arkansas","Saline")</f>
        <v>Saline</v>
      </c>
      <c r="B82" t="s">
        <v>164</v>
      </c>
      <c r="C82" t="s">
        <v>164</v>
      </c>
      <c r="D82" s="67" t="s">
        <v>1490</v>
      </c>
      <c r="E82" t="str">
        <f>HYPERLINK("http://www.salinecounty.org/index.php?option=com_content&amp;view=article&amp;id=13&amp;Itemid=30","Saline OEM")</f>
        <v>Saline OEM</v>
      </c>
    </row>
    <row r="83" spans="1:6">
      <c r="A83" s="67" t="str">
        <f>HYPERLINK("http://en.wikipedia.org/wiki/Scott_County,_Arkansas","Scott")</f>
        <v>Scott</v>
      </c>
      <c r="B83" t="s">
        <v>164</v>
      </c>
      <c r="C83" t="s">
        <v>164</v>
      </c>
      <c r="D83" s="67" t="s">
        <v>1491</v>
      </c>
    </row>
    <row r="84" spans="1:6">
      <c r="A84" s="67" t="str">
        <f>HYPERLINK("http://en.wikipedia.org/wiki/Searcy_County,_Arkansas","Searcy")</f>
        <v>Searcy</v>
      </c>
      <c r="B84" t="s">
        <v>164</v>
      </c>
      <c r="C84" t="s">
        <v>164</v>
      </c>
      <c r="D84" s="67" t="s">
        <v>1492</v>
      </c>
    </row>
    <row r="85" spans="1:6">
      <c r="A85" s="67" t="str">
        <f>HYPERLINK("http://en.wikipedia.org/wiki/Sebastian_County,_Arkansas","Sebastian")</f>
        <v>Sebastian</v>
      </c>
      <c r="B85" t="s">
        <v>164</v>
      </c>
      <c r="C85" t="s">
        <v>164</v>
      </c>
      <c r="D85" s="67" t="s">
        <v>1493</v>
      </c>
    </row>
    <row r="86" spans="1:6">
      <c r="A86" s="67" t="str">
        <f>HYPERLINK("http://en.wikipedia.org/wiki/Sevier_County,_Arkansas","Sevier")</f>
        <v>Sevier</v>
      </c>
      <c r="B86" t="s">
        <v>164</v>
      </c>
      <c r="C86" t="s">
        <v>164</v>
      </c>
      <c r="D86" s="67" t="s">
        <v>1494</v>
      </c>
    </row>
    <row r="87" spans="1:6">
      <c r="A87" s="67" t="str">
        <f>HYPERLINK("http://en.wikipedia.org/wiki/Sharp_County,_Arkansas","Sharp")</f>
        <v>Sharp</v>
      </c>
      <c r="B87" t="s">
        <v>164</v>
      </c>
      <c r="C87" t="s">
        <v>164</v>
      </c>
      <c r="D87" s="67" t="s">
        <v>1495</v>
      </c>
    </row>
    <row r="88" spans="1:6">
      <c r="A88" s="67" t="str">
        <f>HYPERLINK("http://en.wikipedia.org/wiki/Stone_County,_Arkansas","Stone")</f>
        <v>Stone</v>
      </c>
      <c r="B88" t="s">
        <v>164</v>
      </c>
      <c r="C88" t="s">
        <v>164</v>
      </c>
      <c r="D88" s="67" t="s">
        <v>1496</v>
      </c>
    </row>
    <row r="89" spans="1:6">
      <c r="A89" s="67" t="str">
        <f>HYPERLINK("http://en.wikipedia.org/wiki/Union_County,_Arkansas","Union")</f>
        <v>Union</v>
      </c>
      <c r="B89" t="s">
        <v>164</v>
      </c>
      <c r="C89" t="s">
        <v>164</v>
      </c>
      <c r="D89" s="67" t="s">
        <v>1497</v>
      </c>
      <c r="F89" t="str">
        <f>HYPERLINK("https://www.facebook.com/ucarwx","Union County Weather")</f>
        <v>Union County Weather</v>
      </c>
    </row>
    <row r="90" spans="1:6">
      <c r="A90" s="67" t="str">
        <f>HYPERLINK("http://en.wikipedia.org/wiki/Van_Buren_County,_Arkansas","Van Buren")</f>
        <v>Van Buren</v>
      </c>
      <c r="B90" t="s">
        <v>164</v>
      </c>
      <c r="C90" t="s">
        <v>164</v>
      </c>
      <c r="D90" s="67" t="s">
        <v>1498</v>
      </c>
    </row>
    <row r="91" spans="1:6">
      <c r="A91" s="67" t="str">
        <f>HYPERLINK("http://en.wikipedia.org/wiki/Washington_County,_Arkansas","Washington")</f>
        <v>Washington</v>
      </c>
      <c r="B91" t="s">
        <v>1499</v>
      </c>
      <c r="C91" t="s">
        <v>164</v>
      </c>
      <c r="D91" s="67" t="s">
        <v>1500</v>
      </c>
      <c r="E91" t="str">
        <f>HYPERLINK("http://www.co.washington.ar.us/index.aspx?page=307","Washington OEM")</f>
        <v>Washington OEM</v>
      </c>
    </row>
    <row r="92" spans="1:6">
      <c r="A92" s="67" t="str">
        <f>HYPERLINK("http://en.wikipedia.org/wiki/White_County,_Arkansas","White")</f>
        <v>White</v>
      </c>
      <c r="B92" t="s">
        <v>164</v>
      </c>
      <c r="C92" t="s">
        <v>164</v>
      </c>
      <c r="D92" s="67" t="s">
        <v>1501</v>
      </c>
      <c r="E92" t="str">
        <f>HYPERLINK("http://www.whitecountyar.org/white_county_dem.php","White OEM")</f>
        <v>White OEM</v>
      </c>
    </row>
    <row r="93" spans="1:6">
      <c r="A93" s="67" t="str">
        <f>HYPERLINK("http://en.wikipedia.org/wiki/Woodruff_County,_Arkansas","Woodruff")</f>
        <v>Woodruff</v>
      </c>
      <c r="B93" t="s">
        <v>164</v>
      </c>
      <c r="C93" t="s">
        <v>164</v>
      </c>
      <c r="D93" s="67" t="s">
        <v>1502</v>
      </c>
    </row>
    <row r="94" spans="1:6">
      <c r="A94" s="67" t="str">
        <f>HYPERLINK("http://en.wikipedia.org/wiki/Yell_County,_Arkansas","Yell")</f>
        <v>Yell</v>
      </c>
      <c r="B94" t="s">
        <v>164</v>
      </c>
      <c r="C94" s="34" t="s">
        <v>1503</v>
      </c>
      <c r="D94" s="67" t="s">
        <v>1504</v>
      </c>
    </row>
    <row r="96" spans="1:6">
      <c r="A96" s="79" t="s">
        <v>333</v>
      </c>
      <c r="B96" s="79" t="s">
        <v>147</v>
      </c>
      <c r="C96" s="79" t="s">
        <v>148</v>
      </c>
      <c r="D96" s="79" t="s">
        <v>182</v>
      </c>
      <c r="E96" s="46"/>
    </row>
    <row r="97" spans="1:6">
      <c r="A97" s="74" t="str">
        <f>HYPERLINK("http://arkansasenergy.org/energy-in-arkansas/utilities-in-arkansas.aspx","List of Arkansas Utilities with links")</f>
        <v>List of Arkansas Utilities with links</v>
      </c>
      <c r="B97" s="74"/>
      <c r="C97" s="74"/>
      <c r="D97" s="74" t="s">
        <v>1505</v>
      </c>
      <c r="E97" s="33"/>
      <c r="F97" s="96" t="s">
        <v>1506</v>
      </c>
    </row>
    <row r="98" spans="1:6">
      <c r="A98" s="67" t="s">
        <v>1507</v>
      </c>
      <c r="B98" s="70" t="s">
        <v>1508</v>
      </c>
      <c r="C98" s="67" t="s">
        <v>1509</v>
      </c>
      <c r="D98" s="67" t="s">
        <v>1510</v>
      </c>
    </row>
    <row r="99" spans="1:6">
      <c r="A99" s="67" t="s">
        <v>1511</v>
      </c>
      <c r="B99" s="70" t="s">
        <v>1512</v>
      </c>
      <c r="C99" s="67" t="s">
        <v>1513</v>
      </c>
      <c r="D99" s="67" t="s">
        <v>1514</v>
      </c>
    </row>
    <row r="100" spans="1:6">
      <c r="A100" s="67" t="s">
        <v>1515</v>
      </c>
      <c r="B100" s="70" t="s">
        <v>1516</v>
      </c>
      <c r="C100" s="67" t="s">
        <v>1517</v>
      </c>
      <c r="D100" s="67" t="s">
        <v>1518</v>
      </c>
    </row>
    <row r="102" spans="1:6">
      <c r="A102" s="79" t="s">
        <v>878</v>
      </c>
      <c r="B102" s="79" t="s">
        <v>147</v>
      </c>
      <c r="C102" s="79" t="s">
        <v>148</v>
      </c>
      <c r="D102" s="79" t="s">
        <v>182</v>
      </c>
      <c r="E102" s="46"/>
    </row>
    <row r="103" spans="1:6">
      <c r="A103" s="67" t="s">
        <v>1519</v>
      </c>
      <c r="B103" t="s">
        <v>164</v>
      </c>
      <c r="C103" t="s">
        <v>164</v>
      </c>
      <c r="D103" s="67" t="s">
        <v>1520</v>
      </c>
    </row>
    <row r="104" spans="1:6">
      <c r="A104" s="67" t="s">
        <v>1521</v>
      </c>
      <c r="B104" t="s">
        <v>164</v>
      </c>
      <c r="C104" t="s">
        <v>164</v>
      </c>
      <c r="D104" s="67" t="s">
        <v>1522</v>
      </c>
    </row>
    <row r="105" spans="1:6">
      <c r="A105" s="67" t="s">
        <v>1523</v>
      </c>
      <c r="B105" t="s">
        <v>164</v>
      </c>
      <c r="C105" t="s">
        <v>164</v>
      </c>
      <c r="D105" s="67" t="s">
        <v>1524</v>
      </c>
    </row>
    <row r="106" spans="1:6">
      <c r="A106" s="67" t="s">
        <v>1525</v>
      </c>
      <c r="B106" s="70" t="s">
        <v>1526</v>
      </c>
      <c r="C106" s="67" t="s">
        <v>1527</v>
      </c>
      <c r="D106" s="67" t="s">
        <v>1528</v>
      </c>
    </row>
    <row r="107" spans="1:6">
      <c r="A107" s="67" t="s">
        <v>1529</v>
      </c>
      <c r="B107" s="70" t="s">
        <v>164</v>
      </c>
      <c r="C107" s="67" t="s">
        <v>1530</v>
      </c>
      <c r="D107" s="67" t="s">
        <v>1531</v>
      </c>
    </row>
    <row r="108" spans="1:6" ht="15" customHeight="1">
      <c r="A108" t="s">
        <v>1532</v>
      </c>
      <c r="B108" t="s">
        <v>164</v>
      </c>
      <c r="D108" t="s">
        <v>1533</v>
      </c>
    </row>
    <row r="109" spans="1:6" ht="15" customHeight="1">
      <c r="A109" t="s">
        <v>1534</v>
      </c>
      <c r="B109" t="s">
        <v>164</v>
      </c>
      <c r="D109" t="s">
        <v>1535</v>
      </c>
    </row>
    <row r="110" spans="1:6" ht="15" customHeight="1">
      <c r="A110" t="s">
        <v>1536</v>
      </c>
      <c r="B110" t="s">
        <v>164</v>
      </c>
      <c r="D110" t="s">
        <v>1537</v>
      </c>
    </row>
    <row r="112" spans="1:6">
      <c r="A112" s="79" t="s">
        <v>388</v>
      </c>
      <c r="B112" s="79" t="s">
        <v>147</v>
      </c>
      <c r="C112" s="79" t="s">
        <v>148</v>
      </c>
      <c r="D112" s="79" t="s">
        <v>182</v>
      </c>
    </row>
    <row r="113" spans="1:5" ht="15" customHeight="1">
      <c r="A113" t="s">
        <v>1538</v>
      </c>
      <c r="B113" t="s">
        <v>1407</v>
      </c>
      <c r="C113" t="s">
        <v>1408</v>
      </c>
      <c r="D113" t="s">
        <v>1539</v>
      </c>
    </row>
    <row r="114" spans="1:5" ht="15" customHeight="1">
      <c r="A114" t="s">
        <v>1540</v>
      </c>
      <c r="B114" t="s">
        <v>164</v>
      </c>
      <c r="C114" t="s">
        <v>164</v>
      </c>
      <c r="D114" t="s">
        <v>1541</v>
      </c>
    </row>
    <row r="116" spans="1:5">
      <c r="A116" s="79" t="s">
        <v>428</v>
      </c>
      <c r="B116" s="79" t="s">
        <v>147</v>
      </c>
      <c r="C116" s="79" t="s">
        <v>148</v>
      </c>
      <c r="D116" s="79" t="s">
        <v>182</v>
      </c>
      <c r="E116" s="97"/>
    </row>
    <row r="117" spans="1:5">
      <c r="A117" s="74" t="s">
        <v>1542</v>
      </c>
      <c r="B117" s="67"/>
      <c r="C117" s="67"/>
      <c r="D117" s="67" t="s">
        <v>1543</v>
      </c>
    </row>
    <row r="118" spans="1:5">
      <c r="A118" s="74" t="s">
        <v>1544</v>
      </c>
      <c r="B118" s="67"/>
      <c r="C118" s="67"/>
      <c r="D118" s="67" t="s">
        <v>1545</v>
      </c>
    </row>
    <row r="119" spans="1:5">
      <c r="A119" s="74" t="s">
        <v>1546</v>
      </c>
      <c r="B119" s="67"/>
      <c r="C119" s="67"/>
      <c r="D119" s="67" t="s">
        <v>1547</v>
      </c>
    </row>
    <row r="120" spans="1:5">
      <c r="A120" s="67" t="s">
        <v>1548</v>
      </c>
      <c r="B120" s="70" t="s">
        <v>1549</v>
      </c>
      <c r="C120" s="67" t="s">
        <v>1550</v>
      </c>
      <c r="D120" s="67" t="s">
        <v>1551</v>
      </c>
    </row>
    <row r="121" spans="1:5">
      <c r="A121" s="67" t="s">
        <v>1552</v>
      </c>
      <c r="C121" s="67" t="s">
        <v>1553</v>
      </c>
      <c r="D121" s="67" t="s">
        <v>1554</v>
      </c>
    </row>
    <row r="122" spans="1:5">
      <c r="A122" s="67" t="s">
        <v>1555</v>
      </c>
      <c r="C122" s="67" t="s">
        <v>1556</v>
      </c>
      <c r="D122" s="67" t="s">
        <v>1557</v>
      </c>
    </row>
    <row r="123" spans="1:5">
      <c r="A123" s="67" t="s">
        <v>1558</v>
      </c>
      <c r="D123" s="67" t="s">
        <v>1559</v>
      </c>
    </row>
    <row r="124" spans="1:5">
      <c r="A124" s="67" t="s">
        <v>1560</v>
      </c>
      <c r="C124" s="67" t="s">
        <v>1561</v>
      </c>
      <c r="D124" s="67" t="s">
        <v>1562</v>
      </c>
    </row>
    <row r="125" spans="1:5">
      <c r="A125" s="67"/>
      <c r="D125" s="67"/>
    </row>
    <row r="126" spans="1:5">
      <c r="A126" s="67" t="s">
        <v>1563</v>
      </c>
      <c r="D126" s="67" t="s">
        <v>1564</v>
      </c>
    </row>
    <row r="127" spans="1:5">
      <c r="A127" s="67" t="s">
        <v>1565</v>
      </c>
      <c r="B127" s="70" t="s">
        <v>1566</v>
      </c>
      <c r="C127" s="67" t="s">
        <v>1567</v>
      </c>
      <c r="D127" s="67" t="s">
        <v>1568</v>
      </c>
    </row>
    <row r="128" spans="1:5">
      <c r="A128" s="67" t="s">
        <v>1569</v>
      </c>
      <c r="B128" s="70" t="s">
        <v>1570</v>
      </c>
      <c r="C128" s="67" t="s">
        <v>1571</v>
      </c>
      <c r="D128" s="67" t="s">
        <v>1572</v>
      </c>
    </row>
    <row r="129" spans="1:6">
      <c r="A129" s="67" t="s">
        <v>1573</v>
      </c>
      <c r="B129" s="70" t="s">
        <v>1574</v>
      </c>
      <c r="C129" s="67" t="s">
        <v>1575</v>
      </c>
      <c r="D129" s="67" t="s">
        <v>1576</v>
      </c>
    </row>
    <row r="130" spans="1:6">
      <c r="A130" s="67" t="s">
        <v>1577</v>
      </c>
      <c r="B130" s="70" t="s">
        <v>1578</v>
      </c>
      <c r="C130" s="67" t="s">
        <v>1579</v>
      </c>
      <c r="D130" s="67" t="s">
        <v>1580</v>
      </c>
    </row>
    <row r="131" spans="1:6">
      <c r="A131" s="67" t="s">
        <v>1581</v>
      </c>
      <c r="B131" s="70" t="s">
        <v>1582</v>
      </c>
      <c r="C131" s="67" t="s">
        <v>1583</v>
      </c>
      <c r="D131" s="67" t="s">
        <v>1584</v>
      </c>
    </row>
    <row r="132" spans="1:6">
      <c r="A132" s="67" t="s">
        <v>1585</v>
      </c>
      <c r="B132" s="70" t="s">
        <v>1586</v>
      </c>
      <c r="C132" s="67" t="s">
        <v>1587</v>
      </c>
      <c r="D132" s="67" t="s">
        <v>1588</v>
      </c>
    </row>
    <row r="133" spans="1:6">
      <c r="A133" s="67" t="s">
        <v>1589</v>
      </c>
      <c r="B133" s="70" t="s">
        <v>1590</v>
      </c>
      <c r="C133" s="67" t="s">
        <v>1591</v>
      </c>
      <c r="D133" s="67" t="s">
        <v>1592</v>
      </c>
    </row>
    <row r="134" spans="1:6">
      <c r="A134" s="67"/>
      <c r="B134" s="70"/>
      <c r="C134" s="67"/>
      <c r="D134" s="67"/>
    </row>
    <row r="135" spans="1:6">
      <c r="A135" s="79" t="s">
        <v>1593</v>
      </c>
      <c r="B135" s="79" t="s">
        <v>147</v>
      </c>
      <c r="C135" s="79" t="s">
        <v>148</v>
      </c>
      <c r="D135" s="79" t="s">
        <v>182</v>
      </c>
      <c r="E135" s="79" t="s">
        <v>490</v>
      </c>
    </row>
    <row r="136" spans="1:6">
      <c r="A136" s="67" t="s">
        <v>1594</v>
      </c>
      <c r="B136" s="70"/>
      <c r="C136" s="67"/>
      <c r="D136" t="s">
        <v>1595</v>
      </c>
      <c r="F136" t="s">
        <v>397</v>
      </c>
    </row>
    <row r="137" spans="1:6">
      <c r="A137" s="67" t="s">
        <v>1596</v>
      </c>
      <c r="B137" s="70" t="s">
        <v>1597</v>
      </c>
      <c r="C137" s="67" t="s">
        <v>1598</v>
      </c>
      <c r="D137" s="67" t="s">
        <v>1599</v>
      </c>
      <c r="E137" t="s">
        <v>1600</v>
      </c>
    </row>
    <row r="138" spans="1:6">
      <c r="A138" s="67" t="s">
        <v>1601</v>
      </c>
      <c r="B138" s="70" t="s">
        <v>787</v>
      </c>
      <c r="C138" s="67" t="s">
        <v>787</v>
      </c>
      <c r="D138" s="67" t="s">
        <v>1602</v>
      </c>
      <c r="E138" t="s">
        <v>1603</v>
      </c>
    </row>
    <row r="139" spans="1:6">
      <c r="A139" s="67" t="s">
        <v>1604</v>
      </c>
      <c r="B139" s="70" t="s">
        <v>1605</v>
      </c>
      <c r="C139" s="67" t="s">
        <v>1606</v>
      </c>
      <c r="D139" s="67" t="s">
        <v>1607</v>
      </c>
      <c r="E139" t="s">
        <v>1608</v>
      </c>
    </row>
    <row r="140" spans="1:6">
      <c r="A140" s="67" t="s">
        <v>1609</v>
      </c>
      <c r="B140" s="70" t="s">
        <v>1610</v>
      </c>
      <c r="C140" s="67" t="s">
        <v>1611</v>
      </c>
      <c r="D140" s="67" t="s">
        <v>1612</v>
      </c>
      <c r="E140" t="s">
        <v>1613</v>
      </c>
    </row>
    <row r="141" spans="1:6">
      <c r="A141" s="67" t="s">
        <v>1614</v>
      </c>
      <c r="B141" s="70" t="s">
        <v>1615</v>
      </c>
      <c r="C141" s="67" t="s">
        <v>1616</v>
      </c>
      <c r="D141" s="67" t="s">
        <v>1617</v>
      </c>
      <c r="E141" t="s">
        <v>1618</v>
      </c>
    </row>
    <row r="142" spans="1:6">
      <c r="A142" s="67" t="s">
        <v>1619</v>
      </c>
      <c r="B142" s="70" t="s">
        <v>1620</v>
      </c>
      <c r="C142" s="67" t="s">
        <v>1621</v>
      </c>
      <c r="D142" s="67" t="s">
        <v>1622</v>
      </c>
      <c r="E142" t="s">
        <v>1623</v>
      </c>
    </row>
    <row r="143" spans="1:6">
      <c r="A143" s="67" t="s">
        <v>1624</v>
      </c>
      <c r="B143" s="70" t="s">
        <v>1625</v>
      </c>
      <c r="C143" s="67" t="s">
        <v>1626</v>
      </c>
      <c r="D143" s="67" t="s">
        <v>1627</v>
      </c>
      <c r="E143" t="s">
        <v>1628</v>
      </c>
    </row>
    <row r="144" spans="1:6">
      <c r="A144" s="67" t="s">
        <v>1629</v>
      </c>
      <c r="B144" s="70" t="s">
        <v>787</v>
      </c>
      <c r="C144" s="67" t="s">
        <v>1630</v>
      </c>
      <c r="D144" s="67" t="s">
        <v>1631</v>
      </c>
      <c r="E144" t="s">
        <v>1632</v>
      </c>
    </row>
    <row r="145" spans="1:5">
      <c r="A145" s="67" t="s">
        <v>1633</v>
      </c>
      <c r="B145" s="70" t="s">
        <v>1634</v>
      </c>
      <c r="C145" s="67" t="s">
        <v>1635</v>
      </c>
      <c r="D145" s="67" t="s">
        <v>1636</v>
      </c>
      <c r="E145" t="s">
        <v>1538</v>
      </c>
    </row>
    <row r="146" spans="1:5">
      <c r="A146" s="67" t="s">
        <v>1637</v>
      </c>
      <c r="B146" s="70" t="s">
        <v>1638</v>
      </c>
      <c r="C146" s="67" t="s">
        <v>1639</v>
      </c>
      <c r="D146" s="67" t="s">
        <v>1640</v>
      </c>
      <c r="E146" t="s">
        <v>1540</v>
      </c>
    </row>
    <row r="147" spans="1:5">
      <c r="A147" s="67" t="s">
        <v>1641</v>
      </c>
      <c r="B147" s="70" t="s">
        <v>1642</v>
      </c>
      <c r="C147" s="67" t="s">
        <v>1643</v>
      </c>
      <c r="D147" s="67" t="s">
        <v>1644</v>
      </c>
      <c r="E147" t="s">
        <v>1645</v>
      </c>
    </row>
    <row r="148" spans="1:5">
      <c r="A148" s="67" t="s">
        <v>1646</v>
      </c>
      <c r="B148" s="70" t="s">
        <v>1647</v>
      </c>
      <c r="C148" s="67" t="s">
        <v>1648</v>
      </c>
      <c r="D148" s="67" t="s">
        <v>1649</v>
      </c>
      <c r="E148" t="s">
        <v>1650</v>
      </c>
    </row>
    <row r="149" spans="1:5">
      <c r="A149" s="67" t="s">
        <v>1651</v>
      </c>
      <c r="B149" s="70" t="s">
        <v>1652</v>
      </c>
      <c r="C149" s="67" t="s">
        <v>1653</v>
      </c>
      <c r="D149" s="67" t="s">
        <v>1654</v>
      </c>
      <c r="E149" t="s">
        <v>1540</v>
      </c>
    </row>
    <row r="150" spans="1:5">
      <c r="A150" s="67" t="s">
        <v>1655</v>
      </c>
      <c r="B150" s="70" t="s">
        <v>1656</v>
      </c>
      <c r="C150" s="67" t="s">
        <v>1657</v>
      </c>
      <c r="D150" s="67" t="s">
        <v>1658</v>
      </c>
      <c r="E150" t="s">
        <v>1659</v>
      </c>
    </row>
    <row r="151" spans="1:5">
      <c r="A151" s="67" t="s">
        <v>1660</v>
      </c>
      <c r="B151" s="70" t="s">
        <v>1661</v>
      </c>
      <c r="C151" s="67" t="s">
        <v>1662</v>
      </c>
      <c r="D151" s="67" t="s">
        <v>1663</v>
      </c>
      <c r="E151" t="s">
        <v>1664</v>
      </c>
    </row>
    <row r="152" spans="1:5">
      <c r="A152" s="67" t="s">
        <v>1665</v>
      </c>
      <c r="B152" s="70" t="s">
        <v>787</v>
      </c>
      <c r="C152" s="67" t="s">
        <v>1666</v>
      </c>
      <c r="D152" s="67" t="s">
        <v>1667</v>
      </c>
      <c r="E152" t="s">
        <v>1668</v>
      </c>
    </row>
    <row r="153" spans="1:5">
      <c r="A153" s="67" t="s">
        <v>1669</v>
      </c>
      <c r="B153" s="70" t="s">
        <v>1670</v>
      </c>
      <c r="C153" s="67" t="s">
        <v>1671</v>
      </c>
      <c r="D153" s="67" t="s">
        <v>1672</v>
      </c>
      <c r="E153" t="s">
        <v>1540</v>
      </c>
    </row>
    <row r="154" spans="1:5">
      <c r="A154" s="67" t="s">
        <v>1673</v>
      </c>
      <c r="B154" s="70" t="s">
        <v>1674</v>
      </c>
      <c r="C154" s="67" t="s">
        <v>1675</v>
      </c>
      <c r="D154" s="67" t="s">
        <v>1676</v>
      </c>
      <c r="E154" t="s">
        <v>1623</v>
      </c>
    </row>
    <row r="155" spans="1:5">
      <c r="A155" s="67" t="s">
        <v>1677</v>
      </c>
      <c r="B155" s="70" t="s">
        <v>1678</v>
      </c>
      <c r="C155" s="67" t="s">
        <v>1679</v>
      </c>
      <c r="D155" s="67" t="s">
        <v>1680</v>
      </c>
      <c r="E155" t="s">
        <v>1681</v>
      </c>
    </row>
    <row r="156" spans="1:5">
      <c r="A156" s="67" t="s">
        <v>1682</v>
      </c>
      <c r="B156" s="70" t="s">
        <v>1683</v>
      </c>
      <c r="C156" s="67" t="s">
        <v>1684</v>
      </c>
      <c r="D156" s="67" t="s">
        <v>1685</v>
      </c>
      <c r="E156" t="s">
        <v>1686</v>
      </c>
    </row>
    <row r="157" spans="1:5">
      <c r="A157" s="67" t="s">
        <v>1687</v>
      </c>
      <c r="B157" s="70" t="s">
        <v>1688</v>
      </c>
      <c r="C157" s="67" t="s">
        <v>1689</v>
      </c>
      <c r="D157" s="67" t="s">
        <v>1690</v>
      </c>
      <c r="E157" t="s">
        <v>1659</v>
      </c>
    </row>
    <row r="158" spans="1:5">
      <c r="A158" s="67" t="s">
        <v>1691</v>
      </c>
      <c r="B158" s="70" t="s">
        <v>1692</v>
      </c>
      <c r="C158" s="67" t="s">
        <v>1693</v>
      </c>
      <c r="D158" s="67" t="s">
        <v>1694</v>
      </c>
      <c r="E158" t="s">
        <v>1695</v>
      </c>
    </row>
    <row r="159" spans="1:5">
      <c r="A159" s="67" t="s">
        <v>1696</v>
      </c>
      <c r="B159" s="70" t="s">
        <v>1697</v>
      </c>
      <c r="C159" s="67" t="s">
        <v>1698</v>
      </c>
      <c r="D159" s="67" t="s">
        <v>1699</v>
      </c>
      <c r="E159" t="s">
        <v>1659</v>
      </c>
    </row>
    <row r="160" spans="1:5">
      <c r="A160" s="67" t="s">
        <v>1700</v>
      </c>
      <c r="B160" s="67" t="s">
        <v>787</v>
      </c>
      <c r="C160" s="67" t="s">
        <v>787</v>
      </c>
      <c r="D160" s="67" t="s">
        <v>787</v>
      </c>
      <c r="E160" t="s">
        <v>1540</v>
      </c>
    </row>
    <row r="161" spans="1:5">
      <c r="A161" s="67" t="s">
        <v>1701</v>
      </c>
      <c r="B161" s="70" t="s">
        <v>787</v>
      </c>
      <c r="C161" s="70" t="s">
        <v>787</v>
      </c>
      <c r="D161" s="67" t="s">
        <v>1702</v>
      </c>
      <c r="E161" t="s">
        <v>1703</v>
      </c>
    </row>
    <row r="162" spans="1:5">
      <c r="A162" s="67" t="s">
        <v>1704</v>
      </c>
      <c r="B162" s="70" t="s">
        <v>1705</v>
      </c>
      <c r="C162" s="67" t="s">
        <v>1706</v>
      </c>
      <c r="D162" s="67" t="s">
        <v>1707</v>
      </c>
      <c r="E162" t="s">
        <v>1708</v>
      </c>
    </row>
    <row r="163" spans="1:5">
      <c r="A163" s="67" t="s">
        <v>1709</v>
      </c>
      <c r="B163" s="70" t="s">
        <v>787</v>
      </c>
      <c r="C163" s="70" t="s">
        <v>787</v>
      </c>
      <c r="D163" s="67" t="s">
        <v>1710</v>
      </c>
      <c r="E163" t="s">
        <v>1711</v>
      </c>
    </row>
    <row r="164" spans="1:5">
      <c r="A164" s="67" t="s">
        <v>1712</v>
      </c>
      <c r="B164" s="70" t="s">
        <v>1713</v>
      </c>
      <c r="C164" s="67" t="s">
        <v>1714</v>
      </c>
      <c r="D164" s="67" t="s">
        <v>1715</v>
      </c>
      <c r="E164" t="s">
        <v>1681</v>
      </c>
    </row>
    <row r="165" spans="1:5">
      <c r="A165" s="67" t="s">
        <v>1716</v>
      </c>
      <c r="B165" s="70" t="s">
        <v>1717</v>
      </c>
      <c r="C165" s="67" t="s">
        <v>1718</v>
      </c>
      <c r="D165" s="67" t="s">
        <v>1719</v>
      </c>
      <c r="E165" t="s">
        <v>1720</v>
      </c>
    </row>
    <row r="166" spans="1:5">
      <c r="A166" s="67" t="s">
        <v>1721</v>
      </c>
      <c r="B166" s="70" t="s">
        <v>1722</v>
      </c>
      <c r="C166" s="67" t="s">
        <v>1723</v>
      </c>
      <c r="D166" s="67" t="s">
        <v>1724</v>
      </c>
      <c r="E166" t="s">
        <v>1725</v>
      </c>
    </row>
    <row r="167" spans="1:5">
      <c r="A167" s="67" t="s">
        <v>1726</v>
      </c>
      <c r="B167" s="70" t="s">
        <v>787</v>
      </c>
      <c r="C167" s="67" t="s">
        <v>1727</v>
      </c>
      <c r="D167" s="67" t="s">
        <v>1728</v>
      </c>
      <c r="E167" t="s">
        <v>1650</v>
      </c>
    </row>
    <row r="168" spans="1:5">
      <c r="A168" s="67" t="s">
        <v>1729</v>
      </c>
      <c r="B168" s="70" t="s">
        <v>787</v>
      </c>
      <c r="C168" s="67" t="s">
        <v>1730</v>
      </c>
      <c r="D168" s="67" t="s">
        <v>1731</v>
      </c>
      <c r="E168" t="s">
        <v>1732</v>
      </c>
    </row>
    <row r="169" spans="1:5">
      <c r="A169" s="67" t="s">
        <v>1733</v>
      </c>
      <c r="B169" s="70" t="s">
        <v>787</v>
      </c>
      <c r="C169" s="67" t="s">
        <v>1734</v>
      </c>
      <c r="D169" s="67" t="s">
        <v>1735</v>
      </c>
      <c r="E169" t="s">
        <v>1736</v>
      </c>
    </row>
    <row r="170" spans="1:5">
      <c r="A170" s="67" t="s">
        <v>1737</v>
      </c>
      <c r="B170" s="70" t="s">
        <v>1738</v>
      </c>
      <c r="C170" s="67" t="s">
        <v>1739</v>
      </c>
      <c r="D170" s="67" t="s">
        <v>1740</v>
      </c>
      <c r="E170" t="s">
        <v>1703</v>
      </c>
    </row>
    <row r="171" spans="1:5">
      <c r="A171" s="67" t="s">
        <v>1741</v>
      </c>
      <c r="B171" s="70" t="s">
        <v>1742</v>
      </c>
      <c r="C171" s="67" t="s">
        <v>1743</v>
      </c>
      <c r="D171" s="67" t="s">
        <v>1744</v>
      </c>
      <c r="E171" t="s">
        <v>1745</v>
      </c>
    </row>
    <row r="172" spans="1:5">
      <c r="A172" s="67" t="s">
        <v>1746</v>
      </c>
      <c r="B172" s="70" t="s">
        <v>787</v>
      </c>
      <c r="C172" s="70" t="s">
        <v>787</v>
      </c>
      <c r="D172" s="67" t="s">
        <v>1747</v>
      </c>
      <c r="E172" t="s">
        <v>1748</v>
      </c>
    </row>
    <row r="173" spans="1:5">
      <c r="A173" s="67" t="s">
        <v>1749</v>
      </c>
      <c r="B173" s="70" t="s">
        <v>1750</v>
      </c>
      <c r="C173" s="67" t="s">
        <v>1751</v>
      </c>
      <c r="D173" s="67" t="s">
        <v>1752</v>
      </c>
      <c r="E173" t="s">
        <v>1753</v>
      </c>
    </row>
    <row r="174" spans="1:5">
      <c r="A174" s="67" t="s">
        <v>1754</v>
      </c>
      <c r="B174" s="70" t="s">
        <v>1755</v>
      </c>
      <c r="C174" s="67" t="s">
        <v>1756</v>
      </c>
      <c r="D174" s="67" t="s">
        <v>1757</v>
      </c>
      <c r="E174" t="s">
        <v>1758</v>
      </c>
    </row>
    <row r="175" spans="1:5">
      <c r="A175" s="67" t="s">
        <v>1759</v>
      </c>
      <c r="B175" s="70" t="s">
        <v>1760</v>
      </c>
      <c r="C175" s="67" t="s">
        <v>1761</v>
      </c>
      <c r="D175" s="67" t="s">
        <v>1762</v>
      </c>
      <c r="E175" t="s">
        <v>1763</v>
      </c>
    </row>
    <row r="176" spans="1:5">
      <c r="A176" s="67" t="s">
        <v>1764</v>
      </c>
      <c r="B176" s="70" t="s">
        <v>1765</v>
      </c>
      <c r="C176" s="67" t="s">
        <v>1766</v>
      </c>
      <c r="D176" s="67" t="s">
        <v>1767</v>
      </c>
      <c r="E176" t="s">
        <v>1768</v>
      </c>
    </row>
    <row r="177" spans="1:5">
      <c r="A177" s="67" t="s">
        <v>1769</v>
      </c>
      <c r="B177" s="70" t="s">
        <v>787</v>
      </c>
      <c r="C177" s="67" t="s">
        <v>1770</v>
      </c>
      <c r="D177" s="67" t="s">
        <v>1771</v>
      </c>
      <c r="E177" t="s">
        <v>1772</v>
      </c>
    </row>
  </sheetData>
  <customSheetViews>
    <customSheetView guid="{617856E6-44D1-4ADD-8CA5-796514BA68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345"/>
  <sheetViews>
    <sheetView workbookViewId="0"/>
  </sheetViews>
  <sheetFormatPr defaultColWidth="9.140625" defaultRowHeight="15" customHeight="1"/>
  <cols>
    <col min="1" max="1" width="26.7109375" customWidth="1"/>
    <col min="2" max="2" width="17.85546875" customWidth="1"/>
    <col min="3" max="3" width="14.140625" customWidth="1"/>
    <col min="4" max="4" width="21.28515625" customWidth="1"/>
    <col min="5" max="5" width="19.85546875" customWidth="1"/>
    <col min="6" max="6" width="25.85546875" customWidth="1"/>
  </cols>
  <sheetData>
    <row r="1" spans="1:7">
      <c r="A1" s="60" t="s">
        <v>146</v>
      </c>
      <c r="B1" s="60" t="s">
        <v>147</v>
      </c>
      <c r="C1" s="60" t="s">
        <v>148</v>
      </c>
      <c r="D1" s="60" t="s">
        <v>182</v>
      </c>
      <c r="E1" s="72"/>
      <c r="F1" s="41" t="s">
        <v>1773</v>
      </c>
      <c r="G1" s="72"/>
    </row>
    <row r="2" spans="1:7">
      <c r="A2" s="67" t="s">
        <v>1774</v>
      </c>
      <c r="B2" s="59" t="str">
        <f>HYPERLINK("https://twitter.com/CAgovernment","@CAgovernment")</f>
        <v>@CAgovernment</v>
      </c>
      <c r="C2" s="67" t="s">
        <v>1775</v>
      </c>
      <c r="D2" s="67" t="s">
        <v>1776</v>
      </c>
    </row>
    <row r="3" spans="1:7">
      <c r="A3" s="67" t="s">
        <v>1777</v>
      </c>
      <c r="D3" s="67" t="s">
        <v>1778</v>
      </c>
      <c r="F3" t="s">
        <v>1779</v>
      </c>
    </row>
    <row r="4" spans="1:7">
      <c r="A4" s="67" t="s">
        <v>1780</v>
      </c>
      <c r="B4" s="70" t="s">
        <v>1781</v>
      </c>
      <c r="C4" s="67" t="s">
        <v>1782</v>
      </c>
      <c r="D4" s="67" t="s">
        <v>1783</v>
      </c>
    </row>
    <row r="5" spans="1:7">
      <c r="A5" s="67" t="s">
        <v>1784</v>
      </c>
      <c r="D5" s="67" t="s">
        <v>1785</v>
      </c>
    </row>
    <row r="6" spans="1:7" ht="12.75">
      <c r="A6" s="34" t="s">
        <v>1786</v>
      </c>
      <c r="D6" s="34" t="s">
        <v>1787</v>
      </c>
      <c r="F6" s="100" t="s">
        <v>1788</v>
      </c>
    </row>
    <row r="7" spans="1:7" ht="38.25">
      <c r="A7" s="34" t="s">
        <v>1789</v>
      </c>
      <c r="D7" t="s">
        <v>1790</v>
      </c>
      <c r="F7" s="107"/>
    </row>
    <row r="8" spans="1:7" ht="22.5" customHeight="1">
      <c r="A8" s="34" t="s">
        <v>1791</v>
      </c>
      <c r="D8" t="s">
        <v>1792</v>
      </c>
      <c r="F8" s="100"/>
    </row>
    <row r="9" spans="1:7" ht="12.75">
      <c r="A9" t="s">
        <v>1793</v>
      </c>
      <c r="D9" s="34" t="s">
        <v>1794</v>
      </c>
    </row>
    <row r="10" spans="1:7" ht="38.25">
      <c r="A10" t="s">
        <v>1795</v>
      </c>
      <c r="B10" t="s">
        <v>1796</v>
      </c>
      <c r="C10" t="s">
        <v>1797</v>
      </c>
      <c r="D10" t="s">
        <v>1798</v>
      </c>
    </row>
    <row r="11" spans="1:7" ht="25.5">
      <c r="A11" t="s">
        <v>1799</v>
      </c>
      <c r="D11" t="s">
        <v>1800</v>
      </c>
      <c r="F11" s="34" t="s">
        <v>1801</v>
      </c>
    </row>
    <row r="12" spans="1:7" ht="12.75">
      <c r="A12" t="s">
        <v>1802</v>
      </c>
      <c r="D12" s="34" t="s">
        <v>1803</v>
      </c>
      <c r="F12" s="34" t="s">
        <v>1804</v>
      </c>
    </row>
    <row r="13" spans="1:7" ht="12.75">
      <c r="A13" t="s">
        <v>1805</v>
      </c>
      <c r="D13" s="34" t="s">
        <v>1806</v>
      </c>
      <c r="F13" s="34" t="s">
        <v>1807</v>
      </c>
    </row>
    <row r="14" spans="1:7" ht="12.75">
      <c r="A14" t="s">
        <v>1808</v>
      </c>
      <c r="D14" s="34" t="s">
        <v>1809</v>
      </c>
      <c r="F14" s="34"/>
    </row>
    <row r="15" spans="1:7" ht="60">
      <c r="A15" s="88" t="s">
        <v>1403</v>
      </c>
      <c r="D15" s="34"/>
      <c r="F15" s="34"/>
    </row>
    <row r="16" spans="1:7" ht="12.75">
      <c r="A16" s="3" t="str">
        <f>HYPERLINK("http://en.wikipedia.org/wiki/List_of_largest_California_cities_by_population","Largest Cities")</f>
        <v>Largest Cities</v>
      </c>
      <c r="B16" s="3" t="s">
        <v>147</v>
      </c>
      <c r="C16" s="77" t="s">
        <v>148</v>
      </c>
      <c r="D16" s="77" t="s">
        <v>182</v>
      </c>
      <c r="E16" s="14" t="s">
        <v>183</v>
      </c>
      <c r="F16" s="61"/>
    </row>
    <row r="17" spans="1:6" ht="12.75">
      <c r="A17" t="str">
        <f>HYPERLINK("http://en.wikipedia.org/wiki/Los_Angeles","Los Angeles")</f>
        <v>Los Angeles</v>
      </c>
      <c r="B17" t="s">
        <v>1810</v>
      </c>
      <c r="C17" s="34" t="s">
        <v>1810</v>
      </c>
      <c r="D17" s="34" t="s">
        <v>1811</v>
      </c>
      <c r="E17" s="55" t="str">
        <f>HYPERLINK("http://emergency.lacity.org/index.htm","LA OEM")</f>
        <v>LA OEM</v>
      </c>
      <c r="F17" s="34" t="str">
        <f>HYPERLINK("http://www.lacity.org/CityDirectory/index.htm","City Directory w/social media links")</f>
        <v>City Directory w/social media links</v>
      </c>
    </row>
    <row r="18" spans="1:6" ht="12.75">
      <c r="A18" t="str">
        <f>HYPERLINK("http://en.wikipedia.org/wiki/San_Diego","San Diego")</f>
        <v>San Diego</v>
      </c>
      <c r="B18" t="s">
        <v>1812</v>
      </c>
      <c r="C18" s="34" t="s">
        <v>1813</v>
      </c>
      <c r="D18" s="34" t="s">
        <v>1814</v>
      </c>
      <c r="E18" s="55" t="str">
        <f>HYPERLINK("http://www.sandiego.gov/ohs/","San Diego DHS")</f>
        <v>San Diego DHS</v>
      </c>
      <c r="F18" s="34"/>
    </row>
    <row r="19" spans="1:6" ht="12.75">
      <c r="A19" t="str">
        <f>HYPERLINK("http://en.wikipedia.org/wiki/San_Jose,_CA","San Jose")</f>
        <v>San Jose</v>
      </c>
      <c r="B19" t="s">
        <v>1815</v>
      </c>
      <c r="C19" s="34" t="s">
        <v>1816</v>
      </c>
      <c r="D19" s="34" t="s">
        <v>1817</v>
      </c>
      <c r="E19" s="55" t="str">
        <f>HYPERLINK("http://www.sanjoseca.gov/index.aspx?NID=1403","San Jose OES")</f>
        <v>San Jose OES</v>
      </c>
      <c r="F19" s="34" t="str">
        <f>HYPERLINK("http://www.sanjoseca.gov/index.aspx?NID=2425","Social Media Center")</f>
        <v>Social Media Center</v>
      </c>
    </row>
    <row r="20" spans="1:6" ht="12.75">
      <c r="A20" t="str">
        <f>HYPERLINK("http://en.wikipedia.org/wiki/San_Francisco,_California","San Francisco")</f>
        <v>San Francisco</v>
      </c>
      <c r="B20" t="s">
        <v>1818</v>
      </c>
      <c r="C20" s="34" t="s">
        <v>1819</v>
      </c>
      <c r="D20" s="34" t="s">
        <v>1820</v>
      </c>
      <c r="E20" s="55" t="str">
        <f>HYPERLINK("http://sfdem.org/","San Francisco OEM")</f>
        <v>San Francisco OEM</v>
      </c>
      <c r="F20" s="34" t="str">
        <f>HYPERLINK("http://www6.sfgov.org/index.aspx?page=166","Socail Media Center")</f>
        <v>Socail Media Center</v>
      </c>
    </row>
    <row r="21" spans="1:6" ht="12.75">
      <c r="A21" t="str">
        <f>HYPERLINK("http://en.wikipedia.org/wiki/Fresno,_California","Fresno")</f>
        <v>Fresno</v>
      </c>
      <c r="B21" t="s">
        <v>1821</v>
      </c>
      <c r="C21" s="34" t="s">
        <v>1822</v>
      </c>
      <c r="D21" s="34" t="s">
        <v>1823</v>
      </c>
      <c r="E21" s="55" t="str">
        <f>HYPERLINK("http://www.fresno.gov/Residents/EmergencyServices/Default.htm","Fresno EmerSer")</f>
        <v>Fresno EmerSer</v>
      </c>
      <c r="F21" s="34"/>
    </row>
    <row r="22" spans="1:6" ht="12.75">
      <c r="A22" t="str">
        <f>HYPERLINK("http://en.wikipedia.org/wiki/Sacramento,_California","Sacramento")</f>
        <v>Sacramento</v>
      </c>
      <c r="B22" t="s">
        <v>1824</v>
      </c>
      <c r="C22" s="34" t="s">
        <v>1825</v>
      </c>
      <c r="D22" s="34" t="s">
        <v>1826</v>
      </c>
      <c r="E22" s="51" t="str">
        <f>HYPERLINK("http://www.sacramentoready.org/Pages/default.aspx","SacramentoReady.gov")</f>
        <v>SacramentoReady.gov</v>
      </c>
      <c r="F22" s="34"/>
    </row>
    <row r="23" spans="1:6" ht="12.75">
      <c r="C23" s="34"/>
      <c r="D23" s="34"/>
      <c r="E23" s="51"/>
      <c r="F23" s="34"/>
    </row>
    <row r="24" spans="1:6">
      <c r="A24" s="79" t="s">
        <v>209</v>
      </c>
      <c r="B24" s="79" t="s">
        <v>147</v>
      </c>
      <c r="C24" s="79" t="s">
        <v>148</v>
      </c>
      <c r="D24" s="79" t="s">
        <v>182</v>
      </c>
      <c r="E24" s="79" t="s">
        <v>183</v>
      </c>
      <c r="F24" s="79" t="s">
        <v>211</v>
      </c>
    </row>
    <row r="25" spans="1:6">
      <c r="A25" s="67" t="str">
        <f>HYPERLINK("http://en.wikipedia.org/wiki/Alameda_County,_California","Alameda")</f>
        <v>Alameda</v>
      </c>
      <c r="B25" s="70" t="s">
        <v>1827</v>
      </c>
      <c r="C25" s="67" t="s">
        <v>1828</v>
      </c>
      <c r="D25" s="67" t="s">
        <v>1829</v>
      </c>
      <c r="E25" t="str">
        <f>HYPERLINK("http://www.acgov.org/emergencysite/","Alameda EMA")</f>
        <v>Alameda EMA</v>
      </c>
    </row>
    <row r="26" spans="1:6">
      <c r="A26" s="67" t="str">
        <f>HYPERLINK("http://en.wikipedia.org/wiki/Alpine_County,_California","Alpine")</f>
        <v>Alpine</v>
      </c>
      <c r="B26" s="70" t="s">
        <v>164</v>
      </c>
      <c r="C26" s="34" t="s">
        <v>1830</v>
      </c>
      <c r="D26" s="67" t="s">
        <v>1831</v>
      </c>
      <c r="E26" t="s">
        <v>164</v>
      </c>
    </row>
    <row r="27" spans="1:6" ht="39">
      <c r="A27" s="67" t="str">
        <f>HYPERLINK("http://en.wikipedia.org/wiki/Amador_County,_California","Amador")</f>
        <v>Amador</v>
      </c>
      <c r="B27" s="70" t="s">
        <v>1832</v>
      </c>
      <c r="C27" t="s">
        <v>1833</v>
      </c>
      <c r="D27" s="67" t="s">
        <v>1834</v>
      </c>
      <c r="E27" s="34" t="str">
        <f>HYPERLINK("http://www.co.amador.ca.us/index.aspx?page=396","Amador EMA")</f>
        <v>Amador EMA</v>
      </c>
    </row>
    <row r="28" spans="1:6">
      <c r="A28" s="67" t="str">
        <f>HYPERLINK("http://en.wikipedia.org/wiki/Butte_County,_California","Butte")</f>
        <v>Butte</v>
      </c>
      <c r="B28" s="70" t="s">
        <v>1835</v>
      </c>
      <c r="C28" t="s">
        <v>164</v>
      </c>
      <c r="D28" s="67" t="s">
        <v>1836</v>
      </c>
      <c r="E28" t="str">
        <f>HYPERLINK("http://www.buttecounty.net/Office%20of%20Emergency%20Mgmt.aspx","Butte EMA")</f>
        <v>Butte EMA</v>
      </c>
    </row>
    <row r="29" spans="1:6">
      <c r="A29" s="67" t="str">
        <f>HYPERLINK("http://en.wikipedia.org/wiki/Calaveras_County,_California","Calaveras")</f>
        <v>Calaveras</v>
      </c>
      <c r="B29" s="70" t="s">
        <v>164</v>
      </c>
      <c r="C29" t="s">
        <v>164</v>
      </c>
      <c r="D29" s="67" t="s">
        <v>1837</v>
      </c>
      <c r="E29" t="str">
        <f>HYPERLINK("http://sheriff.calaverasgov.us/","Calaveras sheriff")</f>
        <v>Calaveras sheriff</v>
      </c>
    </row>
    <row r="30" spans="1:6">
      <c r="A30" s="67" t="str">
        <f>HYPERLINK("http://en.wikipedia.org/wiki/Colusa_County,_California","Colusa")</f>
        <v>Colusa</v>
      </c>
      <c r="B30" s="70" t="s">
        <v>164</v>
      </c>
      <c r="C30" t="s">
        <v>164</v>
      </c>
      <c r="D30" s="67" t="s">
        <v>1838</v>
      </c>
      <c r="E30" s="34" t="str">
        <f>HYPERLINK("http://www.countyofcolusa.com/index.aspx?NID=64","Colusa EMA")</f>
        <v>Colusa EMA</v>
      </c>
    </row>
    <row r="31" spans="1:6">
      <c r="A31" s="67" t="str">
        <f>HYPERLINK("http://en.wikipedia.org/wiki/Contra_Costa_County,_California","Contra Costa")</f>
        <v>Contra Costa</v>
      </c>
      <c r="B31" s="70" t="s">
        <v>1839</v>
      </c>
      <c r="C31" t="s">
        <v>787</v>
      </c>
      <c r="D31" s="67" t="s">
        <v>1840</v>
      </c>
      <c r="E31" s="34" t="str">
        <f>HYPERLINK("http://www.co.contra-costa.ca.us/index.aspx?nid=2269","Contra Costa EMA")</f>
        <v>Contra Costa EMA</v>
      </c>
      <c r="F31" s="34" t="str">
        <f>HYPERLINK("https://www.facebook.com/pages/CONTRA-COSTA-SHERIFF-OFFICIAL-PAGE/224837426560","Contr Costa Sheriff")</f>
        <v>Contr Costa Sheriff</v>
      </c>
    </row>
    <row r="32" spans="1:6" ht="39">
      <c r="A32" s="67" t="str">
        <f>HYPERLINK("http://en.wikipedia.org/wiki/Del_Norte_County,_California","Del Norte")</f>
        <v>Del Norte</v>
      </c>
      <c r="B32" s="70" t="s">
        <v>1841</v>
      </c>
      <c r="C32" t="s">
        <v>1842</v>
      </c>
      <c r="D32" s="67" t="s">
        <v>1843</v>
      </c>
      <c r="E32" s="34" t="str">
        <f>HYPERLINK("http://www.co.del-norte.ca.us/departments/administration/emergency-services","Del Norte EMA")</f>
        <v>Del Norte EMA</v>
      </c>
    </row>
    <row r="33" spans="1:6">
      <c r="A33" s="67" t="str">
        <f>HYPERLINK("http://en.wikipedia.org/wiki/El_Dorado_County,_California","El Dorado")</f>
        <v>El Dorado</v>
      </c>
      <c r="B33" s="70" t="s">
        <v>1844</v>
      </c>
      <c r="C33" s="67" t="s">
        <v>1845</v>
      </c>
      <c r="D33" s="67" t="s">
        <v>1846</v>
      </c>
      <c r="F33" s="29" t="str">
        <f>HYPERLINK("http://edcgov.us/Government/EMS/EMS_main_info.aspx","El Dorado EMS")</f>
        <v>El Dorado EMS</v>
      </c>
    </row>
    <row r="34" spans="1:6" ht="30">
      <c r="A34" s="67" t="str">
        <f>HYPERLINK("http://en.wikipedia.org/wiki/Fresno_County,_California","Fresno")</f>
        <v>Fresno</v>
      </c>
      <c r="B34" s="54" t="s">
        <v>1847</v>
      </c>
      <c r="C34" t="s">
        <v>164</v>
      </c>
      <c r="D34" s="67" t="s">
        <v>1848</v>
      </c>
      <c r="E34" t="str">
        <f>HYPERLINK("http://www.co.fresno.ca.us/DepartmentPage.aspx?id=21169","Fresno Law enforcement")</f>
        <v>Fresno Law enforcement</v>
      </c>
      <c r="F34" t="str">
        <f>HYPERLINK("https://www.facebook.com/FresnoPoliceDepartment","Fresno Police - Facebook")</f>
        <v>Fresno Police - Facebook</v>
      </c>
    </row>
    <row r="35" spans="1:6">
      <c r="A35" s="67" t="str">
        <f>HYPERLINK("http://en.wikipedia.org/wiki/Glenn_County,_California","Glenn")</f>
        <v>Glenn</v>
      </c>
      <c r="B35" s="70" t="s">
        <v>164</v>
      </c>
      <c r="C35" t="s">
        <v>164</v>
      </c>
      <c r="D35" s="67" t="s">
        <v>1849</v>
      </c>
      <c r="E35" t="s">
        <v>164</v>
      </c>
    </row>
    <row r="36" spans="1:6">
      <c r="A36" s="67" t="str">
        <f>HYPERLINK("http://en.wikipedia.org/wiki/Humboldt_County,_California","Humboldt ")</f>
        <v xml:space="preserve">Humboldt </v>
      </c>
      <c r="B36" s="70" t="s">
        <v>1850</v>
      </c>
      <c r="C36" t="s">
        <v>164</v>
      </c>
      <c r="D36" s="67" t="s">
        <v>1851</v>
      </c>
      <c r="E36" t="str">
        <f>HYPERLINK("http://co.humboldt.ca.us/sheriff/oes/","Humboldt OES")</f>
        <v>Humboldt OES</v>
      </c>
      <c r="F36" t="str">
        <f>HYPERLINK("http://en.wikipedia.org/wiki/Humboldt_Bay_Harbor_Recreation_%26_Conservation_District","Port of Humboldt Bay")</f>
        <v>Port of Humboldt Bay</v>
      </c>
    </row>
    <row r="37" spans="1:6">
      <c r="A37" s="67" t="str">
        <f>HYPERLINK("http://en.wikipedia.org/wiki/Imperial_County,_California","Imperial")</f>
        <v>Imperial</v>
      </c>
      <c r="B37" s="70" t="s">
        <v>164</v>
      </c>
      <c r="C37" t="s">
        <v>164</v>
      </c>
      <c r="D37" s="67" t="s">
        <v>1852</v>
      </c>
      <c r="E37" t="s">
        <v>164</v>
      </c>
      <c r="F37" t="str">
        <f>HYPERLINK("http://www.co.imperial.ca.us/Announcements/EarthquakeAssistanceInformation083012.pdf","Eathquake Assistance")</f>
        <v>Eathquake Assistance</v>
      </c>
    </row>
    <row r="38" spans="1:6">
      <c r="A38" s="67" t="str">
        <f>HYPERLINK("http://en.wikipedia.org/wiki/Inyo_County,_California","Inyo")</f>
        <v>Inyo</v>
      </c>
      <c r="B38" s="70" t="s">
        <v>164</v>
      </c>
      <c r="C38" t="s">
        <v>164</v>
      </c>
      <c r="D38" s="67" t="s">
        <v>1853</v>
      </c>
      <c r="E38" t="str">
        <f>HYPERLINK("http://www.inyocounty.us/OES/emergency_services.htm","Inyo OES")</f>
        <v>Inyo OES</v>
      </c>
    </row>
    <row r="39" spans="1:6">
      <c r="A39" s="67" t="str">
        <f>HYPERLINK("http://en.wikipedia.org/wiki/Kern_County,_California","Kern")</f>
        <v>Kern</v>
      </c>
      <c r="B39" s="70" t="s">
        <v>1854</v>
      </c>
      <c r="C39" t="s">
        <v>164</v>
      </c>
      <c r="D39" s="67" t="s">
        <v>1855</v>
      </c>
      <c r="E39" t="str">
        <f>HYPERLINK("http://www.kernsheriff.com/Pages/default.aspx","Kern Sheriff")</f>
        <v>Kern Sheriff</v>
      </c>
    </row>
    <row r="40" spans="1:6">
      <c r="A40" s="67" t="str">
        <f>HYPERLINK("http://en.wikipedia.org/wiki/Kings_County,_California","Kings")</f>
        <v>Kings</v>
      </c>
      <c r="B40" s="70" t="s">
        <v>164</v>
      </c>
      <c r="C40" t="s">
        <v>164</v>
      </c>
      <c r="D40" s="67" t="s">
        <v>1856</v>
      </c>
      <c r="E40" t="str">
        <f>HYPERLINK("http://www.kingscountybt.com/countykings/default.htm","Kings OEM")</f>
        <v>Kings OEM</v>
      </c>
    </row>
    <row r="41" spans="1:6">
      <c r="A41" s="67" t="str">
        <f>HYPERLINK("http://en.wikipedia.org/wiki/Lake_County,_California","Lake")</f>
        <v>Lake</v>
      </c>
      <c r="B41" s="70" t="s">
        <v>1857</v>
      </c>
      <c r="C41" t="s">
        <v>164</v>
      </c>
      <c r="D41" s="67" t="s">
        <v>1858</v>
      </c>
      <c r="E41" t="str">
        <f>HYPERLINK("http://www.co.lake.ca.us/Emergencies/Prepared.htm","Lake OEM")</f>
        <v>Lake OEM</v>
      </c>
    </row>
    <row r="42" spans="1:6">
      <c r="A42" s="67" t="str">
        <f>HYPERLINK("http://en.wikipedia.org/wiki/Lassen_County,_California","Lassen")</f>
        <v>Lassen</v>
      </c>
      <c r="B42" s="70" t="s">
        <v>164</v>
      </c>
      <c r="C42" t="s">
        <v>164</v>
      </c>
      <c r="D42" s="67" t="s">
        <v>1859</v>
      </c>
      <c r="E42" t="str">
        <f>HYPERLINK("http://www.co.lassen.ca.us/govt/dept/sheriff_oes/default.asp","Lassen OEM")</f>
        <v>Lassen OEM</v>
      </c>
    </row>
    <row r="43" spans="1:6" ht="26.25">
      <c r="A43" s="67" t="str">
        <f>HYPERLINK("http://en.wikipedia.org/wiki/Los_Angeles_County,_California","Los Angeles")</f>
        <v>Los Angeles</v>
      </c>
      <c r="B43" s="70" t="s">
        <v>1860</v>
      </c>
      <c r="C43" t="str">
        <f>HYPERLINK("https://www.facebook.com/LosAngelesCountySheriffsDepartment","LACounty Sheriff")</f>
        <v>LACounty Sheriff</v>
      </c>
      <c r="D43" s="67" t="s">
        <v>1861</v>
      </c>
      <c r="E43" t="str">
        <f>HYPERLINK("https://publichealth.lacounty.gov/eprp/media/vital_links.htm","Los Angeles OEM")</f>
        <v>Los Angeles OEM</v>
      </c>
      <c r="F43" t="str">
        <f>HYPERLINK("http://lacoa.org/PDF/EmergencySurvivalGuide-LowRes.pdf"," LACounty Emergency Survival Guide")</f>
        <v xml:space="preserve"> LACounty Emergency Survival Guide</v>
      </c>
    </row>
    <row r="44" spans="1:6">
      <c r="A44" s="67" t="str">
        <f>HYPERLINK("http://en.wikipedia.org/wiki/Madera_County,_California","Madera")</f>
        <v>Madera</v>
      </c>
      <c r="B44" s="70" t="s">
        <v>1862</v>
      </c>
      <c r="C44" s="34" t="s">
        <v>1863</v>
      </c>
      <c r="D44" s="67" t="s">
        <v>1864</v>
      </c>
      <c r="E44" t="str">
        <f>HYPERLINK("http://www.madera-county.com/index.php/office-of-emergency-services","Madera OEM")</f>
        <v>Madera OEM</v>
      </c>
    </row>
    <row r="45" spans="1:6">
      <c r="A45" s="67" t="str">
        <f>HYPERLINK("http://en.wikipedia.org/wiki/Marin_County,_California","Marin")</f>
        <v>Marin</v>
      </c>
      <c r="B45" s="70" t="s">
        <v>1865</v>
      </c>
      <c r="C45" s="67" t="s">
        <v>1866</v>
      </c>
      <c r="D45" s="67" t="s">
        <v>1867</v>
      </c>
      <c r="E45" t="str">
        <f>HYPERLINK("http://www.marincounty.org/residents/public-safety/emergency-preparedness","Marin OEM")</f>
        <v>Marin OEM</v>
      </c>
    </row>
    <row r="46" spans="1:6">
      <c r="A46" s="67" t="str">
        <f>HYPERLINK("http://en.wikipedia.org/wiki/Mariposa_County,_California","Mariposa")</f>
        <v>Mariposa</v>
      </c>
      <c r="B46" s="70" t="s">
        <v>164</v>
      </c>
      <c r="C46" t="s">
        <v>164</v>
      </c>
      <c r="D46" s="67" t="s">
        <v>1868</v>
      </c>
      <c r="E46" t="str">
        <f>HYPERLINK("http://www.mariposacounty.org/index.aspx?NID=1215","Mariposa S.A.F.E.")</f>
        <v>Mariposa S.A.F.E.</v>
      </c>
    </row>
    <row r="47" spans="1:6">
      <c r="A47" s="67" t="str">
        <f>HYPERLINK("http://en.wikipedia.org/wiki/Mendocino_County,_California","Mendicino")</f>
        <v>Mendicino</v>
      </c>
      <c r="B47" s="70" t="s">
        <v>1869</v>
      </c>
      <c r="C47" s="67" t="s">
        <v>1870</v>
      </c>
      <c r="D47" s="67" t="s">
        <v>1871</v>
      </c>
      <c r="E47" t="str">
        <f>HYPERLINK("https://www.facebook.com/MendocinoSheriff","Mendecino Sheriff")</f>
        <v>Mendecino Sheriff</v>
      </c>
    </row>
    <row r="48" spans="1:6">
      <c r="A48" s="67" t="str">
        <f>HYPERLINK("http://en.wikipedia.org/wiki/Merced_County,_California","Merced")</f>
        <v>Merced</v>
      </c>
      <c r="B48" s="70" t="s">
        <v>1872</v>
      </c>
      <c r="C48" t="s">
        <v>164</v>
      </c>
      <c r="D48" s="67" t="s">
        <v>1873</v>
      </c>
      <c r="E48" t="str">
        <f>HYPERLINK("http://www.co.merced.ca.us/index.aspx?nid=1599","Merced OEM")</f>
        <v>Merced OEM</v>
      </c>
    </row>
    <row r="49" spans="1:6">
      <c r="A49" s="67" t="str">
        <f>HYPERLINK("http://en.wikipedia.org/wiki/Modoc_County,_California","Modoc")</f>
        <v>Modoc</v>
      </c>
      <c r="B49" s="70" t="s">
        <v>1874</v>
      </c>
      <c r="C49" t="s">
        <v>164</v>
      </c>
      <c r="D49" s="67" t="s">
        <v>1875</v>
      </c>
      <c r="E49" t="str">
        <f>HYPERLINK("http://www.modocsheriff.us/","Modoc Sheriff")</f>
        <v>Modoc Sheriff</v>
      </c>
    </row>
    <row r="50" spans="1:6" ht="26.25">
      <c r="A50" s="67" t="str">
        <f>HYPERLINK("http://en.wikipedia.org/wiki/Mono_County,_California","Mono")</f>
        <v>Mono</v>
      </c>
      <c r="B50" s="70" t="s">
        <v>1876</v>
      </c>
      <c r="C50" t="s">
        <v>164</v>
      </c>
      <c r="D50" s="67" t="s">
        <v>1877</v>
      </c>
      <c r="E50" t="str">
        <f>HYPERLINK("http://www.monocounty.ca.gov/sheriff/page/emergency-services","Mono OEM")</f>
        <v>Mono OEM</v>
      </c>
      <c r="F50" t="s">
        <v>1878</v>
      </c>
    </row>
    <row r="51" spans="1:6">
      <c r="A51" s="67" t="str">
        <f>HYPERLINK("http://en.wikipedia.org/wiki/Monterey_County,_California","Monterey ")</f>
        <v xml:space="preserve">Monterey </v>
      </c>
      <c r="B51" s="70" t="s">
        <v>1879</v>
      </c>
      <c r="C51" t="s">
        <v>164</v>
      </c>
      <c r="D51" s="67" t="s">
        <v>1880</v>
      </c>
      <c r="E51" t="str">
        <f>HYPERLINK("http://www.co.monterey.ca.us/911/","Monterey 911")</f>
        <v>Monterey 911</v>
      </c>
    </row>
    <row r="52" spans="1:6">
      <c r="A52" s="67" t="str">
        <f>HYPERLINK("http://en.wikipedia.org/wiki/Napa_County,_California","Napa")</f>
        <v>Napa</v>
      </c>
      <c r="B52" s="70" t="s">
        <v>1881</v>
      </c>
      <c r="C52" s="67" t="s">
        <v>1882</v>
      </c>
      <c r="D52" s="67" t="s">
        <v>1883</v>
      </c>
      <c r="E52" t="str">
        <f>HYPERLINK("http://www.countyofnapa.org/Emergencies/","Napa OES")</f>
        <v>Napa OES</v>
      </c>
    </row>
    <row r="53" spans="1:6">
      <c r="A53" s="67" t="str">
        <f>HYPERLINK("http://en.wikipedia.org/wiki/Nevada_County,_California","Nevada")</f>
        <v>Nevada</v>
      </c>
      <c r="B53" s="70" t="s">
        <v>1884</v>
      </c>
      <c r="C53" s="67" t="s">
        <v>164</v>
      </c>
      <c r="D53" s="67" t="s">
        <v>1885</v>
      </c>
      <c r="E53" t="str">
        <f>HYPERLINK("http://www.mynevadacounty.com/nc/igs/oes/Pages/Home.aspx","Nevada OES")</f>
        <v>Nevada OES</v>
      </c>
    </row>
    <row r="54" spans="1:6">
      <c r="A54" s="67" t="str">
        <f>HYPERLINK("http://en.wikipedia.org/wiki/Orange_County,_California","Orange")</f>
        <v>Orange</v>
      </c>
      <c r="B54" s="70" t="s">
        <v>1886</v>
      </c>
      <c r="C54" s="67" t="s">
        <v>1887</v>
      </c>
      <c r="D54" s="67" t="s">
        <v>1888</v>
      </c>
      <c r="E54" t="str">
        <f>HYPERLINK("http://ocgov.com/about/emergency","Orange OES")</f>
        <v>Orange OES</v>
      </c>
      <c r="F54" t="s">
        <v>1889</v>
      </c>
    </row>
    <row r="55" spans="1:6" ht="26.25">
      <c r="A55" s="67" t="str">
        <f>HYPERLINK("http://en.wikipedia.org/wiki/Placer_County,_California","Placer")</f>
        <v>Placer</v>
      </c>
      <c r="B55" s="70" t="s">
        <v>1890</v>
      </c>
      <c r="C55" s="67" t="s">
        <v>1891</v>
      </c>
      <c r="D55" s="67" t="s">
        <v>1892</v>
      </c>
      <c r="E55" t="str">
        <f>HYPERLINK("http://www.placer.ca.gov/Departments/CEO/Emergency.aspx","Placer OES")</f>
        <v>Placer OES</v>
      </c>
      <c r="F55" t="s">
        <v>1893</v>
      </c>
    </row>
    <row r="56" spans="1:6">
      <c r="A56" s="67" t="str">
        <f>HYPERLINK("http://en.wikipedia.org/wiki/Plumas_County,_California","Plumas")</f>
        <v>Plumas</v>
      </c>
      <c r="B56" s="70" t="s">
        <v>1894</v>
      </c>
      <c r="C56" s="67" t="s">
        <v>1895</v>
      </c>
      <c r="D56" s="67" t="s">
        <v>1896</v>
      </c>
      <c r="E56" t="str">
        <f>HYPERLINK("http://www.countyofplumas.com/index.aspx?nid=88","Plumas OES")</f>
        <v>Plumas OES</v>
      </c>
    </row>
    <row r="57" spans="1:6">
      <c r="A57" s="67" t="str">
        <f>HYPERLINK("http://en.wikipedia.org/wiki/Riverside_County,_California","Riverside ")</f>
        <v xml:space="preserve">Riverside </v>
      </c>
      <c r="B57" s="70" t="s">
        <v>1897</v>
      </c>
      <c r="C57" t="s">
        <v>164</v>
      </c>
      <c r="D57" s="67" t="s">
        <v>1898</v>
      </c>
      <c r="E57" t="str">
        <f>HYPERLINK("http://www.countyofriverside.us/emergencies/","Riverside OES")</f>
        <v>Riverside OES</v>
      </c>
      <c r="F57" s="34" t="s">
        <v>1899</v>
      </c>
    </row>
    <row r="58" spans="1:6" ht="26.25">
      <c r="A58" s="67" t="str">
        <f>HYPERLINK("http://en.wikipedia.org/wiki/Sacramento_County,_California","Sacramento")</f>
        <v>Sacramento</v>
      </c>
      <c r="B58" s="70" t="s">
        <v>1900</v>
      </c>
      <c r="C58" s="67" t="s">
        <v>1901</v>
      </c>
      <c r="D58" s="67" t="s">
        <v>1902</v>
      </c>
      <c r="E58" t="str">
        <f>HYPERLINK("http://www.sacoes.org/Pages/default.aspx","SacOES.org")</f>
        <v>SacOES.org</v>
      </c>
      <c r="F58" t="s">
        <v>1903</v>
      </c>
    </row>
    <row r="59" spans="1:6">
      <c r="A59" s="67" t="str">
        <f>HYPERLINK("http://en.wikipedia.org/wiki/San_Benito_County,_California","San Benito ")</f>
        <v xml:space="preserve">San Benito </v>
      </c>
      <c r="B59" s="70" t="s">
        <v>164</v>
      </c>
      <c r="C59" t="s">
        <v>164</v>
      </c>
      <c r="D59" s="67" t="s">
        <v>1904</v>
      </c>
      <c r="E59" t="str">
        <f>HYPERLINK("http://cosb.us/safety/emergency-preparedness/#.UWnMOLWG2Dk","San Benito OES")</f>
        <v>San Benito OES</v>
      </c>
    </row>
    <row r="60" spans="1:6">
      <c r="A60" s="67" t="str">
        <f>HYPERLINK("http://en.wikipedia.org/wiki/San_Bernardino_County,_California","San Bernadino")</f>
        <v>San Bernadino</v>
      </c>
      <c r="B60" s="70" t="s">
        <v>1905</v>
      </c>
      <c r="C60" t="s">
        <v>164</v>
      </c>
      <c r="D60" s="67" t="s">
        <v>1906</v>
      </c>
      <c r="E60" t="s">
        <v>164</v>
      </c>
    </row>
    <row r="61" spans="1:6">
      <c r="A61" s="67" t="str">
        <f>HYPERLINK("http://en.wikipedia.org/wiki/San_Diego_County,_California","San Diego")</f>
        <v>San Diego</v>
      </c>
      <c r="B61" s="70" t="s">
        <v>1907</v>
      </c>
      <c r="C61" s="67" t="s">
        <v>1908</v>
      </c>
      <c r="D61" s="67" t="s">
        <v>1909</v>
      </c>
      <c r="E61" t="str">
        <f>HYPERLINK("http://www.sdcountyemergency.com/","San Diego OES")</f>
        <v>San Diego OES</v>
      </c>
      <c r="F61" t="str">
        <f>HYPERLINK("http://www.portofsandiego.org/","Port of San Diego")</f>
        <v>Port of San Diego</v>
      </c>
    </row>
    <row r="62" spans="1:6">
      <c r="A62" s="67" t="str">
        <f>HYPERLINK("http://en.wikipedia.org/wiki/San_Francisco_County","San Francisco")</f>
        <v>San Francisco</v>
      </c>
      <c r="B62" s="70" t="s">
        <v>1910</v>
      </c>
      <c r="C62" s="67" t="s">
        <v>1819</v>
      </c>
      <c r="D62" s="67" t="s">
        <v>1820</v>
      </c>
      <c r="E62" t="str">
        <f>HYPERLINK("http://www.sfdem.org/","San Francisco OEM")</f>
        <v>San Francisco OEM</v>
      </c>
    </row>
    <row r="63" spans="1:6" ht="39">
      <c r="A63" s="67" t="str">
        <f>HYPERLINK("http://en.wikipedia.org/wiki/San_Joaquin_County,_California","San Joaquin")</f>
        <v>San Joaquin</v>
      </c>
      <c r="B63" s="70" t="s">
        <v>1911</v>
      </c>
      <c r="C63" s="67" t="s">
        <v>1912</v>
      </c>
      <c r="D63" s="67" t="s">
        <v>1913</v>
      </c>
      <c r="E63" t="str">
        <f>HYPERLINK("http://www.sjgov.org/oes/","San Joaquin OES")</f>
        <v>San Joaquin OES</v>
      </c>
      <c r="F63" t="s">
        <v>1914</v>
      </c>
    </row>
    <row r="64" spans="1:6">
      <c r="A64" s="67" t="str">
        <f>HYPERLINK("http://en.wikipedia.org/wiki/San_Luis_Obispo_County,_California","San Luis Obispo")</f>
        <v>San Luis Obispo</v>
      </c>
      <c r="B64" s="70" t="s">
        <v>1915</v>
      </c>
      <c r="C64" s="67" t="s">
        <v>1916</v>
      </c>
      <c r="D64" s="67" t="s">
        <v>1917</v>
      </c>
      <c r="E64" t="str">
        <f>HYPERLINK("http://www.slocounty.ca.gov/OES.htm","San Luis Obisco OES")</f>
        <v>San Luis Obisco OES</v>
      </c>
    </row>
    <row r="65" spans="1:6">
      <c r="A65" s="67" t="str">
        <f>HYPERLINK("http://en.wikipedia.org/wiki/San_Mateo_County,_California","San Mateo")</f>
        <v>San Mateo</v>
      </c>
      <c r="B65" s="70" t="s">
        <v>1918</v>
      </c>
      <c r="C65" s="67" t="s">
        <v>1919</v>
      </c>
      <c r="D65" s="67" t="s">
        <v>1920</v>
      </c>
      <c r="E65" t="str">
        <f>HYPERLINK("","")</f>
        <v/>
      </c>
    </row>
    <row r="66" spans="1:6" ht="26.25">
      <c r="A66" s="67" t="str">
        <f>HYPERLINK("http://en.wikipedia.org/wiki/Santa_Barbara_County,_California","Santa Barbara")</f>
        <v>Santa Barbara</v>
      </c>
      <c r="B66" t="s">
        <v>164</v>
      </c>
      <c r="C66" t="s">
        <v>164</v>
      </c>
      <c r="D66" s="67" t="s">
        <v>1921</v>
      </c>
      <c r="E66" t="str">
        <f>HYPERLINK("http://www.countyofsb.org/ceo/oes.aspx?id=376","Santa Barbara OES")</f>
        <v>Santa Barbara OES</v>
      </c>
      <c r="F66" t="s">
        <v>1922</v>
      </c>
    </row>
    <row r="67" spans="1:6">
      <c r="A67" s="67" t="str">
        <f>HYPERLINK("http://en.wikipedia.org/wiki/Santa_Clara_County,_California","Santa Clara")</f>
        <v>Santa Clara</v>
      </c>
      <c r="B67" t="s">
        <v>1923</v>
      </c>
      <c r="C67" s="67" t="s">
        <v>1924</v>
      </c>
      <c r="D67" s="67" t="s">
        <v>1925</v>
      </c>
      <c r="E67" t="str">
        <f>HYPERLINK("http://www.sccgov.org/sites/oes/Pages/Office-of-Emergency-Services.aspx","Santa Clara OES")</f>
        <v>Santa Clara OES</v>
      </c>
    </row>
    <row r="68" spans="1:6" ht="26.25">
      <c r="A68" s="67" t="str">
        <f>HYPERLINK("http://en.wikipedia.org/wiki/Santa_Cruz_County,_California","Santa Cruz")</f>
        <v>Santa Cruz</v>
      </c>
      <c r="B68" s="70" t="s">
        <v>1926</v>
      </c>
      <c r="C68" t="s">
        <v>164</v>
      </c>
      <c r="D68" s="67" t="s">
        <v>1927</v>
      </c>
      <c r="E68" t="str">
        <f>HYPERLINK("http://sccounty04.co.santa-cruz.ca.us/oes/oesmain2.htm","Santa Cruz OES")</f>
        <v>Santa Cruz OES</v>
      </c>
      <c r="F68" t="s">
        <v>1037</v>
      </c>
    </row>
    <row r="69" spans="1:6">
      <c r="A69" s="67" t="str">
        <f>HYPERLINK("http://en.wikipedia.org/wiki/Shasta_County,_California","Shasta")</f>
        <v>Shasta</v>
      </c>
      <c r="B69" t="s">
        <v>164</v>
      </c>
      <c r="C69" t="s">
        <v>164</v>
      </c>
      <c r="D69" s="67" t="s">
        <v>1928</v>
      </c>
      <c r="E69" t="str">
        <f>HYPERLINK("http://www.co.shasta.ca.us/index/sheriff_index/emergency_prep.aspx","Shasta OES")</f>
        <v>Shasta OES</v>
      </c>
    </row>
    <row r="70" spans="1:6">
      <c r="A70" s="67" t="str">
        <f>HYPERLINK("http://en.wikipedia.org/wiki/Sierra_County,_California","Sierra")</f>
        <v>Sierra</v>
      </c>
      <c r="B70" t="s">
        <v>164</v>
      </c>
      <c r="C70" t="s">
        <v>164</v>
      </c>
      <c r="D70" s="67" t="s">
        <v>1929</v>
      </c>
      <c r="E70" t="str">
        <f>HYPERLINK("","")</f>
        <v/>
      </c>
    </row>
    <row r="71" spans="1:6">
      <c r="A71" s="67" t="str">
        <f>HYPERLINK("http://en.wikipedia.org/wiki/Siskiyou_County,_California","Siskiyou")</f>
        <v>Siskiyou</v>
      </c>
      <c r="B71" s="70" t="s">
        <v>1930</v>
      </c>
      <c r="C71" t="s">
        <v>164</v>
      </c>
      <c r="D71" s="67" t="s">
        <v>1931</v>
      </c>
      <c r="E71" t="str">
        <f>HYPERLINK("http://www.co.siskiyou.ca.us/PHS/emerg/oes.aspx","Siskiyou OES")</f>
        <v>Siskiyou OES</v>
      </c>
      <c r="F71" s="67" t="s">
        <v>1932</v>
      </c>
    </row>
    <row r="72" spans="1:6">
      <c r="A72" s="67" t="str">
        <f>HYPERLINK("http://en.wikipedia.org/wiki/Solano_County,_California","Solano")</f>
        <v>Solano</v>
      </c>
      <c r="B72" s="70" t="s">
        <v>1933</v>
      </c>
      <c r="C72" t="s">
        <v>164</v>
      </c>
      <c r="D72" s="67" t="s">
        <v>1934</v>
      </c>
      <c r="E72" t="str">
        <f>HYPERLINK("http://www.co.solano.ca.us/emergencies/default.asp","Solano Emergency")</f>
        <v>Solano Emergency</v>
      </c>
    </row>
    <row r="73" spans="1:6">
      <c r="A73" s="67" t="str">
        <f>HYPERLINK("http://en.wikipedia.org/wiki/Sonoma_County,_California","Sonoma")</f>
        <v>Sonoma</v>
      </c>
      <c r="B73" s="70" t="s">
        <v>1935</v>
      </c>
      <c r="C73" s="67" t="s">
        <v>1936</v>
      </c>
      <c r="D73" s="67" t="s">
        <v>1937</v>
      </c>
      <c r="E73" t="str">
        <f>HYPERLINK("http://www.sonoma-county.org/fire/","Sonoma Fire &amp; Emer.")</f>
        <v>Sonoma Fire &amp; Emer.</v>
      </c>
    </row>
    <row r="74" spans="1:6" ht="26.25">
      <c r="A74" s="67" t="str">
        <f>HYPERLINK("http://en.wikipedia.org/wiki/Stanislaus_County,_California","Stanislaus")</f>
        <v>Stanislaus</v>
      </c>
      <c r="B74" s="70" t="s">
        <v>1938</v>
      </c>
      <c r="C74" t="s">
        <v>164</v>
      </c>
      <c r="D74" s="67" t="s">
        <v>1939</v>
      </c>
      <c r="E74" t="str">
        <f>HYPERLINK("http://www.stanemergency.com/","Stanislaus Emergency")</f>
        <v>Stanislaus Emergency</v>
      </c>
      <c r="F74" t="s">
        <v>1940</v>
      </c>
    </row>
    <row r="75" spans="1:6" ht="39">
      <c r="A75" s="67" t="str">
        <f>HYPERLINK("http://en.wikipedia.org/wiki/Sutter_County,_California","Sutter")</f>
        <v>Sutter</v>
      </c>
      <c r="B75" s="70" t="s">
        <v>1941</v>
      </c>
      <c r="C75" t="s">
        <v>1942</v>
      </c>
      <c r="D75" s="67" t="s">
        <v>1943</v>
      </c>
      <c r="E75" t="str">
        <f>HYPERLINK("http://www.co.sutter.ca.us/doc/government/depts/cs/es/cs_es_home","Sutter OEM")</f>
        <v>Sutter OEM</v>
      </c>
    </row>
    <row r="76" spans="1:6">
      <c r="A76" s="67" t="str">
        <f>HYPERLINK("http://en.wikipedia.org/wiki/Tehama_County,_California","Tehama")</f>
        <v>Tehama</v>
      </c>
      <c r="B76" s="70" t="s">
        <v>164</v>
      </c>
      <c r="C76" t="s">
        <v>164</v>
      </c>
      <c r="D76" s="67" t="s">
        <v>1944</v>
      </c>
      <c r="E76" t="str">
        <f>HYPERLINK("http://www.co.tehama.ca.us/index.php/emergency-services-info-mainmenu-126","Tehama Emergency")</f>
        <v>Tehama Emergency</v>
      </c>
    </row>
    <row r="77" spans="1:6">
      <c r="A77" s="67" t="str">
        <f>HYPERLINK("http://en.wikipedia.org/wiki/Trinity_County,_California","Trinity")</f>
        <v>Trinity</v>
      </c>
      <c r="B77" s="70" t="s">
        <v>164</v>
      </c>
      <c r="C77" t="s">
        <v>164</v>
      </c>
      <c r="D77" s="67" t="s">
        <v>1945</v>
      </c>
      <c r="E77" t="str">
        <f>HYPERLINK("http://www.trinitycounty.org/Departments/Sheriff/sheriff.htm","Trinity Sheriff")</f>
        <v>Trinity Sheriff</v>
      </c>
    </row>
    <row r="78" spans="1:6">
      <c r="A78" s="67" t="str">
        <f>HYPERLINK("http://en.wikipedia.org/wiki/Tulare_County,_California","Tulare")</f>
        <v>Tulare</v>
      </c>
      <c r="B78" s="70" t="s">
        <v>1946</v>
      </c>
      <c r="C78" s="67" t="s">
        <v>1947</v>
      </c>
      <c r="D78" s="67" t="s">
        <v>1948</v>
      </c>
      <c r="E78" t="str">
        <f>HYPERLINK("http://www.tularecounty.ca.gov/county/index.cfm/emergencies/","Tulare Emergency")</f>
        <v>Tulare Emergency</v>
      </c>
    </row>
    <row r="79" spans="1:6">
      <c r="A79" s="67" t="str">
        <f>HYPERLINK("http://en.wikipedia.org/wiki/Tuolumne_County,_California","Tuolumne")</f>
        <v>Tuolumne</v>
      </c>
      <c r="B79" s="70" t="s">
        <v>1949</v>
      </c>
      <c r="C79" t="s">
        <v>164</v>
      </c>
      <c r="D79" s="67" t="s">
        <v>1950</v>
      </c>
      <c r="E79" t="str">
        <f>HYPERLINK("http://portal.co.tuolumne.ca.us/psp/ps/TUP_EMERGENCY_SVCS/ENTP/h/?tab=DEFAULT","Tuolumne OES")</f>
        <v>Tuolumne OES</v>
      </c>
    </row>
    <row r="80" spans="1:6" ht="26.25">
      <c r="A80" s="67" t="str">
        <f>HYPERLINK("http://en.wikipedia.org/wiki/Ventura_County,_California","Ventura")</f>
        <v>Ventura</v>
      </c>
      <c r="B80" s="70" t="s">
        <v>1951</v>
      </c>
      <c r="D80" s="67" t="s">
        <v>1952</v>
      </c>
      <c r="E80" t="str">
        <f>HYPERLINK("http://www.readyventuracounty.org/index.php?option=com_content&amp;view=frontpage&amp;Itemid=1","Ready_Ventura")</f>
        <v>Ready_Ventura</v>
      </c>
      <c r="F80" t="s">
        <v>1953</v>
      </c>
    </row>
    <row r="81" spans="1:5">
      <c r="A81" s="67" t="str">
        <f>HYPERLINK("http://en.wikipedia.org/wiki/Yolo_County,_California","Yolo")</f>
        <v>Yolo</v>
      </c>
      <c r="B81" s="70" t="s">
        <v>1954</v>
      </c>
      <c r="C81" s="67" t="s">
        <v>1955</v>
      </c>
      <c r="D81" s="67" t="s">
        <v>1956</v>
      </c>
      <c r="E81" t="str">
        <f>HYPERLINK("http://www.yolocounty.org/Index.aspx?page=601","Yolo OES")</f>
        <v>Yolo OES</v>
      </c>
    </row>
    <row r="82" spans="1:5" ht="39">
      <c r="A82" s="67" t="str">
        <f>HYPERLINK("http://en.wikipedia.org/wiki/Yuba_County,_California","Yuba")</f>
        <v>Yuba</v>
      </c>
      <c r="B82" s="70" t="s">
        <v>1957</v>
      </c>
      <c r="C82" t="s">
        <v>1958</v>
      </c>
      <c r="D82" s="67" t="s">
        <v>1959</v>
      </c>
      <c r="E82" t="str">
        <f>HYPERLINK("http://www.co.yuba.ca.us/","Yuba OES")</f>
        <v>Yuba OES</v>
      </c>
    </row>
    <row r="83" spans="1:5">
      <c r="B83" s="70"/>
    </row>
    <row r="84" spans="1:5">
      <c r="A84" s="79" t="s">
        <v>333</v>
      </c>
      <c r="B84" s="79" t="s">
        <v>147</v>
      </c>
      <c r="C84" s="79" t="s">
        <v>148</v>
      </c>
      <c r="D84" s="79" t="s">
        <v>182</v>
      </c>
    </row>
    <row r="85" spans="1:5">
      <c r="A85" s="74" t="s">
        <v>1960</v>
      </c>
      <c r="B85" s="67"/>
      <c r="C85" s="34"/>
      <c r="D85" s="67" t="s">
        <v>1961</v>
      </c>
    </row>
    <row r="86" spans="1:5">
      <c r="A86" s="67" t="s">
        <v>1962</v>
      </c>
      <c r="B86" s="70" t="s">
        <v>1963</v>
      </c>
      <c r="C86" s="34" t="s">
        <v>1964</v>
      </c>
      <c r="D86" s="67" t="s">
        <v>1965</v>
      </c>
    </row>
    <row r="87" spans="1:5">
      <c r="A87" s="67" t="s">
        <v>1966</v>
      </c>
      <c r="B87" s="70" t="s">
        <v>1967</v>
      </c>
      <c r="C87" s="67" t="s">
        <v>1968</v>
      </c>
      <c r="D87" s="67" t="s">
        <v>1969</v>
      </c>
    </row>
    <row r="88" spans="1:5">
      <c r="A88" s="67" t="s">
        <v>1970</v>
      </c>
      <c r="B88" s="70" t="s">
        <v>164</v>
      </c>
      <c r="C88" t="s">
        <v>164</v>
      </c>
      <c r="D88" s="67" t="s">
        <v>1971</v>
      </c>
    </row>
    <row r="89" spans="1:5">
      <c r="A89" s="67" t="s">
        <v>1972</v>
      </c>
      <c r="B89" s="70" t="s">
        <v>1973</v>
      </c>
      <c r="C89" s="67" t="s">
        <v>1974</v>
      </c>
      <c r="D89" s="67" t="s">
        <v>1975</v>
      </c>
    </row>
    <row r="90" spans="1:5" ht="39">
      <c r="A90" s="67" t="s">
        <v>1960</v>
      </c>
      <c r="B90" s="70" t="s">
        <v>1976</v>
      </c>
      <c r="C90" t="s">
        <v>1977</v>
      </c>
      <c r="D90" s="67" t="s">
        <v>1961</v>
      </c>
    </row>
    <row r="91" spans="1:5">
      <c r="A91" s="67" t="s">
        <v>1978</v>
      </c>
      <c r="B91" s="70" t="s">
        <v>164</v>
      </c>
      <c r="C91" t="s">
        <v>164</v>
      </c>
      <c r="D91" s="67" t="s">
        <v>1979</v>
      </c>
    </row>
    <row r="92" spans="1:5">
      <c r="A92" s="67" t="s">
        <v>1980</v>
      </c>
      <c r="B92" s="70" t="s">
        <v>1981</v>
      </c>
      <c r="C92" t="s">
        <v>164</v>
      </c>
      <c r="D92" s="67" t="s">
        <v>1982</v>
      </c>
    </row>
    <row r="93" spans="1:5">
      <c r="A93" s="67" t="s">
        <v>1983</v>
      </c>
      <c r="B93" s="70" t="s">
        <v>164</v>
      </c>
      <c r="C93" t="s">
        <v>164</v>
      </c>
      <c r="D93" s="67" t="s">
        <v>1984</v>
      </c>
    </row>
    <row r="94" spans="1:5">
      <c r="A94" s="67" t="s">
        <v>1985</v>
      </c>
      <c r="B94" s="70" t="s">
        <v>1986</v>
      </c>
      <c r="C94" s="67" t="s">
        <v>1987</v>
      </c>
      <c r="D94" s="67" t="s">
        <v>1988</v>
      </c>
    </row>
    <row r="95" spans="1:5">
      <c r="A95" s="67" t="s">
        <v>1989</v>
      </c>
      <c r="B95" s="70" t="s">
        <v>164</v>
      </c>
      <c r="C95" t="s">
        <v>164</v>
      </c>
      <c r="D95" s="67" t="s">
        <v>1990</v>
      </c>
    </row>
    <row r="96" spans="1:5">
      <c r="A96" s="67" t="s">
        <v>1991</v>
      </c>
      <c r="B96" s="70" t="s">
        <v>164</v>
      </c>
      <c r="C96" t="s">
        <v>164</v>
      </c>
      <c r="D96" s="67" t="s">
        <v>1992</v>
      </c>
    </row>
    <row r="97" spans="1:4" ht="39">
      <c r="A97" s="67" t="s">
        <v>1993</v>
      </c>
      <c r="B97" s="70" t="s">
        <v>1994</v>
      </c>
      <c r="C97" t="s">
        <v>1995</v>
      </c>
      <c r="D97" s="67" t="s">
        <v>1996</v>
      </c>
    </row>
    <row r="98" spans="1:4">
      <c r="A98" s="67" t="s">
        <v>1997</v>
      </c>
      <c r="B98" s="70" t="s">
        <v>1998</v>
      </c>
      <c r="C98" s="67" t="s">
        <v>1999</v>
      </c>
      <c r="D98" s="67" t="s">
        <v>2000</v>
      </c>
    </row>
    <row r="99" spans="1:4" ht="39">
      <c r="A99" s="67" t="s">
        <v>2001</v>
      </c>
      <c r="B99" s="70" t="s">
        <v>2002</v>
      </c>
      <c r="C99" t="s">
        <v>2003</v>
      </c>
      <c r="D99" s="67" t="s">
        <v>2004</v>
      </c>
    </row>
    <row r="100" spans="1:4" ht="39">
      <c r="A100" s="67" t="s">
        <v>2005</v>
      </c>
      <c r="B100" s="70" t="s">
        <v>2006</v>
      </c>
      <c r="C100" t="s">
        <v>2007</v>
      </c>
      <c r="D100" t="s">
        <v>2008</v>
      </c>
    </row>
    <row r="101" spans="1:4" ht="39">
      <c r="A101" s="67" t="s">
        <v>2009</v>
      </c>
      <c r="B101" s="70" t="s">
        <v>2010</v>
      </c>
      <c r="C101" t="s">
        <v>2011</v>
      </c>
      <c r="D101" t="s">
        <v>2012</v>
      </c>
    </row>
    <row r="102" spans="1:4" ht="26.25">
      <c r="A102" s="67" t="s">
        <v>2013</v>
      </c>
      <c r="B102" s="70" t="s">
        <v>164</v>
      </c>
      <c r="C102" t="s">
        <v>164</v>
      </c>
      <c r="D102" t="s">
        <v>2014</v>
      </c>
    </row>
    <row r="103" spans="1:4">
      <c r="A103" s="67" t="s">
        <v>2015</v>
      </c>
      <c r="B103" s="70" t="s">
        <v>2016</v>
      </c>
      <c r="C103" s="34" t="s">
        <v>2017</v>
      </c>
      <c r="D103" s="34" t="s">
        <v>2018</v>
      </c>
    </row>
    <row r="104" spans="1:4">
      <c r="A104" s="67" t="s">
        <v>2019</v>
      </c>
      <c r="B104" s="70" t="s">
        <v>2020</v>
      </c>
      <c r="C104" t="s">
        <v>164</v>
      </c>
      <c r="D104" s="67" t="s">
        <v>2021</v>
      </c>
    </row>
    <row r="105" spans="1:4">
      <c r="A105" s="67" t="s">
        <v>2022</v>
      </c>
      <c r="B105" s="70" t="s">
        <v>164</v>
      </c>
      <c r="C105" s="67" t="s">
        <v>2023</v>
      </c>
      <c r="D105" s="67" t="s">
        <v>2024</v>
      </c>
    </row>
    <row r="106" spans="1:4">
      <c r="A106" s="67" t="s">
        <v>2025</v>
      </c>
      <c r="B106" s="70" t="s">
        <v>164</v>
      </c>
      <c r="C106" t="s">
        <v>164</v>
      </c>
      <c r="D106" s="67" t="s">
        <v>2026</v>
      </c>
    </row>
    <row r="107" spans="1:4">
      <c r="A107" s="67" t="s">
        <v>2027</v>
      </c>
      <c r="B107" s="70" t="s">
        <v>164</v>
      </c>
      <c r="C107" t="s">
        <v>164</v>
      </c>
      <c r="D107" s="67" t="s">
        <v>2028</v>
      </c>
    </row>
    <row r="108" spans="1:4">
      <c r="A108" s="67" t="s">
        <v>2029</v>
      </c>
      <c r="B108" s="70" t="s">
        <v>2030</v>
      </c>
      <c r="C108" s="67" t="s">
        <v>2031</v>
      </c>
      <c r="D108" s="67" t="s">
        <v>2032</v>
      </c>
    </row>
    <row r="109" spans="1:4">
      <c r="A109" s="67" t="s">
        <v>2033</v>
      </c>
      <c r="B109" s="70" t="s">
        <v>164</v>
      </c>
      <c r="C109" t="s">
        <v>164</v>
      </c>
      <c r="D109" s="67" t="s">
        <v>2034</v>
      </c>
    </row>
    <row r="110" spans="1:4">
      <c r="A110" s="67" t="s">
        <v>2035</v>
      </c>
      <c r="B110" s="70" t="s">
        <v>164</v>
      </c>
      <c r="C110" t="s">
        <v>164</v>
      </c>
      <c r="D110" s="67" t="s">
        <v>2036</v>
      </c>
    </row>
    <row r="111" spans="1:4">
      <c r="B111" s="70"/>
    </row>
    <row r="112" spans="1:4">
      <c r="A112" s="79" t="s">
        <v>878</v>
      </c>
      <c r="B112" s="79" t="s">
        <v>147</v>
      </c>
      <c r="C112" s="79" t="s">
        <v>148</v>
      </c>
      <c r="D112" s="79" t="s">
        <v>182</v>
      </c>
    </row>
    <row r="113" spans="1:7">
      <c r="A113" s="83" t="s">
        <v>2037</v>
      </c>
      <c r="B113" s="81"/>
      <c r="C113" s="74"/>
      <c r="D113" s="74" t="s">
        <v>2038</v>
      </c>
      <c r="F113" s="96" t="s">
        <v>397</v>
      </c>
      <c r="G113" s="96"/>
    </row>
    <row r="114" spans="1:7">
      <c r="A114" s="83" t="s">
        <v>2039</v>
      </c>
      <c r="B114" s="69"/>
      <c r="C114" s="67"/>
      <c r="D114" s="67" t="s">
        <v>2040</v>
      </c>
      <c r="E114" s="34"/>
      <c r="F114" s="65"/>
      <c r="G114" s="34"/>
    </row>
    <row r="115" spans="1:7">
      <c r="A115" s="1" t="s">
        <v>2041</v>
      </c>
      <c r="D115" s="67" t="s">
        <v>2042</v>
      </c>
      <c r="F115" t="s">
        <v>2043</v>
      </c>
    </row>
    <row r="116" spans="1:7">
      <c r="A116" s="67" t="s">
        <v>2044</v>
      </c>
      <c r="B116" t="s">
        <v>164</v>
      </c>
      <c r="C116" t="s">
        <v>164</v>
      </c>
      <c r="D116" s="67" t="s">
        <v>2045</v>
      </c>
    </row>
    <row r="117" spans="1:7">
      <c r="A117" s="67" t="s">
        <v>2046</v>
      </c>
      <c r="B117" t="s">
        <v>2047</v>
      </c>
      <c r="C117" s="34" t="s">
        <v>2048</v>
      </c>
      <c r="D117" s="67" t="s">
        <v>2049</v>
      </c>
    </row>
    <row r="118" spans="1:7">
      <c r="A118" s="67" t="s">
        <v>2050</v>
      </c>
      <c r="B118" s="67" t="s">
        <v>2051</v>
      </c>
      <c r="C118" s="67" t="s">
        <v>2052</v>
      </c>
      <c r="D118" s="67" t="s">
        <v>2053</v>
      </c>
    </row>
    <row r="119" spans="1:7">
      <c r="A119" s="67" t="s">
        <v>2054</v>
      </c>
      <c r="B119" t="s">
        <v>164</v>
      </c>
      <c r="C119" t="s">
        <v>164</v>
      </c>
      <c r="D119" s="67" t="s">
        <v>2055</v>
      </c>
    </row>
    <row r="120" spans="1:7">
      <c r="A120" s="67" t="s">
        <v>2056</v>
      </c>
      <c r="B120" t="s">
        <v>164</v>
      </c>
      <c r="C120" t="s">
        <v>164</v>
      </c>
      <c r="D120" s="67" t="s">
        <v>2057</v>
      </c>
    </row>
    <row r="121" spans="1:7">
      <c r="A121" s="67" t="s">
        <v>2058</v>
      </c>
      <c r="B121" t="s">
        <v>164</v>
      </c>
      <c r="C121" t="s">
        <v>164</v>
      </c>
      <c r="D121" s="67" t="s">
        <v>2059</v>
      </c>
    </row>
    <row r="122" spans="1:7">
      <c r="A122" s="67" t="s">
        <v>2060</v>
      </c>
      <c r="B122" t="s">
        <v>164</v>
      </c>
      <c r="C122" t="s">
        <v>164</v>
      </c>
      <c r="D122" s="67" t="s">
        <v>2061</v>
      </c>
    </row>
    <row r="123" spans="1:7">
      <c r="A123" s="67" t="s">
        <v>2062</v>
      </c>
      <c r="B123" s="51" t="s">
        <v>2063</v>
      </c>
      <c r="C123" s="67" t="s">
        <v>2064</v>
      </c>
      <c r="D123" s="67" t="s">
        <v>2065</v>
      </c>
    </row>
    <row r="124" spans="1:7">
      <c r="A124" s="67" t="s">
        <v>2066</v>
      </c>
      <c r="B124" s="62" t="s">
        <v>2067</v>
      </c>
      <c r="C124" s="67" t="s">
        <v>2068</v>
      </c>
      <c r="D124" s="67" t="s">
        <v>2069</v>
      </c>
    </row>
    <row r="125" spans="1:7">
      <c r="A125" s="67" t="s">
        <v>2070</v>
      </c>
      <c r="B125" t="s">
        <v>164</v>
      </c>
      <c r="C125" t="s">
        <v>164</v>
      </c>
      <c r="D125" s="67" t="s">
        <v>2071</v>
      </c>
    </row>
    <row r="126" spans="1:7">
      <c r="A126" s="67" t="s">
        <v>2072</v>
      </c>
      <c r="B126" s="37" t="s">
        <v>2073</v>
      </c>
      <c r="C126" s="67" t="s">
        <v>2074</v>
      </c>
      <c r="D126" s="67" t="s">
        <v>2075</v>
      </c>
    </row>
    <row r="127" spans="1:7">
      <c r="A127" s="67" t="s">
        <v>2076</v>
      </c>
      <c r="B127" s="12" t="s">
        <v>2077</v>
      </c>
      <c r="C127" s="67" t="s">
        <v>2078</v>
      </c>
      <c r="D127" s="67" t="s">
        <v>2079</v>
      </c>
    </row>
    <row r="128" spans="1:7" ht="39">
      <c r="A128" s="67" t="s">
        <v>2080</v>
      </c>
      <c r="B128" t="s">
        <v>2081</v>
      </c>
      <c r="C128" t="s">
        <v>2082</v>
      </c>
      <c r="D128" s="67" t="s">
        <v>2083</v>
      </c>
    </row>
    <row r="129" spans="1:6">
      <c r="A129" s="67" t="s">
        <v>2084</v>
      </c>
      <c r="B129" t="s">
        <v>164</v>
      </c>
      <c r="C129" t="s">
        <v>164</v>
      </c>
      <c r="D129" s="67" t="s">
        <v>2085</v>
      </c>
    </row>
    <row r="130" spans="1:6">
      <c r="A130" s="67" t="s">
        <v>2086</v>
      </c>
      <c r="B130" t="s">
        <v>164</v>
      </c>
      <c r="C130" t="s">
        <v>164</v>
      </c>
      <c r="D130" s="67" t="s">
        <v>2087</v>
      </c>
    </row>
    <row r="131" spans="1:6" ht="39">
      <c r="A131" s="67" t="s">
        <v>2088</v>
      </c>
      <c r="B131" t="s">
        <v>2089</v>
      </c>
      <c r="C131" t="s">
        <v>2090</v>
      </c>
      <c r="D131" s="67" t="s">
        <v>2091</v>
      </c>
    </row>
    <row r="132" spans="1:6">
      <c r="A132" s="67" t="s">
        <v>2092</v>
      </c>
      <c r="B132" s="12" t="s">
        <v>2093</v>
      </c>
      <c r="C132" s="67" t="s">
        <v>2094</v>
      </c>
      <c r="D132" s="67" t="s">
        <v>2095</v>
      </c>
    </row>
    <row r="133" spans="1:6">
      <c r="A133" s="67" t="s">
        <v>2096</v>
      </c>
      <c r="B133" s="12" t="s">
        <v>2097</v>
      </c>
      <c r="C133" s="67" t="s">
        <v>2098</v>
      </c>
      <c r="D133" s="67" t="s">
        <v>2099</v>
      </c>
    </row>
    <row r="134" spans="1:6">
      <c r="A134" s="67" t="s">
        <v>2100</v>
      </c>
      <c r="B134" s="12" t="s">
        <v>2101</v>
      </c>
      <c r="C134" s="67" t="s">
        <v>2102</v>
      </c>
      <c r="D134" s="67" t="s">
        <v>2103</v>
      </c>
    </row>
    <row r="135" spans="1:6" ht="39">
      <c r="A135" s="67" t="s">
        <v>2104</v>
      </c>
      <c r="B135" t="s">
        <v>164</v>
      </c>
      <c r="C135" t="s">
        <v>2105</v>
      </c>
      <c r="D135" s="67" t="s">
        <v>2106</v>
      </c>
    </row>
    <row r="136" spans="1:6">
      <c r="A136" s="67" t="s">
        <v>2107</v>
      </c>
      <c r="B136" s="12" t="s">
        <v>2108</v>
      </c>
      <c r="C136" s="67" t="s">
        <v>2109</v>
      </c>
      <c r="D136" s="67" t="s">
        <v>2110</v>
      </c>
    </row>
    <row r="137" spans="1:6">
      <c r="A137" s="67" t="s">
        <v>2111</v>
      </c>
      <c r="B137" s="12" t="s">
        <v>2112</v>
      </c>
      <c r="C137" s="67" t="s">
        <v>2113</v>
      </c>
      <c r="D137" s="67" t="s">
        <v>2114</v>
      </c>
    </row>
    <row r="138" spans="1:6">
      <c r="A138" s="67" t="s">
        <v>2115</v>
      </c>
      <c r="B138" t="s">
        <v>164</v>
      </c>
      <c r="C138" s="34" t="s">
        <v>2116</v>
      </c>
      <c r="D138" s="67" t="s">
        <v>2117</v>
      </c>
    </row>
    <row r="139" spans="1:6">
      <c r="A139" s="67" t="s">
        <v>2118</v>
      </c>
      <c r="B139" t="s">
        <v>2119</v>
      </c>
      <c r="C139" t="s">
        <v>164</v>
      </c>
      <c r="D139" s="67" t="s">
        <v>2120</v>
      </c>
    </row>
    <row r="140" spans="1:6">
      <c r="A140" s="67" t="s">
        <v>2121</v>
      </c>
      <c r="B140" t="s">
        <v>164</v>
      </c>
      <c r="C140" t="s">
        <v>164</v>
      </c>
      <c r="D140" s="67" t="s">
        <v>2122</v>
      </c>
    </row>
    <row r="142" spans="1:6">
      <c r="A142" s="79" t="s">
        <v>428</v>
      </c>
      <c r="B142" s="79" t="s">
        <v>147</v>
      </c>
      <c r="C142" s="79" t="s">
        <v>148</v>
      </c>
      <c r="D142" s="79" t="s">
        <v>182</v>
      </c>
    </row>
    <row r="143" spans="1:6">
      <c r="A143" s="83" t="s">
        <v>2123</v>
      </c>
      <c r="B143" s="69"/>
      <c r="C143" s="67"/>
      <c r="D143" s="67" t="s">
        <v>2124</v>
      </c>
      <c r="F143" s="65"/>
    </row>
    <row r="144" spans="1:6">
      <c r="A144" s="83" t="s">
        <v>2125</v>
      </c>
      <c r="B144" s="12"/>
      <c r="C144" s="67"/>
      <c r="D144" s="67" t="s">
        <v>2126</v>
      </c>
    </row>
    <row r="145" spans="1:4">
      <c r="A145" s="83" t="s">
        <v>2127</v>
      </c>
      <c r="B145" s="12"/>
      <c r="C145" s="67"/>
      <c r="D145" s="67" t="s">
        <v>2128</v>
      </c>
    </row>
    <row r="146" spans="1:4">
      <c r="A146" s="97" t="s">
        <v>2129</v>
      </c>
      <c r="B146" s="97" t="s">
        <v>2130</v>
      </c>
      <c r="C146" s="97" t="s">
        <v>2131</v>
      </c>
      <c r="D146" s="97" t="s">
        <v>2132</v>
      </c>
    </row>
    <row r="147" spans="1:4">
      <c r="A147" s="97" t="s">
        <v>2133</v>
      </c>
      <c r="B147" s="97" t="s">
        <v>2134</v>
      </c>
      <c r="C147" s="97" t="s">
        <v>2135</v>
      </c>
      <c r="D147" s="97" t="s">
        <v>2136</v>
      </c>
    </row>
    <row r="148" spans="1:4">
      <c r="A148" s="97" t="s">
        <v>2137</v>
      </c>
      <c r="B148" s="97" t="s">
        <v>2138</v>
      </c>
      <c r="C148" s="97" t="s">
        <v>2139</v>
      </c>
      <c r="D148" s="97" t="s">
        <v>2140</v>
      </c>
    </row>
    <row r="149" spans="1:4">
      <c r="A149" s="97" t="s">
        <v>2141</v>
      </c>
      <c r="B149" s="97" t="s">
        <v>2142</v>
      </c>
      <c r="C149" s="97" t="s">
        <v>2143</v>
      </c>
      <c r="D149" s="97" t="s">
        <v>2144</v>
      </c>
    </row>
    <row r="150" spans="1:4">
      <c r="A150" s="97" t="s">
        <v>2145</v>
      </c>
      <c r="B150" s="97" t="s">
        <v>2146</v>
      </c>
      <c r="C150" s="97" t="s">
        <v>2147</v>
      </c>
      <c r="D150" s="97" t="s">
        <v>2148</v>
      </c>
    </row>
    <row r="151" spans="1:4">
      <c r="A151" s="97" t="s">
        <v>2149</v>
      </c>
      <c r="B151" s="97" t="s">
        <v>2150</v>
      </c>
      <c r="C151" s="97" t="s">
        <v>2151</v>
      </c>
      <c r="D151" s="97" t="s">
        <v>2152</v>
      </c>
    </row>
    <row r="152" spans="1:4">
      <c r="A152" s="97" t="s">
        <v>2153</v>
      </c>
      <c r="B152" s="97" t="s">
        <v>2154</v>
      </c>
      <c r="C152" s="97" t="s">
        <v>2155</v>
      </c>
      <c r="D152" s="97" t="s">
        <v>2156</v>
      </c>
    </row>
    <row r="153" spans="1:4">
      <c r="A153" s="97" t="s">
        <v>2157</v>
      </c>
      <c r="B153" s="97" t="s">
        <v>2158</v>
      </c>
      <c r="C153" s="97" t="s">
        <v>2159</v>
      </c>
      <c r="D153" s="97" t="s">
        <v>2160</v>
      </c>
    </row>
    <row r="154" spans="1:4">
      <c r="A154" s="97" t="s">
        <v>2161</v>
      </c>
      <c r="B154" s="97" t="s">
        <v>2162</v>
      </c>
      <c r="C154" s="97" t="s">
        <v>2163</v>
      </c>
      <c r="D154" s="97" t="s">
        <v>2164</v>
      </c>
    </row>
    <row r="155" spans="1:4">
      <c r="A155" s="97" t="s">
        <v>2165</v>
      </c>
      <c r="B155" s="97" t="s">
        <v>2166</v>
      </c>
      <c r="C155" s="97" t="s">
        <v>2167</v>
      </c>
      <c r="D155" s="97" t="s">
        <v>2168</v>
      </c>
    </row>
    <row r="156" spans="1:4">
      <c r="A156" s="97" t="s">
        <v>2169</v>
      </c>
      <c r="B156" s="97" t="s">
        <v>2170</v>
      </c>
      <c r="C156" s="97" t="s">
        <v>2171</v>
      </c>
      <c r="D156" s="97" t="s">
        <v>2172</v>
      </c>
    </row>
    <row r="157" spans="1:4">
      <c r="A157" s="97" t="s">
        <v>2173</v>
      </c>
      <c r="B157" s="97" t="s">
        <v>2174</v>
      </c>
      <c r="C157" s="97" t="s">
        <v>2175</v>
      </c>
      <c r="D157" s="97" t="s">
        <v>2176</v>
      </c>
    </row>
    <row r="158" spans="1:4">
      <c r="A158" s="97" t="s">
        <v>2177</v>
      </c>
      <c r="B158" s="97" t="s">
        <v>2178</v>
      </c>
      <c r="C158" s="97" t="s">
        <v>2179</v>
      </c>
      <c r="D158" s="97" t="s">
        <v>2180</v>
      </c>
    </row>
    <row r="159" spans="1:4">
      <c r="A159" s="97" t="s">
        <v>2181</v>
      </c>
      <c r="B159" s="97" t="s">
        <v>2182</v>
      </c>
      <c r="C159" s="97" t="s">
        <v>2183</v>
      </c>
      <c r="D159" s="97" t="s">
        <v>2184</v>
      </c>
    </row>
    <row r="160" spans="1:4">
      <c r="A160" s="97" t="s">
        <v>2185</v>
      </c>
      <c r="B160" s="97" t="s">
        <v>2186</v>
      </c>
      <c r="C160" s="97" t="s">
        <v>2187</v>
      </c>
      <c r="D160" s="97" t="s">
        <v>2188</v>
      </c>
    </row>
    <row r="161" spans="1:6">
      <c r="A161" s="97"/>
      <c r="B161" s="97"/>
      <c r="C161" s="97"/>
      <c r="D161" s="97"/>
    </row>
    <row r="162" spans="1:6">
      <c r="A162" s="79" t="s">
        <v>388</v>
      </c>
      <c r="B162" s="79" t="s">
        <v>147</v>
      </c>
      <c r="C162" s="79" t="s">
        <v>148</v>
      </c>
      <c r="D162" s="79" t="s">
        <v>182</v>
      </c>
    </row>
    <row r="163" spans="1:6" ht="26.25">
      <c r="A163" s="74" t="s">
        <v>2189</v>
      </c>
      <c r="B163" s="67"/>
      <c r="C163" s="67"/>
      <c r="D163" s="67" t="s">
        <v>2190</v>
      </c>
      <c r="F163" s="33" t="s">
        <v>2191</v>
      </c>
    </row>
    <row r="164" spans="1:6">
      <c r="A164" s="97" t="s">
        <v>2192</v>
      </c>
      <c r="B164" s="97" t="s">
        <v>2193</v>
      </c>
      <c r="C164" s="97" t="s">
        <v>2194</v>
      </c>
      <c r="D164" s="97" t="s">
        <v>2195</v>
      </c>
    </row>
    <row r="165" spans="1:6">
      <c r="A165" s="97" t="s">
        <v>2196</v>
      </c>
      <c r="B165" s="97" t="s">
        <v>2197</v>
      </c>
      <c r="C165" s="97" t="s">
        <v>2198</v>
      </c>
      <c r="D165" s="97" t="s">
        <v>2199</v>
      </c>
    </row>
    <row r="166" spans="1:6">
      <c r="A166" s="97" t="s">
        <v>2200</v>
      </c>
      <c r="B166" s="97" t="s">
        <v>2201</v>
      </c>
      <c r="C166" s="97" t="s">
        <v>164</v>
      </c>
      <c r="D166" s="97" t="s">
        <v>2202</v>
      </c>
    </row>
    <row r="167" spans="1:6">
      <c r="A167" s="97" t="s">
        <v>2203</v>
      </c>
      <c r="B167" s="97" t="s">
        <v>2204</v>
      </c>
      <c r="C167" s="97" t="s">
        <v>2205</v>
      </c>
      <c r="D167" s="97" t="s">
        <v>2206</v>
      </c>
    </row>
    <row r="168" spans="1:6">
      <c r="A168" s="97" t="s">
        <v>2207</v>
      </c>
      <c r="B168" s="97" t="s">
        <v>2208</v>
      </c>
      <c r="C168" s="97" t="s">
        <v>2209</v>
      </c>
      <c r="D168" s="97" t="s">
        <v>2210</v>
      </c>
    </row>
    <row r="169" spans="1:6">
      <c r="A169" s="97" t="s">
        <v>2211</v>
      </c>
      <c r="B169" s="97" t="s">
        <v>164</v>
      </c>
      <c r="C169" s="97" t="s">
        <v>2212</v>
      </c>
      <c r="D169" s="97" t="s">
        <v>2213</v>
      </c>
    </row>
    <row r="170" spans="1:6">
      <c r="A170" s="97" t="s">
        <v>2214</v>
      </c>
      <c r="B170" s="97" t="s">
        <v>2215</v>
      </c>
      <c r="C170" s="97" t="s">
        <v>2216</v>
      </c>
      <c r="D170" s="97" t="s">
        <v>2217</v>
      </c>
    </row>
    <row r="171" spans="1:6">
      <c r="A171" s="97" t="s">
        <v>2218</v>
      </c>
      <c r="B171" s="97" t="s">
        <v>164</v>
      </c>
      <c r="C171" s="97" t="s">
        <v>164</v>
      </c>
      <c r="D171" s="97" t="s">
        <v>2219</v>
      </c>
    </row>
    <row r="172" spans="1:6">
      <c r="A172" s="97" t="s">
        <v>2192</v>
      </c>
      <c r="B172" s="97" t="s">
        <v>2193</v>
      </c>
      <c r="C172" s="97" t="s">
        <v>2194</v>
      </c>
      <c r="D172" s="97" t="s">
        <v>2220</v>
      </c>
    </row>
    <row r="173" spans="1:6">
      <c r="A173" s="97" t="s">
        <v>2221</v>
      </c>
      <c r="B173" s="97" t="s">
        <v>164</v>
      </c>
      <c r="C173" s="97" t="s">
        <v>164</v>
      </c>
      <c r="D173" s="97" t="s">
        <v>2222</v>
      </c>
    </row>
    <row r="174" spans="1:6">
      <c r="A174" s="97" t="s">
        <v>2223</v>
      </c>
      <c r="B174" s="97" t="s">
        <v>2224</v>
      </c>
      <c r="C174" s="97" t="s">
        <v>2225</v>
      </c>
      <c r="D174" s="97" t="s">
        <v>2226</v>
      </c>
    </row>
    <row r="175" spans="1:6">
      <c r="A175" s="97"/>
      <c r="B175" s="97"/>
      <c r="C175" s="97"/>
      <c r="D175" s="97"/>
    </row>
    <row r="176" spans="1:6">
      <c r="A176" s="79" t="s">
        <v>1593</v>
      </c>
      <c r="B176" s="79" t="s">
        <v>147</v>
      </c>
      <c r="C176" s="79" t="s">
        <v>148</v>
      </c>
      <c r="D176" s="79" t="s">
        <v>182</v>
      </c>
      <c r="E176" s="79" t="s">
        <v>490</v>
      </c>
    </row>
    <row r="177" spans="1:6" ht="25.5">
      <c r="A177" t="s">
        <v>1799</v>
      </c>
      <c r="D177" t="s">
        <v>1800</v>
      </c>
      <c r="F177" s="34" t="s">
        <v>1801</v>
      </c>
    </row>
    <row r="178" spans="1:6">
      <c r="A178" s="97" t="s">
        <v>2227</v>
      </c>
      <c r="B178" t="s">
        <v>2228</v>
      </c>
      <c r="C178" s="97" t="s">
        <v>2229</v>
      </c>
      <c r="D178" s="97" t="s">
        <v>2230</v>
      </c>
      <c r="E178" s="97" t="s">
        <v>2231</v>
      </c>
    </row>
    <row r="179" spans="1:6">
      <c r="A179" s="97" t="s">
        <v>2232</v>
      </c>
      <c r="B179" t="s">
        <v>2233</v>
      </c>
      <c r="C179" s="97" t="s">
        <v>2234</v>
      </c>
      <c r="D179" s="97" t="s">
        <v>2235</v>
      </c>
      <c r="E179" s="97" t="s">
        <v>2236</v>
      </c>
    </row>
    <row r="180" spans="1:6">
      <c r="A180" s="97" t="s">
        <v>2237</v>
      </c>
      <c r="B180" t="s">
        <v>2238</v>
      </c>
      <c r="C180" s="97" t="s">
        <v>2239</v>
      </c>
      <c r="D180" s="97" t="s">
        <v>2240</v>
      </c>
      <c r="E180" s="97" t="s">
        <v>2241</v>
      </c>
    </row>
    <row r="181" spans="1:6">
      <c r="A181" s="97" t="s">
        <v>2242</v>
      </c>
      <c r="B181" t="s">
        <v>2243</v>
      </c>
      <c r="C181" s="97" t="s">
        <v>2244</v>
      </c>
      <c r="D181" s="97" t="s">
        <v>2245</v>
      </c>
      <c r="E181" s="97" t="s">
        <v>2246</v>
      </c>
    </row>
    <row r="182" spans="1:6">
      <c r="A182" s="97" t="s">
        <v>2247</v>
      </c>
      <c r="B182" t="s">
        <v>787</v>
      </c>
      <c r="C182" s="97" t="s">
        <v>787</v>
      </c>
      <c r="D182" s="97" t="s">
        <v>2248</v>
      </c>
      <c r="E182" s="97" t="s">
        <v>2249</v>
      </c>
    </row>
    <row r="183" spans="1:6">
      <c r="A183" s="97" t="s">
        <v>2250</v>
      </c>
      <c r="B183" t="s">
        <v>2251</v>
      </c>
      <c r="C183" s="97" t="s">
        <v>2252</v>
      </c>
      <c r="D183" s="97" t="s">
        <v>2253</v>
      </c>
      <c r="E183" s="97" t="s">
        <v>2254</v>
      </c>
    </row>
    <row r="184" spans="1:6">
      <c r="A184" s="97" t="s">
        <v>2255</v>
      </c>
      <c r="B184" t="s">
        <v>2256</v>
      </c>
      <c r="C184" s="97" t="s">
        <v>2257</v>
      </c>
      <c r="D184" s="97" t="s">
        <v>2258</v>
      </c>
      <c r="E184" s="97" t="s">
        <v>2259</v>
      </c>
    </row>
    <row r="185" spans="1:6">
      <c r="A185" s="97" t="s">
        <v>2260</v>
      </c>
      <c r="B185" t="s">
        <v>787</v>
      </c>
      <c r="C185" s="97" t="s">
        <v>787</v>
      </c>
      <c r="D185" s="97" t="s">
        <v>2261</v>
      </c>
      <c r="E185" s="97" t="s">
        <v>2262</v>
      </c>
    </row>
    <row r="186" spans="1:6">
      <c r="A186" s="97" t="s">
        <v>2263</v>
      </c>
      <c r="B186" t="s">
        <v>2264</v>
      </c>
      <c r="C186" s="97" t="s">
        <v>2265</v>
      </c>
      <c r="D186" s="97" t="s">
        <v>2266</v>
      </c>
      <c r="E186" s="97" t="s">
        <v>2267</v>
      </c>
    </row>
    <row r="187" spans="1:6">
      <c r="A187" s="97" t="s">
        <v>2268</v>
      </c>
      <c r="B187" t="s">
        <v>2269</v>
      </c>
      <c r="C187" s="97" t="s">
        <v>2270</v>
      </c>
      <c r="D187" s="97" t="s">
        <v>2271</v>
      </c>
      <c r="E187" s="97" t="s">
        <v>2272</v>
      </c>
    </row>
    <row r="188" spans="1:6">
      <c r="A188" s="97" t="s">
        <v>2273</v>
      </c>
      <c r="B188" t="s">
        <v>2274</v>
      </c>
      <c r="C188" s="97" t="s">
        <v>2275</v>
      </c>
      <c r="D188" s="97" t="s">
        <v>2276</v>
      </c>
      <c r="E188" s="97" t="s">
        <v>2277</v>
      </c>
    </row>
    <row r="189" spans="1:6" ht="39">
      <c r="A189" s="97" t="s">
        <v>2278</v>
      </c>
      <c r="B189" t="s">
        <v>2279</v>
      </c>
      <c r="C189" t="s">
        <v>2280</v>
      </c>
      <c r="D189" s="97" t="s">
        <v>2281</v>
      </c>
      <c r="E189" s="97" t="s">
        <v>2282</v>
      </c>
    </row>
    <row r="190" spans="1:6">
      <c r="A190" s="97" t="s">
        <v>2283</v>
      </c>
      <c r="B190" t="s">
        <v>2284</v>
      </c>
      <c r="C190" s="97" t="s">
        <v>2285</v>
      </c>
      <c r="D190" s="97" t="s">
        <v>2286</v>
      </c>
      <c r="E190" s="97" t="s">
        <v>2287</v>
      </c>
    </row>
    <row r="191" spans="1:6">
      <c r="A191" s="97" t="s">
        <v>2288</v>
      </c>
      <c r="B191" t="s">
        <v>2289</v>
      </c>
      <c r="C191" s="97" t="s">
        <v>2290</v>
      </c>
      <c r="D191" s="97" t="s">
        <v>2291</v>
      </c>
      <c r="E191" s="97" t="s">
        <v>2292</v>
      </c>
    </row>
    <row r="192" spans="1:6">
      <c r="A192" s="97" t="s">
        <v>2293</v>
      </c>
      <c r="B192" t="s">
        <v>2294</v>
      </c>
      <c r="C192" s="97" t="s">
        <v>2295</v>
      </c>
      <c r="D192" s="97" t="s">
        <v>2296</v>
      </c>
      <c r="E192" s="97" t="s">
        <v>2297</v>
      </c>
    </row>
    <row r="193" spans="1:5">
      <c r="A193" s="97" t="s">
        <v>2298</v>
      </c>
      <c r="B193" t="s">
        <v>2299</v>
      </c>
      <c r="C193" s="97" t="s">
        <v>2300</v>
      </c>
      <c r="D193" s="97" t="s">
        <v>2301</v>
      </c>
      <c r="E193" s="97" t="s">
        <v>2302</v>
      </c>
    </row>
    <row r="194" spans="1:5">
      <c r="A194" s="97" t="s">
        <v>2303</v>
      </c>
      <c r="B194" t="s">
        <v>2304</v>
      </c>
      <c r="C194" s="97" t="s">
        <v>2305</v>
      </c>
      <c r="D194" s="97" t="s">
        <v>2306</v>
      </c>
      <c r="E194" s="97" t="s">
        <v>2307</v>
      </c>
    </row>
    <row r="195" spans="1:5">
      <c r="A195" s="97" t="s">
        <v>2308</v>
      </c>
      <c r="B195" t="s">
        <v>2309</v>
      </c>
      <c r="C195" s="97" t="s">
        <v>2310</v>
      </c>
      <c r="D195" s="97" t="s">
        <v>2311</v>
      </c>
      <c r="E195" s="97" t="s">
        <v>2312</v>
      </c>
    </row>
    <row r="196" spans="1:5">
      <c r="A196" s="97" t="s">
        <v>2313</v>
      </c>
      <c r="B196" t="s">
        <v>2314</v>
      </c>
      <c r="C196" s="97" t="s">
        <v>2315</v>
      </c>
      <c r="D196" s="97" t="s">
        <v>2316</v>
      </c>
      <c r="E196" s="97" t="s">
        <v>2317</v>
      </c>
    </row>
    <row r="197" spans="1:5" ht="26.25">
      <c r="A197" s="97" t="s">
        <v>2318</v>
      </c>
      <c r="B197" t="s">
        <v>2319</v>
      </c>
      <c r="C197" s="97" t="s">
        <v>2320</v>
      </c>
      <c r="D197" s="97" t="s">
        <v>2321</v>
      </c>
      <c r="E197" s="97" t="s">
        <v>2322</v>
      </c>
    </row>
    <row r="198" spans="1:5">
      <c r="A198" s="97" t="s">
        <v>2323</v>
      </c>
      <c r="B198" t="s">
        <v>2324</v>
      </c>
      <c r="C198" s="97" t="s">
        <v>2325</v>
      </c>
      <c r="D198" s="97" t="s">
        <v>2326</v>
      </c>
      <c r="E198" s="97" t="s">
        <v>2327</v>
      </c>
    </row>
    <row r="199" spans="1:5">
      <c r="A199" s="97" t="s">
        <v>2328</v>
      </c>
      <c r="B199" t="s">
        <v>2329</v>
      </c>
      <c r="C199" s="97" t="s">
        <v>2330</v>
      </c>
      <c r="D199" s="97" t="s">
        <v>2331</v>
      </c>
      <c r="E199" s="97" t="s">
        <v>2332</v>
      </c>
    </row>
    <row r="200" spans="1:5">
      <c r="A200" s="97" t="s">
        <v>2333</v>
      </c>
      <c r="B200" t="s">
        <v>2334</v>
      </c>
      <c r="C200" s="97" t="s">
        <v>2335</v>
      </c>
      <c r="D200" s="97" t="s">
        <v>2336</v>
      </c>
      <c r="E200" s="97" t="s">
        <v>2337</v>
      </c>
    </row>
    <row r="201" spans="1:5">
      <c r="A201" s="97" t="s">
        <v>2338</v>
      </c>
      <c r="B201" t="s">
        <v>2339</v>
      </c>
      <c r="C201" s="97" t="s">
        <v>2340</v>
      </c>
      <c r="D201" s="97" t="s">
        <v>2341</v>
      </c>
      <c r="E201" s="97" t="s">
        <v>2342</v>
      </c>
    </row>
    <row r="202" spans="1:5">
      <c r="A202" s="97" t="s">
        <v>2343</v>
      </c>
      <c r="B202" t="s">
        <v>2344</v>
      </c>
      <c r="C202" s="97" t="s">
        <v>2345</v>
      </c>
      <c r="D202" s="97" t="s">
        <v>2346</v>
      </c>
      <c r="E202" s="97" t="s">
        <v>2347</v>
      </c>
    </row>
    <row r="203" spans="1:5">
      <c r="A203" s="97" t="s">
        <v>2348</v>
      </c>
      <c r="B203" t="s">
        <v>2349</v>
      </c>
      <c r="C203" s="97" t="s">
        <v>2350</v>
      </c>
      <c r="D203" s="97" t="s">
        <v>2351</v>
      </c>
      <c r="E203" s="97" t="s">
        <v>2352</v>
      </c>
    </row>
    <row r="204" spans="1:5">
      <c r="A204" s="97" t="s">
        <v>2353</v>
      </c>
      <c r="B204" t="s">
        <v>2354</v>
      </c>
      <c r="C204" s="97" t="s">
        <v>2355</v>
      </c>
      <c r="D204" s="97" t="s">
        <v>2356</v>
      </c>
      <c r="E204" s="97" t="s">
        <v>2282</v>
      </c>
    </row>
    <row r="205" spans="1:5">
      <c r="A205" s="97" t="s">
        <v>2357</v>
      </c>
      <c r="B205" t="s">
        <v>2358</v>
      </c>
      <c r="C205" s="97" t="s">
        <v>2359</v>
      </c>
      <c r="D205" s="97" t="s">
        <v>2360</v>
      </c>
      <c r="E205" s="97" t="s">
        <v>2361</v>
      </c>
    </row>
    <row r="206" spans="1:5">
      <c r="A206" s="97" t="s">
        <v>2362</v>
      </c>
      <c r="B206" t="s">
        <v>2363</v>
      </c>
      <c r="C206" s="97" t="s">
        <v>2364</v>
      </c>
      <c r="D206" s="97" t="s">
        <v>2365</v>
      </c>
      <c r="E206" s="97" t="s">
        <v>2366</v>
      </c>
    </row>
    <row r="207" spans="1:5">
      <c r="A207" s="97" t="s">
        <v>2367</v>
      </c>
      <c r="B207" t="s">
        <v>2368</v>
      </c>
      <c r="C207" s="97" t="s">
        <v>2369</v>
      </c>
      <c r="D207" s="97" t="s">
        <v>2370</v>
      </c>
      <c r="E207" s="97" t="s">
        <v>2371</v>
      </c>
    </row>
    <row r="208" spans="1:5">
      <c r="A208" s="97" t="s">
        <v>2372</v>
      </c>
      <c r="B208" t="s">
        <v>2373</v>
      </c>
      <c r="C208" s="97" t="s">
        <v>2374</v>
      </c>
      <c r="D208" s="97" t="s">
        <v>2375</v>
      </c>
      <c r="E208" s="97" t="s">
        <v>2376</v>
      </c>
    </row>
    <row r="209" spans="1:5">
      <c r="A209" s="97" t="s">
        <v>2377</v>
      </c>
      <c r="B209" t="s">
        <v>2378</v>
      </c>
      <c r="C209" s="97" t="s">
        <v>2379</v>
      </c>
      <c r="D209" s="97" t="s">
        <v>2380</v>
      </c>
      <c r="E209" s="97" t="s">
        <v>2381</v>
      </c>
    </row>
    <row r="210" spans="1:5">
      <c r="A210" s="97" t="s">
        <v>2382</v>
      </c>
      <c r="B210" t="s">
        <v>2383</v>
      </c>
      <c r="C210" s="97" t="s">
        <v>2384</v>
      </c>
      <c r="D210" s="97" t="s">
        <v>2385</v>
      </c>
      <c r="E210" s="97" t="s">
        <v>2327</v>
      </c>
    </row>
    <row r="211" spans="1:5">
      <c r="A211" s="97" t="s">
        <v>2386</v>
      </c>
      <c r="B211" t="s">
        <v>2387</v>
      </c>
      <c r="C211" s="97" t="s">
        <v>2388</v>
      </c>
      <c r="D211" s="97" t="s">
        <v>2389</v>
      </c>
      <c r="E211" s="97" t="s">
        <v>2322</v>
      </c>
    </row>
    <row r="212" spans="1:5">
      <c r="A212" s="97" t="s">
        <v>2390</v>
      </c>
      <c r="B212" t="s">
        <v>2391</v>
      </c>
      <c r="C212" s="97" t="s">
        <v>2392</v>
      </c>
      <c r="D212" s="97" t="s">
        <v>2393</v>
      </c>
      <c r="E212" s="97" t="s">
        <v>2394</v>
      </c>
    </row>
    <row r="213" spans="1:5">
      <c r="A213" s="97" t="s">
        <v>2395</v>
      </c>
      <c r="B213" t="s">
        <v>787</v>
      </c>
      <c r="C213" s="97" t="s">
        <v>787</v>
      </c>
      <c r="D213" s="97" t="s">
        <v>2396</v>
      </c>
      <c r="E213" s="97" t="s">
        <v>2302</v>
      </c>
    </row>
    <row r="214" spans="1:5">
      <c r="A214" s="97" t="s">
        <v>2397</v>
      </c>
      <c r="B214" t="s">
        <v>787</v>
      </c>
      <c r="C214" s="97" t="s">
        <v>787</v>
      </c>
      <c r="D214" s="97" t="s">
        <v>2398</v>
      </c>
      <c r="E214" s="97" t="s">
        <v>2282</v>
      </c>
    </row>
    <row r="215" spans="1:5">
      <c r="A215" s="97" t="s">
        <v>2399</v>
      </c>
      <c r="B215" t="s">
        <v>787</v>
      </c>
      <c r="C215" s="97" t="s">
        <v>2400</v>
      </c>
      <c r="D215" s="97" t="s">
        <v>2401</v>
      </c>
      <c r="E215" s="97" t="s">
        <v>2302</v>
      </c>
    </row>
    <row r="216" spans="1:5">
      <c r="A216" s="97" t="s">
        <v>2402</v>
      </c>
      <c r="B216" t="s">
        <v>2403</v>
      </c>
      <c r="C216" s="97" t="s">
        <v>2404</v>
      </c>
      <c r="D216" s="97" t="s">
        <v>2405</v>
      </c>
      <c r="E216" s="97" t="s">
        <v>2406</v>
      </c>
    </row>
    <row r="217" spans="1:5">
      <c r="A217" s="97" t="s">
        <v>2407</v>
      </c>
      <c r="B217" t="s">
        <v>787</v>
      </c>
      <c r="C217" s="97" t="s">
        <v>2408</v>
      </c>
      <c r="D217" s="97" t="s">
        <v>2409</v>
      </c>
      <c r="E217" s="97" t="s">
        <v>2410</v>
      </c>
    </row>
    <row r="218" spans="1:5">
      <c r="A218" s="97" t="s">
        <v>2411</v>
      </c>
      <c r="B218" t="s">
        <v>2412</v>
      </c>
      <c r="C218" s="97" t="s">
        <v>2413</v>
      </c>
      <c r="D218" s="97" t="s">
        <v>2414</v>
      </c>
      <c r="E218" s="97" t="s">
        <v>2415</v>
      </c>
    </row>
    <row r="219" spans="1:5">
      <c r="A219" s="97" t="s">
        <v>1304</v>
      </c>
      <c r="B219" t="s">
        <v>1305</v>
      </c>
      <c r="C219" s="97" t="s">
        <v>1306</v>
      </c>
      <c r="D219" s="97" t="s">
        <v>1307</v>
      </c>
      <c r="E219" s="97" t="s">
        <v>2416</v>
      </c>
    </row>
    <row r="220" spans="1:5">
      <c r="A220" s="97" t="s">
        <v>2417</v>
      </c>
      <c r="B220" t="s">
        <v>2418</v>
      </c>
      <c r="C220" s="97" t="s">
        <v>2419</v>
      </c>
      <c r="D220" s="97" t="s">
        <v>2420</v>
      </c>
      <c r="E220" s="97" t="s">
        <v>2421</v>
      </c>
    </row>
    <row r="221" spans="1:5">
      <c r="A221" s="97" t="s">
        <v>2422</v>
      </c>
      <c r="B221" t="s">
        <v>1309</v>
      </c>
      <c r="C221" s="97" t="s">
        <v>1310</v>
      </c>
      <c r="D221" s="97" t="s">
        <v>2423</v>
      </c>
      <c r="E221" s="97" t="s">
        <v>2327</v>
      </c>
    </row>
    <row r="222" spans="1:5">
      <c r="A222" s="97" t="s">
        <v>2424</v>
      </c>
      <c r="B222" t="s">
        <v>2425</v>
      </c>
      <c r="C222" s="97" t="s">
        <v>2426</v>
      </c>
      <c r="D222" s="97" t="s">
        <v>2427</v>
      </c>
      <c r="E222" s="97" t="s">
        <v>2428</v>
      </c>
    </row>
    <row r="223" spans="1:5">
      <c r="A223" s="97" t="s">
        <v>2429</v>
      </c>
      <c r="B223" t="s">
        <v>787</v>
      </c>
      <c r="C223" t="s">
        <v>787</v>
      </c>
      <c r="D223" s="97" t="s">
        <v>2430</v>
      </c>
      <c r="E223" s="97" t="s">
        <v>2431</v>
      </c>
    </row>
    <row r="224" spans="1:5">
      <c r="A224" s="97" t="s">
        <v>2432</v>
      </c>
      <c r="B224" t="s">
        <v>2433</v>
      </c>
      <c r="C224" s="97" t="s">
        <v>2434</v>
      </c>
      <c r="D224" s="97" t="s">
        <v>2435</v>
      </c>
      <c r="E224" s="97" t="s">
        <v>2436</v>
      </c>
    </row>
    <row r="225" spans="1:5">
      <c r="A225" s="97" t="s">
        <v>2437</v>
      </c>
      <c r="B225" t="s">
        <v>2438</v>
      </c>
      <c r="C225" s="97" t="s">
        <v>2439</v>
      </c>
      <c r="D225" s="97" t="s">
        <v>2440</v>
      </c>
      <c r="E225" s="97" t="s">
        <v>2352</v>
      </c>
    </row>
    <row r="226" spans="1:5">
      <c r="A226" s="97" t="s">
        <v>2441</v>
      </c>
      <c r="B226" t="s">
        <v>2442</v>
      </c>
      <c r="C226" s="97" t="s">
        <v>2443</v>
      </c>
      <c r="D226" s="97" t="s">
        <v>2444</v>
      </c>
      <c r="E226" s="97" t="s">
        <v>2445</v>
      </c>
    </row>
    <row r="227" spans="1:5">
      <c r="A227" s="97" t="s">
        <v>2446</v>
      </c>
      <c r="B227" t="s">
        <v>2447</v>
      </c>
      <c r="C227" s="97" t="s">
        <v>2448</v>
      </c>
      <c r="D227" s="97" t="s">
        <v>2449</v>
      </c>
      <c r="E227" s="97" t="s">
        <v>2366</v>
      </c>
    </row>
    <row r="228" spans="1:5">
      <c r="A228" s="97" t="s">
        <v>2450</v>
      </c>
      <c r="B228" t="s">
        <v>2451</v>
      </c>
      <c r="C228" s="97" t="s">
        <v>2452</v>
      </c>
      <c r="D228" s="97" t="s">
        <v>2453</v>
      </c>
      <c r="E228" s="97" t="s">
        <v>2454</v>
      </c>
    </row>
    <row r="229" spans="1:5">
      <c r="A229" s="97" t="s">
        <v>2455</v>
      </c>
      <c r="B229" t="s">
        <v>2456</v>
      </c>
      <c r="C229" s="97" t="s">
        <v>2457</v>
      </c>
      <c r="D229" s="97" t="s">
        <v>2458</v>
      </c>
      <c r="E229" s="97" t="s">
        <v>2327</v>
      </c>
    </row>
    <row r="230" spans="1:5">
      <c r="A230" s="97" t="s">
        <v>2459</v>
      </c>
      <c r="B230" t="s">
        <v>2460</v>
      </c>
      <c r="C230" s="97" t="s">
        <v>2461</v>
      </c>
      <c r="D230" s="97" t="s">
        <v>2462</v>
      </c>
      <c r="E230" s="97" t="s">
        <v>2322</v>
      </c>
    </row>
    <row r="231" spans="1:5">
      <c r="A231" s="97" t="s">
        <v>2463</v>
      </c>
      <c r="B231" t="s">
        <v>2464</v>
      </c>
      <c r="C231" s="97" t="s">
        <v>2465</v>
      </c>
      <c r="D231" s="97" t="s">
        <v>2466</v>
      </c>
      <c r="E231" s="97" t="s">
        <v>2467</v>
      </c>
    </row>
    <row r="232" spans="1:5">
      <c r="A232" s="97" t="s">
        <v>2468</v>
      </c>
      <c r="B232" t="s">
        <v>2469</v>
      </c>
      <c r="C232" s="97" t="s">
        <v>2470</v>
      </c>
      <c r="D232" s="97" t="s">
        <v>2471</v>
      </c>
      <c r="E232" s="97" t="s">
        <v>2472</v>
      </c>
    </row>
    <row r="233" spans="1:5">
      <c r="A233" s="97" t="s">
        <v>2473</v>
      </c>
      <c r="B233" t="s">
        <v>2474</v>
      </c>
      <c r="C233" s="97" t="s">
        <v>2475</v>
      </c>
      <c r="D233" s="97" t="s">
        <v>2476</v>
      </c>
      <c r="E233" s="97" t="s">
        <v>2327</v>
      </c>
    </row>
    <row r="234" spans="1:5">
      <c r="A234" s="97" t="s">
        <v>2477</v>
      </c>
      <c r="B234" t="s">
        <v>2478</v>
      </c>
      <c r="C234" s="97" t="s">
        <v>2479</v>
      </c>
      <c r="D234" s="97" t="s">
        <v>2480</v>
      </c>
      <c r="E234" s="97" t="s">
        <v>2421</v>
      </c>
    </row>
    <row r="235" spans="1:5">
      <c r="A235" s="97" t="s">
        <v>2481</v>
      </c>
      <c r="B235" t="s">
        <v>2482</v>
      </c>
      <c r="C235" s="97" t="s">
        <v>2483</v>
      </c>
      <c r="D235" s="97" t="s">
        <v>2484</v>
      </c>
      <c r="E235" s="97" t="s">
        <v>2485</v>
      </c>
    </row>
    <row r="236" spans="1:5">
      <c r="A236" s="97" t="s">
        <v>2486</v>
      </c>
      <c r="B236" t="s">
        <v>2487</v>
      </c>
      <c r="C236" s="97" t="s">
        <v>2488</v>
      </c>
      <c r="D236" s="97" t="s">
        <v>2489</v>
      </c>
      <c r="E236" s="97" t="s">
        <v>2332</v>
      </c>
    </row>
    <row r="237" spans="1:5">
      <c r="A237" s="97" t="s">
        <v>2490</v>
      </c>
      <c r="B237" t="s">
        <v>2491</v>
      </c>
      <c r="C237" s="97" t="s">
        <v>2492</v>
      </c>
      <c r="D237" s="97" t="s">
        <v>2493</v>
      </c>
      <c r="E237" s="97" t="s">
        <v>2494</v>
      </c>
    </row>
    <row r="238" spans="1:5">
      <c r="A238" s="97" t="s">
        <v>2495</v>
      </c>
      <c r="B238" t="s">
        <v>787</v>
      </c>
      <c r="C238" s="97" t="s">
        <v>2496</v>
      </c>
      <c r="D238" s="97" t="s">
        <v>2497</v>
      </c>
      <c r="E238" s="97" t="s">
        <v>2322</v>
      </c>
    </row>
    <row r="239" spans="1:5">
      <c r="A239" s="97" t="s">
        <v>2498</v>
      </c>
      <c r="B239" t="s">
        <v>787</v>
      </c>
      <c r="C239" t="s">
        <v>787</v>
      </c>
      <c r="D239" s="97" t="s">
        <v>2499</v>
      </c>
      <c r="E239" s="97" t="s">
        <v>2500</v>
      </c>
    </row>
    <row r="240" spans="1:5">
      <c r="A240" s="97" t="s">
        <v>2501</v>
      </c>
      <c r="B240" t="s">
        <v>787</v>
      </c>
      <c r="C240" t="s">
        <v>787</v>
      </c>
      <c r="D240" s="97" t="s">
        <v>2502</v>
      </c>
      <c r="E240" s="97" t="s">
        <v>2503</v>
      </c>
    </row>
    <row r="241" spans="1:5">
      <c r="A241" s="97" t="s">
        <v>2504</v>
      </c>
      <c r="B241" t="s">
        <v>787</v>
      </c>
      <c r="C241" s="97" t="s">
        <v>2505</v>
      </c>
      <c r="D241" s="97" t="s">
        <v>2506</v>
      </c>
      <c r="E241" s="97" t="s">
        <v>2366</v>
      </c>
    </row>
    <row r="242" spans="1:5">
      <c r="A242" s="97" t="s">
        <v>2507</v>
      </c>
      <c r="B242" t="s">
        <v>2508</v>
      </c>
      <c r="C242" s="97" t="s">
        <v>2509</v>
      </c>
      <c r="D242" s="97" t="s">
        <v>2510</v>
      </c>
      <c r="E242" s="97" t="s">
        <v>2454</v>
      </c>
    </row>
    <row r="243" spans="1:5">
      <c r="A243" s="97" t="s">
        <v>2511</v>
      </c>
      <c r="B243" t="s">
        <v>787</v>
      </c>
      <c r="C243" s="97" t="s">
        <v>2512</v>
      </c>
      <c r="D243" s="97" t="s">
        <v>2513</v>
      </c>
      <c r="E243" s="97" t="s">
        <v>2332</v>
      </c>
    </row>
    <row r="244" spans="1:5">
      <c r="A244" s="97" t="s">
        <v>2514</v>
      </c>
      <c r="B244" t="s">
        <v>787</v>
      </c>
      <c r="C244" s="97" t="s">
        <v>787</v>
      </c>
      <c r="D244" s="97" t="s">
        <v>2515</v>
      </c>
      <c r="E244" s="97" t="s">
        <v>2406</v>
      </c>
    </row>
    <row r="245" spans="1:5">
      <c r="A245" s="97" t="s">
        <v>2516</v>
      </c>
      <c r="B245" t="s">
        <v>2517</v>
      </c>
      <c r="C245" s="97" t="s">
        <v>2518</v>
      </c>
      <c r="D245" s="97" t="s">
        <v>2519</v>
      </c>
      <c r="E245" s="97" t="s">
        <v>2520</v>
      </c>
    </row>
    <row r="246" spans="1:5">
      <c r="A246" s="97" t="s">
        <v>2521</v>
      </c>
      <c r="B246" t="s">
        <v>787</v>
      </c>
      <c r="C246" s="97" t="s">
        <v>787</v>
      </c>
      <c r="D246" s="97" t="s">
        <v>2522</v>
      </c>
      <c r="E246" s="97" t="s">
        <v>2282</v>
      </c>
    </row>
    <row r="247" spans="1:5">
      <c r="A247" s="97" t="s">
        <v>2523</v>
      </c>
      <c r="B247" t="s">
        <v>787</v>
      </c>
      <c r="C247" s="97" t="s">
        <v>787</v>
      </c>
      <c r="D247" s="97" t="s">
        <v>2524</v>
      </c>
      <c r="E247" s="97" t="s">
        <v>2525</v>
      </c>
    </row>
    <row r="248" spans="1:5">
      <c r="A248" s="97" t="s">
        <v>2526</v>
      </c>
      <c r="B248" t="s">
        <v>2527</v>
      </c>
      <c r="C248" s="97" t="s">
        <v>2528</v>
      </c>
      <c r="D248" s="97" t="s">
        <v>2529</v>
      </c>
      <c r="E248" s="97" t="s">
        <v>2525</v>
      </c>
    </row>
    <row r="249" spans="1:5">
      <c r="A249" s="97" t="s">
        <v>2530</v>
      </c>
      <c r="B249" t="s">
        <v>2531</v>
      </c>
      <c r="C249" s="97" t="s">
        <v>2532</v>
      </c>
      <c r="D249" s="97" t="s">
        <v>2533</v>
      </c>
      <c r="E249" s="97" t="s">
        <v>2525</v>
      </c>
    </row>
    <row r="250" spans="1:5">
      <c r="A250" s="97" t="s">
        <v>2534</v>
      </c>
      <c r="B250" t="s">
        <v>2535</v>
      </c>
      <c r="C250" s="97" t="s">
        <v>2536</v>
      </c>
      <c r="D250" s="97" t="s">
        <v>2537</v>
      </c>
      <c r="E250" s="97" t="s">
        <v>2525</v>
      </c>
    </row>
    <row r="251" spans="1:5">
      <c r="A251" s="97" t="s">
        <v>2538</v>
      </c>
      <c r="B251" t="s">
        <v>2539</v>
      </c>
      <c r="C251" s="97" t="s">
        <v>2540</v>
      </c>
      <c r="D251" s="97" t="s">
        <v>2541</v>
      </c>
      <c r="E251" s="97" t="s">
        <v>2525</v>
      </c>
    </row>
    <row r="252" spans="1:5">
      <c r="A252" s="97" t="s">
        <v>2542</v>
      </c>
      <c r="B252" t="s">
        <v>2543</v>
      </c>
      <c r="C252" s="97" t="s">
        <v>2544</v>
      </c>
      <c r="D252" s="97" t="s">
        <v>2545</v>
      </c>
      <c r="E252" s="97" t="s">
        <v>2525</v>
      </c>
    </row>
    <row r="253" spans="1:5">
      <c r="A253" s="97" t="s">
        <v>2546</v>
      </c>
      <c r="B253" t="s">
        <v>2547</v>
      </c>
      <c r="C253" s="97" t="s">
        <v>2548</v>
      </c>
      <c r="D253" s="97" t="s">
        <v>2549</v>
      </c>
      <c r="E253" s="97" t="s">
        <v>2525</v>
      </c>
    </row>
    <row r="254" spans="1:5">
      <c r="A254" s="97" t="s">
        <v>2550</v>
      </c>
      <c r="B254" t="s">
        <v>2551</v>
      </c>
      <c r="C254" s="97" t="s">
        <v>2552</v>
      </c>
      <c r="D254" s="97" t="s">
        <v>2553</v>
      </c>
      <c r="E254" s="97" t="s">
        <v>2525</v>
      </c>
    </row>
    <row r="255" spans="1:5">
      <c r="A255" s="97" t="s">
        <v>2554</v>
      </c>
      <c r="B255" t="s">
        <v>2555</v>
      </c>
      <c r="C255" s="97" t="s">
        <v>2556</v>
      </c>
      <c r="D255" s="97" t="s">
        <v>2557</v>
      </c>
      <c r="E255" s="97" t="s">
        <v>2503</v>
      </c>
    </row>
    <row r="256" spans="1:5">
      <c r="A256" s="97" t="s">
        <v>2558</v>
      </c>
      <c r="B256" t="s">
        <v>2559</v>
      </c>
      <c r="C256" s="97" t="s">
        <v>2560</v>
      </c>
      <c r="D256" s="97" t="s">
        <v>2561</v>
      </c>
      <c r="E256" s="97" t="s">
        <v>2352</v>
      </c>
    </row>
    <row r="257" spans="1:5" ht="39">
      <c r="A257" s="97" t="s">
        <v>2562</v>
      </c>
      <c r="B257" s="97" t="s">
        <v>2563</v>
      </c>
      <c r="C257" t="s">
        <v>2564</v>
      </c>
      <c r="D257" s="97" t="s">
        <v>2565</v>
      </c>
      <c r="E257" s="97" t="s">
        <v>2566</v>
      </c>
    </row>
    <row r="258" spans="1:5">
      <c r="A258" s="97" t="s">
        <v>2567</v>
      </c>
      <c r="B258" t="s">
        <v>787</v>
      </c>
      <c r="C258" s="97" t="s">
        <v>787</v>
      </c>
      <c r="D258" s="97" t="s">
        <v>2568</v>
      </c>
      <c r="E258" s="97" t="s">
        <v>2569</v>
      </c>
    </row>
    <row r="259" spans="1:5" ht="26.25">
      <c r="A259" s="97" t="s">
        <v>2570</v>
      </c>
      <c r="B259" t="s">
        <v>2571</v>
      </c>
      <c r="C259" s="97" t="s">
        <v>2572</v>
      </c>
      <c r="D259" s="97" t="s">
        <v>2573</v>
      </c>
      <c r="E259" s="97" t="s">
        <v>2574</v>
      </c>
    </row>
    <row r="260" spans="1:5">
      <c r="A260" s="97" t="s">
        <v>2575</v>
      </c>
      <c r="B260" t="s">
        <v>2576</v>
      </c>
      <c r="C260" s="97" t="s">
        <v>2577</v>
      </c>
      <c r="D260" s="97" t="s">
        <v>2578</v>
      </c>
      <c r="E260" s="97" t="s">
        <v>2297</v>
      </c>
    </row>
    <row r="261" spans="1:5">
      <c r="A261" s="97" t="s">
        <v>2579</v>
      </c>
      <c r="B261" t="s">
        <v>2580</v>
      </c>
      <c r="C261" s="97" t="s">
        <v>2581</v>
      </c>
      <c r="D261" s="97" t="s">
        <v>2582</v>
      </c>
      <c r="E261" s="97" t="s">
        <v>2322</v>
      </c>
    </row>
    <row r="262" spans="1:5">
      <c r="A262" s="97" t="s">
        <v>2583</v>
      </c>
      <c r="B262" t="s">
        <v>2584</v>
      </c>
      <c r="C262" s="97" t="s">
        <v>2585</v>
      </c>
      <c r="D262" s="97" t="s">
        <v>2586</v>
      </c>
      <c r="E262" s="97" t="s">
        <v>2297</v>
      </c>
    </row>
    <row r="263" spans="1:5">
      <c r="A263" s="97" t="s">
        <v>2587</v>
      </c>
      <c r="B263" t="s">
        <v>2588</v>
      </c>
      <c r="C263" s="97" t="s">
        <v>2589</v>
      </c>
      <c r="D263" s="97" t="s">
        <v>2590</v>
      </c>
      <c r="E263" s="97" t="s">
        <v>2267</v>
      </c>
    </row>
    <row r="264" spans="1:5">
      <c r="A264" s="97" t="s">
        <v>1374</v>
      </c>
      <c r="B264" t="s">
        <v>1375</v>
      </c>
      <c r="C264" s="97" t="s">
        <v>1376</v>
      </c>
      <c r="D264" s="97" t="s">
        <v>1377</v>
      </c>
      <c r="E264" s="97" t="s">
        <v>2421</v>
      </c>
    </row>
    <row r="265" spans="1:5">
      <c r="A265" s="97" t="s">
        <v>2591</v>
      </c>
      <c r="B265" t="s">
        <v>2592</v>
      </c>
      <c r="C265" s="97" t="s">
        <v>2593</v>
      </c>
      <c r="D265" s="97" t="s">
        <v>2594</v>
      </c>
      <c r="E265" s="97" t="s">
        <v>2327</v>
      </c>
    </row>
    <row r="266" spans="1:5">
      <c r="A266" s="97" t="s">
        <v>2595</v>
      </c>
      <c r="B266" t="s">
        <v>787</v>
      </c>
      <c r="C266" s="97" t="s">
        <v>2596</v>
      </c>
      <c r="D266" s="97" t="s">
        <v>2597</v>
      </c>
      <c r="E266" s="97" t="s">
        <v>2503</v>
      </c>
    </row>
    <row r="267" spans="1:5">
      <c r="A267" s="97" t="s">
        <v>2598</v>
      </c>
      <c r="B267" t="s">
        <v>2599</v>
      </c>
      <c r="C267" s="97" t="s">
        <v>2600</v>
      </c>
      <c r="D267" s="97" t="s">
        <v>2601</v>
      </c>
      <c r="E267" s="97" t="s">
        <v>2602</v>
      </c>
    </row>
    <row r="268" spans="1:5">
      <c r="A268" s="97" t="s">
        <v>2603</v>
      </c>
      <c r="B268" t="s">
        <v>2604</v>
      </c>
      <c r="C268" s="97" t="s">
        <v>2605</v>
      </c>
      <c r="D268" s="97" t="s">
        <v>2606</v>
      </c>
      <c r="E268" s="97" t="s">
        <v>2272</v>
      </c>
    </row>
    <row r="269" spans="1:5">
      <c r="A269" s="97" t="s">
        <v>2607</v>
      </c>
      <c r="B269" t="s">
        <v>2608</v>
      </c>
      <c r="C269" s="97" t="s">
        <v>2609</v>
      </c>
      <c r="D269" s="97" t="s">
        <v>2610</v>
      </c>
      <c r="E269" s="97" t="s">
        <v>2327</v>
      </c>
    </row>
    <row r="270" spans="1:5">
      <c r="A270" s="97" t="s">
        <v>2611</v>
      </c>
      <c r="B270" t="s">
        <v>787</v>
      </c>
      <c r="C270" s="97" t="s">
        <v>2612</v>
      </c>
      <c r="D270" s="97" t="s">
        <v>2613</v>
      </c>
      <c r="E270" s="97" t="s">
        <v>2614</v>
      </c>
    </row>
    <row r="271" spans="1:5">
      <c r="A271" s="97" t="s">
        <v>2615</v>
      </c>
      <c r="B271" t="s">
        <v>2616</v>
      </c>
      <c r="C271" s="97" t="s">
        <v>2617</v>
      </c>
      <c r="D271" s="97" t="s">
        <v>2618</v>
      </c>
      <c r="E271" s="97" t="s">
        <v>2410</v>
      </c>
    </row>
    <row r="272" spans="1:5">
      <c r="A272" s="97" t="s">
        <v>2619</v>
      </c>
      <c r="B272" t="s">
        <v>787</v>
      </c>
      <c r="C272" t="s">
        <v>787</v>
      </c>
      <c r="D272" s="97" t="s">
        <v>2620</v>
      </c>
      <c r="E272" s="97" t="s">
        <v>2621</v>
      </c>
    </row>
    <row r="273" spans="1:5">
      <c r="A273" s="97" t="s">
        <v>2622</v>
      </c>
      <c r="B273" t="s">
        <v>787</v>
      </c>
      <c r="C273" s="97" t="s">
        <v>2623</v>
      </c>
      <c r="D273" s="97" t="s">
        <v>2624</v>
      </c>
      <c r="E273" s="97" t="s">
        <v>2625</v>
      </c>
    </row>
    <row r="274" spans="1:5">
      <c r="A274" s="97" t="s">
        <v>2626</v>
      </c>
      <c r="B274" t="s">
        <v>2627</v>
      </c>
      <c r="C274" s="97" t="s">
        <v>2628</v>
      </c>
      <c r="D274" s="97" t="s">
        <v>2629</v>
      </c>
      <c r="E274" s="97" t="s">
        <v>2322</v>
      </c>
    </row>
    <row r="275" spans="1:5">
      <c r="A275" s="97" t="s">
        <v>2630</v>
      </c>
      <c r="B275" t="s">
        <v>2631</v>
      </c>
      <c r="C275" s="97" t="s">
        <v>2632</v>
      </c>
      <c r="D275" s="97" t="s">
        <v>2633</v>
      </c>
      <c r="E275" s="97" t="s">
        <v>2634</v>
      </c>
    </row>
    <row r="276" spans="1:5">
      <c r="A276" s="97" t="s">
        <v>2635</v>
      </c>
      <c r="B276" t="s">
        <v>787</v>
      </c>
      <c r="C276" t="s">
        <v>787</v>
      </c>
      <c r="D276" s="97" t="s">
        <v>2636</v>
      </c>
      <c r="E276" s="97" t="s">
        <v>2366</v>
      </c>
    </row>
    <row r="277" spans="1:5">
      <c r="A277" s="97" t="s">
        <v>2637</v>
      </c>
      <c r="B277" t="s">
        <v>2638</v>
      </c>
      <c r="C277" s="97" t="s">
        <v>2639</v>
      </c>
      <c r="D277" s="97" t="s">
        <v>2640</v>
      </c>
      <c r="E277" s="97" t="s">
        <v>2641</v>
      </c>
    </row>
    <row r="278" spans="1:5" ht="26.25">
      <c r="A278" s="97" t="s">
        <v>2642</v>
      </c>
      <c r="B278" t="s">
        <v>787</v>
      </c>
      <c r="C278" t="s">
        <v>787</v>
      </c>
      <c r="D278" t="s">
        <v>2643</v>
      </c>
      <c r="E278" s="97" t="s">
        <v>2602</v>
      </c>
    </row>
    <row r="279" spans="1:5">
      <c r="A279" s="97" t="s">
        <v>2644</v>
      </c>
      <c r="B279" t="s">
        <v>787</v>
      </c>
      <c r="C279" s="97" t="s">
        <v>2645</v>
      </c>
      <c r="D279" s="97" t="s">
        <v>2646</v>
      </c>
      <c r="E279" s="97" t="s">
        <v>2647</v>
      </c>
    </row>
    <row r="280" spans="1:5">
      <c r="A280" s="97" t="s">
        <v>2648</v>
      </c>
      <c r="B280" t="s">
        <v>2649</v>
      </c>
      <c r="C280" s="97" t="s">
        <v>2650</v>
      </c>
      <c r="D280" s="97" t="s">
        <v>2651</v>
      </c>
      <c r="E280" s="97" t="s">
        <v>2282</v>
      </c>
    </row>
    <row r="281" spans="1:5">
      <c r="A281" s="97" t="s">
        <v>2652</v>
      </c>
      <c r="B281" t="s">
        <v>2653</v>
      </c>
      <c r="C281" s="97" t="s">
        <v>2654</v>
      </c>
      <c r="D281" s="97" t="s">
        <v>2655</v>
      </c>
      <c r="E281" s="97" t="s">
        <v>2656</v>
      </c>
    </row>
    <row r="282" spans="1:5">
      <c r="A282" s="97" t="s">
        <v>2657</v>
      </c>
      <c r="B282" t="s">
        <v>787</v>
      </c>
      <c r="C282" t="s">
        <v>787</v>
      </c>
      <c r="D282" s="97" t="s">
        <v>2658</v>
      </c>
      <c r="E282" s="97" t="s">
        <v>2659</v>
      </c>
    </row>
    <row r="283" spans="1:5">
      <c r="A283" s="97" t="s">
        <v>2660</v>
      </c>
      <c r="B283" t="s">
        <v>787</v>
      </c>
      <c r="C283" t="s">
        <v>787</v>
      </c>
      <c r="D283" s="97" t="s">
        <v>2661</v>
      </c>
      <c r="E283" s="97" t="s">
        <v>2662</v>
      </c>
    </row>
    <row r="284" spans="1:5">
      <c r="A284" s="97" t="s">
        <v>2663</v>
      </c>
      <c r="B284" t="s">
        <v>2664</v>
      </c>
      <c r="C284" s="97" t="s">
        <v>2665</v>
      </c>
      <c r="D284" s="97" t="s">
        <v>2666</v>
      </c>
      <c r="E284" s="97" t="s">
        <v>2667</v>
      </c>
    </row>
    <row r="285" spans="1:5">
      <c r="A285" s="97" t="s">
        <v>2668</v>
      </c>
      <c r="B285" t="s">
        <v>2669</v>
      </c>
      <c r="C285" s="97" t="s">
        <v>2670</v>
      </c>
      <c r="D285" s="97" t="s">
        <v>2671</v>
      </c>
      <c r="E285" s="97" t="s">
        <v>2602</v>
      </c>
    </row>
    <row r="286" spans="1:5">
      <c r="A286" s="97" t="s">
        <v>2672</v>
      </c>
      <c r="B286" t="s">
        <v>2673</v>
      </c>
      <c r="C286" s="97" t="s">
        <v>2674</v>
      </c>
      <c r="D286" s="97" t="s">
        <v>2675</v>
      </c>
      <c r="E286" s="97" t="s">
        <v>2676</v>
      </c>
    </row>
    <row r="287" spans="1:5">
      <c r="A287" s="97" t="s">
        <v>2677</v>
      </c>
      <c r="B287" t="s">
        <v>2678</v>
      </c>
      <c r="C287" s="97" t="s">
        <v>2679</v>
      </c>
      <c r="D287" s="97" t="s">
        <v>2680</v>
      </c>
      <c r="E287" s="97" t="s">
        <v>2282</v>
      </c>
    </row>
    <row r="288" spans="1:5">
      <c r="A288" s="97" t="s">
        <v>2681</v>
      </c>
      <c r="B288" t="s">
        <v>787</v>
      </c>
      <c r="C288" s="97" t="s">
        <v>2682</v>
      </c>
      <c r="D288" s="97" t="s">
        <v>2683</v>
      </c>
      <c r="E288" s="97" t="s">
        <v>2332</v>
      </c>
    </row>
    <row r="289" spans="1:6">
      <c r="A289" s="97" t="s">
        <v>2684</v>
      </c>
      <c r="B289" t="s">
        <v>2685</v>
      </c>
      <c r="C289" s="97" t="s">
        <v>2686</v>
      </c>
      <c r="D289" s="97" t="s">
        <v>2687</v>
      </c>
      <c r="E289" s="97" t="s">
        <v>2688</v>
      </c>
    </row>
    <row r="290" spans="1:6">
      <c r="A290" s="97" t="s">
        <v>2689</v>
      </c>
      <c r="B290" t="s">
        <v>2690</v>
      </c>
      <c r="C290" s="97" t="s">
        <v>2691</v>
      </c>
      <c r="D290" s="97" t="s">
        <v>2692</v>
      </c>
      <c r="E290" s="97" t="s">
        <v>2322</v>
      </c>
    </row>
    <row r="291" spans="1:6">
      <c r="A291" s="97" t="s">
        <v>2693</v>
      </c>
      <c r="B291" t="s">
        <v>2694</v>
      </c>
      <c r="C291" s="97" t="s">
        <v>2695</v>
      </c>
      <c r="D291" s="97" t="s">
        <v>2696</v>
      </c>
      <c r="E291" s="97" t="s">
        <v>2697</v>
      </c>
    </row>
    <row r="292" spans="1:6">
      <c r="A292" s="97" t="s">
        <v>2698</v>
      </c>
      <c r="B292" t="s">
        <v>2699</v>
      </c>
      <c r="C292" s="97" t="s">
        <v>2700</v>
      </c>
      <c r="D292" s="97" t="s">
        <v>2701</v>
      </c>
      <c r="E292" s="97" t="s">
        <v>2702</v>
      </c>
    </row>
    <row r="293" spans="1:6">
      <c r="A293" s="97" t="s">
        <v>2703</v>
      </c>
      <c r="B293" t="s">
        <v>2704</v>
      </c>
      <c r="C293" s="97" t="s">
        <v>2705</v>
      </c>
      <c r="D293" s="97" t="s">
        <v>2706</v>
      </c>
      <c r="E293" s="97" t="s">
        <v>2707</v>
      </c>
    </row>
    <row r="294" spans="1:6">
      <c r="A294" s="97" t="s">
        <v>2708</v>
      </c>
      <c r="B294" s="97" t="s">
        <v>2709</v>
      </c>
      <c r="C294" s="97" t="s">
        <v>2710</v>
      </c>
      <c r="D294" s="97" t="s">
        <v>2711</v>
      </c>
      <c r="E294" s="97" t="s">
        <v>2282</v>
      </c>
    </row>
    <row r="295" spans="1:6" ht="39">
      <c r="A295" s="97" t="s">
        <v>2712</v>
      </c>
      <c r="B295" t="s">
        <v>2713</v>
      </c>
      <c r="C295" t="s">
        <v>2714</v>
      </c>
      <c r="D295" s="97" t="s">
        <v>2715</v>
      </c>
      <c r="E295" s="97" t="s">
        <v>2282</v>
      </c>
      <c r="F295" t="s">
        <v>2716</v>
      </c>
    </row>
    <row r="296" spans="1:6">
      <c r="A296" s="97" t="s">
        <v>2717</v>
      </c>
      <c r="B296" t="s">
        <v>2718</v>
      </c>
      <c r="C296" s="97" t="s">
        <v>2719</v>
      </c>
      <c r="D296" s="97" t="s">
        <v>2720</v>
      </c>
      <c r="E296" s="97" t="s">
        <v>2421</v>
      </c>
    </row>
    <row r="297" spans="1:6">
      <c r="A297" s="97" t="s">
        <v>2721</v>
      </c>
      <c r="B297" t="s">
        <v>2722</v>
      </c>
      <c r="C297" s="97" t="s">
        <v>2723</v>
      </c>
      <c r="D297" s="97" t="s">
        <v>2724</v>
      </c>
      <c r="E297" s="97" t="s">
        <v>2725</v>
      </c>
    </row>
    <row r="298" spans="1:6">
      <c r="A298" s="97" t="s">
        <v>2726</v>
      </c>
      <c r="B298" t="s">
        <v>2727</v>
      </c>
      <c r="C298" s="97" t="s">
        <v>2728</v>
      </c>
      <c r="D298" s="97" t="s">
        <v>2729</v>
      </c>
      <c r="E298" s="97" t="s">
        <v>2602</v>
      </c>
    </row>
    <row r="299" spans="1:6" ht="26.25">
      <c r="A299" s="97" t="s">
        <v>2730</v>
      </c>
      <c r="B299" t="s">
        <v>787</v>
      </c>
      <c r="C299" t="s">
        <v>787</v>
      </c>
      <c r="D299" s="97" t="s">
        <v>2731</v>
      </c>
      <c r="E299" s="97" t="s">
        <v>2732</v>
      </c>
      <c r="F299" t="s">
        <v>2733</v>
      </c>
    </row>
    <row r="300" spans="1:6" ht="26.25">
      <c r="A300" s="97" t="s">
        <v>2734</v>
      </c>
      <c r="B300" t="s">
        <v>2735</v>
      </c>
      <c r="C300" s="97" t="s">
        <v>2736</v>
      </c>
      <c r="D300" s="97" t="s">
        <v>2737</v>
      </c>
      <c r="E300" s="97" t="s">
        <v>2322</v>
      </c>
      <c r="F300" t="s">
        <v>2738</v>
      </c>
    </row>
    <row r="301" spans="1:6">
      <c r="A301" s="97" t="s">
        <v>2739</v>
      </c>
      <c r="B301" t="s">
        <v>787</v>
      </c>
      <c r="C301" t="s">
        <v>787</v>
      </c>
      <c r="D301" s="97" t="s">
        <v>2740</v>
      </c>
      <c r="E301" s="97" t="s">
        <v>2342</v>
      </c>
    </row>
    <row r="302" spans="1:6">
      <c r="A302" s="97" t="s">
        <v>2741</v>
      </c>
      <c r="B302" t="s">
        <v>2742</v>
      </c>
      <c r="C302" s="97" t="s">
        <v>2743</v>
      </c>
      <c r="D302" s="97" t="s">
        <v>2744</v>
      </c>
      <c r="E302" s="97" t="s">
        <v>2745</v>
      </c>
    </row>
    <row r="303" spans="1:6" ht="26.25">
      <c r="A303" s="97" t="s">
        <v>2746</v>
      </c>
      <c r="B303" t="s">
        <v>2747</v>
      </c>
      <c r="C303" s="97" t="s">
        <v>2748</v>
      </c>
      <c r="D303" s="97" t="s">
        <v>2749</v>
      </c>
      <c r="E303" s="97" t="s">
        <v>2602</v>
      </c>
      <c r="F303" t="s">
        <v>2750</v>
      </c>
    </row>
    <row r="304" spans="1:6" ht="26.25">
      <c r="A304" s="97" t="s">
        <v>2751</v>
      </c>
      <c r="B304" t="s">
        <v>2752</v>
      </c>
      <c r="C304" s="97" t="s">
        <v>2753</v>
      </c>
      <c r="D304" s="97" t="s">
        <v>2754</v>
      </c>
      <c r="E304" s="97" t="s">
        <v>2322</v>
      </c>
    </row>
    <row r="305" spans="1:6">
      <c r="A305" s="97" t="s">
        <v>2755</v>
      </c>
      <c r="B305" t="s">
        <v>2756</v>
      </c>
      <c r="C305" s="97" t="s">
        <v>2757</v>
      </c>
      <c r="D305" s="97" t="s">
        <v>2758</v>
      </c>
      <c r="E305" s="97" t="s">
        <v>2759</v>
      </c>
    </row>
    <row r="306" spans="1:6">
      <c r="A306" s="97" t="s">
        <v>2760</v>
      </c>
      <c r="B306" t="s">
        <v>787</v>
      </c>
      <c r="C306" s="97" t="s">
        <v>2761</v>
      </c>
      <c r="D306" s="97" t="s">
        <v>2762</v>
      </c>
      <c r="E306" s="97" t="s">
        <v>2763</v>
      </c>
    </row>
    <row r="307" spans="1:6">
      <c r="A307" s="97" t="s">
        <v>2764</v>
      </c>
      <c r="B307" t="s">
        <v>2765</v>
      </c>
      <c r="C307" s="97" t="s">
        <v>2766</v>
      </c>
      <c r="D307" s="97" t="s">
        <v>2767</v>
      </c>
      <c r="E307" s="97" t="s">
        <v>2768</v>
      </c>
    </row>
    <row r="308" spans="1:6">
      <c r="A308" s="97" t="s">
        <v>2769</v>
      </c>
      <c r="B308" t="s">
        <v>2770</v>
      </c>
      <c r="C308" s="97" t="s">
        <v>2771</v>
      </c>
      <c r="D308" s="97" t="s">
        <v>2772</v>
      </c>
      <c r="E308" s="97" t="s">
        <v>2327</v>
      </c>
    </row>
    <row r="309" spans="1:6">
      <c r="A309" s="97" t="s">
        <v>2773</v>
      </c>
      <c r="B309" t="s">
        <v>2774</v>
      </c>
      <c r="C309" s="97" t="s">
        <v>2775</v>
      </c>
      <c r="D309" s="97" t="s">
        <v>2776</v>
      </c>
      <c r="E309" s="97" t="s">
        <v>2332</v>
      </c>
    </row>
    <row r="310" spans="1:6">
      <c r="A310" s="97" t="s">
        <v>2777</v>
      </c>
      <c r="B310" t="s">
        <v>787</v>
      </c>
      <c r="C310" t="s">
        <v>787</v>
      </c>
      <c r="D310" s="97" t="s">
        <v>2778</v>
      </c>
      <c r="E310" s="97" t="s">
        <v>2779</v>
      </c>
    </row>
    <row r="311" spans="1:6">
      <c r="A311" s="97" t="s">
        <v>2780</v>
      </c>
      <c r="B311" t="s">
        <v>2781</v>
      </c>
      <c r="C311" s="97" t="s">
        <v>2782</v>
      </c>
      <c r="D311" s="97" t="s">
        <v>2783</v>
      </c>
      <c r="E311" s="97" t="s">
        <v>2784</v>
      </c>
    </row>
    <row r="312" spans="1:6">
      <c r="A312" s="97" t="s">
        <v>2785</v>
      </c>
      <c r="B312" t="s">
        <v>2786</v>
      </c>
      <c r="C312" s="97" t="s">
        <v>2787</v>
      </c>
      <c r="D312" s="97" t="s">
        <v>2788</v>
      </c>
      <c r="E312" s="97" t="s">
        <v>2282</v>
      </c>
    </row>
    <row r="313" spans="1:6">
      <c r="A313" s="97" t="s">
        <v>2789</v>
      </c>
      <c r="B313" t="s">
        <v>787</v>
      </c>
      <c r="C313" t="s">
        <v>787</v>
      </c>
      <c r="D313" s="97" t="s">
        <v>2744</v>
      </c>
      <c r="E313" s="97" t="s">
        <v>2745</v>
      </c>
    </row>
    <row r="314" spans="1:6" ht="26.25">
      <c r="A314" s="97" t="s">
        <v>2790</v>
      </c>
      <c r="B314" t="s">
        <v>2791</v>
      </c>
      <c r="C314" s="97" t="s">
        <v>2792</v>
      </c>
      <c r="D314" s="97" t="s">
        <v>2793</v>
      </c>
      <c r="E314" s="97" t="s">
        <v>2794</v>
      </c>
      <c r="F314" t="s">
        <v>2795</v>
      </c>
    </row>
    <row r="315" spans="1:6">
      <c r="A315" s="97" t="s">
        <v>2796</v>
      </c>
      <c r="B315" t="s">
        <v>787</v>
      </c>
      <c r="C315" s="97" t="s">
        <v>2797</v>
      </c>
      <c r="D315" s="97" t="s">
        <v>2798</v>
      </c>
      <c r="E315" s="97" t="s">
        <v>2342</v>
      </c>
    </row>
    <row r="316" spans="1:6">
      <c r="A316" s="97" t="s">
        <v>2799</v>
      </c>
      <c r="B316" t="s">
        <v>2800</v>
      </c>
      <c r="C316" s="97" t="s">
        <v>2801</v>
      </c>
      <c r="D316" s="97" t="s">
        <v>2802</v>
      </c>
      <c r="E316" s="97" t="s">
        <v>2803</v>
      </c>
    </row>
    <row r="317" spans="1:6">
      <c r="A317" s="97" t="s">
        <v>2804</v>
      </c>
      <c r="B317" t="s">
        <v>2805</v>
      </c>
      <c r="C317" s="97" t="s">
        <v>2806</v>
      </c>
      <c r="D317" s="97" t="s">
        <v>2807</v>
      </c>
      <c r="E317" s="97"/>
    </row>
    <row r="318" spans="1:6">
      <c r="A318" s="97" t="s">
        <v>2808</v>
      </c>
      <c r="B318" t="s">
        <v>787</v>
      </c>
      <c r="C318" t="s">
        <v>787</v>
      </c>
      <c r="D318" s="97" t="s">
        <v>2809</v>
      </c>
      <c r="E318" s="97" t="s">
        <v>2231</v>
      </c>
    </row>
    <row r="319" spans="1:6">
      <c r="A319" s="97" t="s">
        <v>2810</v>
      </c>
      <c r="B319" t="s">
        <v>2811</v>
      </c>
      <c r="C319" s="97" t="s">
        <v>2812</v>
      </c>
      <c r="D319" s="97" t="s">
        <v>2813</v>
      </c>
      <c r="E319" s="97" t="s">
        <v>2814</v>
      </c>
    </row>
    <row r="320" spans="1:6">
      <c r="A320" s="97" t="s">
        <v>2815</v>
      </c>
      <c r="B320" t="s">
        <v>2816</v>
      </c>
      <c r="C320" s="97" t="s">
        <v>2817</v>
      </c>
      <c r="D320" s="97" t="s">
        <v>2818</v>
      </c>
      <c r="E320" s="97" t="s">
        <v>2819</v>
      </c>
    </row>
    <row r="321" spans="1:6">
      <c r="A321" s="97" t="s">
        <v>2820</v>
      </c>
      <c r="B321" t="s">
        <v>787</v>
      </c>
      <c r="C321" s="97" t="s">
        <v>2821</v>
      </c>
      <c r="D321" s="97" t="s">
        <v>2822</v>
      </c>
      <c r="E321" s="97" t="s">
        <v>2823</v>
      </c>
    </row>
    <row r="322" spans="1:6">
      <c r="A322" s="97" t="s">
        <v>2824</v>
      </c>
      <c r="B322" t="s">
        <v>787</v>
      </c>
      <c r="C322" t="s">
        <v>787</v>
      </c>
      <c r="D322" t="s">
        <v>787</v>
      </c>
      <c r="E322" s="97" t="s">
        <v>2297</v>
      </c>
    </row>
    <row r="323" spans="1:6">
      <c r="A323" s="97" t="s">
        <v>2825</v>
      </c>
      <c r="B323" t="s">
        <v>787</v>
      </c>
      <c r="C323" t="s">
        <v>787</v>
      </c>
      <c r="D323" s="97" t="s">
        <v>2826</v>
      </c>
      <c r="E323" s="97" t="s">
        <v>2827</v>
      </c>
    </row>
    <row r="324" spans="1:6">
      <c r="A324" s="97" t="s">
        <v>2828</v>
      </c>
      <c r="B324" t="s">
        <v>2829</v>
      </c>
      <c r="C324" s="97" t="s">
        <v>2830</v>
      </c>
      <c r="D324" s="97" t="s">
        <v>2831</v>
      </c>
      <c r="E324" s="97" t="s">
        <v>2614</v>
      </c>
      <c r="F324" s="34" t="s">
        <v>2832</v>
      </c>
    </row>
    <row r="325" spans="1:6" ht="26.25">
      <c r="A325" s="97" t="s">
        <v>2833</v>
      </c>
      <c r="B325" t="s">
        <v>2834</v>
      </c>
      <c r="C325" s="97" t="s">
        <v>2835</v>
      </c>
      <c r="D325" s="97" t="s">
        <v>2836</v>
      </c>
      <c r="E325" s="97" t="s">
        <v>2322</v>
      </c>
      <c r="F325" t="s">
        <v>2837</v>
      </c>
    </row>
    <row r="326" spans="1:6">
      <c r="A326" s="97" t="s">
        <v>2838</v>
      </c>
      <c r="B326" t="s">
        <v>2839</v>
      </c>
      <c r="C326" s="97" t="s">
        <v>2840</v>
      </c>
      <c r="D326" s="97" t="s">
        <v>2841</v>
      </c>
      <c r="E326" s="97" t="s">
        <v>2327</v>
      </c>
    </row>
    <row r="327" spans="1:6">
      <c r="A327" s="97" t="s">
        <v>2842</v>
      </c>
      <c r="B327" t="s">
        <v>2843</v>
      </c>
      <c r="C327" s="97" t="s">
        <v>2844</v>
      </c>
      <c r="D327" s="97" t="s">
        <v>2845</v>
      </c>
      <c r="E327" s="97" t="s">
        <v>2282</v>
      </c>
    </row>
    <row r="328" spans="1:6">
      <c r="A328" s="97" t="s">
        <v>2846</v>
      </c>
      <c r="B328" t="s">
        <v>2847</v>
      </c>
      <c r="C328" s="97" t="s">
        <v>2848</v>
      </c>
      <c r="D328" s="97" t="s">
        <v>2849</v>
      </c>
      <c r="E328" s="97" t="s">
        <v>2850</v>
      </c>
    </row>
    <row r="329" spans="1:6" ht="39">
      <c r="A329" s="97" t="s">
        <v>2851</v>
      </c>
      <c r="B329" t="s">
        <v>2852</v>
      </c>
      <c r="C329" t="s">
        <v>2853</v>
      </c>
      <c r="D329" s="97" t="s">
        <v>2854</v>
      </c>
      <c r="E329" s="97" t="s">
        <v>2855</v>
      </c>
    </row>
    <row r="330" spans="1:6">
      <c r="A330" s="97" t="s">
        <v>2856</v>
      </c>
      <c r="B330" t="s">
        <v>2857</v>
      </c>
      <c r="C330" s="97" t="s">
        <v>2858</v>
      </c>
      <c r="D330" s="97" t="s">
        <v>2859</v>
      </c>
      <c r="E330" s="97" t="s">
        <v>2860</v>
      </c>
    </row>
    <row r="331" spans="1:6">
      <c r="A331" s="97" t="s">
        <v>2861</v>
      </c>
      <c r="B331" t="s">
        <v>2862</v>
      </c>
      <c r="C331" s="97" t="s">
        <v>2863</v>
      </c>
      <c r="D331" s="97" t="s">
        <v>2864</v>
      </c>
      <c r="E331" s="97" t="s">
        <v>2241</v>
      </c>
    </row>
    <row r="332" spans="1:6" ht="26.25">
      <c r="A332" s="97" t="s">
        <v>2865</v>
      </c>
      <c r="B332" t="s">
        <v>2866</v>
      </c>
      <c r="C332" s="97" t="s">
        <v>2867</v>
      </c>
      <c r="D332" s="97" t="s">
        <v>2868</v>
      </c>
      <c r="E332" s="97" t="s">
        <v>2445</v>
      </c>
      <c r="F332" t="s">
        <v>2869</v>
      </c>
    </row>
    <row r="333" spans="1:6">
      <c r="A333" s="97" t="s">
        <v>2870</v>
      </c>
      <c r="B333" t="s">
        <v>2871</v>
      </c>
      <c r="C333" s="97" t="s">
        <v>2872</v>
      </c>
      <c r="D333" s="97" t="s">
        <v>2873</v>
      </c>
      <c r="E333" s="97" t="s">
        <v>2874</v>
      </c>
    </row>
    <row r="334" spans="1:6">
      <c r="A334" s="97" t="s">
        <v>2875</v>
      </c>
      <c r="B334" t="s">
        <v>787</v>
      </c>
      <c r="C334" t="s">
        <v>787</v>
      </c>
      <c r="D334" s="97" t="s">
        <v>2876</v>
      </c>
      <c r="E334" s="97" t="s">
        <v>2454</v>
      </c>
    </row>
    <row r="335" spans="1:6">
      <c r="A335" s="97" t="s">
        <v>2877</v>
      </c>
      <c r="B335" t="s">
        <v>2878</v>
      </c>
      <c r="C335" s="97" t="s">
        <v>2879</v>
      </c>
      <c r="D335" s="97" t="s">
        <v>2880</v>
      </c>
      <c r="E335" s="97" t="s">
        <v>2881</v>
      </c>
    </row>
    <row r="336" spans="1:6">
      <c r="A336" s="97" t="s">
        <v>2882</v>
      </c>
      <c r="B336" t="s">
        <v>2883</v>
      </c>
      <c r="C336" s="97" t="s">
        <v>2884</v>
      </c>
      <c r="D336" s="97" t="s">
        <v>2885</v>
      </c>
      <c r="E336" s="97" t="s">
        <v>2886</v>
      </c>
    </row>
    <row r="337" spans="1:5">
      <c r="A337" s="97" t="s">
        <v>2887</v>
      </c>
      <c r="B337" t="s">
        <v>787</v>
      </c>
      <c r="C337" s="97" t="s">
        <v>787</v>
      </c>
      <c r="D337" s="97" t="s">
        <v>2888</v>
      </c>
      <c r="E337" s="97" t="s">
        <v>2342</v>
      </c>
    </row>
    <row r="338" spans="1:5">
      <c r="A338" s="97"/>
      <c r="C338" s="97"/>
      <c r="D338" s="97"/>
      <c r="E338" s="97"/>
    </row>
    <row r="339" spans="1:5">
      <c r="A339" s="97"/>
      <c r="C339" s="97"/>
      <c r="D339" s="97"/>
      <c r="E339" s="97"/>
    </row>
    <row r="340" spans="1:5">
      <c r="A340" s="97"/>
      <c r="C340" s="97"/>
      <c r="D340" s="97"/>
      <c r="E340" s="97"/>
    </row>
    <row r="341" spans="1:5">
      <c r="A341" s="97"/>
      <c r="C341" s="97"/>
      <c r="D341" s="97"/>
      <c r="E341" s="97"/>
    </row>
    <row r="342" spans="1:5">
      <c r="A342" s="97"/>
      <c r="C342" s="97"/>
      <c r="D342" s="97"/>
      <c r="E342" s="97"/>
    </row>
    <row r="343" spans="1:5">
      <c r="A343" s="97"/>
      <c r="C343" s="97"/>
      <c r="D343" s="97"/>
      <c r="E343" s="97"/>
    </row>
    <row r="344" spans="1:5">
      <c r="A344" s="97"/>
      <c r="C344" s="97"/>
      <c r="D344" s="97"/>
      <c r="E344" s="97"/>
    </row>
    <row r="345" spans="1:5">
      <c r="A345" s="97"/>
      <c r="C345" s="97"/>
      <c r="D345" s="97"/>
      <c r="E345" s="97"/>
    </row>
  </sheetData>
  <customSheetViews>
    <customSheetView guid="{617856E6-44D1-4ADD-8CA5-796514BA6839}">
      <pageMargins left="0.7" right="0.7" top="0.75" bottom="0.75" header="0.3" footer="0.3"/>
    </customSheetView>
  </customSheetViews>
  <mergeCells count="1">
    <mergeCell ref="F6: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64</vt:i4>
      </vt:variant>
      <vt:variant>
        <vt:lpstr>Named Ranges</vt:lpstr>
      </vt:variant>
      <vt:variant>
        <vt:i4>3</vt:i4>
      </vt:variant>
    </vt:vector>
  </HeadingPairs>
  <TitlesOfParts>
    <vt:vector size="67" baseType="lpstr">
      <vt:lpstr>Missing information</vt:lpstr>
      <vt:lpstr>About Us</vt:lpstr>
      <vt:lpstr>BackgroundData</vt:lpstr>
      <vt:lpstr>Instructions</vt:lpstr>
      <vt:lpstr>AL </vt:lpstr>
      <vt:lpstr>AK </vt:lpstr>
      <vt:lpstr>AZ </vt:lpstr>
      <vt:lpstr>AR </vt:lpstr>
      <vt:lpstr>CA </vt:lpstr>
      <vt:lpstr>CO </vt:lpstr>
      <vt:lpstr>CT </vt:lpstr>
      <vt:lpstr>DE </vt:lpstr>
      <vt:lpstr>DC </vt:lpstr>
      <vt:lpstr>FL </vt:lpstr>
      <vt:lpstr>GA </vt:lpstr>
      <vt:lpstr>HI </vt:lpstr>
      <vt:lpstr>ID </vt:lpstr>
      <vt:lpstr>IL </vt:lpstr>
      <vt:lpstr>IN </vt:lpstr>
      <vt:lpstr>IA </vt:lpstr>
      <vt:lpstr>KS </vt:lpstr>
      <vt:lpstr>KY </vt:lpstr>
      <vt:lpstr>LA </vt:lpstr>
      <vt:lpstr>ME </vt:lpstr>
      <vt:lpstr>MD </vt:lpstr>
      <vt:lpstr>MA </vt:lpstr>
      <vt:lpstr>MI </vt:lpstr>
      <vt:lpstr>MN </vt:lpstr>
      <vt:lpstr>MS </vt:lpstr>
      <vt:lpstr>MO </vt:lpstr>
      <vt:lpstr>MT </vt:lpstr>
      <vt:lpstr>NE </vt:lpstr>
      <vt:lpstr>NV </vt:lpstr>
      <vt:lpstr>NH </vt:lpstr>
      <vt:lpstr>NJ </vt:lpstr>
      <vt:lpstr>NM </vt:lpstr>
      <vt:lpstr>NY </vt:lpstr>
      <vt:lpstr>NC </vt:lpstr>
      <vt:lpstr>ND </vt:lpstr>
      <vt:lpstr>OH </vt:lpstr>
      <vt:lpstr>OK </vt:lpstr>
      <vt:lpstr>OR </vt:lpstr>
      <vt:lpstr>PA </vt:lpstr>
      <vt:lpstr>RI </vt:lpstr>
      <vt:lpstr>SC </vt:lpstr>
      <vt:lpstr>SD </vt:lpstr>
      <vt:lpstr>TN </vt:lpstr>
      <vt:lpstr>TX </vt:lpstr>
      <vt:lpstr>UT </vt:lpstr>
      <vt:lpstr>VT </vt:lpstr>
      <vt:lpstr>VA </vt:lpstr>
      <vt:lpstr>WA </vt:lpstr>
      <vt:lpstr>WV </vt:lpstr>
      <vt:lpstr>WI </vt:lpstr>
      <vt:lpstr>WY </vt:lpstr>
      <vt:lpstr>AS </vt:lpstr>
      <vt:lpstr>GU </vt:lpstr>
      <vt:lpstr>MP </vt:lpstr>
      <vt:lpstr>PR </vt:lpstr>
      <vt:lpstr>VI </vt:lpstr>
      <vt:lpstr>MOI</vt:lpstr>
      <vt:lpstr>FM </vt:lpstr>
      <vt:lpstr>MH </vt:lpstr>
      <vt:lpstr>PW </vt:lpstr>
      <vt:lpstr>PostCode</vt:lpstr>
      <vt:lpstr>StateCodes</vt:lpstr>
      <vt:lpstr>States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Derek</cp:lastModifiedBy>
  <dcterms:modified xsi:type="dcterms:W3CDTF">2013-12-14T21:12:59Z</dcterms:modified>
</cp:coreProperties>
</file>