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Characteristics!$A$1:$O$372</definedName>
    <definedName name="_xlnm._FilterDatabase" localSheetId="1" hidden="1">Performance!$A$1:$I$372</definedName>
  </definedNames>
  <calcPr calcId="124519" fullCalcOnLoad="1"/>
</workbook>
</file>

<file path=xl/sharedStrings.xml><?xml version="1.0" encoding="utf-8"?>
<sst xmlns="http://schemas.openxmlformats.org/spreadsheetml/2006/main" count="1255" uniqueCount="407">
  <si>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</si>
  <si>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</si>
  <si>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</si>
  <si>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</si>
  <si>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</si>
  <si>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</si>
  <si>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</si>
  <si>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</si>
  <si>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</si>
  <si>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</si>
  <si>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</si>
  <si>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</si>
  <si>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</si>
  <si>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</si>
  <si>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ABC</t>
  </si>
  <si>
    <t>ABM</t>
  </si>
  <si>
    <t>ABT</t>
  </si>
  <si>
    <t>ACN</t>
  </si>
  <si>
    <t>ADI</t>
  </si>
  <si>
    <t>ADM</t>
  </si>
  <si>
    <t>ADP</t>
  </si>
  <si>
    <t>AEL</t>
  </si>
  <si>
    <t>AEP</t>
  </si>
  <si>
    <t>AFG</t>
  </si>
  <si>
    <t>AFL</t>
  </si>
  <si>
    <t>AGM</t>
  </si>
  <si>
    <t>AGO</t>
  </si>
  <si>
    <t>AIT</t>
  </si>
  <si>
    <t>AIZ</t>
  </si>
  <si>
    <t>AJG</t>
  </si>
  <si>
    <t>ALB</t>
  </si>
  <si>
    <t>ALE</t>
  </si>
  <si>
    <t>ALL</t>
  </si>
  <si>
    <t>AMGN</t>
  </si>
  <si>
    <t>AMP</t>
  </si>
  <si>
    <t>ANDE</t>
  </si>
  <si>
    <t>ANTM</t>
  </si>
  <si>
    <t>AON</t>
  </si>
  <si>
    <t>AOS</t>
  </si>
  <si>
    <t>APD</t>
  </si>
  <si>
    <t>APH</t>
  </si>
  <si>
    <t>APOG</t>
  </si>
  <si>
    <t>ARE</t>
  </si>
  <si>
    <t>ASB</t>
  </si>
  <si>
    <t>ASH</t>
  </si>
  <si>
    <t>ATO</t>
  </si>
  <si>
    <t>ATR</t>
  </si>
  <si>
    <t>ATRI</t>
  </si>
  <si>
    <t>AUB</t>
  </si>
  <si>
    <t>AVA</t>
  </si>
  <si>
    <t>AVGO</t>
  </si>
  <si>
    <t>AVNT</t>
  </si>
  <si>
    <t>AVY</t>
  </si>
  <si>
    <t>AWK</t>
  </si>
  <si>
    <t>AWR</t>
  </si>
  <si>
    <t>AXS</t>
  </si>
  <si>
    <t>BANF</t>
  </si>
  <si>
    <t>BBY</t>
  </si>
  <si>
    <t>BCPC</t>
  </si>
  <si>
    <t>BDX</t>
  </si>
  <si>
    <t>BEN</t>
  </si>
  <si>
    <t>BIP</t>
  </si>
  <si>
    <t>BK</t>
  </si>
  <si>
    <t>BKH</t>
  </si>
  <si>
    <t>BLK</t>
  </si>
  <si>
    <t>BMI</t>
  </si>
  <si>
    <t>BMRC</t>
  </si>
  <si>
    <t>BMY</t>
  </si>
  <si>
    <t>BOKF</t>
  </si>
  <si>
    <t>BR</t>
  </si>
  <si>
    <t>BRC</t>
  </si>
  <si>
    <t>BRO</t>
  </si>
  <si>
    <t>CAH</t>
  </si>
  <si>
    <t>CASS</t>
  </si>
  <si>
    <t>CASY</t>
  </si>
  <si>
    <t>CAT</t>
  </si>
  <si>
    <t>CB</t>
  </si>
  <si>
    <t>CBOE</t>
  </si>
  <si>
    <t>CBSH</t>
  </si>
  <si>
    <t>CBT</t>
  </si>
  <si>
    <t>CBU</t>
  </si>
  <si>
    <t>CE</t>
  </si>
  <si>
    <t>CFR</t>
  </si>
  <si>
    <t>CHCO</t>
  </si>
  <si>
    <t>CHD</t>
  </si>
  <si>
    <t>CHDN</t>
  </si>
  <si>
    <t>CHE</t>
  </si>
  <si>
    <t>CHRW</t>
  </si>
  <si>
    <t>CINF</t>
  </si>
  <si>
    <t>CL</t>
  </si>
  <si>
    <t>CLX</t>
  </si>
  <si>
    <t>CMCSA</t>
  </si>
  <si>
    <t>CME</t>
  </si>
  <si>
    <t>CMI</t>
  </si>
  <si>
    <t>CMS</t>
  </si>
  <si>
    <t>CNS</t>
  </si>
  <si>
    <t>COST</t>
  </si>
  <si>
    <t>CPK</t>
  </si>
  <si>
    <t>CSCO</t>
  </si>
  <si>
    <t>CSL</t>
  </si>
  <si>
    <t>CSX</t>
  </si>
  <si>
    <t>CTAS</t>
  </si>
  <si>
    <t>CTBI</t>
  </si>
  <si>
    <t>CUBE</t>
  </si>
  <si>
    <t>CVX</t>
  </si>
  <si>
    <t>CWT</t>
  </si>
  <si>
    <t>DCI</t>
  </si>
  <si>
    <t>DDS</t>
  </si>
  <si>
    <t>DFS</t>
  </si>
  <si>
    <t>DGX</t>
  </si>
  <si>
    <t>DLR</t>
  </si>
  <si>
    <t>DOV</t>
  </si>
  <si>
    <t>DTE</t>
  </si>
  <si>
    <t>DUK</t>
  </si>
  <si>
    <t>ECL</t>
  </si>
  <si>
    <t>ED</t>
  </si>
  <si>
    <t>EGP</t>
  </si>
  <si>
    <t>EIX</t>
  </si>
  <si>
    <t>ELS</t>
  </si>
  <si>
    <t>EMN</t>
  </si>
  <si>
    <t>EMR</t>
  </si>
  <si>
    <t>ENSG</t>
  </si>
  <si>
    <t>EPD</t>
  </si>
  <si>
    <t>ERIE</t>
  </si>
  <si>
    <t>ES</t>
  </si>
  <si>
    <t>ESS</t>
  </si>
  <si>
    <t>ETN</t>
  </si>
  <si>
    <t>EVR</t>
  </si>
  <si>
    <t>EVRG</t>
  </si>
  <si>
    <t>EXPD</t>
  </si>
  <si>
    <t>EXR</t>
  </si>
  <si>
    <t>FAF</t>
  </si>
  <si>
    <t>FAST</t>
  </si>
  <si>
    <t>FCBC</t>
  </si>
  <si>
    <t>FDS</t>
  </si>
  <si>
    <t>FELE</t>
  </si>
  <si>
    <t>FFIN</t>
  </si>
  <si>
    <t>FISI</t>
  </si>
  <si>
    <t>FITB</t>
  </si>
  <si>
    <t>FLIC</t>
  </si>
  <si>
    <t>FLO</t>
  </si>
  <si>
    <t>FNF</t>
  </si>
  <si>
    <t>FRME</t>
  </si>
  <si>
    <t>FRT</t>
  </si>
  <si>
    <t>FUL</t>
  </si>
  <si>
    <t>GATX</t>
  </si>
  <si>
    <t>GD</t>
  </si>
  <si>
    <t>GFF</t>
  </si>
  <si>
    <t>GGG</t>
  </si>
  <si>
    <t>GL</t>
  </si>
  <si>
    <t>GLW</t>
  </si>
  <si>
    <t>GNTX</t>
  </si>
  <si>
    <t>GPC</t>
  </si>
  <si>
    <t>GRC</t>
  </si>
  <si>
    <t>GS</t>
  </si>
  <si>
    <t>GWW</t>
  </si>
  <si>
    <t>HBAN</t>
  </si>
  <si>
    <t>HBNC</t>
  </si>
  <si>
    <t>HCSG</t>
  </si>
  <si>
    <t>HD</t>
  </si>
  <si>
    <t>HEI</t>
  </si>
  <si>
    <t>HFWA</t>
  </si>
  <si>
    <t>HI</t>
  </si>
  <si>
    <t>HIFS</t>
  </si>
  <si>
    <t>HMN</t>
  </si>
  <si>
    <t>HNI</t>
  </si>
  <si>
    <t>HOMB</t>
  </si>
  <si>
    <t>HON</t>
  </si>
  <si>
    <t>HPQ</t>
  </si>
  <si>
    <t>HRL</t>
  </si>
  <si>
    <t>HSY</t>
  </si>
  <si>
    <t>HUBB</t>
  </si>
  <si>
    <t>HUM</t>
  </si>
  <si>
    <t>HWKN</t>
  </si>
  <si>
    <t>IBM</t>
  </si>
  <si>
    <t>IBOC</t>
  </si>
  <si>
    <t>IDA</t>
  </si>
  <si>
    <t>IEX</t>
  </si>
  <si>
    <t>IFF</t>
  </si>
  <si>
    <t>INDB</t>
  </si>
  <si>
    <t>INGR</t>
  </si>
  <si>
    <t>INTU</t>
  </si>
  <si>
    <t>ITT</t>
  </si>
  <si>
    <t>ITW</t>
  </si>
  <si>
    <t>JBHT</t>
  </si>
  <si>
    <t>JJSF</t>
  </si>
  <si>
    <t>JKHY</t>
  </si>
  <si>
    <t>JNJ</t>
  </si>
  <si>
    <t>JPM</t>
  </si>
  <si>
    <t>K</t>
  </si>
  <si>
    <t>KALU</t>
  </si>
  <si>
    <t>KEY</t>
  </si>
  <si>
    <t>KLAC</t>
  </si>
  <si>
    <t>KMB</t>
  </si>
  <si>
    <t>KO</t>
  </si>
  <si>
    <t>KR</t>
  </si>
  <si>
    <t>KW</t>
  </si>
  <si>
    <t>KWR</t>
  </si>
  <si>
    <t>LAD</t>
  </si>
  <si>
    <t>LANC</t>
  </si>
  <si>
    <t>LBAI</t>
  </si>
  <si>
    <t>LECO</t>
  </si>
  <si>
    <t>LEG</t>
  </si>
  <si>
    <t>LFUS</t>
  </si>
  <si>
    <t>LHX</t>
  </si>
  <si>
    <t>LII</t>
  </si>
  <si>
    <t>LKFN</t>
  </si>
  <si>
    <t>LMAT</t>
  </si>
  <si>
    <t>LMT</t>
  </si>
  <si>
    <t>LNC</t>
  </si>
  <si>
    <t>LNN</t>
  </si>
  <si>
    <t>LNT</t>
  </si>
  <si>
    <t>LOW</t>
  </si>
  <si>
    <t>LYB</t>
  </si>
  <si>
    <t>MA</t>
  </si>
  <si>
    <t>MAA</t>
  </si>
  <si>
    <t>MAN</t>
  </si>
  <si>
    <t>MATW</t>
  </si>
  <si>
    <t>MCD</t>
  </si>
  <si>
    <t>MCHP</t>
  </si>
  <si>
    <t>MCK</t>
  </si>
  <si>
    <t>MCO</t>
  </si>
  <si>
    <t>MCY</t>
  </si>
  <si>
    <t>MDT</t>
  </si>
  <si>
    <t>MDU</t>
  </si>
  <si>
    <t>MGEE</t>
  </si>
  <si>
    <t>MGRC</t>
  </si>
  <si>
    <t>MKC</t>
  </si>
  <si>
    <t>MKTX</t>
  </si>
  <si>
    <t>MMC</t>
  </si>
  <si>
    <t>MMM</t>
  </si>
  <si>
    <t>MMP</t>
  </si>
  <si>
    <t>MNRO</t>
  </si>
  <si>
    <t>MO</t>
  </si>
  <si>
    <t>MORN</t>
  </si>
  <si>
    <t>MRK</t>
  </si>
  <si>
    <t>MSA</t>
  </si>
  <si>
    <t>MSEX</t>
  </si>
  <si>
    <t>MSFT</t>
  </si>
  <si>
    <t>MSI</t>
  </si>
  <si>
    <t>NDSN</t>
  </si>
  <si>
    <t>NEE</t>
  </si>
  <si>
    <t>NFG</t>
  </si>
  <si>
    <t>NHC</t>
  </si>
  <si>
    <t>NI</t>
  </si>
  <si>
    <t>NJR</t>
  </si>
  <si>
    <t>NKE</t>
  </si>
  <si>
    <t>NNN</t>
  </si>
  <si>
    <t>NOC</t>
  </si>
  <si>
    <t>NP</t>
  </si>
  <si>
    <t>NSP</t>
  </si>
  <si>
    <t>NUE</t>
  </si>
  <si>
    <t>NUS</t>
  </si>
  <si>
    <t>NWBI</t>
  </si>
  <si>
    <t>NWE</t>
  </si>
  <si>
    <t>NWN</t>
  </si>
  <si>
    <t>O</t>
  </si>
  <si>
    <t>OGE</t>
  </si>
  <si>
    <t>ORCL</t>
  </si>
  <si>
    <t>ORI</t>
  </si>
  <si>
    <t>OZK</t>
  </si>
  <si>
    <t>PAYX</t>
  </si>
  <si>
    <t>PB</t>
  </si>
  <si>
    <t>PEG</t>
  </si>
  <si>
    <t>PEP</t>
  </si>
  <si>
    <t>PETS</t>
  </si>
  <si>
    <t>PFC</t>
  </si>
  <si>
    <t>PFE</t>
  </si>
  <si>
    <t>PFG</t>
  </si>
  <si>
    <t>PG</t>
  </si>
  <si>
    <t>PII</t>
  </si>
  <si>
    <t>PKG</t>
  </si>
  <si>
    <t>PLOW</t>
  </si>
  <si>
    <t>PM</t>
  </si>
  <si>
    <t>PNC</t>
  </si>
  <si>
    <t>PNW</t>
  </si>
  <si>
    <t>POOL</t>
  </si>
  <si>
    <t>POR</t>
  </si>
  <si>
    <t>PPG</t>
  </si>
  <si>
    <t>PRGO</t>
  </si>
  <si>
    <t>PRI</t>
  </si>
  <si>
    <t>PRU</t>
  </si>
  <si>
    <t>QCOM</t>
  </si>
  <si>
    <t>R</t>
  </si>
  <si>
    <t>RBCAA</t>
  </si>
  <si>
    <t>RGA</t>
  </si>
  <si>
    <t>RGLD</t>
  </si>
  <si>
    <t>RHI</t>
  </si>
  <si>
    <t>RJF</t>
  </si>
  <si>
    <t>RLI</t>
  </si>
  <si>
    <t>RNR</t>
  </si>
  <si>
    <t>ROK</t>
  </si>
  <si>
    <t>ROP</t>
  </si>
  <si>
    <t>RPM</t>
  </si>
  <si>
    <t>RRX</t>
  </si>
  <si>
    <t>RS</t>
  </si>
  <si>
    <t>RSG</t>
  </si>
  <si>
    <t>RTX</t>
  </si>
  <si>
    <t>SASR</t>
  </si>
  <si>
    <t>SBSI</t>
  </si>
  <si>
    <t>SBUX</t>
  </si>
  <si>
    <t>SCI</t>
  </si>
  <si>
    <t>SCL</t>
  </si>
  <si>
    <t>SEIC</t>
  </si>
  <si>
    <t>SFNC</t>
  </si>
  <si>
    <t>SHW</t>
  </si>
  <si>
    <t>SJM</t>
  </si>
  <si>
    <t>SJW</t>
  </si>
  <si>
    <t>SLGN</t>
  </si>
  <si>
    <t>SMBC</t>
  </si>
  <si>
    <t>SMG</t>
  </si>
  <si>
    <t>SNA</t>
  </si>
  <si>
    <t>SO</t>
  </si>
  <si>
    <t>SON</t>
  </si>
  <si>
    <t>SPGI</t>
  </si>
  <si>
    <t>SPTN</t>
  </si>
  <si>
    <t>SR</t>
  </si>
  <si>
    <t>SRCE</t>
  </si>
  <si>
    <t>SRE</t>
  </si>
  <si>
    <t>SSB</t>
  </si>
  <si>
    <t>STAG</t>
  </si>
  <si>
    <t>STE</t>
  </si>
  <si>
    <t>STT</t>
  </si>
  <si>
    <t>SWK</t>
  </si>
  <si>
    <t>SWX</t>
  </si>
  <si>
    <t>SXI</t>
  </si>
  <si>
    <t>SXT</t>
  </si>
  <si>
    <t>SYBT</t>
  </si>
  <si>
    <t>SYK</t>
  </si>
  <si>
    <t>SYY</t>
  </si>
  <si>
    <t>TDS</t>
  </si>
  <si>
    <t>TEL</t>
  </si>
  <si>
    <t>TFC</t>
  </si>
  <si>
    <t>TGT</t>
  </si>
  <si>
    <t>THFF</t>
  </si>
  <si>
    <t>THG</t>
  </si>
  <si>
    <t>THO</t>
  </si>
  <si>
    <t>TMP</t>
  </si>
  <si>
    <t>TNC</t>
  </si>
  <si>
    <t>TOWN</t>
  </si>
  <si>
    <t>TR</t>
  </si>
  <si>
    <t>TRN</t>
  </si>
  <si>
    <t>TRNO</t>
  </si>
  <si>
    <t>TROW</t>
  </si>
  <si>
    <t>TRV</t>
  </si>
  <si>
    <t>TSCO</t>
  </si>
  <si>
    <t>TSN</t>
  </si>
  <si>
    <t>TT</t>
  </si>
  <si>
    <t>TTC</t>
  </si>
  <si>
    <t>TXN</t>
  </si>
  <si>
    <t>UBSI</t>
  </si>
  <si>
    <t>UDR</t>
  </si>
  <si>
    <t>UGI</t>
  </si>
  <si>
    <t>UHT</t>
  </si>
  <si>
    <t>UMBF</t>
  </si>
  <si>
    <t>UNH</t>
  </si>
  <si>
    <t>UNM</t>
  </si>
  <si>
    <t>UNP</t>
  </si>
  <si>
    <t>UPS</t>
  </si>
  <si>
    <t>USB</t>
  </si>
  <si>
    <t>UVV</t>
  </si>
  <si>
    <t>V</t>
  </si>
  <si>
    <t>VFC</t>
  </si>
  <si>
    <t>VZ</t>
  </si>
  <si>
    <t>WABC</t>
  </si>
  <si>
    <t>WAFD</t>
  </si>
  <si>
    <t>WASH</t>
  </si>
  <si>
    <t>WBA</t>
  </si>
  <si>
    <t>WDFC</t>
  </si>
  <si>
    <t>WEC</t>
  </si>
  <si>
    <t>WHR</t>
  </si>
  <si>
    <t>WLK</t>
  </si>
  <si>
    <t>WM</t>
  </si>
  <si>
    <t>WMT</t>
  </si>
  <si>
    <t>WOR</t>
  </si>
  <si>
    <t>WPC</t>
  </si>
  <si>
    <t>WRB</t>
  </si>
  <si>
    <t>WSBC</t>
  </si>
  <si>
    <t>WSM</t>
  </si>
  <si>
    <t>WST</t>
  </si>
  <si>
    <t>WTRG</t>
  </si>
  <si>
    <t>XEL</t>
  </si>
  <si>
    <t>XOM</t>
  </si>
  <si>
    <t>XYL</t>
  </si>
  <si>
    <t>YORW</t>
  </si>
  <si>
    <t>Healthcare</t>
  </si>
  <si>
    <t>Industrials</t>
  </si>
  <si>
    <t>Technology</t>
  </si>
  <si>
    <t>Consumer Defensive</t>
  </si>
  <si>
    <t>Financial Services</t>
  </si>
  <si>
    <t>Utilities</t>
  </si>
  <si>
    <t>Basic Materials</t>
  </si>
  <si>
    <t>Real Estate</t>
  </si>
  <si>
    <t>Consumer Cyclical</t>
  </si>
  <si>
    <t>N/A</t>
  </si>
  <si>
    <t>Communication Services</t>
  </si>
  <si>
    <t>Energy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</si>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</sst>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HYPERLINK("https://www.suredividend.com/sure-analysis-ABC/","Amerisource Bergen Corp.")</f>
        <v>0</v>
      </c>
      <c r="C2" t="s">
        <v>385</v>
      </c>
      <c r="D2">
        <v>163.08</v>
      </c>
      <c r="E2">
        <v>0.01189600196222713</v>
      </c>
      <c r="F2">
        <v>0.05434782608695654</v>
      </c>
      <c r="G2">
        <v>0.05000563166277994</v>
      </c>
      <c r="H2">
        <v>1.850726577230833</v>
      </c>
      <c r="I2">
        <v>33540.439854</v>
      </c>
      <c r="J2">
        <v>19.74337472730484</v>
      </c>
      <c r="K2">
        <v>0.2301898727899047</v>
      </c>
      <c r="L2">
        <v>0.491468526434484</v>
      </c>
      <c r="M2">
        <v>174.63</v>
      </c>
      <c r="N2">
        <v>125.96</v>
      </c>
    </row>
    <row r="3" spans="1:14">
      <c r="A3" s="1" t="s">
        <v>15</v>
      </c>
      <c r="B3">
        <f>HYPERLINK("https://www.suredividend.com/sure-analysis-ABM/","ABM Industries Inc.")</f>
        <v>0</v>
      </c>
      <c r="C3" t="s">
        <v>386</v>
      </c>
      <c r="D3">
        <v>45.62</v>
      </c>
      <c r="E3">
        <v>0.01928978518193775</v>
      </c>
      <c r="F3">
        <v>0.1282051282051282</v>
      </c>
      <c r="G3">
        <v>0.04683184708394994</v>
      </c>
      <c r="H3">
        <v>0.7994499334318951</v>
      </c>
      <c r="I3">
        <v>2992.703204</v>
      </c>
      <c r="J3">
        <v>12.98916321215278</v>
      </c>
      <c r="K3">
        <v>0.2344427957278284</v>
      </c>
      <c r="L3">
        <v>0.8478892265112881</v>
      </c>
      <c r="M3">
        <v>53.24</v>
      </c>
      <c r="N3">
        <v>37.32</v>
      </c>
    </row>
    <row r="4" spans="1:14">
      <c r="A4" s="1" t="s">
        <v>16</v>
      </c>
      <c r="B4">
        <f>HYPERLINK("https://www.suredividend.com/sure-analysis-ABT/","Abbott Laboratories")</f>
        <v>0</v>
      </c>
      <c r="C4" t="s">
        <v>385</v>
      </c>
      <c r="D4">
        <v>110.8</v>
      </c>
      <c r="E4">
        <v>0.0184115523465704</v>
      </c>
      <c r="F4">
        <v>0.04444444444444451</v>
      </c>
      <c r="G4">
        <v>0.1091440794805394</v>
      </c>
      <c r="H4">
        <v>1.867389680448392</v>
      </c>
      <c r="I4">
        <v>193187.974492</v>
      </c>
      <c r="J4">
        <v>24.48827157961719</v>
      </c>
      <c r="K4">
        <v>0.4196381304378409</v>
      </c>
      <c r="L4">
        <v>0.8377554917058161</v>
      </c>
      <c r="M4">
        <v>133.93</v>
      </c>
      <c r="N4">
        <v>93.25</v>
      </c>
    </row>
    <row r="5" spans="1:14">
      <c r="A5" s="1" t="s">
        <v>17</v>
      </c>
      <c r="B5">
        <f>HYPERLINK("https://www.suredividend.com/sure-analysis-ACN/","Accenture plc")</f>
        <v>0</v>
      </c>
      <c r="C5" t="s">
        <v>387</v>
      </c>
      <c r="D5">
        <v>262.98</v>
      </c>
      <c r="E5">
        <v>0.01703551600882196</v>
      </c>
      <c r="F5" t="s">
        <v>394</v>
      </c>
      <c r="G5" t="s">
        <v>394</v>
      </c>
      <c r="H5">
        <v>4.007414090391748</v>
      </c>
      <c r="I5">
        <v>173143.011149</v>
      </c>
      <c r="J5">
        <v>24.55547842551264</v>
      </c>
      <c r="K5">
        <v>0.3646418644578479</v>
      </c>
      <c r="L5">
        <v>1.206226623187796</v>
      </c>
      <c r="M5">
        <v>379.26</v>
      </c>
      <c r="N5">
        <v>242.95</v>
      </c>
    </row>
    <row r="6" spans="1:14">
      <c r="A6" s="1" t="s">
        <v>18</v>
      </c>
      <c r="B6">
        <f>HYPERLINK("https://www.suredividend.com/sure-analysis-ADI/","Analog Devices Inc.")</f>
        <v>0</v>
      </c>
      <c r="C6" t="s">
        <v>387</v>
      </c>
      <c r="D6">
        <v>159.69</v>
      </c>
      <c r="E6">
        <v>0.01903688396267769</v>
      </c>
      <c r="F6">
        <v>0.1014492753623188</v>
      </c>
      <c r="G6">
        <v>0.09626227935295417</v>
      </c>
      <c r="H6">
        <v>3.019157209894298</v>
      </c>
      <c r="I6">
        <v>81329.46881799999</v>
      </c>
      <c r="J6">
        <v>29.58983585166565</v>
      </c>
      <c r="K6">
        <v>0.57507756378939</v>
      </c>
      <c r="L6">
        <v>1.295471919397018</v>
      </c>
      <c r="M6">
        <v>179.95</v>
      </c>
      <c r="N6">
        <v>132.89</v>
      </c>
    </row>
    <row r="7" spans="1:14">
      <c r="A7" s="1" t="s">
        <v>19</v>
      </c>
      <c r="B7">
        <f>HYPERLINK("https://www.suredividend.com/sure-analysis-ADM/","Archer Daniels Midland Co.")</f>
        <v>0</v>
      </c>
      <c r="C7" t="s">
        <v>388</v>
      </c>
      <c r="D7">
        <v>84.23</v>
      </c>
      <c r="E7">
        <v>0.01899560726581978</v>
      </c>
      <c r="F7">
        <v>0.08108108108108114</v>
      </c>
      <c r="G7">
        <v>0.03610325209611243</v>
      </c>
      <c r="H7">
        <v>1.58939059316575</v>
      </c>
      <c r="I7">
        <v>46270.42194</v>
      </c>
      <c r="J7">
        <v>11.27721714360468</v>
      </c>
      <c r="K7">
        <v>0.2195290874538329</v>
      </c>
      <c r="L7">
        <v>0.5622204899728831</v>
      </c>
      <c r="M7">
        <v>98.12</v>
      </c>
      <c r="N7">
        <v>64.42</v>
      </c>
    </row>
    <row r="8" spans="1:14">
      <c r="A8" s="1" t="s">
        <v>20</v>
      </c>
      <c r="B8">
        <f>HYPERLINK("https://www.suredividend.com/sure-analysis-ADP/","Automatic Data Processing Inc.")</f>
        <v>0</v>
      </c>
      <c r="C8" t="s">
        <v>386</v>
      </c>
      <c r="D8">
        <v>233.63</v>
      </c>
      <c r="E8">
        <v>0.02140136112656765</v>
      </c>
      <c r="F8">
        <v>0.2019230769230769</v>
      </c>
      <c r="G8">
        <v>0.1468692082056793</v>
      </c>
      <c r="H8">
        <v>4.341176810880758</v>
      </c>
      <c r="I8">
        <v>96916.211671</v>
      </c>
      <c r="J8">
        <v>32.01301832313867</v>
      </c>
      <c r="K8">
        <v>0.6012710264377782</v>
      </c>
      <c r="L8">
        <v>0.935187146493044</v>
      </c>
      <c r="M8">
        <v>274.92</v>
      </c>
      <c r="N8">
        <v>188.67</v>
      </c>
    </row>
    <row r="9" spans="1:14">
      <c r="A9" s="1" t="s">
        <v>21</v>
      </c>
      <c r="B9">
        <f>HYPERLINK("https://www.suredividend.com/sure-analysis-AEL/","American Equity Investment Life Holding Co")</f>
        <v>0</v>
      </c>
      <c r="C9" t="s">
        <v>389</v>
      </c>
      <c r="D9">
        <v>46.39</v>
      </c>
      <c r="E9">
        <v>0.007760293166630739</v>
      </c>
      <c r="F9" t="s">
        <v>394</v>
      </c>
      <c r="G9" t="s">
        <v>394</v>
      </c>
      <c r="H9">
        <v>0.360000014305114</v>
      </c>
      <c r="I9">
        <v>3975.727841</v>
      </c>
      <c r="J9">
        <v>3.084673601502097</v>
      </c>
      <c r="K9">
        <v>0.02606806765424432</v>
      </c>
      <c r="L9">
        <v>0.8991411881903961</v>
      </c>
      <c r="M9">
        <v>46.77</v>
      </c>
      <c r="N9">
        <v>28.05</v>
      </c>
    </row>
    <row r="10" spans="1:14">
      <c r="A10" s="1" t="s">
        <v>22</v>
      </c>
      <c r="B10">
        <f>HYPERLINK("https://www.suredividend.com/sure-analysis-AEP/","American Electric Power Company Inc.")</f>
        <v>0</v>
      </c>
      <c r="C10" t="s">
        <v>390</v>
      </c>
      <c r="D10">
        <v>93.78</v>
      </c>
      <c r="E10">
        <v>0.03540200469183195</v>
      </c>
      <c r="F10">
        <v>0.0641025641025641</v>
      </c>
      <c r="G10">
        <v>0.06007667938522787</v>
      </c>
      <c r="H10">
        <v>3.13019224349284</v>
      </c>
      <c r="I10">
        <v>48190.135723</v>
      </c>
      <c r="J10">
        <v>19.57516277635876</v>
      </c>
      <c r="K10">
        <v>0.6494174779030788</v>
      </c>
      <c r="L10">
        <v>0.514166388098339</v>
      </c>
      <c r="M10">
        <v>104.62</v>
      </c>
      <c r="N10">
        <v>79.55</v>
      </c>
    </row>
    <row r="11" spans="1:14">
      <c r="A11" s="1" t="s">
        <v>23</v>
      </c>
      <c r="B11">
        <f>HYPERLINK("https://www.suredividend.com/sure-analysis-AFG/","American Financial Group Inc")</f>
        <v>0</v>
      </c>
      <c r="C11" t="s">
        <v>389</v>
      </c>
      <c r="D11">
        <v>138.13</v>
      </c>
      <c r="E11">
        <v>0.01824368348657062</v>
      </c>
      <c r="F11" t="s">
        <v>394</v>
      </c>
      <c r="G11">
        <v>0.3476077390266208</v>
      </c>
      <c r="H11">
        <v>2.193624901299424</v>
      </c>
      <c r="I11">
        <v>11760.872069</v>
      </c>
      <c r="J11">
        <v>12.03774009149437</v>
      </c>
      <c r="K11">
        <v>0.1914157854537019</v>
      </c>
      <c r="L11">
        <v>0.674538119257395</v>
      </c>
      <c r="M11">
        <v>148.85</v>
      </c>
      <c r="N11">
        <v>111.06</v>
      </c>
    </row>
    <row r="12" spans="1:14">
      <c r="A12" s="1" t="s">
        <v>24</v>
      </c>
      <c r="B12">
        <f>HYPERLINK("https://www.suredividend.com/sure-analysis-AFL/","Aflac Inc.")</f>
        <v>0</v>
      </c>
      <c r="C12" t="s">
        <v>389</v>
      </c>
      <c r="D12">
        <v>71.5</v>
      </c>
      <c r="E12">
        <v>0.0234965034965035</v>
      </c>
      <c r="F12">
        <v>0.2121212121212122</v>
      </c>
      <c r="G12" t="s">
        <v>394</v>
      </c>
      <c r="H12">
        <v>1.585087414106384</v>
      </c>
      <c r="I12">
        <v>44457.88204</v>
      </c>
      <c r="J12">
        <v>8.794833242334324</v>
      </c>
      <c r="K12">
        <v>0.2029561349688072</v>
      </c>
      <c r="L12">
        <v>0.6775635055363181</v>
      </c>
      <c r="M12">
        <v>72.7</v>
      </c>
      <c r="N12">
        <v>51.43</v>
      </c>
    </row>
    <row r="13" spans="1:14">
      <c r="A13" s="1" t="s">
        <v>25</v>
      </c>
      <c r="B13">
        <f>HYPERLINK("https://www.suredividend.com/sure-analysis-AGM/","Federal Agricultural Mortgage Corp.")</f>
        <v>0</v>
      </c>
      <c r="C13" t="s">
        <v>389</v>
      </c>
      <c r="D13">
        <v>114.79</v>
      </c>
      <c r="E13">
        <v>0.03310392891366844</v>
      </c>
      <c r="F13">
        <v>0.07954545454545459</v>
      </c>
      <c r="G13">
        <v>0.1037205338828775</v>
      </c>
      <c r="H13">
        <v>3.750781193328897</v>
      </c>
      <c r="I13">
        <v>1163.004917</v>
      </c>
      <c r="J13">
        <v>8.039074835935827</v>
      </c>
      <c r="K13">
        <v>0.2820136235585636</v>
      </c>
      <c r="L13">
        <v>0.772825194929161</v>
      </c>
      <c r="M13">
        <v>126.88</v>
      </c>
      <c r="N13">
        <v>88.53</v>
      </c>
    </row>
    <row r="14" spans="1:14">
      <c r="A14" s="1" t="s">
        <v>26</v>
      </c>
      <c r="B14">
        <f>HYPERLINK("https://www.suredividend.com/sure-analysis-AGO/","Assured Guaranty Ltd")</f>
        <v>0</v>
      </c>
      <c r="C14" t="s">
        <v>389</v>
      </c>
      <c r="D14">
        <v>61.38</v>
      </c>
      <c r="E14">
        <v>0.01629195177582274</v>
      </c>
      <c r="F14">
        <v>0.1363636363636365</v>
      </c>
      <c r="G14">
        <v>0.09336207394327811</v>
      </c>
      <c r="H14">
        <v>0.9935037213176721</v>
      </c>
      <c r="I14">
        <v>3682.459832</v>
      </c>
      <c r="J14">
        <v>12.56812229365188</v>
      </c>
      <c r="K14">
        <v>0.2237620993958721</v>
      </c>
      <c r="L14">
        <v>0.879075055363101</v>
      </c>
      <c r="M14">
        <v>67.13</v>
      </c>
      <c r="N14">
        <v>45.72</v>
      </c>
    </row>
    <row r="15" spans="1:14">
      <c r="A15" s="1" t="s">
        <v>27</v>
      </c>
      <c r="B15">
        <f>HYPERLINK("https://www.suredividend.com/sure-analysis-AIT/","Applied Industrial Technologies Inc.")</f>
        <v>0</v>
      </c>
      <c r="C15" t="s">
        <v>386</v>
      </c>
      <c r="D15">
        <v>117.28</v>
      </c>
      <c r="E15">
        <v>0.01159618008185539</v>
      </c>
      <c r="F15">
        <v>0</v>
      </c>
      <c r="G15">
        <v>0.02534857565773274</v>
      </c>
      <c r="H15">
        <v>1.354220775836013</v>
      </c>
      <c r="I15">
        <v>4523.719703</v>
      </c>
      <c r="J15">
        <v>16.08004871006843</v>
      </c>
      <c r="K15">
        <v>0.1883478130509058</v>
      </c>
      <c r="L15">
        <v>0.8040519916169291</v>
      </c>
      <c r="M15">
        <v>133.74</v>
      </c>
      <c r="N15">
        <v>87.59999999999999</v>
      </c>
    </row>
    <row r="16" spans="1:14">
      <c r="A16" s="1" t="s">
        <v>28</v>
      </c>
      <c r="B16">
        <f>HYPERLINK("https://www.suredividend.com/sure-analysis-AIZ/","Assurant Inc")</f>
        <v>0</v>
      </c>
      <c r="C16" t="s">
        <v>389</v>
      </c>
      <c r="D16">
        <v>126.16</v>
      </c>
      <c r="E16">
        <v>0.02219403931515536</v>
      </c>
      <c r="F16">
        <v>0.02941176470588247</v>
      </c>
      <c r="G16">
        <v>0.04563955259127317</v>
      </c>
      <c r="H16">
        <v>2.731863226704393</v>
      </c>
      <c r="I16">
        <v>6665.213083</v>
      </c>
      <c r="J16">
        <v>20.28366732391966</v>
      </c>
      <c r="K16">
        <v>0.4638137906119513</v>
      </c>
      <c r="L16">
        <v>0.585148197884916</v>
      </c>
      <c r="M16">
        <v>192.59</v>
      </c>
      <c r="N16">
        <v>119.01</v>
      </c>
    </row>
    <row r="17" spans="1:14">
      <c r="A17" s="1" t="s">
        <v>29</v>
      </c>
      <c r="B17">
        <f>HYPERLINK("https://www.suredividend.com/sure-analysis-AJG/","Arthur J. Gallagher &amp; Co.")</f>
        <v>0</v>
      </c>
      <c r="C17" t="s">
        <v>389</v>
      </c>
      <c r="D17">
        <v>186.44</v>
      </c>
      <c r="E17">
        <v>0.01094185797039262</v>
      </c>
      <c r="F17">
        <v>0.0625</v>
      </c>
      <c r="G17">
        <v>0.04461742008699598</v>
      </c>
      <c r="H17">
        <v>2.031611749289178</v>
      </c>
      <c r="I17">
        <v>39309.0096</v>
      </c>
      <c r="J17">
        <v>36.12628398125173</v>
      </c>
      <c r="K17">
        <v>0.399137868229701</v>
      </c>
      <c r="L17">
        <v>0.830146576871</v>
      </c>
      <c r="M17">
        <v>201.51</v>
      </c>
      <c r="N17">
        <v>145.6</v>
      </c>
    </row>
    <row r="18" spans="1:14">
      <c r="A18" s="1" t="s">
        <v>30</v>
      </c>
      <c r="B18">
        <f>HYPERLINK("https://www.suredividend.com/sure-analysis-ALB/","Albemarle Corp.")</f>
        <v>0</v>
      </c>
      <c r="C18" t="s">
        <v>391</v>
      </c>
      <c r="D18">
        <v>218.61</v>
      </c>
      <c r="E18">
        <v>0.007227482731805498</v>
      </c>
      <c r="F18">
        <v>0.01282051282051277</v>
      </c>
      <c r="G18">
        <v>0.03349994468245687</v>
      </c>
      <c r="H18">
        <v>1.576483568438062</v>
      </c>
      <c r="I18">
        <v>25610.772296</v>
      </c>
      <c r="J18">
        <v>16.48535402941785</v>
      </c>
      <c r="K18">
        <v>0.1196118033716284</v>
      </c>
      <c r="L18">
        <v>1.383051696508632</v>
      </c>
      <c r="M18">
        <v>334.02</v>
      </c>
      <c r="N18">
        <v>168.83</v>
      </c>
    </row>
    <row r="19" spans="1:14">
      <c r="A19" s="1" t="s">
        <v>31</v>
      </c>
      <c r="B19">
        <f>HYPERLINK("https://www.suredividend.com/sure-analysis-ALE/","Allete, Inc.")</f>
        <v>0</v>
      </c>
      <c r="C19" t="s">
        <v>390</v>
      </c>
      <c r="D19">
        <v>64.23999999999999</v>
      </c>
      <c r="E19">
        <v>0.04047322540473226</v>
      </c>
      <c r="F19">
        <v>0.03174603174603186</v>
      </c>
      <c r="G19">
        <v>0.03025579475561258</v>
      </c>
      <c r="H19">
        <v>2.558628204099811</v>
      </c>
      <c r="I19">
        <v>3672.079043</v>
      </c>
      <c r="J19">
        <v>18.40641124170426</v>
      </c>
      <c r="K19">
        <v>0.7048562545729506</v>
      </c>
      <c r="L19">
        <v>0.51545534200527</v>
      </c>
      <c r="M19">
        <v>67.45</v>
      </c>
      <c r="N19">
        <v>47.26</v>
      </c>
    </row>
    <row r="20" spans="1:14">
      <c r="A20" s="1" t="s">
        <v>32</v>
      </c>
      <c r="B20">
        <f>HYPERLINK("https://www.suredividend.com/sure-analysis-ALL/","Allstate Corp (The)")</f>
        <v>0</v>
      </c>
      <c r="C20" t="s">
        <v>389</v>
      </c>
      <c r="D20">
        <v>139.34</v>
      </c>
      <c r="E20">
        <v>0.02440074637577149</v>
      </c>
      <c r="F20">
        <v>0.04938271604938271</v>
      </c>
      <c r="G20">
        <v>0.1306604963400571</v>
      </c>
      <c r="H20">
        <v>3.366805953593399</v>
      </c>
      <c r="I20">
        <v>36954.302041</v>
      </c>
      <c r="J20" t="s">
        <v>394</v>
      </c>
      <c r="K20" t="s">
        <v>394</v>
      </c>
      <c r="L20">
        <v>0.59766726749927</v>
      </c>
      <c r="M20">
        <v>141.65</v>
      </c>
      <c r="N20">
        <v>110.37</v>
      </c>
    </row>
    <row r="21" spans="1:14">
      <c r="A21" s="1" t="s">
        <v>33</v>
      </c>
      <c r="B21">
        <f>HYPERLINK("https://www.suredividend.com/sure-analysis-AMGN/","AMGEN Inc.")</f>
        <v>0</v>
      </c>
      <c r="C21" t="s">
        <v>385</v>
      </c>
      <c r="D21">
        <v>266.86</v>
      </c>
      <c r="E21">
        <v>0.03192685303155212</v>
      </c>
      <c r="F21">
        <v>0.1022727272727273</v>
      </c>
      <c r="G21">
        <v>0.08005422401318252</v>
      </c>
      <c r="H21">
        <v>7.675417928450783</v>
      </c>
      <c r="I21">
        <v>142390.946913</v>
      </c>
      <c r="J21">
        <v>20.83261842182297</v>
      </c>
      <c r="K21">
        <v>0.6150174622156076</v>
      </c>
      <c r="L21">
        <v>0.340807668587602</v>
      </c>
      <c r="M21">
        <v>294.64</v>
      </c>
      <c r="N21">
        <v>209.61</v>
      </c>
    </row>
    <row r="22" spans="1:14">
      <c r="A22" s="1" t="s">
        <v>34</v>
      </c>
      <c r="B22">
        <f>HYPERLINK("https://www.suredividend.com/sure-analysis-AMP/","Ameriprise Financial Inc")</f>
        <v>0</v>
      </c>
      <c r="C22" t="s">
        <v>389</v>
      </c>
      <c r="D22">
        <v>308.75</v>
      </c>
      <c r="E22">
        <v>0.01619433198380567</v>
      </c>
      <c r="F22">
        <v>0.1061946902654869</v>
      </c>
      <c r="G22">
        <v>0.08534143692781315</v>
      </c>
      <c r="H22">
        <v>4.849137154860001</v>
      </c>
      <c r="I22">
        <v>32856.310191</v>
      </c>
      <c r="J22">
        <v>11.87863709011207</v>
      </c>
      <c r="K22">
        <v>0.2018791488284763</v>
      </c>
      <c r="L22">
        <v>1.232665558772565</v>
      </c>
      <c r="M22">
        <v>339.41</v>
      </c>
      <c r="N22">
        <v>218.08</v>
      </c>
    </row>
    <row r="23" spans="1:14">
      <c r="A23" s="1" t="s">
        <v>35</v>
      </c>
      <c r="B23">
        <f>HYPERLINK("https://www.suredividend.com/sure-analysis-ANDE/","Andersons Inc.")</f>
        <v>0</v>
      </c>
      <c r="C23" t="s">
        <v>388</v>
      </c>
      <c r="D23">
        <v>33.47</v>
      </c>
      <c r="E23">
        <v>0.02210935165820137</v>
      </c>
      <c r="F23">
        <v>0.0277777777777779</v>
      </c>
      <c r="G23">
        <v>0.02314587308046168</v>
      </c>
      <c r="H23">
        <v>0.719106123364027</v>
      </c>
      <c r="I23">
        <v>1121.342532</v>
      </c>
      <c r="J23">
        <v>7.391940115097101</v>
      </c>
      <c r="K23">
        <v>0.1630626130077159</v>
      </c>
      <c r="L23">
        <v>0.5523965700818551</v>
      </c>
      <c r="M23">
        <v>58.03</v>
      </c>
      <c r="N23">
        <v>29.03</v>
      </c>
    </row>
    <row r="24" spans="1:14">
      <c r="A24" s="1" t="s">
        <v>36</v>
      </c>
      <c r="B24">
        <f>HYPERLINK("https://www.suredividend.com/sure-analysis-ANTM/","Anthem Inc")</f>
        <v>0</v>
      </c>
      <c r="C24" t="s">
        <v>385</v>
      </c>
      <c r="D24">
        <v>482.58</v>
      </c>
      <c r="E24">
        <v>0.009949524828726001</v>
      </c>
      <c r="F24" t="s">
        <v>394</v>
      </c>
      <c r="G24" t="s">
        <v>394</v>
      </c>
      <c r="H24">
        <v>4.801441691846593</v>
      </c>
      <c r="I24">
        <v>116342.693132</v>
      </c>
      <c r="J24">
        <v>18.63271831076233</v>
      </c>
      <c r="K24">
        <v>0.1890331374742753</v>
      </c>
      <c r="L24">
        <v>0.6881875553722741</v>
      </c>
      <c r="M24">
        <v>532.3099999999999</v>
      </c>
      <c r="N24">
        <v>352.54</v>
      </c>
    </row>
    <row r="25" spans="1:14">
      <c r="A25" s="1" t="s">
        <v>37</v>
      </c>
      <c r="B25">
        <f>HYPERLINK("https://www.suredividend.com/sure-analysis-AON/","Aon plc.")</f>
        <v>0</v>
      </c>
      <c r="C25" t="s">
        <v>389</v>
      </c>
      <c r="D25">
        <v>300.35</v>
      </c>
      <c r="E25">
        <v>0.007457965706675546</v>
      </c>
      <c r="F25" t="s">
        <v>394</v>
      </c>
      <c r="G25" t="s">
        <v>394</v>
      </c>
      <c r="H25">
        <v>2.183906126728811</v>
      </c>
      <c r="I25">
        <v>62128.279328</v>
      </c>
      <c r="J25">
        <v>0</v>
      </c>
      <c r="K25" t="s">
        <v>394</v>
      </c>
      <c r="L25">
        <v>0.852844256279327</v>
      </c>
      <c r="M25">
        <v>340.07</v>
      </c>
      <c r="N25">
        <v>245.26</v>
      </c>
    </row>
    <row r="26" spans="1:14">
      <c r="A26" s="1" t="s">
        <v>38</v>
      </c>
      <c r="B26">
        <f>HYPERLINK("https://www.suredividend.com/sure-analysis-AOS/","A.O. Smith Corp.")</f>
        <v>0</v>
      </c>
      <c r="C26" t="s">
        <v>386</v>
      </c>
      <c r="D26">
        <v>59.38</v>
      </c>
      <c r="E26">
        <v>0.02020882452004042</v>
      </c>
      <c r="F26">
        <v>0.0714285714285714</v>
      </c>
      <c r="G26">
        <v>0.1075663432482901</v>
      </c>
      <c r="H26">
        <v>1.13133600435586</v>
      </c>
      <c r="I26">
        <v>9071.810793000001</v>
      </c>
      <c r="J26">
        <v>15.20694363419459</v>
      </c>
      <c r="K26">
        <v>0.3602980905591911</v>
      </c>
      <c r="L26">
        <v>0.9281927413551411</v>
      </c>
      <c r="M26">
        <v>83.39</v>
      </c>
      <c r="N26">
        <v>46.31</v>
      </c>
    </row>
    <row r="27" spans="1:14">
      <c r="A27" s="1" t="s">
        <v>39</v>
      </c>
      <c r="B27">
        <f>HYPERLINK("https://www.suredividend.com/sure-analysis-APD/","Air Products &amp; Chemicals Inc.")</f>
        <v>0</v>
      </c>
      <c r="C27" t="s">
        <v>391</v>
      </c>
      <c r="D27">
        <v>301.82</v>
      </c>
      <c r="E27">
        <v>0.02146975018222782</v>
      </c>
      <c r="F27">
        <v>0.08000000000000007</v>
      </c>
      <c r="G27">
        <v>0.08049924032577382</v>
      </c>
      <c r="H27">
        <v>6.421524823091209</v>
      </c>
      <c r="I27">
        <v>66963.587367</v>
      </c>
      <c r="J27">
        <v>29.68112555614556</v>
      </c>
      <c r="K27">
        <v>0.6332864717052474</v>
      </c>
      <c r="L27">
        <v>0.835766184745368</v>
      </c>
      <c r="M27">
        <v>326.85</v>
      </c>
      <c r="N27">
        <v>210.83</v>
      </c>
    </row>
    <row r="28" spans="1:14">
      <c r="A28" s="1" t="s">
        <v>40</v>
      </c>
      <c r="B28">
        <f>HYPERLINK("https://www.suredividend.com/sure-analysis-APH/","Amphenol Corp.")</f>
        <v>0</v>
      </c>
      <c r="C28" t="s">
        <v>387</v>
      </c>
      <c r="D28">
        <v>76.7</v>
      </c>
      <c r="E28">
        <v>0.01095176010430248</v>
      </c>
      <c r="F28" t="s">
        <v>394</v>
      </c>
      <c r="G28" t="s">
        <v>394</v>
      </c>
      <c r="H28">
        <v>0.806644015314628</v>
      </c>
      <c r="I28">
        <v>45643.751218</v>
      </c>
      <c r="J28">
        <v>24.54360983922139</v>
      </c>
      <c r="K28">
        <v>0.2706859111794054</v>
      </c>
      <c r="L28">
        <v>1.087103645955914</v>
      </c>
      <c r="M28">
        <v>83.17</v>
      </c>
      <c r="N28">
        <v>61.33</v>
      </c>
    </row>
    <row r="29" spans="1:14">
      <c r="A29" s="1" t="s">
        <v>41</v>
      </c>
      <c r="B29">
        <f>HYPERLINK("https://www.suredividend.com/sure-analysis-APOG/","Apogee Enterprises Inc.")</f>
        <v>0</v>
      </c>
      <c r="C29" t="s">
        <v>386</v>
      </c>
      <c r="D29">
        <v>43.7</v>
      </c>
      <c r="E29">
        <v>0.02013729977116705</v>
      </c>
      <c r="F29">
        <v>0.09999999999999987</v>
      </c>
      <c r="G29">
        <v>0.06912485106932209</v>
      </c>
      <c r="H29">
        <v>0.8729597945515981</v>
      </c>
      <c r="I29">
        <v>970.746993</v>
      </c>
      <c r="J29">
        <v>14.35740157957789</v>
      </c>
      <c r="K29">
        <v>0.2969251001876184</v>
      </c>
      <c r="L29">
        <v>1.00836984533542</v>
      </c>
      <c r="M29">
        <v>49.65</v>
      </c>
      <c r="N29">
        <v>35.57</v>
      </c>
    </row>
    <row r="30" spans="1:14">
      <c r="A30" s="1" t="s">
        <v>42</v>
      </c>
      <c r="B30">
        <f>HYPERLINK("https://www.suredividend.com/sure-analysis-ARE/","Alexandria Real Estate Equities Inc.")</f>
        <v>0</v>
      </c>
      <c r="C30" t="s">
        <v>392</v>
      </c>
      <c r="D30">
        <v>143.05</v>
      </c>
      <c r="E30">
        <v>0.0329954561342188</v>
      </c>
      <c r="F30">
        <v>0.0521739130434784</v>
      </c>
      <c r="G30">
        <v>0.06098335879266292</v>
      </c>
      <c r="H30">
        <v>4.661855391292267</v>
      </c>
      <c r="I30">
        <v>23472.684832</v>
      </c>
      <c r="J30">
        <v>43.91242621011947</v>
      </c>
      <c r="K30">
        <v>1.387456961694127</v>
      </c>
      <c r="L30">
        <v>0.907666490008842</v>
      </c>
      <c r="M30">
        <v>204.7</v>
      </c>
      <c r="N30">
        <v>125.67</v>
      </c>
    </row>
    <row r="31" spans="1:14">
      <c r="A31" s="1" t="s">
        <v>43</v>
      </c>
      <c r="B31">
        <f>HYPERLINK("https://www.suredividend.com/sure-analysis-ASB/","Associated Banc-Corp.")</f>
        <v>0</v>
      </c>
      <c r="C31" t="s">
        <v>389</v>
      </c>
      <c r="D31">
        <v>22.91</v>
      </c>
      <c r="E31">
        <v>0.03491924923614143</v>
      </c>
      <c r="F31">
        <v>0.04999999999999982</v>
      </c>
      <c r="G31">
        <v>0.06961037572506878</v>
      </c>
      <c r="H31">
        <v>0.8009674270449001</v>
      </c>
      <c r="I31">
        <v>3444.729226</v>
      </c>
      <c r="J31">
        <v>10.75241355622284</v>
      </c>
      <c r="K31">
        <v>0.376041045560986</v>
      </c>
      <c r="L31">
        <v>0.820338733840387</v>
      </c>
      <c r="M31">
        <v>25.28</v>
      </c>
      <c r="N31">
        <v>17.13</v>
      </c>
    </row>
    <row r="32" spans="1:14">
      <c r="A32" s="1" t="s">
        <v>44</v>
      </c>
      <c r="B32">
        <f>HYPERLINK("https://www.suredividend.com/sure-analysis-research-database/","Ashland Inc")</f>
        <v>0</v>
      </c>
      <c r="C32" t="s">
        <v>391</v>
      </c>
      <c r="D32">
        <v>103.59</v>
      </c>
      <c r="E32">
        <v>0.012549405146551</v>
      </c>
      <c r="F32">
        <v>0.1166666666666665</v>
      </c>
      <c r="G32">
        <v>0.08286036471404024</v>
      </c>
      <c r="H32">
        <v>1.299992879131267</v>
      </c>
      <c r="I32">
        <v>5609.142426</v>
      </c>
      <c r="J32">
        <v>6.050854827961166</v>
      </c>
      <c r="K32">
        <v>0.0785494186786264</v>
      </c>
      <c r="L32">
        <v>0.8632956719522511</v>
      </c>
      <c r="M32">
        <v>114.36</v>
      </c>
      <c r="N32">
        <v>82.77</v>
      </c>
    </row>
    <row r="33" spans="1:14">
      <c r="A33" s="1" t="s">
        <v>45</v>
      </c>
      <c r="B33">
        <f>HYPERLINK("https://www.suredividend.com/sure-analysis-ATO/","Atmos Energy Corp.")</f>
        <v>0</v>
      </c>
      <c r="C33" t="s">
        <v>390</v>
      </c>
      <c r="D33">
        <v>108.87</v>
      </c>
      <c r="E33">
        <v>0.02718838982272435</v>
      </c>
      <c r="F33">
        <v>0.08823529411764697</v>
      </c>
      <c r="G33">
        <v>0.08817312612555162</v>
      </c>
      <c r="H33">
        <v>2.768039950700219</v>
      </c>
      <c r="I33">
        <v>15352.409089</v>
      </c>
      <c r="J33">
        <v>20.44308471613872</v>
      </c>
      <c r="K33">
        <v>0.5005497198372909</v>
      </c>
      <c r="L33">
        <v>0.5236476597120341</v>
      </c>
      <c r="M33">
        <v>121.5</v>
      </c>
      <c r="N33">
        <v>97.70999999999999</v>
      </c>
    </row>
    <row r="34" spans="1:14">
      <c r="A34" s="1" t="s">
        <v>46</v>
      </c>
      <c r="B34">
        <f>HYPERLINK("https://www.suredividend.com/sure-analysis-ATR/","Aptargroup Inc.")</f>
        <v>0</v>
      </c>
      <c r="C34" t="s">
        <v>393</v>
      </c>
      <c r="D34">
        <v>112.12</v>
      </c>
      <c r="E34">
        <v>0.01355690331787371</v>
      </c>
      <c r="F34">
        <v>0</v>
      </c>
      <c r="G34">
        <v>0.03496752704080697</v>
      </c>
      <c r="H34">
        <v>1.511564517176058</v>
      </c>
      <c r="I34">
        <v>7319.642977</v>
      </c>
      <c r="J34">
        <v>30.76760071189277</v>
      </c>
      <c r="K34">
        <v>0.4257928217397347</v>
      </c>
      <c r="L34">
        <v>0.749532940737994</v>
      </c>
      <c r="M34">
        <v>122.16</v>
      </c>
      <c r="N34">
        <v>89.88</v>
      </c>
    </row>
    <row r="35" spans="1:14">
      <c r="A35" s="1" t="s">
        <v>47</v>
      </c>
      <c r="B35">
        <f>HYPERLINK("https://www.suredividend.com/sure-analysis-ATRI/","Atrion Corp.")</f>
        <v>0</v>
      </c>
      <c r="C35" t="s">
        <v>385</v>
      </c>
      <c r="D35">
        <v>582.3</v>
      </c>
      <c r="E35">
        <v>0.01476901940580457</v>
      </c>
      <c r="F35">
        <v>0.1025641025641024</v>
      </c>
      <c r="G35">
        <v>0.1237027476042598</v>
      </c>
      <c r="H35">
        <v>8.157522700227936</v>
      </c>
      <c r="I35">
        <v>1032.197791</v>
      </c>
      <c r="J35">
        <v>29.64892832193945</v>
      </c>
      <c r="K35">
        <v>0.4215774005285755</v>
      </c>
      <c r="L35">
        <v>0.601059795092538</v>
      </c>
      <c r="M35">
        <v>775.63</v>
      </c>
      <c r="N35">
        <v>534.99</v>
      </c>
    </row>
    <row r="36" spans="1:14">
      <c r="A36" s="1" t="s">
        <v>48</v>
      </c>
      <c r="B36">
        <f>HYPERLINK("https://www.suredividend.com/sure-analysis-research-database/","Atlantic Union Bankshares Corp")</f>
        <v>0</v>
      </c>
      <c r="C36" t="s">
        <v>389</v>
      </c>
      <c r="D36">
        <v>35.46</v>
      </c>
      <c r="E36">
        <v>0.032012224981344</v>
      </c>
      <c r="F36">
        <v>0.0714285714285714</v>
      </c>
      <c r="G36">
        <v>0.07394092378577932</v>
      </c>
      <c r="H36">
        <v>1.135153497838463</v>
      </c>
      <c r="I36">
        <v>2649.270038</v>
      </c>
      <c r="J36">
        <v>13.25317557652191</v>
      </c>
      <c r="K36">
        <v>0.4267494352776177</v>
      </c>
      <c r="L36">
        <v>0.767700828721498</v>
      </c>
      <c r="M36">
        <v>40.93</v>
      </c>
      <c r="N36">
        <v>29.73</v>
      </c>
    </row>
    <row r="37" spans="1:14">
      <c r="A37" s="1" t="s">
        <v>49</v>
      </c>
      <c r="B37">
        <f>HYPERLINK("https://www.suredividend.com/sure-analysis-AVA/","Avista Corp.")</f>
        <v>0</v>
      </c>
      <c r="C37" t="s">
        <v>390</v>
      </c>
      <c r="D37">
        <v>43.98</v>
      </c>
      <c r="E37">
        <v>0.04001819008640291</v>
      </c>
      <c r="F37">
        <v>0.04142011834319526</v>
      </c>
      <c r="G37">
        <v>0.03386844400085565</v>
      </c>
      <c r="H37">
        <v>1.732137593939738</v>
      </c>
      <c r="I37">
        <v>3244.657925</v>
      </c>
      <c r="J37">
        <v>25.32969487810019</v>
      </c>
      <c r="K37">
        <v>0.9786088101354452</v>
      </c>
      <c r="L37">
        <v>0.4087567861823</v>
      </c>
      <c r="M37">
        <v>45.45</v>
      </c>
      <c r="N37">
        <v>35.31</v>
      </c>
    </row>
    <row r="38" spans="1:14">
      <c r="A38" s="1" t="s">
        <v>50</v>
      </c>
      <c r="B38">
        <f>HYPERLINK("https://www.suredividend.com/sure-analysis-AVGO/","Broadcom Inc")</f>
        <v>0</v>
      </c>
      <c r="C38" t="s">
        <v>387</v>
      </c>
      <c r="D38">
        <v>555.02</v>
      </c>
      <c r="E38">
        <v>0.03315195848798241</v>
      </c>
      <c r="F38">
        <v>0.1219512195121952</v>
      </c>
      <c r="G38">
        <v>0.2132322791678671</v>
      </c>
      <c r="H38">
        <v>16.73059780726953</v>
      </c>
      <c r="I38">
        <v>231935.165423</v>
      </c>
      <c r="J38">
        <v>20.66605768714248</v>
      </c>
      <c r="K38">
        <v>0.6306293934138535</v>
      </c>
      <c r="L38">
        <v>1.282361949504565</v>
      </c>
      <c r="M38">
        <v>634.65</v>
      </c>
      <c r="N38">
        <v>411.63</v>
      </c>
    </row>
    <row r="39" spans="1:14">
      <c r="A39" s="1" t="s">
        <v>51</v>
      </c>
      <c r="B39">
        <f>HYPERLINK("https://www.suredividend.com/sure-analysis-AVNT/","Avient Corp")</f>
        <v>0</v>
      </c>
      <c r="C39" t="s">
        <v>394</v>
      </c>
      <c r="D39">
        <v>35.95</v>
      </c>
      <c r="E39">
        <v>0.02753824756606398</v>
      </c>
      <c r="F39">
        <v>0.04210526315789487</v>
      </c>
      <c r="G39">
        <v>0.07178439849804441</v>
      </c>
      <c r="H39">
        <v>0.95078422234125</v>
      </c>
      <c r="I39">
        <v>3269.419939</v>
      </c>
      <c r="J39">
        <v>17.35360902043524</v>
      </c>
      <c r="K39">
        <v>0.4637971816298781</v>
      </c>
      <c r="L39">
        <v>1.403784281418633</v>
      </c>
      <c r="M39">
        <v>55.23</v>
      </c>
      <c r="N39">
        <v>27.45</v>
      </c>
    </row>
    <row r="40" spans="1:14">
      <c r="A40" s="1" t="s">
        <v>52</v>
      </c>
      <c r="B40">
        <f>HYPERLINK("https://www.suredividend.com/sure-analysis-AVY/","Avery Dennison Corp.")</f>
        <v>0</v>
      </c>
      <c r="C40" t="s">
        <v>386</v>
      </c>
      <c r="D40">
        <v>183.12</v>
      </c>
      <c r="E40">
        <v>0.0163826998689384</v>
      </c>
      <c r="F40" t="s">
        <v>394</v>
      </c>
      <c r="G40" t="s">
        <v>394</v>
      </c>
      <c r="H40">
        <v>2.921455983936021</v>
      </c>
      <c r="I40">
        <v>14827.045844</v>
      </c>
      <c r="J40">
        <v>18.15038051619537</v>
      </c>
      <c r="K40">
        <v>0.2956939254995972</v>
      </c>
      <c r="L40">
        <v>0.9726811403755421</v>
      </c>
      <c r="M40">
        <v>214.28</v>
      </c>
      <c r="N40">
        <v>151.03</v>
      </c>
    </row>
    <row r="41" spans="1:14">
      <c r="A41" s="1" t="s">
        <v>53</v>
      </c>
      <c r="B41">
        <f>HYPERLINK("https://www.suredividend.com/sure-analysis-AWK/","American Water Works Co. Inc.")</f>
        <v>0</v>
      </c>
      <c r="C41" t="s">
        <v>390</v>
      </c>
      <c r="D41">
        <v>154.67</v>
      </c>
      <c r="E41">
        <v>0.01693929010150643</v>
      </c>
      <c r="F41">
        <v>0.08713692946058083</v>
      </c>
      <c r="G41">
        <v>0.09556623924914787</v>
      </c>
      <c r="H41">
        <v>2.550597975747086</v>
      </c>
      <c r="I41">
        <v>28123.317272</v>
      </c>
      <c r="J41">
        <v>21.33787349892261</v>
      </c>
      <c r="K41">
        <v>0.3522925380866141</v>
      </c>
      <c r="L41">
        <v>0.710657117959253</v>
      </c>
      <c r="M41">
        <v>171.57</v>
      </c>
      <c r="N41">
        <v>122.19</v>
      </c>
    </row>
    <row r="42" spans="1:14">
      <c r="A42" s="1" t="s">
        <v>54</v>
      </c>
      <c r="B42">
        <f>HYPERLINK("https://www.suredividend.com/sure-analysis-AWR/","American States Water Co.")</f>
        <v>0</v>
      </c>
      <c r="C42" t="s">
        <v>390</v>
      </c>
      <c r="D42">
        <v>92.92</v>
      </c>
      <c r="E42">
        <v>0.01711149375807146</v>
      </c>
      <c r="F42">
        <v>0.08904109589041109</v>
      </c>
      <c r="G42">
        <v>0.09284706567232748</v>
      </c>
      <c r="H42">
        <v>1.515144145558338</v>
      </c>
      <c r="I42">
        <v>3434.406549</v>
      </c>
      <c r="J42">
        <v>42.96821615733964</v>
      </c>
      <c r="K42">
        <v>0.701455622943675</v>
      </c>
      <c r="L42">
        <v>0.516660667130183</v>
      </c>
      <c r="M42">
        <v>100.51</v>
      </c>
      <c r="N42">
        <v>70.59</v>
      </c>
    </row>
    <row r="43" spans="1:14">
      <c r="A43" s="1" t="s">
        <v>55</v>
      </c>
      <c r="B43">
        <f>HYPERLINK("https://www.suredividend.com/sure-analysis-AXS/","Axis Capital Holdings Ltd")</f>
        <v>0</v>
      </c>
      <c r="C43" t="s">
        <v>389</v>
      </c>
      <c r="D43">
        <v>54.69</v>
      </c>
      <c r="E43">
        <v>0.0314499908575608</v>
      </c>
      <c r="F43">
        <v>0.02325581395348841</v>
      </c>
      <c r="G43">
        <v>0.02441897433224605</v>
      </c>
      <c r="H43">
        <v>1.709024972380181</v>
      </c>
      <c r="I43">
        <v>4630.432542</v>
      </c>
      <c r="J43">
        <v>13.25890108077152</v>
      </c>
      <c r="K43">
        <v>0.4178545164743719</v>
      </c>
      <c r="L43">
        <v>0.687016345839459</v>
      </c>
      <c r="M43">
        <v>59.92</v>
      </c>
      <c r="N43">
        <v>47.78</v>
      </c>
    </row>
    <row r="44" spans="1:14">
      <c r="A44" s="1" t="s">
        <v>56</v>
      </c>
      <c r="B44">
        <f>HYPERLINK("https://www.suredividend.com/sure-analysis-BANF/","Bancfirst Corp.")</f>
        <v>0</v>
      </c>
      <c r="C44" t="s">
        <v>389</v>
      </c>
      <c r="D44">
        <v>83.34999999999999</v>
      </c>
      <c r="E44">
        <v>0.01823635272945411</v>
      </c>
      <c r="F44">
        <v>0.1111111111111112</v>
      </c>
      <c r="G44">
        <v>0.137543830351883</v>
      </c>
      <c r="H44">
        <v>1.510451822488914</v>
      </c>
      <c r="I44">
        <v>2739.761676</v>
      </c>
      <c r="J44">
        <v>15.73291725201272</v>
      </c>
      <c r="K44">
        <v>0.2893585866837</v>
      </c>
      <c r="L44">
        <v>0.4855776421269911</v>
      </c>
      <c r="M44">
        <v>117.02</v>
      </c>
      <c r="N44">
        <v>70.47</v>
      </c>
    </row>
    <row r="45" spans="1:14">
      <c r="A45" s="1" t="s">
        <v>57</v>
      </c>
      <c r="B45">
        <f>HYPERLINK("https://www.suredividend.com/sure-analysis-BBY/","Best Buy Co. Inc.")</f>
        <v>0</v>
      </c>
      <c r="C45" t="s">
        <v>393</v>
      </c>
      <c r="D45">
        <v>81.51000000000001</v>
      </c>
      <c r="E45">
        <v>0.04318488529014845</v>
      </c>
      <c r="F45">
        <v>0.2571428571428571</v>
      </c>
      <c r="G45">
        <v>0.1435470336492659</v>
      </c>
      <c r="H45">
        <v>3.460082091614306</v>
      </c>
      <c r="I45">
        <v>18035.265646</v>
      </c>
      <c r="J45">
        <v>11.6356552551871</v>
      </c>
      <c r="K45">
        <v>0.5133652954917368</v>
      </c>
      <c r="L45">
        <v>1.190061777222489</v>
      </c>
      <c r="M45">
        <v>108.09</v>
      </c>
      <c r="N45">
        <v>60.13</v>
      </c>
    </row>
    <row r="46" spans="1:14">
      <c r="A46" s="1" t="s">
        <v>58</v>
      </c>
      <c r="B46">
        <f>HYPERLINK("https://www.suredividend.com/sure-analysis-research-database/","Balchem Corp.")</f>
        <v>0</v>
      </c>
      <c r="C46" t="s">
        <v>391</v>
      </c>
      <c r="D46">
        <v>117.39</v>
      </c>
      <c r="E46">
        <v>0.006048215167751001</v>
      </c>
      <c r="F46" t="s">
        <v>394</v>
      </c>
      <c r="G46" t="s">
        <v>394</v>
      </c>
      <c r="H46">
        <v>0.7099999785423271</v>
      </c>
      <c r="I46">
        <v>3772.341972</v>
      </c>
      <c r="J46">
        <v>34.63724149830135</v>
      </c>
      <c r="K46">
        <v>0.2119402921021872</v>
      </c>
      <c r="L46">
        <v>0.805795054229785</v>
      </c>
      <c r="M46">
        <v>162.29</v>
      </c>
      <c r="N46">
        <v>109.5</v>
      </c>
    </row>
    <row r="47" spans="1:14">
      <c r="A47" s="1" t="s">
        <v>59</v>
      </c>
      <c r="B47">
        <f>HYPERLINK("https://www.suredividend.com/sure-analysis-BDX/","Becton, Dickinson And Co.")</f>
        <v>0</v>
      </c>
      <c r="C47" t="s">
        <v>385</v>
      </c>
      <c r="D47">
        <v>255.31</v>
      </c>
      <c r="E47">
        <v>0.01425717754886217</v>
      </c>
      <c r="F47">
        <v>0.04597701149425282</v>
      </c>
      <c r="G47">
        <v>0.03943186329943948</v>
      </c>
      <c r="H47">
        <v>3.48091099720736</v>
      </c>
      <c r="I47">
        <v>72576.456442</v>
      </c>
      <c r="J47">
        <v>42.91925277465405</v>
      </c>
      <c r="K47">
        <v>0.5919916661917279</v>
      </c>
      <c r="L47">
        <v>0.538549333237765</v>
      </c>
      <c r="M47">
        <v>274.41</v>
      </c>
      <c r="N47">
        <v>215.1</v>
      </c>
    </row>
    <row r="48" spans="1:14">
      <c r="A48" s="1" t="s">
        <v>60</v>
      </c>
      <c r="B48">
        <f>HYPERLINK("https://www.suredividend.com/sure-analysis-BEN/","Franklin Resources, Inc.")</f>
        <v>0</v>
      </c>
      <c r="C48" t="s">
        <v>389</v>
      </c>
      <c r="D48">
        <v>27.33</v>
      </c>
      <c r="E48">
        <v>0.04390779363336993</v>
      </c>
      <c r="F48">
        <v>0.03448275862068995</v>
      </c>
      <c r="G48">
        <v>0.05457794330579446</v>
      </c>
      <c r="H48">
        <v>1.1494802436171</v>
      </c>
      <c r="I48">
        <v>13672.052561</v>
      </c>
      <c r="J48">
        <v>8.273556769234492</v>
      </c>
      <c r="K48">
        <v>0.3410920604205044</v>
      </c>
      <c r="L48">
        <v>1.264808113410331</v>
      </c>
      <c r="M48">
        <v>34.81</v>
      </c>
      <c r="N48">
        <v>20.01</v>
      </c>
    </row>
    <row r="49" spans="1:14">
      <c r="A49" s="1" t="s">
        <v>61</v>
      </c>
      <c r="B49">
        <f>HYPERLINK("https://www.suredividend.com/sure-analysis-BIP/","Brookfield Infrastructure Partners L.P")</f>
        <v>0</v>
      </c>
      <c r="C49" t="s">
        <v>390</v>
      </c>
      <c r="D49">
        <v>32.11</v>
      </c>
      <c r="E49">
        <v>0.04484584241669262</v>
      </c>
      <c r="F49" t="s">
        <v>394</v>
      </c>
      <c r="G49" t="s">
        <v>394</v>
      </c>
      <c r="H49">
        <v>1.514063641060947</v>
      </c>
      <c r="I49">
        <v>14715.28802</v>
      </c>
      <c r="J49">
        <v>0</v>
      </c>
      <c r="K49" t="s">
        <v>394</v>
      </c>
      <c r="L49">
        <v>0.562035028626755</v>
      </c>
      <c r="M49">
        <v>44.78</v>
      </c>
      <c r="N49">
        <v>30.03</v>
      </c>
    </row>
    <row r="50" spans="1:14">
      <c r="A50" s="1" t="s">
        <v>62</v>
      </c>
      <c r="B50">
        <f>HYPERLINK("https://www.suredividend.com/sure-analysis-BK/","Bank Of New York Mellon Corp")</f>
        <v>0</v>
      </c>
      <c r="C50" t="s">
        <v>389</v>
      </c>
      <c r="D50">
        <v>47.21</v>
      </c>
      <c r="E50">
        <v>0.0313492904045753</v>
      </c>
      <c r="F50">
        <v>0.08823529411764697</v>
      </c>
      <c r="G50">
        <v>0.0904307661344419</v>
      </c>
      <c r="H50">
        <v>1.402300183689071</v>
      </c>
      <c r="I50">
        <v>38158.896392</v>
      </c>
      <c r="J50">
        <v>14.26500799711776</v>
      </c>
      <c r="K50">
        <v>0.4275305438076435</v>
      </c>
      <c r="L50">
        <v>0.9542371604455561</v>
      </c>
      <c r="M50">
        <v>63.01</v>
      </c>
      <c r="N50">
        <v>35.9</v>
      </c>
    </row>
    <row r="51" spans="1:14">
      <c r="A51" s="1" t="s">
        <v>63</v>
      </c>
      <c r="B51">
        <f>HYPERLINK("https://www.suredividend.com/sure-analysis-BKH/","Black Hills Corporation")</f>
        <v>0</v>
      </c>
      <c r="C51" t="s">
        <v>390</v>
      </c>
      <c r="D51">
        <v>69.93000000000001</v>
      </c>
      <c r="E51">
        <v>0.03575003575003575</v>
      </c>
      <c r="F51">
        <v>0.05042016806722693</v>
      </c>
      <c r="G51">
        <v>0.05642162229904302</v>
      </c>
      <c r="H51">
        <v>2.380004449066032</v>
      </c>
      <c r="I51">
        <v>4550.922652</v>
      </c>
      <c r="J51">
        <v>17.70311726373075</v>
      </c>
      <c r="K51">
        <v>0.5994973423340131</v>
      </c>
      <c r="L51">
        <v>0.4612012829873811</v>
      </c>
      <c r="M51">
        <v>79.04000000000001</v>
      </c>
      <c r="N51">
        <v>58.53</v>
      </c>
    </row>
    <row r="52" spans="1:14">
      <c r="A52" s="1" t="s">
        <v>64</v>
      </c>
      <c r="B52">
        <f>HYPERLINK("https://www.suredividend.com/sure-analysis-BLK/","Blackrock Inc.")</f>
        <v>0</v>
      </c>
      <c r="C52" t="s">
        <v>389</v>
      </c>
      <c r="D52">
        <v>701.24</v>
      </c>
      <c r="E52">
        <v>0.02783640408419371</v>
      </c>
      <c r="F52">
        <v>0.1815980629539951</v>
      </c>
      <c r="G52">
        <v>0.1112338617639914</v>
      </c>
      <c r="H52">
        <v>19.38531306616028</v>
      </c>
      <c r="I52">
        <v>105323.146415</v>
      </c>
      <c r="J52">
        <v>18.93620036236605</v>
      </c>
      <c r="K52">
        <v>0.5337365932312851</v>
      </c>
      <c r="L52">
        <v>1.286130424507197</v>
      </c>
      <c r="M52">
        <v>881.58</v>
      </c>
      <c r="N52">
        <v>499.68</v>
      </c>
    </row>
    <row r="53" spans="1:14">
      <c r="A53" s="1" t="s">
        <v>65</v>
      </c>
      <c r="B53">
        <f>HYPERLINK("https://www.suredividend.com/sure-analysis-BMI/","Badger Meter Inc.")</f>
        <v>0</v>
      </c>
      <c r="C53" t="s">
        <v>386</v>
      </c>
      <c r="D53">
        <v>107.37</v>
      </c>
      <c r="E53">
        <v>0.008382229673093043</v>
      </c>
      <c r="F53">
        <v>0.125</v>
      </c>
      <c r="G53">
        <v>0.1159579570439235</v>
      </c>
      <c r="H53">
        <v>0.8473662711212251</v>
      </c>
      <c r="I53">
        <v>3142.628528</v>
      </c>
      <c r="J53">
        <v>47.44807766717497</v>
      </c>
      <c r="K53">
        <v>0.3749408279297456</v>
      </c>
      <c r="L53">
        <v>0.977491811075571</v>
      </c>
      <c r="M53">
        <v>120.54</v>
      </c>
      <c r="N53">
        <v>72.89</v>
      </c>
    </row>
    <row r="54" spans="1:14">
      <c r="A54" s="1" t="s">
        <v>66</v>
      </c>
      <c r="B54">
        <f>HYPERLINK("https://www.suredividend.com/sure-analysis-BMRC/","Bank of Marin Bancorp")</f>
        <v>0</v>
      </c>
      <c r="C54" t="s">
        <v>389</v>
      </c>
      <c r="D54">
        <v>32.25</v>
      </c>
      <c r="E54">
        <v>0.0310077519379845</v>
      </c>
      <c r="F54">
        <v>0.04166666666666674</v>
      </c>
      <c r="G54" t="s">
        <v>394</v>
      </c>
      <c r="H54">
        <v>0.9694063616188391</v>
      </c>
      <c r="I54">
        <v>516.923092</v>
      </c>
      <c r="J54">
        <v>11.90545824984454</v>
      </c>
      <c r="K54">
        <v>0.356399397653985</v>
      </c>
      <c r="L54">
        <v>0.4885391191516461</v>
      </c>
      <c r="M54">
        <v>38.53</v>
      </c>
      <c r="N54">
        <v>29.39</v>
      </c>
    </row>
    <row r="55" spans="1:14">
      <c r="A55" s="1" t="s">
        <v>67</v>
      </c>
      <c r="B55">
        <f>HYPERLINK("https://www.suredividend.com/sure-analysis-BMY/","Bristol-Myers Squibb Co.")</f>
        <v>0</v>
      </c>
      <c r="C55" t="s">
        <v>385</v>
      </c>
      <c r="D55">
        <v>71.92</v>
      </c>
      <c r="E55">
        <v>0.03170189098998887</v>
      </c>
      <c r="F55">
        <v>0.05555555555555558</v>
      </c>
      <c r="G55">
        <v>0.07340341554655661</v>
      </c>
      <c r="H55">
        <v>2.165518037152859</v>
      </c>
      <c r="I55">
        <v>152913.452156</v>
      </c>
      <c r="J55">
        <v>22.9015204667126</v>
      </c>
      <c r="K55">
        <v>0.7030902718028763</v>
      </c>
      <c r="L55">
        <v>0.28457662264485</v>
      </c>
      <c r="M55">
        <v>80.8</v>
      </c>
      <c r="N55">
        <v>59.4</v>
      </c>
    </row>
    <row r="56" spans="1:14">
      <c r="A56" s="1" t="s">
        <v>68</v>
      </c>
      <c r="B56">
        <f>HYPERLINK("https://www.suredividend.com/sure-analysis-BOKF/","BOK Financial Corp.")</f>
        <v>0</v>
      </c>
      <c r="C56" t="s">
        <v>389</v>
      </c>
      <c r="D56">
        <v>99.23999999999999</v>
      </c>
      <c r="E56">
        <v>0.02136235388956066</v>
      </c>
      <c r="F56">
        <v>0.01886792452830188</v>
      </c>
      <c r="G56">
        <v>0.03713728933664817</v>
      </c>
      <c r="H56">
        <v>2.112617792814062</v>
      </c>
      <c r="I56">
        <v>6674.324969</v>
      </c>
      <c r="J56">
        <v>14.32996601021986</v>
      </c>
      <c r="K56">
        <v>0.3066208697843341</v>
      </c>
      <c r="L56">
        <v>0.72194774712673</v>
      </c>
      <c r="M56">
        <v>117.57</v>
      </c>
      <c r="N56">
        <v>69.45999999999999</v>
      </c>
    </row>
    <row r="57" spans="1:14">
      <c r="A57" s="1" t="s">
        <v>69</v>
      </c>
      <c r="B57">
        <f>HYPERLINK("https://www.suredividend.com/sure-analysis-BR/","Broadridge Financial Solutions, Inc.")</f>
        <v>0</v>
      </c>
      <c r="C57" t="s">
        <v>387</v>
      </c>
      <c r="D57">
        <v>133.02</v>
      </c>
      <c r="E57">
        <v>0.02180123289730867</v>
      </c>
      <c r="F57">
        <v>0.1328125</v>
      </c>
      <c r="G57">
        <v>0.1471204666826835</v>
      </c>
      <c r="H57">
        <v>2.711506079509004</v>
      </c>
      <c r="I57">
        <v>15650.511065</v>
      </c>
      <c r="J57">
        <v>29.97033907594792</v>
      </c>
      <c r="K57">
        <v>0.6162513817065918</v>
      </c>
      <c r="L57">
        <v>0.9513248932080011</v>
      </c>
      <c r="M57">
        <v>181.63</v>
      </c>
      <c r="N57">
        <v>130.69</v>
      </c>
    </row>
    <row r="58" spans="1:14">
      <c r="A58" s="1" t="s">
        <v>70</v>
      </c>
      <c r="B58">
        <f>HYPERLINK("https://www.suredividend.com/sure-analysis-BRC/","Brady Corp.")</f>
        <v>0</v>
      </c>
      <c r="C58" t="s">
        <v>386</v>
      </c>
      <c r="D58">
        <v>47.08</v>
      </c>
      <c r="E58">
        <v>0.01954120645709431</v>
      </c>
      <c r="F58">
        <v>0.02222222222222214</v>
      </c>
      <c r="G58">
        <v>0.02080302181960847</v>
      </c>
      <c r="H58">
        <v>0.8981136742604131</v>
      </c>
      <c r="I58">
        <v>2183.584995</v>
      </c>
      <c r="J58">
        <v>14.63842777807573</v>
      </c>
      <c r="K58">
        <v>0.3107659772527381</v>
      </c>
      <c r="L58">
        <v>0.700925467008071</v>
      </c>
      <c r="M58">
        <v>53.39</v>
      </c>
      <c r="N58">
        <v>40.51</v>
      </c>
    </row>
    <row r="59" spans="1:14">
      <c r="A59" s="1" t="s">
        <v>71</v>
      </c>
      <c r="B59">
        <f>HYPERLINK("https://www.suredividend.com/sure-analysis-BRO/","Brown &amp; Brown, Inc.")</f>
        <v>0</v>
      </c>
      <c r="C59" t="s">
        <v>389</v>
      </c>
      <c r="D59">
        <v>57.08</v>
      </c>
      <c r="E59">
        <v>0.008058864751226349</v>
      </c>
      <c r="F59" t="s">
        <v>394</v>
      </c>
      <c r="G59" t="s">
        <v>394</v>
      </c>
      <c r="H59">
        <v>0.421399650828604</v>
      </c>
      <c r="I59">
        <v>16166.332708</v>
      </c>
      <c r="J59">
        <v>26.22620767426053</v>
      </c>
      <c r="K59">
        <v>0.1906785750355674</v>
      </c>
      <c r="L59">
        <v>0.933291510285104</v>
      </c>
      <c r="M59">
        <v>73.61</v>
      </c>
      <c r="N59">
        <v>52.72</v>
      </c>
    </row>
    <row r="60" spans="1:14">
      <c r="A60" s="1" t="s">
        <v>72</v>
      </c>
      <c r="B60">
        <f>HYPERLINK("https://www.suredividend.com/sure-analysis-CAH/","Cardinal Health, Inc.")</f>
        <v>0</v>
      </c>
      <c r="C60" t="s">
        <v>385</v>
      </c>
      <c r="D60">
        <v>76.62</v>
      </c>
      <c r="E60">
        <v>0.02584181675802662</v>
      </c>
      <c r="F60">
        <v>0.009983700081499514</v>
      </c>
      <c r="G60">
        <v>0.01400528535156087</v>
      </c>
      <c r="H60">
        <v>1.956809231659648</v>
      </c>
      <c r="I60">
        <v>20084.711141</v>
      </c>
      <c r="J60" t="s">
        <v>394</v>
      </c>
      <c r="K60" t="s">
        <v>394</v>
      </c>
      <c r="L60">
        <v>0.500664029502445</v>
      </c>
      <c r="M60">
        <v>81.05</v>
      </c>
      <c r="N60">
        <v>46.92</v>
      </c>
    </row>
    <row r="61" spans="1:14">
      <c r="A61" s="1" t="s">
        <v>73</v>
      </c>
      <c r="B61">
        <f>HYPERLINK("https://www.suredividend.com/sure-analysis-CASS/","Cass Information Systems Inc")</f>
        <v>0</v>
      </c>
      <c r="C61" t="s">
        <v>386</v>
      </c>
      <c r="D61">
        <v>46.47</v>
      </c>
      <c r="E61">
        <v>0.02496234129545943</v>
      </c>
      <c r="F61">
        <v>0.03571428571428559</v>
      </c>
      <c r="G61">
        <v>0.03857377308425858</v>
      </c>
      <c r="H61">
        <v>1.117907878554478</v>
      </c>
      <c r="I61">
        <v>634.843074</v>
      </c>
      <c r="J61">
        <v>19.05234158368596</v>
      </c>
      <c r="K61">
        <v>0.4638621902715676</v>
      </c>
      <c r="L61">
        <v>0.5829360048501311</v>
      </c>
      <c r="M61">
        <v>46.7</v>
      </c>
      <c r="N61">
        <v>31.14</v>
      </c>
    </row>
    <row r="62" spans="1:14">
      <c r="A62" s="1" t="s">
        <v>74</v>
      </c>
      <c r="B62">
        <f>HYPERLINK("https://www.suredividend.com/sure-analysis-CASY/","Casey`s General Stores, Inc.")</f>
        <v>0</v>
      </c>
      <c r="C62" t="s">
        <v>388</v>
      </c>
      <c r="D62">
        <v>217.6</v>
      </c>
      <c r="E62">
        <v>0.006985294117647059</v>
      </c>
      <c r="F62">
        <v>0.08571428571428563</v>
      </c>
      <c r="G62">
        <v>0.07885244396237145</v>
      </c>
      <c r="H62">
        <v>1.456326514807166</v>
      </c>
      <c r="I62">
        <v>8107.476147</v>
      </c>
      <c r="J62">
        <v>19.56970927690224</v>
      </c>
      <c r="K62">
        <v>0.131556144065688</v>
      </c>
      <c r="L62">
        <v>0.6221730336646251</v>
      </c>
      <c r="M62">
        <v>249.9</v>
      </c>
      <c r="N62">
        <v>169.93</v>
      </c>
    </row>
    <row r="63" spans="1:14">
      <c r="A63" s="1" t="s">
        <v>75</v>
      </c>
      <c r="B63">
        <f>HYPERLINK("https://www.suredividend.com/sure-analysis-CAT/","Caterpillar Inc.")</f>
        <v>0</v>
      </c>
      <c r="C63" t="s">
        <v>386</v>
      </c>
      <c r="D63">
        <v>240.28</v>
      </c>
      <c r="E63">
        <v>0.01997669385716664</v>
      </c>
      <c r="F63">
        <v>0.08108108108108092</v>
      </c>
      <c r="G63">
        <v>0.08997698704834534</v>
      </c>
      <c r="H63">
        <v>4.576788950494725</v>
      </c>
      <c r="I63">
        <v>125043.959819</v>
      </c>
      <c r="J63">
        <v>16.96431417981278</v>
      </c>
      <c r="K63">
        <v>0.3326154760533958</v>
      </c>
      <c r="L63">
        <v>0.786329673756993</v>
      </c>
      <c r="M63">
        <v>245.05</v>
      </c>
      <c r="N63">
        <v>159.53</v>
      </c>
    </row>
    <row r="64" spans="1:14">
      <c r="A64" s="1" t="s">
        <v>76</v>
      </c>
      <c r="B64">
        <f>HYPERLINK("https://www.suredividend.com/sure-analysis-CB/","Chubb Limited")</f>
        <v>0</v>
      </c>
      <c r="C64" t="s">
        <v>389</v>
      </c>
      <c r="D64">
        <v>223.56</v>
      </c>
      <c r="E64">
        <v>0.01485059939166219</v>
      </c>
      <c r="F64">
        <v>0.03750000000000009</v>
      </c>
      <c r="G64">
        <v>0.03172498707259508</v>
      </c>
      <c r="H64">
        <v>3.270304337105089</v>
      </c>
      <c r="I64">
        <v>92788.639255</v>
      </c>
      <c r="J64">
        <v>15.10723530697493</v>
      </c>
      <c r="K64">
        <v>0.2272622888884704</v>
      </c>
      <c r="L64">
        <v>0.609157272867031</v>
      </c>
      <c r="M64">
        <v>225.8</v>
      </c>
      <c r="N64">
        <v>173.11</v>
      </c>
    </row>
    <row r="65" spans="1:14">
      <c r="A65" s="1" t="s">
        <v>77</v>
      </c>
      <c r="B65">
        <f>HYPERLINK("https://www.suredividend.com/sure-analysis-CBOE/","Cboe Global Markets Inc.")</f>
        <v>0</v>
      </c>
      <c r="C65" t="s">
        <v>389</v>
      </c>
      <c r="D65">
        <v>123.77</v>
      </c>
      <c r="E65">
        <v>0.01615900460531631</v>
      </c>
      <c r="F65">
        <v>0.04166666666666674</v>
      </c>
      <c r="G65">
        <v>0.1311527300905295</v>
      </c>
      <c r="H65">
        <v>1.948082468773084</v>
      </c>
      <c r="I65">
        <v>13129.7908</v>
      </c>
      <c r="J65">
        <v>54.79879298727045</v>
      </c>
      <c r="K65">
        <v>0.8696796735594126</v>
      </c>
      <c r="L65">
        <v>0.530049925521293</v>
      </c>
      <c r="M65">
        <v>130.52</v>
      </c>
      <c r="N65">
        <v>102.52</v>
      </c>
    </row>
    <row r="66" spans="1:14">
      <c r="A66" s="1" t="s">
        <v>78</v>
      </c>
      <c r="B66">
        <f>HYPERLINK("https://www.suredividend.com/sure-analysis-CBSH/","Commerce Bancshares, Inc.")</f>
        <v>0</v>
      </c>
      <c r="C66" t="s">
        <v>389</v>
      </c>
      <c r="D66">
        <v>67.66</v>
      </c>
      <c r="E66">
        <v>0.01566656813479161</v>
      </c>
      <c r="F66" t="s">
        <v>394</v>
      </c>
      <c r="G66" t="s">
        <v>394</v>
      </c>
      <c r="H66">
        <v>1.021166613638765</v>
      </c>
      <c r="I66">
        <v>8075.394886</v>
      </c>
      <c r="J66">
        <v>17.27793301025713</v>
      </c>
      <c r="K66">
        <v>0.2625106975935128</v>
      </c>
      <c r="L66">
        <v>0.653386634588569</v>
      </c>
      <c r="M66">
        <v>72.59999999999999</v>
      </c>
      <c r="N66">
        <v>59.81</v>
      </c>
    </row>
    <row r="67" spans="1:14">
      <c r="A67" s="1" t="s">
        <v>79</v>
      </c>
      <c r="B67">
        <f>HYPERLINK("https://www.suredividend.com/sure-analysis-research-database/","Cabot Corp.")</f>
        <v>0</v>
      </c>
      <c r="C67" t="s">
        <v>391</v>
      </c>
      <c r="D67">
        <v>66.54000000000001</v>
      </c>
      <c r="E67">
        <v>0.022075027101721</v>
      </c>
      <c r="F67">
        <v>0</v>
      </c>
      <c r="G67">
        <v>0.03270964718488734</v>
      </c>
      <c r="H67">
        <v>1.468872303348539</v>
      </c>
      <c r="I67">
        <v>3748.121014</v>
      </c>
      <c r="J67">
        <v>18.19476220194175</v>
      </c>
      <c r="K67">
        <v>0.4057658296542925</v>
      </c>
      <c r="L67">
        <v>1.189794517192899</v>
      </c>
      <c r="M67">
        <v>77.84</v>
      </c>
      <c r="N67">
        <v>52.24</v>
      </c>
    </row>
    <row r="68" spans="1:14">
      <c r="A68" s="1" t="s">
        <v>80</v>
      </c>
      <c r="B68">
        <f>HYPERLINK("https://www.suredividend.com/sure-analysis-CBU/","Community Bank System, Inc.")</f>
        <v>0</v>
      </c>
      <c r="C68" t="s">
        <v>389</v>
      </c>
      <c r="D68">
        <v>61.77</v>
      </c>
      <c r="E68">
        <v>0.02849279585559333</v>
      </c>
      <c r="F68">
        <v>0.02325581395348841</v>
      </c>
      <c r="G68">
        <v>0.05291848906511043</v>
      </c>
      <c r="H68">
        <v>1.72188143733727</v>
      </c>
      <c r="I68">
        <v>3319.173703</v>
      </c>
      <c r="J68">
        <v>18.57909389082625</v>
      </c>
      <c r="K68">
        <v>0.5233682180356444</v>
      </c>
      <c r="L68">
        <v>0.581815485346592</v>
      </c>
      <c r="M68">
        <v>75.92</v>
      </c>
      <c r="N68">
        <v>58.28</v>
      </c>
    </row>
    <row r="69" spans="1:14">
      <c r="A69" s="1" t="s">
        <v>81</v>
      </c>
      <c r="B69">
        <f>HYPERLINK("https://www.suredividend.com/sure-analysis-CE/","Celanese Corp")</f>
        <v>0</v>
      </c>
      <c r="C69" t="s">
        <v>391</v>
      </c>
      <c r="D69">
        <v>110.86</v>
      </c>
      <c r="E69">
        <v>0.02525708100306693</v>
      </c>
      <c r="F69">
        <v>0.02941176470588247</v>
      </c>
      <c r="G69">
        <v>0.08759710191515802</v>
      </c>
      <c r="H69">
        <v>2.713853205191416</v>
      </c>
      <c r="I69">
        <v>12020.335951</v>
      </c>
      <c r="J69">
        <v>7.280639582713507</v>
      </c>
      <c r="K69">
        <v>0.1798444801319693</v>
      </c>
      <c r="L69">
        <v>1.181229556897313</v>
      </c>
      <c r="M69">
        <v>171.38</v>
      </c>
      <c r="N69">
        <v>86.06999999999999</v>
      </c>
    </row>
    <row r="70" spans="1:14">
      <c r="A70" s="1" t="s">
        <v>82</v>
      </c>
      <c r="B70">
        <f>HYPERLINK("https://www.suredividend.com/sure-analysis-CFR/","Cullen Frost Bankers Inc.")</f>
        <v>0</v>
      </c>
      <c r="C70" t="s">
        <v>389</v>
      </c>
      <c r="D70">
        <v>132.08</v>
      </c>
      <c r="E70">
        <v>0.02634766807995154</v>
      </c>
      <c r="F70">
        <v>0.1599999999999999</v>
      </c>
      <c r="G70">
        <v>0.08825051007784368</v>
      </c>
      <c r="H70">
        <v>3.211520668190036</v>
      </c>
      <c r="I70">
        <v>8492.574938</v>
      </c>
      <c r="J70">
        <v>17.75619488174489</v>
      </c>
      <c r="K70">
        <v>0.4328194970606518</v>
      </c>
      <c r="L70">
        <v>0.7609169188315751</v>
      </c>
      <c r="M70">
        <v>159.65</v>
      </c>
      <c r="N70">
        <v>111.26</v>
      </c>
    </row>
    <row r="71" spans="1:14">
      <c r="A71" s="1" t="s">
        <v>83</v>
      </c>
      <c r="B71">
        <f>HYPERLINK("https://www.suredividend.com/sure-analysis-research-database/","City Holding Co.")</f>
        <v>0</v>
      </c>
      <c r="C71" t="s">
        <v>389</v>
      </c>
      <c r="D71">
        <v>91.25</v>
      </c>
      <c r="E71">
        <v>0.026557405191924</v>
      </c>
      <c r="F71">
        <v>0.1206896551724139</v>
      </c>
      <c r="G71">
        <v>0.07159605222536181</v>
      </c>
      <c r="H71">
        <v>2.423363223763072</v>
      </c>
      <c r="I71">
        <v>1355.585728</v>
      </c>
      <c r="J71">
        <v>14.43817409387681</v>
      </c>
      <c r="K71">
        <v>0.3858858636565402</v>
      </c>
      <c r="L71">
        <v>0.401589849661535</v>
      </c>
      <c r="M71">
        <v>103</v>
      </c>
      <c r="N71">
        <v>72.08</v>
      </c>
    </row>
    <row r="72" spans="1:14">
      <c r="A72" s="1" t="s">
        <v>84</v>
      </c>
      <c r="B72">
        <f>HYPERLINK("https://www.suredividend.com/sure-analysis-CHD/","Church &amp; Dwight Co., Inc.")</f>
        <v>0</v>
      </c>
      <c r="C72" t="s">
        <v>388</v>
      </c>
      <c r="D72">
        <v>81.98</v>
      </c>
      <c r="E72">
        <v>0.01280800195169554</v>
      </c>
      <c r="F72">
        <v>0.03960396039603964</v>
      </c>
      <c r="G72">
        <v>0.0383266700886169</v>
      </c>
      <c r="H72">
        <v>1.044955469520638</v>
      </c>
      <c r="I72">
        <v>19992.327087</v>
      </c>
      <c r="J72">
        <v>27.13767759883263</v>
      </c>
      <c r="K72">
        <v>0.3506561978257174</v>
      </c>
      <c r="L72">
        <v>0.388428116431087</v>
      </c>
      <c r="M72">
        <v>104.31</v>
      </c>
      <c r="N72">
        <v>69.91</v>
      </c>
    </row>
    <row r="73" spans="1:14">
      <c r="A73" s="1" t="s">
        <v>85</v>
      </c>
      <c r="B73">
        <f>HYPERLINK("https://www.suredividend.com/sure-analysis-research-database/","Churchill Downs, Inc.")</f>
        <v>0</v>
      </c>
      <c r="C73" t="s">
        <v>393</v>
      </c>
      <c r="D73">
        <v>214.76</v>
      </c>
      <c r="E73">
        <v>0.003324641398065</v>
      </c>
      <c r="F73" t="s">
        <v>394</v>
      </c>
      <c r="G73" t="s">
        <v>394</v>
      </c>
      <c r="H73">
        <v>0.713999986648559</v>
      </c>
      <c r="I73">
        <v>8032.72605</v>
      </c>
      <c r="J73">
        <v>16.67578586348349</v>
      </c>
      <c r="K73">
        <v>0.05725741673204162</v>
      </c>
      <c r="L73">
        <v>1.219525091061658</v>
      </c>
      <c r="M73">
        <v>248.53</v>
      </c>
      <c r="N73">
        <v>172.19</v>
      </c>
    </row>
    <row r="74" spans="1:14">
      <c r="A74" s="1" t="s">
        <v>86</v>
      </c>
      <c r="B74">
        <f>HYPERLINK("https://www.suredividend.com/sure-analysis-research-database/","Chemed Corp.")</f>
        <v>0</v>
      </c>
      <c r="C74" t="s">
        <v>385</v>
      </c>
      <c r="D74">
        <v>503.36</v>
      </c>
      <c r="E74">
        <v>0.002934669137461</v>
      </c>
      <c r="F74">
        <v>0.05555555555555558</v>
      </c>
      <c r="G74">
        <v>0.06298004826234438</v>
      </c>
      <c r="H74">
        <v>1.477195057032449</v>
      </c>
      <c r="I74">
        <v>7485.116725</v>
      </c>
      <c r="J74">
        <v>28.55574186469711</v>
      </c>
      <c r="K74">
        <v>0.08573389768035107</v>
      </c>
      <c r="L74">
        <v>0.487451214935017</v>
      </c>
      <c r="M74">
        <v>527.49</v>
      </c>
      <c r="N74">
        <v>429.5</v>
      </c>
    </row>
    <row r="75" spans="1:14">
      <c r="A75" s="1" t="s">
        <v>87</v>
      </c>
      <c r="B75">
        <f>HYPERLINK("https://www.suredividend.com/sure-analysis-CHRW/","C.H. Robinson Worldwide, Inc.")</f>
        <v>0</v>
      </c>
      <c r="C75" t="s">
        <v>386</v>
      </c>
      <c r="D75">
        <v>90.01000000000001</v>
      </c>
      <c r="E75">
        <v>0.02510832129763359</v>
      </c>
      <c r="F75">
        <v>0.1090909090909089</v>
      </c>
      <c r="G75">
        <v>0.05806999970214632</v>
      </c>
      <c r="H75">
        <v>2.241942877390161</v>
      </c>
      <c r="I75">
        <v>10595.029215</v>
      </c>
      <c r="J75">
        <v>9.861078968158902</v>
      </c>
      <c r="K75">
        <v>0.271750651804868</v>
      </c>
      <c r="L75">
        <v>0.66556741849055</v>
      </c>
      <c r="M75">
        <v>119.91</v>
      </c>
      <c r="N75">
        <v>84.73999999999999</v>
      </c>
    </row>
    <row r="76" spans="1:14">
      <c r="A76" s="1" t="s">
        <v>88</v>
      </c>
      <c r="B76">
        <f>HYPERLINK("https://www.suredividend.com/sure-analysis-CINF/","Cincinnati Financial Corp.")</f>
        <v>0</v>
      </c>
      <c r="C76" t="s">
        <v>389</v>
      </c>
      <c r="D76">
        <v>106.67</v>
      </c>
      <c r="E76">
        <v>0.02587419143151776</v>
      </c>
      <c r="F76">
        <v>0.09523809523809534</v>
      </c>
      <c r="G76">
        <v>0.05417968868186729</v>
      </c>
      <c r="H76">
        <v>2.733139092982854</v>
      </c>
      <c r="I76">
        <v>16766.850134</v>
      </c>
      <c r="J76" t="s">
        <v>394</v>
      </c>
      <c r="K76" t="s">
        <v>394</v>
      </c>
      <c r="L76">
        <v>0.7558880205902481</v>
      </c>
      <c r="M76">
        <v>140.48</v>
      </c>
      <c r="N76">
        <v>88.09</v>
      </c>
    </row>
    <row r="77" spans="1:14">
      <c r="A77" s="1" t="s">
        <v>89</v>
      </c>
      <c r="B77">
        <f>HYPERLINK("https://www.suredividend.com/sure-analysis-CL/","Colgate-Palmolive Co.")</f>
        <v>0</v>
      </c>
      <c r="C77" t="s">
        <v>388</v>
      </c>
      <c r="D77">
        <v>78.54000000000001</v>
      </c>
      <c r="E77">
        <v>0.02393684746625923</v>
      </c>
      <c r="F77">
        <v>0.04444444444444451</v>
      </c>
      <c r="G77">
        <v>0.03277941543624618</v>
      </c>
      <c r="H77">
        <v>1.842763046157808</v>
      </c>
      <c r="I77">
        <v>65597.724053</v>
      </c>
      <c r="J77">
        <v>34.02371579533195</v>
      </c>
      <c r="K77">
        <v>0.804700020156248</v>
      </c>
      <c r="L77">
        <v>0.394046098207211</v>
      </c>
      <c r="M77">
        <v>83.26000000000001</v>
      </c>
      <c r="N77">
        <v>67.40000000000001</v>
      </c>
    </row>
    <row r="78" spans="1:14">
      <c r="A78" s="1" t="s">
        <v>90</v>
      </c>
      <c r="B78">
        <f>HYPERLINK("https://www.suredividend.com/sure-analysis-CLX/","Clorox Co.")</f>
        <v>0</v>
      </c>
      <c r="C78" t="s">
        <v>388</v>
      </c>
      <c r="D78">
        <v>142.08</v>
      </c>
      <c r="E78">
        <v>0.03322072072072071</v>
      </c>
      <c r="F78">
        <v>0.01724137931034475</v>
      </c>
      <c r="G78">
        <v>0.07033701387905711</v>
      </c>
      <c r="H78">
        <v>4.623132285030756</v>
      </c>
      <c r="I78">
        <v>17530.511958</v>
      </c>
      <c r="J78">
        <v>43.28521471051853</v>
      </c>
      <c r="K78">
        <v>1.413801922027754</v>
      </c>
      <c r="L78">
        <v>0.449540295519355</v>
      </c>
      <c r="M78">
        <v>181.19</v>
      </c>
      <c r="N78">
        <v>118.52</v>
      </c>
    </row>
    <row r="79" spans="1:14">
      <c r="A79" s="1" t="s">
        <v>91</v>
      </c>
      <c r="B79">
        <f>HYPERLINK("https://www.suredividend.com/sure-analysis-CMCSA/","Comcast Corp")</f>
        <v>0</v>
      </c>
      <c r="C79" t="s">
        <v>395</v>
      </c>
      <c r="D79">
        <v>36.98</v>
      </c>
      <c r="E79">
        <v>0.02920497566252029</v>
      </c>
      <c r="F79">
        <v>0.08000000000000007</v>
      </c>
      <c r="G79">
        <v>0.07280807218764251</v>
      </c>
      <c r="H79">
        <v>1.075239806190308</v>
      </c>
      <c r="I79">
        <v>159530.400517</v>
      </c>
      <c r="J79">
        <v>29.52626328273552</v>
      </c>
      <c r="K79">
        <v>0.8960331718252568</v>
      </c>
      <c r="L79">
        <v>0.762661305620672</v>
      </c>
      <c r="M79">
        <v>51.35</v>
      </c>
      <c r="N79">
        <v>28.39</v>
      </c>
    </row>
    <row r="80" spans="1:14">
      <c r="A80" s="1" t="s">
        <v>92</v>
      </c>
      <c r="B80">
        <f>HYPERLINK("https://www.suredividend.com/sure-analysis-CME/","CME Group Inc")</f>
        <v>0</v>
      </c>
      <c r="C80" t="s">
        <v>389</v>
      </c>
      <c r="D80">
        <v>169.75</v>
      </c>
      <c r="E80">
        <v>0.0235640648011782</v>
      </c>
      <c r="F80">
        <v>3.5</v>
      </c>
      <c r="G80">
        <v>0.4309690811052556</v>
      </c>
      <c r="H80">
        <v>8.365051555486659</v>
      </c>
      <c r="I80">
        <v>61063.315185</v>
      </c>
      <c r="J80">
        <v>23.19065557147469</v>
      </c>
      <c r="K80">
        <v>1.141207579193269</v>
      </c>
      <c r="L80">
        <v>0.510419371893118</v>
      </c>
      <c r="M80">
        <v>245.26</v>
      </c>
      <c r="N80">
        <v>161.33</v>
      </c>
    </row>
    <row r="81" spans="1:14">
      <c r="A81" s="1" t="s">
        <v>93</v>
      </c>
      <c r="B81">
        <f>HYPERLINK("https://www.suredividend.com/sure-analysis-CMI/","Cummins Inc.")</f>
        <v>0</v>
      </c>
      <c r="C81" t="s">
        <v>386</v>
      </c>
      <c r="D81">
        <v>236.72</v>
      </c>
      <c r="E81">
        <v>0.02652923284893545</v>
      </c>
      <c r="F81">
        <v>0.08275862068965534</v>
      </c>
      <c r="G81">
        <v>0.07769329136442726</v>
      </c>
      <c r="H81">
        <v>5.982113926905507</v>
      </c>
      <c r="I81">
        <v>33382.837205</v>
      </c>
      <c r="J81">
        <v>17.44139874850575</v>
      </c>
      <c r="K81">
        <v>0.4464264124556349</v>
      </c>
      <c r="L81">
        <v>0.7904067861745331</v>
      </c>
      <c r="M81">
        <v>253.53</v>
      </c>
      <c r="N81">
        <v>181.87</v>
      </c>
    </row>
    <row r="82" spans="1:14">
      <c r="A82" s="1" t="s">
        <v>94</v>
      </c>
      <c r="B82">
        <f>HYPERLINK("https://www.suredividend.com/sure-analysis-CMS/","CMS Energy Corporation")</f>
        <v>0</v>
      </c>
      <c r="C82" t="s">
        <v>390</v>
      </c>
      <c r="D82">
        <v>63.28</v>
      </c>
      <c r="E82">
        <v>0.0290771175726928</v>
      </c>
      <c r="F82">
        <v>0</v>
      </c>
      <c r="G82">
        <v>0.05171085667727882</v>
      </c>
      <c r="H82">
        <v>1.819788573941402</v>
      </c>
      <c r="I82">
        <v>18367.121375</v>
      </c>
      <c r="J82">
        <v>14.17216155444444</v>
      </c>
      <c r="K82">
        <v>0.4071115377944971</v>
      </c>
      <c r="L82">
        <v>0.439901415803125</v>
      </c>
      <c r="M82">
        <v>72.19</v>
      </c>
      <c r="N82">
        <v>51.99</v>
      </c>
    </row>
    <row r="83" spans="1:14">
      <c r="A83" s="1" t="s">
        <v>95</v>
      </c>
      <c r="B83">
        <f>HYPERLINK("https://www.suredividend.com/sure-analysis-research-database/","Cohen &amp; Steers Inc.")</f>
        <v>0</v>
      </c>
      <c r="C83" t="s">
        <v>389</v>
      </c>
      <c r="D83">
        <v>66.44</v>
      </c>
      <c r="E83">
        <v>0.032420521658712</v>
      </c>
      <c r="F83">
        <v>0</v>
      </c>
      <c r="G83">
        <v>0.08845890735664219</v>
      </c>
      <c r="H83">
        <v>2.154019459004892</v>
      </c>
      <c r="I83">
        <v>3236.04923</v>
      </c>
      <c r="J83">
        <v>15.9390877503374</v>
      </c>
      <c r="K83">
        <v>0.5228202570400222</v>
      </c>
      <c r="L83">
        <v>1.037663748126991</v>
      </c>
      <c r="M83">
        <v>88.33</v>
      </c>
      <c r="N83">
        <v>51.41</v>
      </c>
    </row>
    <row r="84" spans="1:14">
      <c r="A84" s="1" t="s">
        <v>96</v>
      </c>
      <c r="B84">
        <f>HYPERLINK("https://www.suredividend.com/sure-analysis-COST/","Costco Wholesale Corp")</f>
        <v>0</v>
      </c>
      <c r="C84" t="s">
        <v>388</v>
      </c>
      <c r="D84">
        <v>450.19</v>
      </c>
      <c r="E84">
        <v>0.007996623647793154</v>
      </c>
      <c r="F84">
        <v>0.139240506329114</v>
      </c>
      <c r="G84">
        <v>0.09565425774785385</v>
      </c>
      <c r="H84">
        <v>3.481147228633501</v>
      </c>
      <c r="I84">
        <v>199762.374717</v>
      </c>
      <c r="J84">
        <v>33.95009767451393</v>
      </c>
      <c r="K84">
        <v>0.2631252629352608</v>
      </c>
      <c r="L84">
        <v>0.9105928075122081</v>
      </c>
      <c r="M84">
        <v>609.12</v>
      </c>
      <c r="N84">
        <v>405.08</v>
      </c>
    </row>
    <row r="85" spans="1:14">
      <c r="A85" s="1" t="s">
        <v>97</v>
      </c>
      <c r="B85">
        <f>HYPERLINK("https://www.suredividend.com/sure-analysis-CPK/","Chesapeake Utilities Corp")</f>
        <v>0</v>
      </c>
      <c r="C85" t="s">
        <v>390</v>
      </c>
      <c r="D85">
        <v>115.46</v>
      </c>
      <c r="E85">
        <v>0.01853455742248398</v>
      </c>
      <c r="F85">
        <v>0.1145833333333335</v>
      </c>
      <c r="G85">
        <v>0.1048265042492955</v>
      </c>
      <c r="H85">
        <v>2.07176049228358</v>
      </c>
      <c r="I85">
        <v>2048.379786</v>
      </c>
      <c r="J85">
        <v>23.7196297464045</v>
      </c>
      <c r="K85">
        <v>0.4262881671365391</v>
      </c>
      <c r="L85">
        <v>0.426180918748836</v>
      </c>
      <c r="M85">
        <v>140.55</v>
      </c>
      <c r="N85">
        <v>105.32</v>
      </c>
    </row>
    <row r="86" spans="1:14">
      <c r="A86" s="1" t="s">
        <v>98</v>
      </c>
      <c r="B86">
        <f>HYPERLINK("https://www.suredividend.com/sure-analysis-CSCO/","Cisco Systems, Inc.")</f>
        <v>0</v>
      </c>
      <c r="C86" t="s">
        <v>387</v>
      </c>
      <c r="D86">
        <v>46.88</v>
      </c>
      <c r="E86">
        <v>0.03242320819112628</v>
      </c>
      <c r="F86">
        <v>0.02702702702702697</v>
      </c>
      <c r="G86">
        <v>0.02861755351046824</v>
      </c>
      <c r="H86">
        <v>1.504024367613984</v>
      </c>
      <c r="I86">
        <v>192622.614549</v>
      </c>
      <c r="J86">
        <v>16.74688006859329</v>
      </c>
      <c r="K86">
        <v>0.5449363650775304</v>
      </c>
      <c r="L86">
        <v>0.8434659517111921</v>
      </c>
      <c r="M86">
        <v>61.33</v>
      </c>
      <c r="N86">
        <v>38.3</v>
      </c>
    </row>
    <row r="87" spans="1:14">
      <c r="A87" s="1" t="s">
        <v>99</v>
      </c>
      <c r="B87">
        <f>HYPERLINK("https://www.suredividend.com/sure-analysis-CSL/","Carlisle Companies Inc.")</f>
        <v>0</v>
      </c>
      <c r="C87" t="s">
        <v>386</v>
      </c>
      <c r="D87">
        <v>229.89</v>
      </c>
      <c r="E87">
        <v>0.01304971943103223</v>
      </c>
      <c r="F87">
        <v>0.3888888888888888</v>
      </c>
      <c r="G87">
        <v>0.1517862983700349</v>
      </c>
      <c r="H87">
        <v>2.570590799855462</v>
      </c>
      <c r="I87">
        <v>11888.983194</v>
      </c>
      <c r="J87">
        <v>13.5425255653833</v>
      </c>
      <c r="K87">
        <v>0.154575514122397</v>
      </c>
      <c r="L87">
        <v>0.81000900392826</v>
      </c>
      <c r="M87">
        <v>316.97</v>
      </c>
      <c r="N87">
        <v>208.97</v>
      </c>
    </row>
    <row r="88" spans="1:14">
      <c r="A88" s="1" t="s">
        <v>100</v>
      </c>
      <c r="B88">
        <f>HYPERLINK("https://www.suredividend.com/sure-analysis-CSX/","CSX Corp.")</f>
        <v>0</v>
      </c>
      <c r="C88" t="s">
        <v>386</v>
      </c>
      <c r="D88">
        <v>30.91</v>
      </c>
      <c r="E88">
        <v>0.01294079585894533</v>
      </c>
      <c r="F88">
        <v>0.07143239797284995</v>
      </c>
      <c r="G88" t="s">
        <v>394</v>
      </c>
      <c r="H88">
        <v>0.398129883742208</v>
      </c>
      <c r="I88">
        <v>64985.453813</v>
      </c>
      <c r="J88">
        <v>15.92000338397599</v>
      </c>
      <c r="K88">
        <v>0.2117712147564937</v>
      </c>
      <c r="L88">
        <v>0.838772571455896</v>
      </c>
      <c r="M88">
        <v>38.27</v>
      </c>
      <c r="N88">
        <v>25.72</v>
      </c>
    </row>
    <row r="89" spans="1:14">
      <c r="A89" s="1" t="s">
        <v>101</v>
      </c>
      <c r="B89">
        <f>HYPERLINK("https://www.suredividend.com/sure-analysis-CTAS/","Cintas Corporation")</f>
        <v>0</v>
      </c>
      <c r="C89" t="s">
        <v>386</v>
      </c>
      <c r="D89">
        <v>433.53</v>
      </c>
      <c r="E89">
        <v>0.01061056904943141</v>
      </c>
      <c r="F89" t="s">
        <v>394</v>
      </c>
      <c r="G89" t="s">
        <v>394</v>
      </c>
      <c r="H89">
        <v>4.184580000328121</v>
      </c>
      <c r="I89">
        <v>44022.94388</v>
      </c>
      <c r="J89">
        <v>35.2076519779507</v>
      </c>
      <c r="K89">
        <v>0.3510553691550437</v>
      </c>
      <c r="L89">
        <v>0.9361945027377671</v>
      </c>
      <c r="M89">
        <v>470.23</v>
      </c>
      <c r="N89">
        <v>342.05</v>
      </c>
    </row>
    <row r="90" spans="1:14">
      <c r="A90" s="1" t="s">
        <v>102</v>
      </c>
      <c r="B90">
        <f>HYPERLINK("https://www.suredividend.com/sure-analysis-CTBI/","Community Trust Bancorp, Inc.")</f>
        <v>0</v>
      </c>
      <c r="C90" t="s">
        <v>389</v>
      </c>
      <c r="D90">
        <v>45.86</v>
      </c>
      <c r="E90">
        <v>0.03837767117313563</v>
      </c>
      <c r="F90">
        <v>0.09999999999999987</v>
      </c>
      <c r="G90">
        <v>0.05922384104881218</v>
      </c>
      <c r="H90">
        <v>1.656213850640909</v>
      </c>
      <c r="I90">
        <v>821.732321</v>
      </c>
      <c r="J90">
        <v>10.45208309441738</v>
      </c>
      <c r="K90">
        <v>0.3755586962904555</v>
      </c>
      <c r="L90">
        <v>0.443024870639372</v>
      </c>
      <c r="M90">
        <v>47.6</v>
      </c>
      <c r="N90">
        <v>38.33</v>
      </c>
    </row>
    <row r="91" spans="1:14">
      <c r="A91" s="1" t="s">
        <v>103</v>
      </c>
      <c r="B91">
        <f>HYPERLINK("https://www.suredividend.com/sure-analysis-CUBE/","CubeSmart")</f>
        <v>0</v>
      </c>
      <c r="C91" t="s">
        <v>392</v>
      </c>
      <c r="D91">
        <v>38.97</v>
      </c>
      <c r="E91">
        <v>0.05029509879394406</v>
      </c>
      <c r="F91">
        <v>0.1395348837209303</v>
      </c>
      <c r="G91">
        <v>0.1031002044005829</v>
      </c>
      <c r="H91">
        <v>1.751213120229793</v>
      </c>
      <c r="I91">
        <v>8751.675513</v>
      </c>
      <c r="J91">
        <v>34.35411135439197</v>
      </c>
      <c r="K91">
        <v>1.536151859850696</v>
      </c>
      <c r="L91">
        <v>0.8574668129974631</v>
      </c>
      <c r="M91">
        <v>53.17</v>
      </c>
      <c r="N91">
        <v>36.38</v>
      </c>
    </row>
    <row r="92" spans="1:14">
      <c r="A92" s="1" t="s">
        <v>104</v>
      </c>
      <c r="B92">
        <f>HYPERLINK("https://www.suredividend.com/sure-analysis-CVX/","Chevron Corp.")</f>
        <v>0</v>
      </c>
      <c r="C92" t="s">
        <v>396</v>
      </c>
      <c r="D92">
        <v>175.24</v>
      </c>
      <c r="E92">
        <v>0.03241269116640036</v>
      </c>
      <c r="F92">
        <v>0.05970149253731338</v>
      </c>
      <c r="G92">
        <v>0.04861016738492974</v>
      </c>
      <c r="H92">
        <v>5.610529513098271</v>
      </c>
      <c r="I92">
        <v>338850.818801</v>
      </c>
      <c r="J92">
        <v>9.917488184535957</v>
      </c>
      <c r="K92">
        <v>0.3185990637761653</v>
      </c>
      <c r="L92">
        <v>0.553405424841395</v>
      </c>
      <c r="M92">
        <v>188.22</v>
      </c>
      <c r="N92">
        <v>118.57</v>
      </c>
    </row>
    <row r="93" spans="1:14">
      <c r="A93" s="1" t="s">
        <v>105</v>
      </c>
      <c r="B93">
        <f>HYPERLINK("https://www.suredividend.com/sure-analysis-CWT/","California Water Service Group")</f>
        <v>0</v>
      </c>
      <c r="C93" t="s">
        <v>390</v>
      </c>
      <c r="D93">
        <v>60.78</v>
      </c>
      <c r="E93">
        <v>0.01645278051990786</v>
      </c>
      <c r="F93">
        <v>0.08695652173913038</v>
      </c>
      <c r="G93">
        <v>0.05922384104881218</v>
      </c>
      <c r="H93">
        <v>0.9935553213534981</v>
      </c>
      <c r="I93">
        <v>3332.20272</v>
      </c>
      <c r="J93">
        <v>41.64004198740378</v>
      </c>
      <c r="K93">
        <v>0.6668156519150994</v>
      </c>
      <c r="L93">
        <v>0.5348510108582231</v>
      </c>
      <c r="M93">
        <v>67.20999999999999</v>
      </c>
      <c r="N93">
        <v>48.06</v>
      </c>
    </row>
    <row r="94" spans="1:14">
      <c r="A94" s="1" t="s">
        <v>106</v>
      </c>
      <c r="B94">
        <f>HYPERLINK("https://www.suredividend.com/sure-analysis-DCI/","Donaldson Co. Inc.")</f>
        <v>0</v>
      </c>
      <c r="C94" t="s">
        <v>386</v>
      </c>
      <c r="D94">
        <v>58.46</v>
      </c>
      <c r="E94">
        <v>0.01573725624358536</v>
      </c>
      <c r="F94">
        <v>0.04545454545454541</v>
      </c>
      <c r="G94">
        <v>0.05024607263868264</v>
      </c>
      <c r="H94">
        <v>0.9046837776789831</v>
      </c>
      <c r="I94">
        <v>7113.817343</v>
      </c>
      <c r="J94">
        <v>20.74604066258384</v>
      </c>
      <c r="K94">
        <v>0.3289759191559938</v>
      </c>
      <c r="L94">
        <v>0.8362238081180491</v>
      </c>
      <c r="M94">
        <v>61.71</v>
      </c>
      <c r="N94">
        <v>45.64</v>
      </c>
    </row>
    <row r="95" spans="1:14">
      <c r="A95" s="1" t="s">
        <v>107</v>
      </c>
      <c r="B95">
        <f>HYPERLINK("https://www.suredividend.com/sure-analysis-DDS/","Dillard`s Inc.")</f>
        <v>0</v>
      </c>
      <c r="C95" t="s">
        <v>393</v>
      </c>
      <c r="D95">
        <v>323.78</v>
      </c>
      <c r="E95">
        <v>0.002470813515349929</v>
      </c>
      <c r="F95">
        <v>0</v>
      </c>
      <c r="G95">
        <v>0.1486983549970351</v>
      </c>
      <c r="H95">
        <v>0.7716368075744</v>
      </c>
      <c r="I95">
        <v>4254.042134</v>
      </c>
      <c r="J95">
        <v>4.605481848561911</v>
      </c>
      <c r="K95">
        <v>0.01512420242207762</v>
      </c>
      <c r="L95">
        <v>1.461015048200501</v>
      </c>
      <c r="M95">
        <v>372.61</v>
      </c>
      <c r="N95">
        <v>183.88</v>
      </c>
    </row>
    <row r="96" spans="1:14">
      <c r="A96" s="1" t="s">
        <v>108</v>
      </c>
      <c r="B96">
        <f>HYPERLINK("https://www.suredividend.com/sure-analysis-DFS/","Discover Financial Services")</f>
        <v>0</v>
      </c>
      <c r="C96" t="s">
        <v>389</v>
      </c>
      <c r="D96">
        <v>99.55</v>
      </c>
      <c r="E96">
        <v>0.02410848819688599</v>
      </c>
      <c r="F96" t="s">
        <v>394</v>
      </c>
      <c r="G96" t="s">
        <v>394</v>
      </c>
      <c r="H96">
        <v>2.281455405247978</v>
      </c>
      <c r="I96">
        <v>27199.624906</v>
      </c>
      <c r="J96">
        <v>6.26863906562572</v>
      </c>
      <c r="K96">
        <v>0.1484356151755353</v>
      </c>
      <c r="L96">
        <v>1.200801312824366</v>
      </c>
      <c r="M96">
        <v>128.09</v>
      </c>
      <c r="N96">
        <v>87.03</v>
      </c>
    </row>
    <row r="97" spans="1:14">
      <c r="A97" s="1" t="s">
        <v>109</v>
      </c>
      <c r="B97">
        <f>HYPERLINK("https://www.suredividend.com/sure-analysis-DGX/","Quest Diagnostics, Inc.")</f>
        <v>0</v>
      </c>
      <c r="C97" t="s">
        <v>385</v>
      </c>
      <c r="D97">
        <v>154.5</v>
      </c>
      <c r="E97">
        <v>0.01689320388349514</v>
      </c>
      <c r="F97">
        <v>0.06451612903225823</v>
      </c>
      <c r="G97">
        <v>0.0796084730466029</v>
      </c>
      <c r="H97">
        <v>2.586538676179237</v>
      </c>
      <c r="I97">
        <v>17595.613497</v>
      </c>
      <c r="J97">
        <v>14.32867548615635</v>
      </c>
      <c r="K97">
        <v>0.2543302533116261</v>
      </c>
      <c r="L97">
        <v>0.550959836973533</v>
      </c>
      <c r="M97">
        <v>158.37</v>
      </c>
      <c r="N97">
        <v>119.75</v>
      </c>
    </row>
    <row r="98" spans="1:14">
      <c r="A98" s="1" t="s">
        <v>110</v>
      </c>
      <c r="B98">
        <f>HYPERLINK("https://www.suredividend.com/sure-analysis-DLR/","Digital Realty Trust Inc")</f>
        <v>0</v>
      </c>
      <c r="C98" t="s">
        <v>392</v>
      </c>
      <c r="D98">
        <v>98.08</v>
      </c>
      <c r="E98">
        <v>0.0497553017944535</v>
      </c>
      <c r="F98">
        <v>0.05172413793103448</v>
      </c>
      <c r="G98">
        <v>0.03850284678617966</v>
      </c>
      <c r="H98">
        <v>4.803849106079191</v>
      </c>
      <c r="I98">
        <v>28200.184732</v>
      </c>
      <c r="J98">
        <v>20.13049380919986</v>
      </c>
      <c r="K98">
        <v>0.9864166542257066</v>
      </c>
      <c r="L98">
        <v>0.902396317418329</v>
      </c>
      <c r="M98">
        <v>155.87</v>
      </c>
      <c r="N98">
        <v>84.81999999999999</v>
      </c>
    </row>
    <row r="99" spans="1:14">
      <c r="A99" s="1" t="s">
        <v>111</v>
      </c>
      <c r="B99">
        <f>HYPERLINK("https://www.suredividend.com/sure-analysis-DOV/","Dover Corp.")</f>
        <v>0</v>
      </c>
      <c r="C99" t="s">
        <v>386</v>
      </c>
      <c r="D99">
        <v>134.42</v>
      </c>
      <c r="E99">
        <v>0.01502752566582354</v>
      </c>
      <c r="F99">
        <v>0.01000000000000001</v>
      </c>
      <c r="G99">
        <v>0.01446882147577422</v>
      </c>
      <c r="H99">
        <v>1.998731728542657</v>
      </c>
      <c r="I99">
        <v>18866.377959</v>
      </c>
      <c r="J99">
        <v>16.20012842290195</v>
      </c>
      <c r="K99">
        <v>0.2482896557195847</v>
      </c>
      <c r="L99">
        <v>0.9357282468117261</v>
      </c>
      <c r="M99">
        <v>181.38</v>
      </c>
      <c r="N99">
        <v>114.08</v>
      </c>
    </row>
    <row r="100" spans="1:14">
      <c r="A100" s="1" t="s">
        <v>112</v>
      </c>
      <c r="B100">
        <f>HYPERLINK("https://www.suredividend.com/sure-analysis-DTE/","DTE Energy Co.")</f>
        <v>0</v>
      </c>
      <c r="C100" t="s">
        <v>390</v>
      </c>
      <c r="D100">
        <v>116.58</v>
      </c>
      <c r="E100">
        <v>0.03036541430777149</v>
      </c>
      <c r="F100">
        <v>0.07627118644067798</v>
      </c>
      <c r="G100">
        <v>0.01538338830106301</v>
      </c>
      <c r="H100">
        <v>3.567896330738384</v>
      </c>
      <c r="I100">
        <v>22586.441311</v>
      </c>
      <c r="J100">
        <v>20.14847574556646</v>
      </c>
      <c r="K100">
        <v>0.5636487094373435</v>
      </c>
      <c r="L100">
        <v>0.46861329204653</v>
      </c>
      <c r="M100">
        <v>137.14</v>
      </c>
      <c r="N100">
        <v>99.84</v>
      </c>
    </row>
    <row r="101" spans="1:14">
      <c r="A101" s="1" t="s">
        <v>113</v>
      </c>
      <c r="B101">
        <f>HYPERLINK("https://www.suredividend.com/sure-analysis-DUK/","Duke Energy Corp.")</f>
        <v>0</v>
      </c>
      <c r="C101" t="s">
        <v>390</v>
      </c>
      <c r="D101">
        <v>103.26</v>
      </c>
      <c r="E101">
        <v>0.0389308541545613</v>
      </c>
      <c r="F101">
        <v>0.02030456852791862</v>
      </c>
      <c r="G101">
        <v>0.02460202771658837</v>
      </c>
      <c r="H101">
        <v>3.923011034682526</v>
      </c>
      <c r="I101">
        <v>79516.681837</v>
      </c>
      <c r="J101">
        <v>20.90343896864353</v>
      </c>
      <c r="K101">
        <v>0.7941317883972724</v>
      </c>
      <c r="L101">
        <v>0.421478693078605</v>
      </c>
      <c r="M101">
        <v>113.06</v>
      </c>
      <c r="N101">
        <v>82.90000000000001</v>
      </c>
    </row>
    <row r="102" spans="1:14">
      <c r="A102" s="1" t="s">
        <v>114</v>
      </c>
      <c r="B102">
        <f>HYPERLINK("https://www.suredividend.com/sure-analysis-ECL/","Ecolab, Inc.")</f>
        <v>0</v>
      </c>
      <c r="C102" t="s">
        <v>391</v>
      </c>
      <c r="D102">
        <v>144.83</v>
      </c>
      <c r="E102">
        <v>0.01463785127390734</v>
      </c>
      <c r="F102">
        <v>0.03921568627450989</v>
      </c>
      <c r="G102">
        <v>0.05268492238527456</v>
      </c>
      <c r="H102">
        <v>2.049309122848232</v>
      </c>
      <c r="I102">
        <v>41251.64793</v>
      </c>
      <c r="J102">
        <v>36.56088622689001</v>
      </c>
      <c r="K102">
        <v>0.5227829395021</v>
      </c>
      <c r="L102">
        <v>1.128914599302124</v>
      </c>
      <c r="M102">
        <v>228.01</v>
      </c>
      <c r="N102">
        <v>130.56</v>
      </c>
    </row>
    <row r="103" spans="1:14">
      <c r="A103" s="1" t="s">
        <v>115</v>
      </c>
      <c r="B103">
        <f>HYPERLINK("https://www.suredividend.com/sure-analysis-ED/","Consolidated Edison, Inc.")</f>
        <v>0</v>
      </c>
      <c r="C103" t="s">
        <v>390</v>
      </c>
      <c r="D103">
        <v>95.29000000000001</v>
      </c>
      <c r="E103">
        <v>0.03316192674992129</v>
      </c>
      <c r="F103">
        <v>0.01935483870967736</v>
      </c>
      <c r="G103">
        <v>0.02015041341157797</v>
      </c>
      <c r="H103">
        <v>3.120247278972694</v>
      </c>
      <c r="I103">
        <v>33814.880786</v>
      </c>
      <c r="J103">
        <v>19.96155890550177</v>
      </c>
      <c r="K103">
        <v>0.6541398907699568</v>
      </c>
      <c r="L103">
        <v>0.417298264025198</v>
      </c>
      <c r="M103">
        <v>101.31</v>
      </c>
      <c r="N103">
        <v>77.38</v>
      </c>
    </row>
    <row r="104" spans="1:14">
      <c r="A104" s="1" t="s">
        <v>116</v>
      </c>
      <c r="B104">
        <f>HYPERLINK("https://www.suredividend.com/sure-analysis-EGP/","Eastgroup Properties, Inc.")</f>
        <v>0</v>
      </c>
      <c r="C104" t="s">
        <v>392</v>
      </c>
      <c r="D104">
        <v>145.87</v>
      </c>
      <c r="E104">
        <v>0.03427709604442312</v>
      </c>
      <c r="F104">
        <v>0.1363636363636362</v>
      </c>
      <c r="G104">
        <v>0.1432626298183159</v>
      </c>
      <c r="H104">
        <v>4.644047232519034</v>
      </c>
      <c r="I104">
        <v>6356.363874</v>
      </c>
      <c r="J104">
        <v>28.97157645364631</v>
      </c>
      <c r="K104">
        <v>0.889664220789087</v>
      </c>
      <c r="L104">
        <v>0.9215007667613341</v>
      </c>
      <c r="M104">
        <v>212.25</v>
      </c>
      <c r="N104">
        <v>136.29</v>
      </c>
    </row>
    <row r="105" spans="1:14">
      <c r="A105" s="1" t="s">
        <v>117</v>
      </c>
      <c r="B105">
        <f>HYPERLINK("https://www.suredividend.com/sure-analysis-EIX/","Edison International")</f>
        <v>0</v>
      </c>
      <c r="C105" t="s">
        <v>390</v>
      </c>
      <c r="D105">
        <v>64.89</v>
      </c>
      <c r="E105">
        <v>0.04546155031591925</v>
      </c>
      <c r="F105">
        <v>0.0535714285714286</v>
      </c>
      <c r="G105">
        <v>0.04040236321329971</v>
      </c>
      <c r="H105">
        <v>2.790304675978272</v>
      </c>
      <c r="I105">
        <v>24779.847596</v>
      </c>
      <c r="J105">
        <v>34.41645499425</v>
      </c>
      <c r="K105">
        <v>1.48420461488206</v>
      </c>
      <c r="L105">
        <v>0.6485721507192871</v>
      </c>
      <c r="M105">
        <v>70.93000000000001</v>
      </c>
      <c r="N105">
        <v>53.83</v>
      </c>
    </row>
    <row r="106" spans="1:14">
      <c r="A106" s="1" t="s">
        <v>118</v>
      </c>
      <c r="B106">
        <f>HYPERLINK("https://www.suredividend.com/sure-analysis-ELS/","Equity Lifestyle Properties Inc.")</f>
        <v>0</v>
      </c>
      <c r="C106" t="s">
        <v>392</v>
      </c>
      <c r="D106">
        <v>63.98</v>
      </c>
      <c r="E106">
        <v>0.02563301031572366</v>
      </c>
      <c r="F106">
        <v>0.1310344827586207</v>
      </c>
      <c r="G106" t="s">
        <v>394</v>
      </c>
      <c r="H106">
        <v>1.624637017910494</v>
      </c>
      <c r="I106">
        <v>11907.3821</v>
      </c>
      <c r="J106">
        <v>42.96770434859485</v>
      </c>
      <c r="K106">
        <v>1.144110575993306</v>
      </c>
      <c r="L106">
        <v>0.724653406350778</v>
      </c>
      <c r="M106">
        <v>82.26000000000001</v>
      </c>
      <c r="N106">
        <v>56.55</v>
      </c>
    </row>
    <row r="107" spans="1:14">
      <c r="A107" s="1" t="s">
        <v>119</v>
      </c>
      <c r="B107">
        <f>HYPERLINK("https://www.suredividend.com/sure-analysis-EMN/","Eastman Chemical Co")</f>
        <v>0</v>
      </c>
      <c r="C107" t="s">
        <v>391</v>
      </c>
      <c r="D107">
        <v>85.69</v>
      </c>
      <c r="E107">
        <v>0.03687711518263508</v>
      </c>
      <c r="F107">
        <v>0.03947368421052633</v>
      </c>
      <c r="G107">
        <v>0.07124254564338495</v>
      </c>
      <c r="H107">
        <v>3.030143630418541</v>
      </c>
      <c r="I107">
        <v>10281.974291</v>
      </c>
      <c r="J107">
        <v>8.788012214666667</v>
      </c>
      <c r="K107">
        <v>0.3348225005987338</v>
      </c>
      <c r="L107">
        <v>1.109775156162405</v>
      </c>
      <c r="M107">
        <v>125.26</v>
      </c>
      <c r="N107">
        <v>69.28</v>
      </c>
    </row>
    <row r="108" spans="1:14">
      <c r="A108" s="1" t="s">
        <v>120</v>
      </c>
      <c r="B108">
        <f>HYPERLINK("https://www.suredividend.com/sure-analysis-EMR/","Emerson Electric Co.")</f>
        <v>0</v>
      </c>
      <c r="C108" t="s">
        <v>386</v>
      </c>
      <c r="D108">
        <v>95.01000000000001</v>
      </c>
      <c r="E108">
        <v>0.02189243237553942</v>
      </c>
      <c r="F108">
        <v>0.009708737864077666</v>
      </c>
      <c r="G108">
        <v>0.01403354261880141</v>
      </c>
      <c r="H108">
        <v>2.035206169322121</v>
      </c>
      <c r="I108">
        <v>56188.914</v>
      </c>
      <c r="J108">
        <v>17.77567668459348</v>
      </c>
      <c r="K108">
        <v>0.3847270641440682</v>
      </c>
      <c r="L108">
        <v>0.8715851002111761</v>
      </c>
      <c r="M108">
        <v>99.09</v>
      </c>
      <c r="N108">
        <v>71.58</v>
      </c>
    </row>
    <row r="109" spans="1:14">
      <c r="A109" s="1" t="s">
        <v>121</v>
      </c>
      <c r="B109">
        <f>HYPERLINK("https://www.suredividend.com/sure-analysis-research-database/","Ensign Group Inc")</f>
        <v>0</v>
      </c>
      <c r="C109" t="s">
        <v>385</v>
      </c>
      <c r="D109">
        <v>94.19</v>
      </c>
      <c r="E109">
        <v>0.002359942281453</v>
      </c>
      <c r="F109">
        <v>0.04545454545454541</v>
      </c>
      <c r="G109">
        <v>0.05024607263868264</v>
      </c>
      <c r="H109">
        <v>0.222282963490107</v>
      </c>
      <c r="I109">
        <v>5226.062638</v>
      </c>
      <c r="J109">
        <v>24.54126620230101</v>
      </c>
      <c r="K109">
        <v>0.05927545693069521</v>
      </c>
      <c r="L109">
        <v>0.664939332042303</v>
      </c>
      <c r="M109">
        <v>97.36</v>
      </c>
      <c r="N109">
        <v>70.15000000000001</v>
      </c>
    </row>
    <row r="110" spans="1:14">
      <c r="A110" s="1" t="s">
        <v>122</v>
      </c>
      <c r="B110">
        <f>HYPERLINK("https://www.suredividend.com/sure-analysis-EPD/","Enterprise Products Partners L P")</f>
        <v>0</v>
      </c>
      <c r="C110" t="s">
        <v>396</v>
      </c>
      <c r="D110">
        <v>24.63</v>
      </c>
      <c r="E110">
        <v>0.07714169711733658</v>
      </c>
      <c r="F110">
        <v>0.021505376344086</v>
      </c>
      <c r="G110">
        <v>0.02129568760013512</v>
      </c>
      <c r="H110">
        <v>1.829157068206644</v>
      </c>
      <c r="I110">
        <v>53584.281465</v>
      </c>
      <c r="J110">
        <v>10.60360974090711</v>
      </c>
      <c r="K110">
        <v>0.7884297707787259</v>
      </c>
      <c r="L110">
        <v>0.418477098342587</v>
      </c>
      <c r="M110">
        <v>27.61</v>
      </c>
      <c r="N110">
        <v>21.39</v>
      </c>
    </row>
    <row r="111" spans="1:14">
      <c r="A111" s="1" t="s">
        <v>123</v>
      </c>
      <c r="B111">
        <f>HYPERLINK("https://www.suredividend.com/sure-analysis-ERIE/","Erie Indemnity Co.")</f>
        <v>0</v>
      </c>
      <c r="C111" t="s">
        <v>389</v>
      </c>
      <c r="D111">
        <v>243.78</v>
      </c>
      <c r="E111">
        <v>0.01821314299778489</v>
      </c>
      <c r="F111">
        <v>0.072072072072072</v>
      </c>
      <c r="G111">
        <v>0.07214502590085092</v>
      </c>
      <c r="H111">
        <v>4.493101621293572</v>
      </c>
      <c r="I111">
        <v>11259.970997</v>
      </c>
      <c r="J111">
        <v>39.08070219470292</v>
      </c>
      <c r="K111">
        <v>0.8214079746423351</v>
      </c>
      <c r="L111">
        <v>0.608492990567682</v>
      </c>
      <c r="M111">
        <v>285.1</v>
      </c>
      <c r="N111">
        <v>156.92</v>
      </c>
    </row>
    <row r="112" spans="1:14">
      <c r="A112" s="1" t="s">
        <v>124</v>
      </c>
      <c r="B112">
        <f>HYPERLINK("https://www.suredividend.com/sure-analysis-ES/","Eversource Energy")</f>
        <v>0</v>
      </c>
      <c r="C112" t="s">
        <v>390</v>
      </c>
      <c r="D112">
        <v>83.75</v>
      </c>
      <c r="E112">
        <v>0.03044776119402985</v>
      </c>
      <c r="F112">
        <v>0.05809128630705396</v>
      </c>
      <c r="G112">
        <v>0.04770197405165311</v>
      </c>
      <c r="H112">
        <v>2.522182230359133</v>
      </c>
      <c r="I112">
        <v>29170.74609</v>
      </c>
      <c r="J112">
        <v>20.9648063949289</v>
      </c>
      <c r="K112">
        <v>0.6274085150147097</v>
      </c>
      <c r="L112">
        <v>0.5004194203469371</v>
      </c>
      <c r="M112">
        <v>93.03</v>
      </c>
      <c r="N112">
        <v>70.02</v>
      </c>
    </row>
    <row r="113" spans="1:14">
      <c r="A113" s="1" t="s">
        <v>125</v>
      </c>
      <c r="B113">
        <f>HYPERLINK("https://www.suredividend.com/sure-analysis-ESS/","Essex Property Trust, Inc.")</f>
        <v>0</v>
      </c>
      <c r="C113" t="s">
        <v>392</v>
      </c>
      <c r="D113">
        <v>205.88</v>
      </c>
      <c r="E113">
        <v>0.04274334563823587</v>
      </c>
      <c r="F113">
        <v>0.05263157894736858</v>
      </c>
      <c r="G113">
        <v>0.03414621632574555</v>
      </c>
      <c r="H113">
        <v>8.675102264251006</v>
      </c>
      <c r="I113">
        <v>13331.514815</v>
      </c>
      <c r="J113">
        <v>37.0295169615359</v>
      </c>
      <c r="K113">
        <v>1.571576497146921</v>
      </c>
      <c r="L113">
        <v>0.6998112547886011</v>
      </c>
      <c r="M113">
        <v>353.43</v>
      </c>
      <c r="N113">
        <v>203.13</v>
      </c>
    </row>
    <row r="114" spans="1:14">
      <c r="A114" s="1" t="s">
        <v>126</v>
      </c>
      <c r="B114">
        <f>HYPERLINK("https://www.suredividend.com/sure-analysis-ETN/","Eaton Corporation plc")</f>
        <v>0</v>
      </c>
      <c r="C114" t="s">
        <v>386</v>
      </c>
      <c r="D114">
        <v>157.2</v>
      </c>
      <c r="E114">
        <v>0.02061068702290077</v>
      </c>
      <c r="F114">
        <v>0.06578947368421062</v>
      </c>
      <c r="G114">
        <v>0.04180926810264429</v>
      </c>
      <c r="H114">
        <v>3.214205550388891</v>
      </c>
      <c r="I114">
        <v>62518.44</v>
      </c>
      <c r="J114">
        <v>27.28871235268442</v>
      </c>
      <c r="K114">
        <v>0.5629081524323802</v>
      </c>
      <c r="L114">
        <v>0.904573833009599</v>
      </c>
      <c r="M114">
        <v>168.58</v>
      </c>
      <c r="N114">
        <v>121.21</v>
      </c>
    </row>
    <row r="115" spans="1:14">
      <c r="A115" s="1" t="s">
        <v>127</v>
      </c>
      <c r="B115">
        <f>HYPERLINK("https://www.suredividend.com/sure-analysis-research-database/","Evercore Inc")</f>
        <v>0</v>
      </c>
      <c r="C115" t="s">
        <v>389</v>
      </c>
      <c r="D115">
        <v>115.79</v>
      </c>
      <c r="E115">
        <v>0.024283771769886</v>
      </c>
      <c r="F115" t="s">
        <v>394</v>
      </c>
      <c r="G115" t="s">
        <v>394</v>
      </c>
      <c r="H115">
        <v>2.811817933235139</v>
      </c>
      <c r="I115">
        <v>4497.01983</v>
      </c>
      <c r="J115">
        <v>7.116202035284941</v>
      </c>
      <c r="K115">
        <v>0.1845024890574238</v>
      </c>
      <c r="L115">
        <v>1.257713424425886</v>
      </c>
      <c r="M115">
        <v>138.54</v>
      </c>
      <c r="N115">
        <v>78.16</v>
      </c>
    </row>
    <row r="116" spans="1:14">
      <c r="A116" s="1" t="s">
        <v>128</v>
      </c>
      <c r="B116">
        <f>HYPERLINK("https://www.suredividend.com/sure-analysis-EVRG/","Evergy Inc")</f>
        <v>0</v>
      </c>
      <c r="C116" t="s">
        <v>390</v>
      </c>
      <c r="D116">
        <v>62.99</v>
      </c>
      <c r="E116">
        <v>0.03889506270836641</v>
      </c>
      <c r="F116" t="s">
        <v>394</v>
      </c>
      <c r="G116" t="s">
        <v>394</v>
      </c>
      <c r="H116">
        <v>2.298385755040615</v>
      </c>
      <c r="I116">
        <v>14458.496891</v>
      </c>
      <c r="J116">
        <v>18.10480452185074</v>
      </c>
      <c r="K116">
        <v>0.6642733396071142</v>
      </c>
      <c r="L116">
        <v>0.502443679576431</v>
      </c>
      <c r="M116">
        <v>71.18000000000001</v>
      </c>
      <c r="N116">
        <v>53.56</v>
      </c>
    </row>
    <row r="117" spans="1:14">
      <c r="A117" s="1" t="s">
        <v>129</v>
      </c>
      <c r="B117">
        <f>HYPERLINK("https://www.suredividend.com/sure-analysis-EXPD/","Expeditors International Of Washington, Inc.")</f>
        <v>0</v>
      </c>
      <c r="C117" t="s">
        <v>386</v>
      </c>
      <c r="D117">
        <v>104.92</v>
      </c>
      <c r="E117">
        <v>0.01277163553183378</v>
      </c>
      <c r="F117" t="s">
        <v>394</v>
      </c>
      <c r="G117" t="s">
        <v>394</v>
      </c>
      <c r="H117">
        <v>1.336046762423824</v>
      </c>
      <c r="I117">
        <v>16696.589409</v>
      </c>
      <c r="J117">
        <v>10.49469621031393</v>
      </c>
      <c r="K117">
        <v>0.1404886185514011</v>
      </c>
      <c r="L117">
        <v>0.871082512363727</v>
      </c>
      <c r="M117">
        <v>130.12</v>
      </c>
      <c r="N117">
        <v>85.56999999999999</v>
      </c>
    </row>
    <row r="118" spans="1:14">
      <c r="A118" s="1" t="s">
        <v>130</v>
      </c>
      <c r="B118">
        <f>HYPERLINK("https://www.suredividend.com/sure-analysis-EXR/","Extra Space Storage Inc.")</f>
        <v>0</v>
      </c>
      <c r="C118" t="s">
        <v>392</v>
      </c>
      <c r="D118">
        <v>141.04</v>
      </c>
      <c r="E118">
        <v>0.04254112308564947</v>
      </c>
      <c r="F118">
        <v>0.2</v>
      </c>
      <c r="G118">
        <v>0.1397230490720158</v>
      </c>
      <c r="H118">
        <v>5.920659057210023</v>
      </c>
      <c r="I118">
        <v>18888.292309</v>
      </c>
      <c r="J118">
        <v>20.45152508014604</v>
      </c>
      <c r="K118">
        <v>0.9066859199402791</v>
      </c>
      <c r="L118">
        <v>0.900372138743721</v>
      </c>
      <c r="M118">
        <v>216.5</v>
      </c>
      <c r="N118">
        <v>139.97</v>
      </c>
    </row>
    <row r="119" spans="1:14">
      <c r="A119" s="1" t="s">
        <v>131</v>
      </c>
      <c r="B119">
        <f>HYPERLINK("https://www.suredividend.com/sure-analysis-FAF/","First American Financial Corp")</f>
        <v>0</v>
      </c>
      <c r="C119" t="s">
        <v>389</v>
      </c>
      <c r="D119">
        <v>55.19</v>
      </c>
      <c r="E119">
        <v>0.03768798695415836</v>
      </c>
      <c r="F119">
        <v>0.01960784313725483</v>
      </c>
      <c r="G119">
        <v>0.06474093044470108</v>
      </c>
      <c r="H119">
        <v>2.0301647074653</v>
      </c>
      <c r="I119">
        <v>5714.467196</v>
      </c>
      <c r="J119">
        <v>12.18865314163832</v>
      </c>
      <c r="K119">
        <v>0.4721313273175117</v>
      </c>
      <c r="L119">
        <v>0.991815225103393</v>
      </c>
      <c r="M119">
        <v>78.63</v>
      </c>
      <c r="N119">
        <v>43.1</v>
      </c>
    </row>
    <row r="120" spans="1:14">
      <c r="A120" s="1" t="s">
        <v>132</v>
      </c>
      <c r="B120">
        <f>HYPERLINK("https://www.suredividend.com/sure-analysis-FAST/","Fastenal Co.")</f>
        <v>0</v>
      </c>
      <c r="C120" t="s">
        <v>386</v>
      </c>
      <c r="D120">
        <v>46.3</v>
      </c>
      <c r="E120">
        <v>0.02678185745140389</v>
      </c>
      <c r="F120">
        <v>0.107142857142857</v>
      </c>
      <c r="G120" t="s">
        <v>394</v>
      </c>
      <c r="H120">
        <v>1.228273462981949</v>
      </c>
      <c r="I120">
        <v>26518.782444</v>
      </c>
      <c r="J120">
        <v>24.72613747692308</v>
      </c>
      <c r="K120">
        <v>0.6603620768720156</v>
      </c>
      <c r="L120">
        <v>0.8807010387723081</v>
      </c>
      <c r="M120">
        <v>60.21</v>
      </c>
      <c r="N120">
        <v>43.44</v>
      </c>
    </row>
    <row r="121" spans="1:14">
      <c r="A121" s="1" t="s">
        <v>133</v>
      </c>
      <c r="B121">
        <f>HYPERLINK("https://www.suredividend.com/sure-analysis-research-database/","First Community Bankshares Inc.")</f>
        <v>0</v>
      </c>
      <c r="C121" t="s">
        <v>389</v>
      </c>
      <c r="D121">
        <v>32.99</v>
      </c>
      <c r="E121">
        <v>0.033527285771737</v>
      </c>
      <c r="F121">
        <v>0.07407407407407396</v>
      </c>
      <c r="G121" t="s">
        <v>394</v>
      </c>
      <c r="H121">
        <v>1.106065157609606</v>
      </c>
      <c r="I121">
        <v>541.4465279999999</v>
      </c>
      <c r="J121">
        <v>12.13080896984362</v>
      </c>
      <c r="K121">
        <v>0.4158139690261677</v>
      </c>
      <c r="L121">
        <v>0.562061183908643</v>
      </c>
      <c r="M121">
        <v>39.39</v>
      </c>
      <c r="N121">
        <v>25.81</v>
      </c>
    </row>
    <row r="122" spans="1:14">
      <c r="A122" s="1" t="s">
        <v>134</v>
      </c>
      <c r="B122">
        <f>HYPERLINK("https://www.suredividend.com/sure-analysis-FDS/","Factset Research Systems Inc.")</f>
        <v>0</v>
      </c>
      <c r="C122" t="s">
        <v>389</v>
      </c>
      <c r="D122">
        <v>393.55</v>
      </c>
      <c r="E122">
        <v>0.009045864566128827</v>
      </c>
      <c r="F122">
        <v>0.08536585365853644</v>
      </c>
      <c r="G122">
        <v>0.09708530000960369</v>
      </c>
      <c r="H122">
        <v>3.479524371765849</v>
      </c>
      <c r="I122">
        <v>14993.553694</v>
      </c>
      <c r="J122">
        <v>37.77503531947486</v>
      </c>
      <c r="K122">
        <v>0.3394657923673999</v>
      </c>
      <c r="L122">
        <v>0.802627832559861</v>
      </c>
      <c r="M122">
        <v>474.13</v>
      </c>
      <c r="N122">
        <v>344.54</v>
      </c>
    </row>
    <row r="123" spans="1:14">
      <c r="A123" s="1" t="s">
        <v>135</v>
      </c>
      <c r="B123">
        <f>HYPERLINK("https://www.suredividend.com/sure-analysis-FELE/","Franklin Electric Co., Inc.")</f>
        <v>0</v>
      </c>
      <c r="C123" t="s">
        <v>386</v>
      </c>
      <c r="D123">
        <v>78.45</v>
      </c>
      <c r="E123">
        <v>0.00994263862332696</v>
      </c>
      <c r="F123">
        <v>0.1142857142857143</v>
      </c>
      <c r="G123">
        <v>0.1264845234709517</v>
      </c>
      <c r="H123">
        <v>0.777226482753491</v>
      </c>
      <c r="I123">
        <v>3633.689071</v>
      </c>
      <c r="J123">
        <v>19.28514185000353</v>
      </c>
      <c r="K123">
        <v>0.1938220655245614</v>
      </c>
      <c r="L123">
        <v>0.903059493529986</v>
      </c>
      <c r="M123">
        <v>95.95999999999999</v>
      </c>
      <c r="N123">
        <v>67.77</v>
      </c>
    </row>
    <row r="124" spans="1:14">
      <c r="A124" s="1" t="s">
        <v>136</v>
      </c>
      <c r="B124">
        <f>HYPERLINK("https://www.suredividend.com/sure-analysis-research-database/","First Financial Bankshares, Inc.")</f>
        <v>0</v>
      </c>
      <c r="C124" t="s">
        <v>389</v>
      </c>
      <c r="D124">
        <v>33.29</v>
      </c>
      <c r="E124">
        <v>0.019697894995176</v>
      </c>
      <c r="F124">
        <v>0.1333333333333335</v>
      </c>
      <c r="G124" t="s">
        <v>394</v>
      </c>
      <c r="H124">
        <v>0.65574292438944</v>
      </c>
      <c r="I124">
        <v>4748.541061</v>
      </c>
      <c r="J124">
        <v>20.54364837997093</v>
      </c>
      <c r="K124">
        <v>0.4072937418567951</v>
      </c>
      <c r="L124">
        <v>0.681820490075823</v>
      </c>
      <c r="M124">
        <v>52.74</v>
      </c>
      <c r="N124">
        <v>32.53</v>
      </c>
    </row>
    <row r="125" spans="1:14">
      <c r="A125" s="1" t="s">
        <v>137</v>
      </c>
      <c r="B125">
        <f>HYPERLINK("https://www.suredividend.com/sure-analysis-research-database/","Financial Institutions Inc.")</f>
        <v>0</v>
      </c>
      <c r="C125" t="s">
        <v>389</v>
      </c>
      <c r="D125">
        <v>24.06</v>
      </c>
      <c r="E125">
        <v>0.047377158799972</v>
      </c>
      <c r="F125">
        <v>0.07407407407407396</v>
      </c>
      <c r="G125">
        <v>0.03857377308425858</v>
      </c>
      <c r="H125">
        <v>1.139894440727334</v>
      </c>
      <c r="I125">
        <v>368.960894</v>
      </c>
      <c r="J125">
        <v>5.890462410077111</v>
      </c>
      <c r="K125">
        <v>0.2842629527998339</v>
      </c>
      <c r="L125">
        <v>0.550722369669721</v>
      </c>
      <c r="M125">
        <v>32.97</v>
      </c>
      <c r="N125">
        <v>22.64</v>
      </c>
    </row>
    <row r="126" spans="1:14">
      <c r="A126" s="1" t="s">
        <v>138</v>
      </c>
      <c r="B126">
        <f>HYPERLINK("https://www.suredividend.com/sure-analysis-FITB/","Fifth Third Bancorp")</f>
        <v>0</v>
      </c>
      <c r="C126" t="s">
        <v>389</v>
      </c>
      <c r="D126">
        <v>33.13</v>
      </c>
      <c r="E126">
        <v>0.03984304255961364</v>
      </c>
      <c r="F126">
        <v>0.09999999999999987</v>
      </c>
      <c r="G126">
        <v>0.1557896243650145</v>
      </c>
      <c r="H126">
        <v>1.242066112586541</v>
      </c>
      <c r="I126">
        <v>22740.30498</v>
      </c>
      <c r="J126">
        <v>10.09334442058589</v>
      </c>
      <c r="K126">
        <v>0.3833537384526361</v>
      </c>
      <c r="L126">
        <v>1.079408936786356</v>
      </c>
      <c r="M126">
        <v>48.87</v>
      </c>
      <c r="N126">
        <v>30.61</v>
      </c>
    </row>
    <row r="127" spans="1:14">
      <c r="A127" s="1" t="s">
        <v>139</v>
      </c>
      <c r="B127">
        <f>HYPERLINK("https://www.suredividend.com/sure-analysis-FLIC/","First Of Long Island Corp.")</f>
        <v>0</v>
      </c>
      <c r="C127" t="s">
        <v>389</v>
      </c>
      <c r="D127">
        <v>17.9</v>
      </c>
      <c r="E127">
        <v>0.04692737430167598</v>
      </c>
      <c r="F127">
        <v>0.04999999999999982</v>
      </c>
      <c r="G127">
        <v>0.06961037572506878</v>
      </c>
      <c r="H127">
        <v>0.806108411746954</v>
      </c>
      <c r="I127">
        <v>405.588618</v>
      </c>
      <c r="J127">
        <v>8.809483444830581</v>
      </c>
      <c r="K127">
        <v>0.4071254604782596</v>
      </c>
      <c r="L127">
        <v>0.4645141700517451</v>
      </c>
      <c r="M127">
        <v>21.96</v>
      </c>
      <c r="N127">
        <v>15.94</v>
      </c>
    </row>
    <row r="128" spans="1:14">
      <c r="A128" s="1" t="s">
        <v>140</v>
      </c>
      <c r="B128">
        <f>HYPERLINK("https://www.suredividend.com/sure-analysis-FLO/","Flowers Foods, Inc.")</f>
        <v>0</v>
      </c>
      <c r="C128" t="s">
        <v>388</v>
      </c>
      <c r="D128">
        <v>28.69</v>
      </c>
      <c r="E128">
        <v>0.03067270826071802</v>
      </c>
      <c r="F128">
        <v>0.04761904761904767</v>
      </c>
      <c r="G128">
        <v>0.05291848906511043</v>
      </c>
      <c r="H128">
        <v>0.8600590768882951</v>
      </c>
      <c r="I128">
        <v>6057.409041</v>
      </c>
      <c r="J128">
        <v>27.64438063636654</v>
      </c>
      <c r="K128">
        <v>0.8350088125129078</v>
      </c>
      <c r="L128">
        <v>0.365535376179716</v>
      </c>
      <c r="M128">
        <v>30.16</v>
      </c>
      <c r="N128">
        <v>23.72</v>
      </c>
    </row>
    <row r="129" spans="1:14">
      <c r="A129" s="1" t="s">
        <v>141</v>
      </c>
      <c r="B129">
        <f>HYPERLINK("https://www.suredividend.com/sure-analysis-FNF/","Fidelity National Financial Inc")</f>
        <v>0</v>
      </c>
      <c r="C129" t="s">
        <v>389</v>
      </c>
      <c r="D129">
        <v>38.15</v>
      </c>
      <c r="E129">
        <v>0.04613368283093054</v>
      </c>
      <c r="F129">
        <v>0.02272727272727271</v>
      </c>
      <c r="G129">
        <v>0.08447177119769855</v>
      </c>
      <c r="H129">
        <v>1.739631992638533</v>
      </c>
      <c r="I129">
        <v>10381.837593</v>
      </c>
      <c r="J129">
        <v>6.484595623391629</v>
      </c>
      <c r="K129">
        <v>0.3046640967843315</v>
      </c>
      <c r="L129">
        <v>0.9422303923564671</v>
      </c>
      <c r="M129">
        <v>54.01</v>
      </c>
      <c r="N129">
        <v>33.8</v>
      </c>
    </row>
    <row r="130" spans="1:14">
      <c r="A130" s="1" t="s">
        <v>142</v>
      </c>
      <c r="B130">
        <f>HYPERLINK("https://www.suredividend.com/sure-analysis-research-database/","First Merchants Corp.")</f>
        <v>0</v>
      </c>
      <c r="C130" t="s">
        <v>389</v>
      </c>
      <c r="D130">
        <v>41.52</v>
      </c>
      <c r="E130">
        <v>0.029772419164897</v>
      </c>
      <c r="F130">
        <v>0.1034482758620692</v>
      </c>
      <c r="G130">
        <v>0.1219551454461996</v>
      </c>
      <c r="H130">
        <v>1.236150843726556</v>
      </c>
      <c r="I130">
        <v>2473.040398</v>
      </c>
      <c r="J130">
        <v>12.48228582907674</v>
      </c>
      <c r="K130">
        <v>0.3521797275574234</v>
      </c>
      <c r="L130">
        <v>0.6110091396221361</v>
      </c>
      <c r="M130">
        <v>44.76</v>
      </c>
      <c r="N130">
        <v>33.55</v>
      </c>
    </row>
    <row r="131" spans="1:14">
      <c r="A131" s="1" t="s">
        <v>143</v>
      </c>
      <c r="B131">
        <f>HYPERLINK("https://www.suredividend.com/sure-analysis-FRT/","Federal Realty Investment Trust.")</f>
        <v>0</v>
      </c>
      <c r="C131" t="s">
        <v>392</v>
      </c>
      <c r="D131">
        <v>102.72</v>
      </c>
      <c r="E131">
        <v>0.04205607476635514</v>
      </c>
      <c r="F131">
        <v>0.009345794392523477</v>
      </c>
      <c r="G131">
        <v>0.01551127839748156</v>
      </c>
      <c r="H131">
        <v>4.242230857101854</v>
      </c>
      <c r="I131">
        <v>8341.837683</v>
      </c>
      <c r="J131">
        <v>0</v>
      </c>
      <c r="K131" t="s">
        <v>394</v>
      </c>
      <c r="L131">
        <v>0.849653748399074</v>
      </c>
      <c r="M131">
        <v>132.96</v>
      </c>
      <c r="N131">
        <v>85.52</v>
      </c>
    </row>
    <row r="132" spans="1:14">
      <c r="A132" s="1" t="s">
        <v>144</v>
      </c>
      <c r="B132">
        <f>HYPERLINK("https://www.suredividend.com/sure-analysis-FUL/","H.B. Fuller Company")</f>
        <v>0</v>
      </c>
      <c r="C132" t="s">
        <v>391</v>
      </c>
      <c r="D132">
        <v>70.26000000000001</v>
      </c>
      <c r="E132">
        <v>0.01081696555650441</v>
      </c>
      <c r="F132" t="s">
        <v>394</v>
      </c>
      <c r="G132" t="s">
        <v>394</v>
      </c>
      <c r="H132">
        <v>0.7343764528335981</v>
      </c>
      <c r="I132">
        <v>3745.767375</v>
      </c>
      <c r="J132">
        <v>20.48098515599541</v>
      </c>
      <c r="K132">
        <v>0.2211977267571079</v>
      </c>
      <c r="L132">
        <v>0.979384482144908</v>
      </c>
      <c r="M132">
        <v>81.41</v>
      </c>
      <c r="N132">
        <v>57.05</v>
      </c>
    </row>
    <row r="133" spans="1:14">
      <c r="A133" s="1" t="s">
        <v>145</v>
      </c>
      <c r="B133">
        <f>HYPERLINK("https://www.suredividend.com/sure-analysis-GATX/","GATX Corp.")</f>
        <v>0</v>
      </c>
      <c r="C133" t="s">
        <v>386</v>
      </c>
      <c r="D133">
        <v>108.07</v>
      </c>
      <c r="E133">
        <v>0.01924678449153327</v>
      </c>
      <c r="F133">
        <v>0.04000000000000004</v>
      </c>
      <c r="G133">
        <v>0.03397522653195018</v>
      </c>
      <c r="H133">
        <v>2.064429916299857</v>
      </c>
      <c r="I133">
        <v>3804.064</v>
      </c>
      <c r="J133">
        <v>22.5760474777448</v>
      </c>
      <c r="K133">
        <v>0.4401769544349375</v>
      </c>
      <c r="L133">
        <v>0.7444437151613421</v>
      </c>
      <c r="M133">
        <v>125.63</v>
      </c>
      <c r="N133">
        <v>84.56999999999999</v>
      </c>
    </row>
    <row r="134" spans="1:14">
      <c r="A134" s="1" t="s">
        <v>146</v>
      </c>
      <c r="B134">
        <f>HYPERLINK("https://www.suredividend.com/sure-analysis-GD/","General Dynamics Corp.")</f>
        <v>0</v>
      </c>
      <c r="C134" t="s">
        <v>386</v>
      </c>
      <c r="D134">
        <v>244.62</v>
      </c>
      <c r="E134">
        <v>0.02060338484179544</v>
      </c>
      <c r="F134">
        <v>0.05882352941176472</v>
      </c>
      <c r="G134">
        <v>0.08447177119769855</v>
      </c>
      <c r="H134">
        <v>4.929221122049964</v>
      </c>
      <c r="I134">
        <v>67160.16684000001</v>
      </c>
      <c r="J134">
        <v>20.0478109969612</v>
      </c>
      <c r="K134">
        <v>0.4104264048334691</v>
      </c>
      <c r="L134">
        <v>0.587615868583877</v>
      </c>
      <c r="M134">
        <v>256.86</v>
      </c>
      <c r="N134">
        <v>197.35</v>
      </c>
    </row>
    <row r="135" spans="1:14">
      <c r="A135" s="1" t="s">
        <v>147</v>
      </c>
      <c r="B135">
        <f>HYPERLINK("https://www.suredividend.com/sure-analysis-research-database/","Griffon Corp.")</f>
        <v>0</v>
      </c>
      <c r="C135" t="s">
        <v>386</v>
      </c>
      <c r="D135">
        <v>35.02</v>
      </c>
      <c r="E135">
        <v>0.010161865508649</v>
      </c>
      <c r="F135">
        <v>0.1111111111111112</v>
      </c>
      <c r="G135">
        <v>0.07394092378577932</v>
      </c>
      <c r="H135">
        <v>0.355868530112897</v>
      </c>
      <c r="I135">
        <v>1998.392872</v>
      </c>
      <c r="J135" t="s">
        <v>394</v>
      </c>
      <c r="K135" t="s">
        <v>394</v>
      </c>
      <c r="L135">
        <v>1.15949055950907</v>
      </c>
      <c r="M135">
        <v>37.69</v>
      </c>
      <c r="N135">
        <v>16.18</v>
      </c>
    </row>
    <row r="136" spans="1:14">
      <c r="A136" s="1" t="s">
        <v>148</v>
      </c>
      <c r="B136">
        <f>HYPERLINK("https://www.suredividend.com/sure-analysis-GGG/","Graco Inc.")</f>
        <v>0</v>
      </c>
      <c r="C136" t="s">
        <v>386</v>
      </c>
      <c r="D136">
        <v>66.83</v>
      </c>
      <c r="E136">
        <v>0.01406553942840042</v>
      </c>
      <c r="F136">
        <v>0</v>
      </c>
      <c r="G136">
        <v>0.09647992127587668</v>
      </c>
      <c r="H136">
        <v>0.8356591961446571</v>
      </c>
      <c r="I136">
        <v>11262.794072</v>
      </c>
      <c r="J136">
        <v>24.77054240287232</v>
      </c>
      <c r="K136">
        <v>0.318953891658266</v>
      </c>
      <c r="L136">
        <v>0.9004762351876071</v>
      </c>
      <c r="M136">
        <v>77.13</v>
      </c>
      <c r="N136">
        <v>56.08</v>
      </c>
    </row>
    <row r="137" spans="1:14">
      <c r="A137" s="1" t="s">
        <v>149</v>
      </c>
      <c r="B137">
        <f>HYPERLINK("https://www.suredividend.com/sure-analysis-GL/","Globe Life Inc")</f>
        <v>0</v>
      </c>
      <c r="C137" t="s">
        <v>389</v>
      </c>
      <c r="D137">
        <v>120.19</v>
      </c>
      <c r="E137">
        <v>0.006822530992595058</v>
      </c>
      <c r="F137">
        <v>0.05063291139240511</v>
      </c>
      <c r="G137">
        <v>0.05336679400581579</v>
      </c>
      <c r="H137">
        <v>0.8276765243109501</v>
      </c>
      <c r="I137">
        <v>11690.908824</v>
      </c>
      <c r="J137">
        <v>16.55708609937445</v>
      </c>
      <c r="K137">
        <v>0.116738578887299</v>
      </c>
      <c r="L137">
        <v>0.6828715326285111</v>
      </c>
      <c r="M137">
        <v>121.91</v>
      </c>
      <c r="N137">
        <v>87.36</v>
      </c>
    </row>
    <row r="138" spans="1:14">
      <c r="A138" s="1" t="s">
        <v>150</v>
      </c>
      <c r="B138">
        <f>HYPERLINK("https://www.suredividend.com/sure-analysis-GLW/","Corning, Inc.")</f>
        <v>0</v>
      </c>
      <c r="C138" t="s">
        <v>387</v>
      </c>
      <c r="D138">
        <v>34.39</v>
      </c>
      <c r="E138">
        <v>0.03140447804594359</v>
      </c>
      <c r="F138">
        <v>0.1250000000000002</v>
      </c>
      <c r="G138">
        <v>0.08447177119769855</v>
      </c>
      <c r="H138">
        <v>1.067221339197267</v>
      </c>
      <c r="I138">
        <v>29087.453221</v>
      </c>
      <c r="J138">
        <v>15.81699468224035</v>
      </c>
      <c r="K138">
        <v>0.4851006087260304</v>
      </c>
      <c r="L138">
        <v>0.99290160223289</v>
      </c>
      <c r="M138">
        <v>42.17</v>
      </c>
      <c r="N138">
        <v>28.75</v>
      </c>
    </row>
    <row r="139" spans="1:14">
      <c r="A139" s="1" t="s">
        <v>151</v>
      </c>
      <c r="B139">
        <f>HYPERLINK("https://www.suredividend.com/sure-analysis-GNTX/","Gentex Corp.")</f>
        <v>0</v>
      </c>
      <c r="C139" t="s">
        <v>393</v>
      </c>
      <c r="D139">
        <v>28.17</v>
      </c>
      <c r="E139">
        <v>0.01703940362087327</v>
      </c>
      <c r="F139">
        <v>0</v>
      </c>
      <c r="G139">
        <v>0.01755457717558762</v>
      </c>
      <c r="H139">
        <v>0.476806287301167</v>
      </c>
      <c r="I139">
        <v>6608.179053</v>
      </c>
      <c r="J139">
        <v>21.18944581795163</v>
      </c>
      <c r="K139">
        <v>0.3531898424453089</v>
      </c>
      <c r="L139">
        <v>0.9501867606176131</v>
      </c>
      <c r="M139">
        <v>35.09</v>
      </c>
      <c r="N139">
        <v>23.18</v>
      </c>
    </row>
    <row r="140" spans="1:14">
      <c r="A140" s="1" t="s">
        <v>152</v>
      </c>
      <c r="B140">
        <f>HYPERLINK("https://www.suredividend.com/sure-analysis-GPC/","Genuine Parts Co.")</f>
        <v>0</v>
      </c>
      <c r="C140" t="s">
        <v>393</v>
      </c>
      <c r="D140">
        <v>168.57</v>
      </c>
      <c r="E140">
        <v>0.02123746811413656</v>
      </c>
      <c r="F140">
        <v>0.09815950920245387</v>
      </c>
      <c r="G140">
        <v>0.04447514040041911</v>
      </c>
      <c r="H140">
        <v>3.550837884532817</v>
      </c>
      <c r="I140">
        <v>23795.568601</v>
      </c>
      <c r="J140">
        <v>20.05147667101196</v>
      </c>
      <c r="K140">
        <v>0.4267833995832713</v>
      </c>
      <c r="L140">
        <v>0.7263625484958871</v>
      </c>
      <c r="M140">
        <v>187.73</v>
      </c>
      <c r="N140">
        <v>112.84</v>
      </c>
    </row>
    <row r="141" spans="1:14">
      <c r="A141" s="1" t="s">
        <v>153</v>
      </c>
      <c r="B141">
        <f>HYPERLINK("https://www.suredividend.com/sure-analysis-GRC/","Gorman-Rupp Co.")</f>
        <v>0</v>
      </c>
      <c r="C141" t="s">
        <v>386</v>
      </c>
      <c r="D141">
        <v>25.23</v>
      </c>
      <c r="E141">
        <v>0.02774474831549742</v>
      </c>
      <c r="F141">
        <v>0.02941176470588247</v>
      </c>
      <c r="G141">
        <v>0.06961037572506878</v>
      </c>
      <c r="H141">
        <v>0.678803056868847</v>
      </c>
      <c r="I141">
        <v>658.3734439999999</v>
      </c>
      <c r="J141">
        <v>43.00002899549343</v>
      </c>
      <c r="K141">
        <v>1.15698492733739</v>
      </c>
      <c r="L141">
        <v>0.7166227601347731</v>
      </c>
      <c r="M141">
        <v>43.16</v>
      </c>
      <c r="N141">
        <v>22.53</v>
      </c>
    </row>
    <row r="142" spans="1:14">
      <c r="A142" s="1" t="s">
        <v>154</v>
      </c>
      <c r="B142">
        <f>HYPERLINK("https://www.suredividend.com/sure-analysis-GS/","Goldman Sachs Group, Inc.")</f>
        <v>0</v>
      </c>
      <c r="C142" t="s">
        <v>389</v>
      </c>
      <c r="D142">
        <v>343.76</v>
      </c>
      <c r="E142">
        <v>0.02909006283453572</v>
      </c>
      <c r="F142">
        <v>0.25</v>
      </c>
      <c r="G142">
        <v>0.2722596365393921</v>
      </c>
      <c r="H142">
        <v>8.927871933409001</v>
      </c>
      <c r="I142">
        <v>116409.025971</v>
      </c>
      <c r="J142">
        <v>8.695027335739468</v>
      </c>
      <c r="K142">
        <v>0.2380765848909067</v>
      </c>
      <c r="L142">
        <v>0.953971739668771</v>
      </c>
      <c r="M142">
        <v>396.39</v>
      </c>
      <c r="N142">
        <v>273.96</v>
      </c>
    </row>
    <row r="143" spans="1:14">
      <c r="A143" s="1" t="s">
        <v>155</v>
      </c>
      <c r="B143">
        <f>HYPERLINK("https://www.suredividend.com/sure-analysis-GWW/","W.W. Grainger Inc.")</f>
        <v>0</v>
      </c>
      <c r="C143" t="s">
        <v>386</v>
      </c>
      <c r="D143">
        <v>537.53</v>
      </c>
      <c r="E143">
        <v>0.01279928562126765</v>
      </c>
      <c r="F143">
        <v>0.06172839506172823</v>
      </c>
      <c r="G143">
        <v>0.04808838399458915</v>
      </c>
      <c r="H143">
        <v>6.72991875965413</v>
      </c>
      <c r="I143">
        <v>27160.99474</v>
      </c>
      <c r="J143">
        <v>18.78353716486169</v>
      </c>
      <c r="K143">
        <v>0.2389885923172632</v>
      </c>
      <c r="L143">
        <v>0.7337183887224891</v>
      </c>
      <c r="M143">
        <v>611.02</v>
      </c>
      <c r="N143">
        <v>436.57</v>
      </c>
    </row>
    <row r="144" spans="1:14">
      <c r="A144" s="1" t="s">
        <v>156</v>
      </c>
      <c r="B144">
        <f>HYPERLINK("https://www.suredividend.com/sure-analysis-HBAN/","Huntington Bancshares, Inc.")</f>
        <v>0</v>
      </c>
      <c r="C144" t="s">
        <v>389</v>
      </c>
      <c r="D144">
        <v>14.26</v>
      </c>
      <c r="E144">
        <v>0.04347826086956522</v>
      </c>
      <c r="F144">
        <v>0</v>
      </c>
      <c r="G144">
        <v>0.07099588603959828</v>
      </c>
      <c r="H144">
        <v>0.6095490815492071</v>
      </c>
      <c r="I144">
        <v>20573.390476</v>
      </c>
      <c r="J144">
        <v>10.91426550466843</v>
      </c>
      <c r="K144">
        <v>0.476210219960318</v>
      </c>
      <c r="L144">
        <v>0.9451562156744211</v>
      </c>
      <c r="M144">
        <v>17.01</v>
      </c>
      <c r="N144">
        <v>11.41</v>
      </c>
    </row>
    <row r="145" spans="1:14">
      <c r="A145" s="1" t="s">
        <v>157</v>
      </c>
      <c r="B145">
        <f>HYPERLINK("https://www.suredividend.com/sure-analysis-research-database/","Horizon Bancorp Inc (IN)")</f>
        <v>0</v>
      </c>
      <c r="C145" t="s">
        <v>389</v>
      </c>
      <c r="D145">
        <v>15.26</v>
      </c>
      <c r="E145">
        <v>0.040705721134054</v>
      </c>
      <c r="F145">
        <v>0.06666666666666665</v>
      </c>
      <c r="G145">
        <v>0.01299136822423641</v>
      </c>
      <c r="H145">
        <v>0.6211693045056711</v>
      </c>
      <c r="I145">
        <v>670.446406</v>
      </c>
      <c r="J145">
        <v>7.157688924072255</v>
      </c>
      <c r="K145">
        <v>0.2902660301428369</v>
      </c>
      <c r="L145">
        <v>0.6964595951071311</v>
      </c>
      <c r="M145">
        <v>22.95</v>
      </c>
      <c r="N145">
        <v>14.35</v>
      </c>
    </row>
    <row r="146" spans="1:14">
      <c r="A146" s="1" t="s">
        <v>158</v>
      </c>
      <c r="B146">
        <f>HYPERLINK("https://www.suredividend.com/sure-analysis-HCSG/","Healthcare Services Group, Inc.")</f>
        <v>0</v>
      </c>
      <c r="C146" t="s">
        <v>385</v>
      </c>
      <c r="D146">
        <v>12.42</v>
      </c>
      <c r="E146">
        <v>0.06924315619967794</v>
      </c>
      <c r="F146">
        <v>0.02380952380952372</v>
      </c>
      <c r="G146">
        <v>0.02368750698537969</v>
      </c>
      <c r="H146">
        <v>0.8341254575570801</v>
      </c>
      <c r="I146">
        <v>920.17296</v>
      </c>
      <c r="J146">
        <v>44.72069206842924</v>
      </c>
      <c r="K146">
        <v>3.01345902296633</v>
      </c>
      <c r="L146">
        <v>0.7825435482662451</v>
      </c>
      <c r="M146">
        <v>19.69</v>
      </c>
      <c r="N146">
        <v>11.55</v>
      </c>
    </row>
    <row r="147" spans="1:14">
      <c r="A147" s="1" t="s">
        <v>159</v>
      </c>
      <c r="B147">
        <f>HYPERLINK("https://www.suredividend.com/sure-analysis-HD/","Home Depot, Inc.")</f>
        <v>0</v>
      </c>
      <c r="C147" t="s">
        <v>393</v>
      </c>
      <c r="D147">
        <v>315.47</v>
      </c>
      <c r="E147">
        <v>0.02409103876755317</v>
      </c>
      <c r="F147">
        <v>0.1515151515151516</v>
      </c>
      <c r="G147">
        <v>0.1302727969130595</v>
      </c>
      <c r="H147">
        <v>7.529462513236031</v>
      </c>
      <c r="I147">
        <v>322954.980973</v>
      </c>
      <c r="J147">
        <v>18.89178010957649</v>
      </c>
      <c r="K147">
        <v>0.4541292227524748</v>
      </c>
      <c r="L147">
        <v>0.9355663854160831</v>
      </c>
      <c r="M147">
        <v>394.17</v>
      </c>
      <c r="N147">
        <v>261.21</v>
      </c>
    </row>
    <row r="148" spans="1:14">
      <c r="A148" s="1" t="s">
        <v>160</v>
      </c>
      <c r="B148">
        <f>HYPERLINK("https://www.suredividend.com/sure-analysis-research-database/","Heico Corp.")</f>
        <v>0</v>
      </c>
      <c r="C148" t="s">
        <v>386</v>
      </c>
      <c r="D148">
        <v>151.95</v>
      </c>
      <c r="E148">
        <v>0.001250021967021</v>
      </c>
      <c r="F148" t="s">
        <v>394</v>
      </c>
      <c r="G148" t="s">
        <v>394</v>
      </c>
      <c r="H148">
        <v>0.189940837888936</v>
      </c>
      <c r="I148">
        <v>18063.628344</v>
      </c>
      <c r="J148">
        <v>51.36455063359635</v>
      </c>
      <c r="K148">
        <v>0.07448660309370041</v>
      </c>
      <c r="L148">
        <v>0.856056120535946</v>
      </c>
      <c r="M148">
        <v>165.68</v>
      </c>
      <c r="N148">
        <v>126.78</v>
      </c>
    </row>
    <row r="149" spans="1:14">
      <c r="A149" s="1" t="s">
        <v>161</v>
      </c>
      <c r="B149">
        <f>HYPERLINK("https://www.suredividend.com/sure-analysis-research-database/","Heritage Financial Corp.")</f>
        <v>0</v>
      </c>
      <c r="C149" t="s">
        <v>389</v>
      </c>
      <c r="D149">
        <v>29.48</v>
      </c>
      <c r="E149">
        <v>0.02818872064216</v>
      </c>
      <c r="F149">
        <v>0</v>
      </c>
      <c r="G149">
        <v>0.06961037572506878</v>
      </c>
      <c r="H149">
        <v>0.831003484530891</v>
      </c>
      <c r="I149">
        <v>1034.873231</v>
      </c>
      <c r="J149">
        <v>13.14491960979575</v>
      </c>
      <c r="K149">
        <v>0.3743258939328338</v>
      </c>
      <c r="L149">
        <v>0.494966919537822</v>
      </c>
      <c r="M149">
        <v>34.34</v>
      </c>
      <c r="N149">
        <v>22.6</v>
      </c>
    </row>
    <row r="150" spans="1:14">
      <c r="A150" s="1" t="s">
        <v>162</v>
      </c>
      <c r="B150">
        <f>HYPERLINK("https://www.suredividend.com/sure-analysis-HI/","Hillenbrand Inc")</f>
        <v>0</v>
      </c>
      <c r="C150" t="s">
        <v>386</v>
      </c>
      <c r="D150">
        <v>42.3</v>
      </c>
      <c r="E150">
        <v>0.02080378250591017</v>
      </c>
      <c r="F150">
        <v>0.01149425287356332</v>
      </c>
      <c r="G150">
        <v>0.01176794512623491</v>
      </c>
      <c r="H150">
        <v>0.8660312042655921</v>
      </c>
      <c r="I150">
        <v>2913.624465</v>
      </c>
      <c r="J150">
        <v>14.06868404297441</v>
      </c>
      <c r="K150">
        <v>0.3060180933800679</v>
      </c>
      <c r="L150">
        <v>1.012540308964947</v>
      </c>
      <c r="M150">
        <v>53.3</v>
      </c>
      <c r="N150">
        <v>35.85</v>
      </c>
    </row>
    <row r="151" spans="1:14">
      <c r="A151" s="1" t="s">
        <v>163</v>
      </c>
      <c r="B151">
        <f>HYPERLINK("https://www.suredividend.com/sure-analysis-research-database/","Hingham Institution For Savings")</f>
        <v>0</v>
      </c>
      <c r="C151" t="s">
        <v>389</v>
      </c>
      <c r="D151">
        <v>277.66</v>
      </c>
      <c r="E151">
        <v>0.008614297518422001</v>
      </c>
      <c r="F151">
        <v>0.1052631578947367</v>
      </c>
      <c r="G151">
        <v>0.106398021719422</v>
      </c>
      <c r="H151">
        <v>2.391845848965101</v>
      </c>
      <c r="I151">
        <v>584.7519600000001</v>
      </c>
      <c r="J151">
        <v>0</v>
      </c>
      <c r="K151" t="s">
        <v>394</v>
      </c>
      <c r="L151">
        <v>0.704340744280457</v>
      </c>
      <c r="M151">
        <v>417.01</v>
      </c>
      <c r="N151">
        <v>241.82</v>
      </c>
    </row>
    <row r="152" spans="1:14">
      <c r="A152" s="1" t="s">
        <v>164</v>
      </c>
      <c r="B152">
        <f>HYPERLINK("https://www.suredividend.com/sure-analysis-research-database/","Horace Mann Educators Corp.")</f>
        <v>0</v>
      </c>
      <c r="C152" t="s">
        <v>389</v>
      </c>
      <c r="D152">
        <v>36.96</v>
      </c>
      <c r="E152">
        <v>0.034180090634953</v>
      </c>
      <c r="F152">
        <v>0.032258064516129</v>
      </c>
      <c r="G152">
        <v>0.0234367875071011</v>
      </c>
      <c r="H152">
        <v>1.263296149867886</v>
      </c>
      <c r="I152">
        <v>1511.600983</v>
      </c>
      <c r="J152">
        <v>26.80143587234043</v>
      </c>
      <c r="K152">
        <v>0.9427583207969299</v>
      </c>
      <c r="L152">
        <v>0.417581012651827</v>
      </c>
      <c r="M152">
        <v>41.51</v>
      </c>
      <c r="N152">
        <v>32.03</v>
      </c>
    </row>
    <row r="153" spans="1:14">
      <c r="A153" s="1" t="s">
        <v>165</v>
      </c>
      <c r="B153">
        <f>HYPERLINK("https://www.suredividend.com/sure-analysis-HNI/","HNI Corp.")</f>
        <v>0</v>
      </c>
      <c r="C153" t="s">
        <v>386</v>
      </c>
      <c r="D153">
        <v>28.83</v>
      </c>
      <c r="E153">
        <v>0.04439819632327437</v>
      </c>
      <c r="F153">
        <v>0.032258064516129</v>
      </c>
      <c r="G153">
        <v>0.0234367875071011</v>
      </c>
      <c r="H153">
        <v>1.251330234291562</v>
      </c>
      <c r="I153">
        <v>1192.517633</v>
      </c>
      <c r="J153">
        <v>10.2979908053471</v>
      </c>
      <c r="K153">
        <v>0.4617454739083255</v>
      </c>
      <c r="L153">
        <v>0.9126127780648911</v>
      </c>
      <c r="M153">
        <v>42.91</v>
      </c>
      <c r="N153">
        <v>26.22</v>
      </c>
    </row>
    <row r="154" spans="1:14">
      <c r="A154" s="1" t="s">
        <v>166</v>
      </c>
      <c r="B154">
        <f>HYPERLINK("https://www.suredividend.com/sure-analysis-research-database/","Home Bancshares Inc")</f>
        <v>0</v>
      </c>
      <c r="C154" t="s">
        <v>389</v>
      </c>
      <c r="D154">
        <v>22.03</v>
      </c>
      <c r="E154">
        <v>0.029658171101803</v>
      </c>
      <c r="F154">
        <v>0.1785714285714286</v>
      </c>
      <c r="G154">
        <v>0.08447177119769855</v>
      </c>
      <c r="H154">
        <v>0.6533695093727251</v>
      </c>
      <c r="I154">
        <v>4493.486417</v>
      </c>
      <c r="J154">
        <v>17.08991837128992</v>
      </c>
      <c r="K154">
        <v>0.4601193727976938</v>
      </c>
      <c r="L154">
        <v>0.82691912147556</v>
      </c>
      <c r="M154">
        <v>26.07</v>
      </c>
      <c r="N154">
        <v>19.42</v>
      </c>
    </row>
    <row r="155" spans="1:14">
      <c r="A155" s="1" t="s">
        <v>167</v>
      </c>
      <c r="B155">
        <f>HYPERLINK("https://www.suredividend.com/sure-analysis-HON/","Honeywell International Inc")</f>
        <v>0</v>
      </c>
      <c r="C155" t="s">
        <v>386</v>
      </c>
      <c r="D155">
        <v>204.47</v>
      </c>
      <c r="E155">
        <v>0.02014965520614271</v>
      </c>
      <c r="F155">
        <v>0.05102040816326525</v>
      </c>
      <c r="G155">
        <v>0.06693064751987632</v>
      </c>
      <c r="H155">
        <v>3.921572380263705</v>
      </c>
      <c r="I155">
        <v>137469.726777</v>
      </c>
      <c r="J155">
        <v>25.57576312130977</v>
      </c>
      <c r="K155">
        <v>0.5021219436957369</v>
      </c>
      <c r="L155">
        <v>0.793029004409424</v>
      </c>
      <c r="M155">
        <v>220.96</v>
      </c>
      <c r="N155">
        <v>164.89</v>
      </c>
    </row>
    <row r="156" spans="1:14">
      <c r="A156" s="1" t="s">
        <v>168</v>
      </c>
      <c r="B156">
        <f>HYPERLINK("https://www.suredividend.com/sure-analysis-HPQ/","HP Inc")</f>
        <v>0</v>
      </c>
      <c r="C156" t="s">
        <v>387</v>
      </c>
      <c r="D156">
        <v>27.21</v>
      </c>
      <c r="E156">
        <v>0.03858875413450937</v>
      </c>
      <c r="F156">
        <v>0.05000000000000004</v>
      </c>
      <c r="G156">
        <v>0.1351039586341305</v>
      </c>
      <c r="H156">
        <v>0.999817004118383</v>
      </c>
      <c r="I156">
        <v>26724.187109</v>
      </c>
      <c r="J156">
        <v>8.343486453062754</v>
      </c>
      <c r="K156">
        <v>0.3278088538093059</v>
      </c>
      <c r="L156">
        <v>1.240380715631344</v>
      </c>
      <c r="M156">
        <v>40.48</v>
      </c>
      <c r="N156">
        <v>23.86</v>
      </c>
    </row>
    <row r="157" spans="1:14">
      <c r="A157" s="1" t="s">
        <v>169</v>
      </c>
      <c r="B157">
        <f>HYPERLINK("https://www.suredividend.com/sure-analysis-HRL/","Hormel Foods Corp.")</f>
        <v>0</v>
      </c>
      <c r="C157" t="s">
        <v>388</v>
      </c>
      <c r="D157">
        <v>46.05</v>
      </c>
      <c r="E157">
        <v>0.0238870792616721</v>
      </c>
      <c r="F157">
        <v>0.06122448979591844</v>
      </c>
      <c r="G157">
        <v>0.06756521663494941</v>
      </c>
      <c r="H157">
        <v>1.031545109122373</v>
      </c>
      <c r="I157">
        <v>25162.834134</v>
      </c>
      <c r="J157">
        <v>25.16316125479631</v>
      </c>
      <c r="K157">
        <v>0.5667830269903149</v>
      </c>
      <c r="L157">
        <v>0.23969652393049</v>
      </c>
      <c r="M157">
        <v>54.5</v>
      </c>
      <c r="N157">
        <v>43.72</v>
      </c>
    </row>
    <row r="158" spans="1:14">
      <c r="A158" s="1" t="s">
        <v>170</v>
      </c>
      <c r="B158">
        <f>HYPERLINK("https://www.suredividend.com/sure-analysis-HSY/","Hershey Company")</f>
        <v>0</v>
      </c>
      <c r="C158" t="s">
        <v>388</v>
      </c>
      <c r="D158">
        <v>223.08</v>
      </c>
      <c r="E158">
        <v>0.01855836471221086</v>
      </c>
      <c r="F158">
        <v>0.1498335183129855</v>
      </c>
      <c r="G158">
        <v>0.0956987929182207</v>
      </c>
      <c r="H158">
        <v>3.848889122707796</v>
      </c>
      <c r="I158">
        <v>45749.2464</v>
      </c>
      <c r="J158">
        <v>20.69709975015104</v>
      </c>
      <c r="K158">
        <v>0.5024659429122449</v>
      </c>
      <c r="L158">
        <v>0.312696718507903</v>
      </c>
      <c r="M158">
        <v>242.64</v>
      </c>
      <c r="N158">
        <v>187.6</v>
      </c>
    </row>
    <row r="159" spans="1:14">
      <c r="A159" s="1" t="s">
        <v>171</v>
      </c>
      <c r="B159">
        <f>HYPERLINK("https://www.suredividend.com/sure-analysis-HUBB/","Hubbell Inc.")</f>
        <v>0</v>
      </c>
      <c r="C159" t="s">
        <v>386</v>
      </c>
      <c r="D159">
        <v>224.43</v>
      </c>
      <c r="E159">
        <v>0.01996168070222341</v>
      </c>
      <c r="F159">
        <v>0.06666666666666665</v>
      </c>
      <c r="G159">
        <v>0.07781806771272581</v>
      </c>
      <c r="H159">
        <v>4.239624595855703</v>
      </c>
      <c r="I159">
        <v>12053.199202</v>
      </c>
      <c r="J159">
        <v>21.63172864764896</v>
      </c>
      <c r="K159">
        <v>0.4128164163442749</v>
      </c>
      <c r="L159">
        <v>0.854488322136132</v>
      </c>
      <c r="M159">
        <v>263.3</v>
      </c>
      <c r="N159">
        <v>167.2</v>
      </c>
    </row>
    <row r="160" spans="1:14">
      <c r="A160" s="1" t="s">
        <v>172</v>
      </c>
      <c r="B160">
        <f>HYPERLINK("https://www.suredividend.com/sure-analysis-HUM/","Humana Inc.")</f>
        <v>0</v>
      </c>
      <c r="C160" t="s">
        <v>385</v>
      </c>
      <c r="D160">
        <v>488.02</v>
      </c>
      <c r="E160">
        <v>0.006454653497807467</v>
      </c>
      <c r="F160">
        <v>0.125</v>
      </c>
      <c r="G160">
        <v>0.09510588196866943</v>
      </c>
      <c r="H160">
        <v>3.142544418699091</v>
      </c>
      <c r="I160">
        <v>61783.48719</v>
      </c>
      <c r="J160">
        <v>22.01050487722124</v>
      </c>
      <c r="K160">
        <v>0.1431031156056052</v>
      </c>
      <c r="L160">
        <v>0.471794783527209</v>
      </c>
      <c r="M160">
        <v>570.4299999999999</v>
      </c>
      <c r="N160">
        <v>348.88</v>
      </c>
    </row>
    <row r="161" spans="1:14">
      <c r="A161" s="1" t="s">
        <v>173</v>
      </c>
      <c r="B161">
        <f>HYPERLINK("https://www.suredividend.com/sure-analysis-research-database/","Hawkins Inc")</f>
        <v>0</v>
      </c>
      <c r="C161" t="s">
        <v>391</v>
      </c>
      <c r="D161">
        <v>36.77</v>
      </c>
      <c r="E161">
        <v>0.015153516755098</v>
      </c>
      <c r="F161" t="s">
        <v>394</v>
      </c>
      <c r="G161" t="s">
        <v>394</v>
      </c>
      <c r="H161">
        <v>0.5571948110849571</v>
      </c>
      <c r="I161">
        <v>772.885103</v>
      </c>
      <c r="J161">
        <v>13.21713357548396</v>
      </c>
      <c r="K161">
        <v>0.2004297881600565</v>
      </c>
      <c r="L161">
        <v>0.6279210926809721</v>
      </c>
      <c r="M161">
        <v>47.63</v>
      </c>
      <c r="N161">
        <v>33.06</v>
      </c>
    </row>
    <row r="162" spans="1:14">
      <c r="A162" s="1" t="s">
        <v>174</v>
      </c>
      <c r="B162">
        <f>HYPERLINK("https://www.suredividend.com/sure-analysis-IBM/","International Business Machines Corp.")</f>
        <v>0</v>
      </c>
      <c r="C162" t="s">
        <v>387</v>
      </c>
      <c r="D162">
        <v>141.11</v>
      </c>
      <c r="E162">
        <v>0.04677202182694351</v>
      </c>
      <c r="F162">
        <v>0.006097560975609539</v>
      </c>
      <c r="G162">
        <v>0.01924487649145656</v>
      </c>
      <c r="H162">
        <v>6.472157910111976</v>
      </c>
      <c r="I162">
        <v>127581.271083</v>
      </c>
      <c r="J162">
        <v>101.0945095744295</v>
      </c>
      <c r="K162">
        <v>4.494554104244428</v>
      </c>
      <c r="L162">
        <v>0.539583180054888</v>
      </c>
      <c r="M162">
        <v>153.21</v>
      </c>
      <c r="N162">
        <v>114.18</v>
      </c>
    </row>
    <row r="163" spans="1:14">
      <c r="A163" s="1" t="s">
        <v>175</v>
      </c>
      <c r="B163">
        <f>HYPERLINK("https://www.suredividend.com/sure-analysis-research-database/","International Bancshares Corp.")</f>
        <v>0</v>
      </c>
      <c r="C163" t="s">
        <v>389</v>
      </c>
      <c r="D163">
        <v>45.29</v>
      </c>
      <c r="E163">
        <v>0.026321725478954</v>
      </c>
      <c r="F163" t="s">
        <v>394</v>
      </c>
      <c r="G163" t="s">
        <v>394</v>
      </c>
      <c r="H163">
        <v>1.192110946941863</v>
      </c>
      <c r="I163">
        <v>2813.134274</v>
      </c>
      <c r="J163">
        <v>11.19227787090306</v>
      </c>
      <c r="K163">
        <v>0.2995253635532319</v>
      </c>
      <c r="L163">
        <v>0.7099622286456351</v>
      </c>
      <c r="M163">
        <v>53.71</v>
      </c>
      <c r="N163">
        <v>37.5</v>
      </c>
    </row>
    <row r="164" spans="1:14">
      <c r="A164" s="1" t="s">
        <v>176</v>
      </c>
      <c r="B164">
        <f>HYPERLINK("https://www.suredividend.com/sure-analysis-IDA/","Idacorp, Inc.")</f>
        <v>0</v>
      </c>
      <c r="C164" t="s">
        <v>390</v>
      </c>
      <c r="D164">
        <v>106.15</v>
      </c>
      <c r="E164">
        <v>0.02976919453603391</v>
      </c>
      <c r="F164">
        <v>0.05333333333333345</v>
      </c>
      <c r="G164">
        <v>0.0601199707922162</v>
      </c>
      <c r="H164">
        <v>3.007732053215568</v>
      </c>
      <c r="I164">
        <v>5367.144836</v>
      </c>
      <c r="J164">
        <v>21.49213472285625</v>
      </c>
      <c r="K164">
        <v>0.6100876375690807</v>
      </c>
      <c r="L164">
        <v>0.479574127775058</v>
      </c>
      <c r="M164">
        <v>116.39</v>
      </c>
      <c r="N164">
        <v>92.81999999999999</v>
      </c>
    </row>
    <row r="165" spans="1:14">
      <c r="A165" s="1" t="s">
        <v>177</v>
      </c>
      <c r="B165">
        <f>HYPERLINK("https://www.suredividend.com/sure-analysis-IEX/","Idex Corporation")</f>
        <v>0</v>
      </c>
      <c r="C165" t="s">
        <v>386</v>
      </c>
      <c r="D165">
        <v>225.74</v>
      </c>
      <c r="E165">
        <v>0.01063170018605475</v>
      </c>
      <c r="F165">
        <v>0.1111111111111112</v>
      </c>
      <c r="G165">
        <v>0.1015137056700963</v>
      </c>
      <c r="H165">
        <v>2.329302045526916</v>
      </c>
      <c r="I165">
        <v>17025.561146</v>
      </c>
      <c r="J165">
        <v>29.57598065796354</v>
      </c>
      <c r="K165">
        <v>0.3081087361808089</v>
      </c>
      <c r="L165">
        <v>0.8280055936478451</v>
      </c>
      <c r="M165">
        <v>246.23</v>
      </c>
      <c r="N165">
        <v>171.1</v>
      </c>
    </row>
    <row r="166" spans="1:14">
      <c r="A166" s="1" t="s">
        <v>178</v>
      </c>
      <c r="B166">
        <f>HYPERLINK("https://www.suredividend.com/sure-analysis-IFF/","International Flavors &amp; Fragrances Inc.")</f>
        <v>0</v>
      </c>
      <c r="C166" t="s">
        <v>391</v>
      </c>
      <c r="D166">
        <v>107.29</v>
      </c>
      <c r="E166">
        <v>0.03019852735576475</v>
      </c>
      <c r="F166">
        <v>0.02531645569620244</v>
      </c>
      <c r="G166">
        <v>0.03258826616987553</v>
      </c>
      <c r="H166">
        <v>3.163252089662517</v>
      </c>
      <c r="I166">
        <v>27354.900124</v>
      </c>
      <c r="J166" t="s">
        <v>394</v>
      </c>
      <c r="K166" t="s">
        <v>394</v>
      </c>
      <c r="L166">
        <v>0.9334323499483871</v>
      </c>
      <c r="M166">
        <v>144.54</v>
      </c>
      <c r="N166">
        <v>82.48999999999999</v>
      </c>
    </row>
    <row r="167" spans="1:14">
      <c r="A167" s="1" t="s">
        <v>179</v>
      </c>
      <c r="B167">
        <f>HYPERLINK("https://www.suredividend.com/sure-analysis-research-database/","Independent Bank Corp.")</f>
        <v>0</v>
      </c>
      <c r="C167" t="s">
        <v>389</v>
      </c>
      <c r="D167">
        <v>79.95999999999999</v>
      </c>
      <c r="E167">
        <v>0.025765280980948</v>
      </c>
      <c r="F167">
        <v>0.1458333333333335</v>
      </c>
      <c r="G167">
        <v>0.07675232594309245</v>
      </c>
      <c r="H167">
        <v>2.060191867236661</v>
      </c>
      <c r="I167">
        <v>3649.55391</v>
      </c>
      <c r="J167">
        <v>19.36390503735303</v>
      </c>
      <c r="K167">
        <v>0.4928688677599667</v>
      </c>
      <c r="L167">
        <v>0.576317836815995</v>
      </c>
      <c r="M167">
        <v>91.05</v>
      </c>
      <c r="N167">
        <v>73.17</v>
      </c>
    </row>
    <row r="168" spans="1:14">
      <c r="A168" s="1" t="s">
        <v>180</v>
      </c>
      <c r="B168">
        <f>HYPERLINK("https://www.suredividend.com/sure-analysis-INGR/","Ingredion Inc")</f>
        <v>0</v>
      </c>
      <c r="C168" t="s">
        <v>388</v>
      </c>
      <c r="D168">
        <v>96.98</v>
      </c>
      <c r="E168">
        <v>0.02928438853371829</v>
      </c>
      <c r="F168">
        <v>0.0923076923076922</v>
      </c>
      <c r="G168">
        <v>0.03424021252947318</v>
      </c>
      <c r="H168">
        <v>2.689853716627718</v>
      </c>
      <c r="I168">
        <v>6357.554643</v>
      </c>
      <c r="J168">
        <v>14.28663964642697</v>
      </c>
      <c r="K168">
        <v>0.4075535934284422</v>
      </c>
      <c r="L168">
        <v>0.592547119215422</v>
      </c>
      <c r="M168">
        <v>100.22</v>
      </c>
      <c r="N168">
        <v>77.58</v>
      </c>
    </row>
    <row r="169" spans="1:14">
      <c r="A169" s="1" t="s">
        <v>181</v>
      </c>
      <c r="B169">
        <f>HYPERLINK("https://www.suredividend.com/sure-analysis-INTU/","Intuit Inc")</f>
        <v>0</v>
      </c>
      <c r="C169" t="s">
        <v>387</v>
      </c>
      <c r="D169">
        <v>375.62</v>
      </c>
      <c r="E169">
        <v>0.008306266971939726</v>
      </c>
      <c r="F169">
        <v>0.1470588235294117</v>
      </c>
      <c r="G169">
        <v>0.1486983549970351</v>
      </c>
      <c r="H169">
        <v>2.812975108823563</v>
      </c>
      <c r="I169">
        <v>105521.179967</v>
      </c>
      <c r="J169">
        <v>56.18806175026624</v>
      </c>
      <c r="K169">
        <v>0.4281545066702531</v>
      </c>
      <c r="L169">
        <v>1.66574219247796</v>
      </c>
      <c r="M169">
        <v>586.6799999999999</v>
      </c>
      <c r="N169">
        <v>338.16</v>
      </c>
    </row>
    <row r="170" spans="1:14">
      <c r="A170" s="1" t="s">
        <v>182</v>
      </c>
      <c r="B170">
        <f>HYPERLINK("https://www.suredividend.com/sure-analysis-ITT/","ITT Inc")</f>
        <v>0</v>
      </c>
      <c r="C170" t="s">
        <v>386</v>
      </c>
      <c r="D170">
        <v>81.98</v>
      </c>
      <c r="E170">
        <v>0.01292998292266406</v>
      </c>
      <c r="F170">
        <v>0.2</v>
      </c>
      <c r="G170">
        <v>0.1452487480756475</v>
      </c>
      <c r="H170">
        <v>1.050529494189955</v>
      </c>
      <c r="I170">
        <v>6779.746</v>
      </c>
      <c r="J170">
        <v>19.0763815419246</v>
      </c>
      <c r="K170">
        <v>0.2495319463634098</v>
      </c>
      <c r="L170">
        <v>1.189598299910015</v>
      </c>
      <c r="M170">
        <v>100.87</v>
      </c>
      <c r="N170">
        <v>63.33</v>
      </c>
    </row>
    <row r="171" spans="1:14">
      <c r="A171" s="1" t="s">
        <v>183</v>
      </c>
      <c r="B171">
        <f>HYPERLINK("https://www.suredividend.com/sure-analysis-ITW/","Illinois Tool Works, Inc.")</f>
        <v>0</v>
      </c>
      <c r="C171" t="s">
        <v>386</v>
      </c>
      <c r="D171">
        <v>218.88</v>
      </c>
      <c r="E171">
        <v>0.0222953216374269</v>
      </c>
      <c r="F171">
        <v>0.07377049180327866</v>
      </c>
      <c r="G171">
        <v>0.1092650726196118</v>
      </c>
      <c r="H171">
        <v>5.01282567958981</v>
      </c>
      <c r="I171">
        <v>67236.95463599999</v>
      </c>
      <c r="J171">
        <v>24.57491032</v>
      </c>
      <c r="K171">
        <v>0.5722403743823984</v>
      </c>
      <c r="L171">
        <v>0.84812058883034</v>
      </c>
      <c r="M171">
        <v>241.98</v>
      </c>
      <c r="N171">
        <v>171.29</v>
      </c>
    </row>
    <row r="172" spans="1:14">
      <c r="A172" s="1" t="s">
        <v>184</v>
      </c>
      <c r="B172">
        <f>HYPERLINK("https://www.suredividend.com/sure-analysis-JBHT/","J.B. Hunt Transport Services, Inc.")</f>
        <v>0</v>
      </c>
      <c r="C172" t="s">
        <v>386</v>
      </c>
      <c r="D172">
        <v>169.2</v>
      </c>
      <c r="E172">
        <v>0.009456264775413713</v>
      </c>
      <c r="F172">
        <v>0.3333333333333333</v>
      </c>
      <c r="G172">
        <v>0.1075663432482901</v>
      </c>
      <c r="H172">
        <v>1.594409659654003</v>
      </c>
      <c r="I172">
        <v>17518.531972</v>
      </c>
      <c r="J172">
        <v>17.34065156781733</v>
      </c>
      <c r="K172">
        <v>0.1667792531018832</v>
      </c>
      <c r="L172">
        <v>0.924808002833002</v>
      </c>
      <c r="M172">
        <v>216.66</v>
      </c>
      <c r="N172">
        <v>153.21</v>
      </c>
    </row>
    <row r="173" spans="1:14">
      <c r="A173" s="1" t="s">
        <v>185</v>
      </c>
      <c r="B173">
        <f>HYPERLINK("https://www.suredividend.com/sure-analysis-JJSF/","J&amp;J Snack Foods Corp.")</f>
        <v>0</v>
      </c>
      <c r="C173" t="s">
        <v>388</v>
      </c>
      <c r="D173">
        <v>149.6</v>
      </c>
      <c r="E173">
        <v>0.01871657754010695</v>
      </c>
      <c r="F173">
        <v>0.1058451816745656</v>
      </c>
      <c r="G173">
        <v>0.09238846414037294</v>
      </c>
      <c r="H173">
        <v>2.647544598446039</v>
      </c>
      <c r="I173">
        <v>2876.707768</v>
      </c>
      <c r="J173">
        <v>60.90203806499417</v>
      </c>
      <c r="K173">
        <v>1.076237641644731</v>
      </c>
      <c r="L173">
        <v>0.405924667486912</v>
      </c>
      <c r="M173">
        <v>165.14</v>
      </c>
      <c r="N173">
        <v>115.74</v>
      </c>
    </row>
    <row r="174" spans="1:14">
      <c r="A174" s="1" t="s">
        <v>186</v>
      </c>
      <c r="B174">
        <f>HYPERLINK("https://www.suredividend.com/sure-analysis-JKHY/","Jack Henry &amp; Associates, Inc.")</f>
        <v>0</v>
      </c>
      <c r="C174" t="s">
        <v>387</v>
      </c>
      <c r="D174">
        <v>173.78</v>
      </c>
      <c r="E174">
        <v>0.01127862815053516</v>
      </c>
      <c r="F174">
        <v>0.06521739130434767</v>
      </c>
      <c r="G174">
        <v>0.0577885731174943</v>
      </c>
      <c r="H174">
        <v>1.952392519049744</v>
      </c>
      <c r="I174">
        <v>12677.152467</v>
      </c>
      <c r="J174">
        <v>34.50964463616541</v>
      </c>
      <c r="K174">
        <v>0.38892281255971</v>
      </c>
      <c r="L174">
        <v>0.6249383171757521</v>
      </c>
      <c r="M174">
        <v>211.53</v>
      </c>
      <c r="N174">
        <v>153.82</v>
      </c>
    </row>
    <row r="175" spans="1:14">
      <c r="A175" s="1" t="s">
        <v>187</v>
      </c>
      <c r="B175">
        <f>HYPERLINK("https://www.suredividend.com/sure-analysis-JNJ/","Johnson &amp; Johnson")</f>
        <v>0</v>
      </c>
      <c r="C175" t="s">
        <v>385</v>
      </c>
      <c r="D175">
        <v>178.8</v>
      </c>
      <c r="E175">
        <v>0.02527964205816554</v>
      </c>
      <c r="F175">
        <v>0.06603773584905648</v>
      </c>
      <c r="G175">
        <v>0.06110859290365855</v>
      </c>
      <c r="H175">
        <v>4.407505678082418</v>
      </c>
      <c r="I175">
        <v>467469.668932</v>
      </c>
      <c r="J175">
        <v>24.40202896756277</v>
      </c>
      <c r="K175">
        <v>0.6138587295379413</v>
      </c>
      <c r="L175">
        <v>0.310411722373683</v>
      </c>
      <c r="M175">
        <v>183.08</v>
      </c>
      <c r="N175">
        <v>152.71</v>
      </c>
    </row>
    <row r="176" spans="1:14">
      <c r="A176" s="1" t="s">
        <v>188</v>
      </c>
      <c r="B176">
        <f>HYPERLINK("https://www.suredividend.com/sure-analysis-JPM/","JPMorgan Chase &amp; Co.")</f>
        <v>0</v>
      </c>
      <c r="C176" t="s">
        <v>389</v>
      </c>
      <c r="D176">
        <v>135.35</v>
      </c>
      <c r="E176">
        <v>0.02955301071296638</v>
      </c>
      <c r="F176">
        <v>0</v>
      </c>
      <c r="G176">
        <v>0.1229551070568209</v>
      </c>
      <c r="H176">
        <v>3.960398331290456</v>
      </c>
      <c r="I176">
        <v>397009.281591</v>
      </c>
      <c r="J176">
        <v>11.27162800496281</v>
      </c>
      <c r="K176">
        <v>0.3342108296447642</v>
      </c>
      <c r="L176">
        <v>0.8773675293170631</v>
      </c>
      <c r="M176">
        <v>165.84</v>
      </c>
      <c r="N176">
        <v>100.54</v>
      </c>
    </row>
    <row r="177" spans="1:14">
      <c r="A177" s="1" t="s">
        <v>189</v>
      </c>
      <c r="B177">
        <f>HYPERLINK("https://www.suredividend.com/sure-analysis-K/","Kellogg Co")</f>
        <v>0</v>
      </c>
      <c r="C177" t="s">
        <v>388</v>
      </c>
      <c r="D177">
        <v>70.66</v>
      </c>
      <c r="E177">
        <v>0.03339937729974526</v>
      </c>
      <c r="F177">
        <v>0.01724137931034475</v>
      </c>
      <c r="G177">
        <v>0.01786844354535022</v>
      </c>
      <c r="H177">
        <v>2.316464910926565</v>
      </c>
      <c r="I177">
        <v>24032.1726</v>
      </c>
      <c r="J177">
        <v>16.17365909168343</v>
      </c>
      <c r="K177">
        <v>0.5325206691785208</v>
      </c>
      <c r="L177">
        <v>0.193410596341422</v>
      </c>
      <c r="M177">
        <v>76.54000000000001</v>
      </c>
      <c r="N177">
        <v>58.58</v>
      </c>
    </row>
    <row r="178" spans="1:14">
      <c r="A178" s="1" t="s">
        <v>190</v>
      </c>
      <c r="B178">
        <f>HYPERLINK("https://www.suredividend.com/sure-analysis-KALU/","Kaiser Aluminum Corp")</f>
        <v>0</v>
      </c>
      <c r="C178" t="s">
        <v>391</v>
      </c>
      <c r="D178">
        <v>79.23</v>
      </c>
      <c r="E178">
        <v>0.03887416382683327</v>
      </c>
      <c r="F178">
        <v>0.06944444444444442</v>
      </c>
      <c r="G178">
        <v>0.06961037572506878</v>
      </c>
      <c r="H178">
        <v>3.035062498040432</v>
      </c>
      <c r="I178">
        <v>1262.975719</v>
      </c>
      <c r="J178" t="s">
        <v>394</v>
      </c>
      <c r="K178" t="s">
        <v>394</v>
      </c>
      <c r="L178">
        <v>1.153582105294868</v>
      </c>
      <c r="M178">
        <v>105.21</v>
      </c>
      <c r="N178">
        <v>58.65</v>
      </c>
    </row>
    <row r="179" spans="1:14">
      <c r="A179" s="1" t="s">
        <v>191</v>
      </c>
      <c r="B179">
        <f>HYPERLINK("https://www.suredividend.com/sure-analysis-KEY/","Keycorp")</f>
        <v>0</v>
      </c>
      <c r="C179" t="s">
        <v>389</v>
      </c>
      <c r="D179">
        <v>17.84</v>
      </c>
      <c r="E179">
        <v>0.04596412556053812</v>
      </c>
      <c r="F179">
        <v>0.05128205128205132</v>
      </c>
      <c r="G179">
        <v>0.1431755108178514</v>
      </c>
      <c r="H179">
        <v>0.7777472178747381</v>
      </c>
      <c r="I179">
        <v>16644.177539</v>
      </c>
      <c r="J179">
        <v>8.029029203627593</v>
      </c>
      <c r="K179">
        <v>0.3503365846282604</v>
      </c>
      <c r="L179">
        <v>1.045684583144592</v>
      </c>
      <c r="M179">
        <v>26.13</v>
      </c>
      <c r="N179">
        <v>15.09</v>
      </c>
    </row>
    <row r="180" spans="1:14">
      <c r="A180" s="1" t="s">
        <v>192</v>
      </c>
      <c r="B180">
        <f>HYPERLINK("https://www.suredividend.com/sure-analysis-KLAC/","KLA Corp.")</f>
        <v>0</v>
      </c>
      <c r="C180" t="s">
        <v>387</v>
      </c>
      <c r="D180">
        <v>373.47</v>
      </c>
      <c r="E180">
        <v>0.01392347444239162</v>
      </c>
      <c r="F180">
        <v>0.2380952380952381</v>
      </c>
      <c r="G180">
        <v>0.1711654935423581</v>
      </c>
      <c r="H180">
        <v>4.677606414910008</v>
      </c>
      <c r="I180">
        <v>52927.543585</v>
      </c>
      <c r="J180">
        <v>16.13949205191163</v>
      </c>
      <c r="K180">
        <v>0.2123289339496145</v>
      </c>
      <c r="L180">
        <v>1.637862250147669</v>
      </c>
      <c r="M180">
        <v>451.24</v>
      </c>
      <c r="N180">
        <v>249.34</v>
      </c>
    </row>
    <row r="181" spans="1:14">
      <c r="A181" s="1" t="s">
        <v>193</v>
      </c>
      <c r="B181">
        <f>HYPERLINK("https://www.suredividend.com/sure-analysis-KMB/","Kimberly-Clark Corp.")</f>
        <v>0</v>
      </c>
      <c r="C181" t="s">
        <v>388</v>
      </c>
      <c r="D181">
        <v>135.54</v>
      </c>
      <c r="E181">
        <v>0.03423343662387487</v>
      </c>
      <c r="F181">
        <v>0.01754385964912264</v>
      </c>
      <c r="G181">
        <v>0.03012896281839894</v>
      </c>
      <c r="H181">
        <v>4.579424984645341</v>
      </c>
      <c r="I181">
        <v>45743.678421</v>
      </c>
      <c r="J181">
        <v>25.64107534795964</v>
      </c>
      <c r="K181">
        <v>0.8689610976556624</v>
      </c>
      <c r="L181">
        <v>0.350892938560013</v>
      </c>
      <c r="M181">
        <v>140.74</v>
      </c>
      <c r="N181">
        <v>107.82</v>
      </c>
    </row>
    <row r="182" spans="1:14">
      <c r="A182" s="1" t="s">
        <v>194</v>
      </c>
      <c r="B182">
        <f>HYPERLINK("https://www.suredividend.com/sure-analysis-KO/","Coca-Cola Co")</f>
        <v>0</v>
      </c>
      <c r="C182" t="s">
        <v>388</v>
      </c>
      <c r="D182">
        <v>62.2</v>
      </c>
      <c r="E182">
        <v>0.02829581993569132</v>
      </c>
      <c r="F182">
        <v>0.04761904761904767</v>
      </c>
      <c r="G182">
        <v>0.02441897433224605</v>
      </c>
      <c r="H182">
        <v>1.741268720121097</v>
      </c>
      <c r="I182">
        <v>268984.725021</v>
      </c>
      <c r="J182">
        <v>27.10173551846852</v>
      </c>
      <c r="K182">
        <v>0.7637143509303056</v>
      </c>
      <c r="L182">
        <v>0.4947688431240631</v>
      </c>
      <c r="M182">
        <v>65.77</v>
      </c>
      <c r="N182">
        <v>53.63</v>
      </c>
    </row>
    <row r="183" spans="1:14">
      <c r="A183" s="1" t="s">
        <v>195</v>
      </c>
      <c r="B183">
        <f>HYPERLINK("https://www.suredividend.com/sure-analysis-KR/","Kroger Co.")</f>
        <v>0</v>
      </c>
      <c r="C183" t="s">
        <v>388</v>
      </c>
      <c r="D183">
        <v>45.16</v>
      </c>
      <c r="E183">
        <v>0.02302922940655448</v>
      </c>
      <c r="F183">
        <v>0.2380952380952381</v>
      </c>
      <c r="G183">
        <v>0.1577443413531583</v>
      </c>
      <c r="H183">
        <v>0.9331423000543501</v>
      </c>
      <c r="I183">
        <v>32326.515875</v>
      </c>
      <c r="J183">
        <v>13.70929426420695</v>
      </c>
      <c r="K183">
        <v>0.2897957453584938</v>
      </c>
      <c r="L183">
        <v>0.351648660494728</v>
      </c>
      <c r="M183">
        <v>61.85</v>
      </c>
      <c r="N183">
        <v>41.58</v>
      </c>
    </row>
    <row r="184" spans="1:14">
      <c r="A184" s="1" t="s">
        <v>196</v>
      </c>
      <c r="B184">
        <f>HYPERLINK("https://www.suredividend.com/sure-analysis-research-database/","Kennedy-Wilson Holdings Inc")</f>
        <v>0</v>
      </c>
      <c r="C184" t="s">
        <v>392</v>
      </c>
      <c r="D184">
        <v>15.59</v>
      </c>
      <c r="E184">
        <v>0.06021942688692501</v>
      </c>
      <c r="F184">
        <v>0</v>
      </c>
      <c r="G184">
        <v>0.04783168830275741</v>
      </c>
      <c r="H184">
        <v>0.9388208651671661</v>
      </c>
      <c r="I184">
        <v>2148.158073</v>
      </c>
      <c r="J184">
        <v>26.95304985094103</v>
      </c>
      <c r="K184">
        <v>1.670797054933558</v>
      </c>
      <c r="L184">
        <v>0.9223650195872011</v>
      </c>
      <c r="M184">
        <v>24.16</v>
      </c>
      <c r="N184">
        <v>13.75</v>
      </c>
    </row>
    <row r="185" spans="1:14">
      <c r="A185" s="1" t="s">
        <v>197</v>
      </c>
      <c r="B185">
        <f>HYPERLINK("https://www.suredividend.com/sure-analysis-research-database/","Quaker Houghton")</f>
        <v>0</v>
      </c>
      <c r="C185" t="s">
        <v>391</v>
      </c>
      <c r="D185">
        <v>167.03</v>
      </c>
      <c r="E185">
        <v>0.010013238780973</v>
      </c>
      <c r="F185">
        <v>0.04819277108433728</v>
      </c>
      <c r="G185">
        <v>0.04148298890674518</v>
      </c>
      <c r="H185">
        <v>1.672511273586074</v>
      </c>
      <c r="I185">
        <v>2995.125838</v>
      </c>
      <c r="J185">
        <v>38.48391116204965</v>
      </c>
      <c r="K185">
        <v>0.383603503116072</v>
      </c>
      <c r="L185">
        <v>1.385597966513582</v>
      </c>
      <c r="M185">
        <v>229.77</v>
      </c>
      <c r="N185">
        <v>128.66</v>
      </c>
    </row>
    <row r="186" spans="1:14">
      <c r="A186" s="1" t="s">
        <v>198</v>
      </c>
      <c r="B186">
        <f>HYPERLINK("https://www.suredividend.com/sure-analysis-LAD/","Lithia Motors, Inc.")</f>
        <v>0</v>
      </c>
      <c r="C186" t="s">
        <v>393</v>
      </c>
      <c r="D186">
        <v>205.92</v>
      </c>
      <c r="E186">
        <v>0.008158508158508158</v>
      </c>
      <c r="F186">
        <v>0.1999999999999997</v>
      </c>
      <c r="G186">
        <v>0.09238846414037294</v>
      </c>
      <c r="H186">
        <v>1.602685410796734</v>
      </c>
      <c r="I186">
        <v>5629.525593</v>
      </c>
      <c r="J186">
        <v>4.349811152155771</v>
      </c>
      <c r="K186">
        <v>0.03591049542452911</v>
      </c>
      <c r="L186">
        <v>1.107121820847361</v>
      </c>
      <c r="M186">
        <v>346.77</v>
      </c>
      <c r="N186">
        <v>179.28</v>
      </c>
    </row>
    <row r="187" spans="1:14">
      <c r="A187" s="1" t="s">
        <v>199</v>
      </c>
      <c r="B187">
        <f>HYPERLINK("https://www.suredividend.com/sure-analysis-LANC/","Lancaster Colony Corp.")</f>
        <v>0</v>
      </c>
      <c r="C187" t="s">
        <v>388</v>
      </c>
      <c r="D187">
        <v>200.02</v>
      </c>
      <c r="E187">
        <v>0.016998300169983</v>
      </c>
      <c r="F187">
        <v>0.0625</v>
      </c>
      <c r="G187">
        <v>0.07214502590085092</v>
      </c>
      <c r="H187">
        <v>3.227365427867739</v>
      </c>
      <c r="I187">
        <v>5511.15106</v>
      </c>
      <c r="J187">
        <v>57.24800619104999</v>
      </c>
      <c r="K187">
        <v>0.9194773298768487</v>
      </c>
      <c r="L187">
        <v>0.403595555919173</v>
      </c>
      <c r="M187">
        <v>213.11</v>
      </c>
      <c r="N187">
        <v>115.2</v>
      </c>
    </row>
    <row r="188" spans="1:14">
      <c r="A188" s="1" t="s">
        <v>200</v>
      </c>
      <c r="B188">
        <f>HYPERLINK("https://www.suredividend.com/sure-analysis-research-database/","Lakeland Bancorp, Inc.")</f>
        <v>0</v>
      </c>
      <c r="C188" t="s">
        <v>389</v>
      </c>
      <c r="D188">
        <v>17.57</v>
      </c>
      <c r="E188">
        <v>0.03202991358948201</v>
      </c>
      <c r="F188" t="s">
        <v>394</v>
      </c>
      <c r="G188" t="s">
        <v>394</v>
      </c>
      <c r="H188">
        <v>0.562765581767214</v>
      </c>
      <c r="I188">
        <v>1138.704303</v>
      </c>
      <c r="J188">
        <v>12.01215560814802</v>
      </c>
      <c r="K188">
        <v>0.3630745688820736</v>
      </c>
      <c r="L188">
        <v>0.627602908337327</v>
      </c>
      <c r="M188">
        <v>20</v>
      </c>
      <c r="N188">
        <v>13.67</v>
      </c>
    </row>
    <row r="189" spans="1:14">
      <c r="A189" s="1" t="s">
        <v>201</v>
      </c>
      <c r="B189">
        <f>HYPERLINK("https://www.suredividend.com/sure-analysis-LECO/","Lincoln Electric Holdings, Inc.")</f>
        <v>0</v>
      </c>
      <c r="C189" t="s">
        <v>386</v>
      </c>
      <c r="D189">
        <v>148.35</v>
      </c>
      <c r="E189">
        <v>0.01725648803505224</v>
      </c>
      <c r="F189" t="s">
        <v>394</v>
      </c>
      <c r="G189" t="s">
        <v>394</v>
      </c>
      <c r="H189">
        <v>2.305094427244403</v>
      </c>
      <c r="I189">
        <v>8565.49164</v>
      </c>
      <c r="J189">
        <v>19.57804285665307</v>
      </c>
      <c r="K189">
        <v>0.3110788700734687</v>
      </c>
      <c r="L189">
        <v>0.7213614678531141</v>
      </c>
      <c r="M189">
        <v>150</v>
      </c>
      <c r="N189">
        <v>117.12</v>
      </c>
    </row>
    <row r="190" spans="1:14">
      <c r="A190" s="1" t="s">
        <v>202</v>
      </c>
      <c r="B190">
        <f>HYPERLINK("https://www.suredividend.com/sure-analysis-LEG/","Leggett &amp; Platt, Inc.")</f>
        <v>0</v>
      </c>
      <c r="C190" t="s">
        <v>393</v>
      </c>
      <c r="D190">
        <v>33.47</v>
      </c>
      <c r="E190">
        <v>0.0525844039438303</v>
      </c>
      <c r="F190">
        <v>0.04761904761904767</v>
      </c>
      <c r="G190">
        <v>0.04095039696925684</v>
      </c>
      <c r="H190">
        <v>1.708210534387782</v>
      </c>
      <c r="I190">
        <v>4437.365478</v>
      </c>
      <c r="J190">
        <v>12.23763231547159</v>
      </c>
      <c r="K190">
        <v>0.6446077488255781</v>
      </c>
      <c r="L190">
        <v>0.8746996013407431</v>
      </c>
      <c r="M190">
        <v>40.91</v>
      </c>
      <c r="N190">
        <v>29.89</v>
      </c>
    </row>
    <row r="191" spans="1:14">
      <c r="A191" s="1" t="s">
        <v>203</v>
      </c>
      <c r="B191">
        <f>HYPERLINK("https://www.suredividend.com/sure-analysis-research-database/","Littelfuse, Inc.")</f>
        <v>0</v>
      </c>
      <c r="C191" t="s">
        <v>387</v>
      </c>
      <c r="D191">
        <v>225.54</v>
      </c>
      <c r="E191">
        <v>0.009985490635593001</v>
      </c>
      <c r="F191">
        <v>0.1320754716981134</v>
      </c>
      <c r="G191">
        <v>0.1015137056700963</v>
      </c>
      <c r="H191">
        <v>2.252127557951708</v>
      </c>
      <c r="I191">
        <v>5583.222401</v>
      </c>
      <c r="J191">
        <v>16.81967067354329</v>
      </c>
      <c r="K191">
        <v>0.16958791852046</v>
      </c>
      <c r="L191">
        <v>1.128313678938825</v>
      </c>
      <c r="M191">
        <v>313.91</v>
      </c>
      <c r="N191">
        <v>191.71</v>
      </c>
    </row>
    <row r="192" spans="1:14">
      <c r="A192" s="1" t="s">
        <v>204</v>
      </c>
      <c r="B192">
        <f>HYPERLINK("https://www.suredividend.com/sure-analysis-LHX/","L3Harris Technologies Inc")</f>
        <v>0</v>
      </c>
      <c r="C192" t="s">
        <v>386</v>
      </c>
      <c r="D192">
        <v>206.13</v>
      </c>
      <c r="E192">
        <v>0.02173385727453549</v>
      </c>
      <c r="F192">
        <v>0.09803921568627461</v>
      </c>
      <c r="G192">
        <v>0.1446392486626633</v>
      </c>
      <c r="H192">
        <v>4.446928951705528</v>
      </c>
      <c r="I192">
        <v>39247.728133</v>
      </c>
      <c r="J192">
        <v>34.73250277287611</v>
      </c>
      <c r="K192">
        <v>0.7653922464209171</v>
      </c>
      <c r="L192">
        <v>0.389117258737339</v>
      </c>
      <c r="M192">
        <v>274.44</v>
      </c>
      <c r="N192">
        <v>202.16</v>
      </c>
    </row>
    <row r="193" spans="1:14">
      <c r="A193" s="1" t="s">
        <v>205</v>
      </c>
      <c r="B193">
        <f>HYPERLINK("https://www.suredividend.com/sure-analysis-LII/","Lennox International Inc")</f>
        <v>0</v>
      </c>
      <c r="C193" t="s">
        <v>386</v>
      </c>
      <c r="D193">
        <v>234.75</v>
      </c>
      <c r="E193">
        <v>0.01806176783812567</v>
      </c>
      <c r="F193">
        <v>0.1521739130434783</v>
      </c>
      <c r="G193">
        <v>0.1575696665803663</v>
      </c>
      <c r="H193">
        <v>4.073182724169526</v>
      </c>
      <c r="I193">
        <v>8319.248675000001</v>
      </c>
      <c r="J193">
        <v>17.11075416546689</v>
      </c>
      <c r="K193">
        <v>0.3032898528793392</v>
      </c>
      <c r="L193">
        <v>1.052068690112794</v>
      </c>
      <c r="M193">
        <v>307.54</v>
      </c>
      <c r="N193">
        <v>180.3</v>
      </c>
    </row>
    <row r="194" spans="1:14">
      <c r="A194" s="1" t="s">
        <v>206</v>
      </c>
      <c r="B194">
        <f>HYPERLINK("https://www.suredividend.com/sure-analysis-research-database/","Lakeland Financial Corp.")</f>
        <v>0</v>
      </c>
      <c r="C194" t="s">
        <v>389</v>
      </c>
      <c r="D194">
        <v>71.81</v>
      </c>
      <c r="E194">
        <v>0.0221012763275</v>
      </c>
      <c r="F194">
        <v>0.1764705882352942</v>
      </c>
      <c r="G194">
        <v>0.08997698704834534</v>
      </c>
      <c r="H194">
        <v>1.587092653077787</v>
      </c>
      <c r="I194">
        <v>1820.393123</v>
      </c>
      <c r="J194">
        <v>17.82549594645672</v>
      </c>
      <c r="K194">
        <v>0.3997714491379817</v>
      </c>
      <c r="L194">
        <v>0.4199712528222631</v>
      </c>
      <c r="M194">
        <v>83.91</v>
      </c>
      <c r="N194">
        <v>63.35</v>
      </c>
    </row>
    <row r="195" spans="1:14">
      <c r="A195" s="1" t="s">
        <v>207</v>
      </c>
      <c r="B195">
        <f>HYPERLINK("https://www.suredividend.com/sure-analysis-research-database/","Lemaitre Vascular Inc")</f>
        <v>0</v>
      </c>
      <c r="C195" t="s">
        <v>385</v>
      </c>
      <c r="D195">
        <v>44.73</v>
      </c>
      <c r="E195">
        <v>0.011133982321341</v>
      </c>
      <c r="F195">
        <v>0.1363636363636365</v>
      </c>
      <c r="G195">
        <v>0.1229551070568209</v>
      </c>
      <c r="H195">
        <v>0.498023029233589</v>
      </c>
      <c r="I195">
        <v>984.099362</v>
      </c>
      <c r="J195">
        <v>0</v>
      </c>
      <c r="K195" t="s">
        <v>394</v>
      </c>
      <c r="L195">
        <v>0.8265472842064631</v>
      </c>
      <c r="M195">
        <v>56.09</v>
      </c>
      <c r="N195">
        <v>38.01</v>
      </c>
    </row>
    <row r="196" spans="1:14">
      <c r="A196" s="1" t="s">
        <v>208</v>
      </c>
      <c r="B196">
        <f>HYPERLINK("https://www.suredividend.com/sure-analysis-LMT/","Lockheed Martin Corp.")</f>
        <v>0</v>
      </c>
      <c r="C196" t="s">
        <v>386</v>
      </c>
      <c r="D196">
        <v>477.07</v>
      </c>
      <c r="E196">
        <v>0.02515354140901754</v>
      </c>
      <c r="F196">
        <v>0.0714285714285714</v>
      </c>
      <c r="G196">
        <v>0.08447177119769855</v>
      </c>
      <c r="H196">
        <v>11.31128910929048</v>
      </c>
      <c r="I196">
        <v>125027.625528</v>
      </c>
      <c r="J196">
        <v>21.30305427302948</v>
      </c>
      <c r="K196">
        <v>0.5179161680078057</v>
      </c>
      <c r="L196">
        <v>0.295457869636431</v>
      </c>
      <c r="M196">
        <v>498.95</v>
      </c>
      <c r="N196">
        <v>351.17</v>
      </c>
    </row>
    <row r="197" spans="1:14">
      <c r="A197" s="1" t="s">
        <v>209</v>
      </c>
      <c r="B197">
        <f>HYPERLINK("https://www.suredividend.com/sure-analysis-LNC/","Lincoln National Corp.")</f>
        <v>0</v>
      </c>
      <c r="C197" t="s">
        <v>389</v>
      </c>
      <c r="D197">
        <v>31.16</v>
      </c>
      <c r="E197">
        <v>0.05776636713735558</v>
      </c>
      <c r="F197">
        <v>0</v>
      </c>
      <c r="G197">
        <v>0.06399531281508364</v>
      </c>
      <c r="H197">
        <v>1.775999132195255</v>
      </c>
      <c r="I197">
        <v>5272.753858</v>
      </c>
      <c r="J197" t="s">
        <v>394</v>
      </c>
      <c r="K197" t="s">
        <v>394</v>
      </c>
      <c r="L197">
        <v>1.407809059024885</v>
      </c>
      <c r="M197">
        <v>74.45</v>
      </c>
      <c r="N197">
        <v>28.61</v>
      </c>
    </row>
    <row r="198" spans="1:14">
      <c r="A198" s="1" t="s">
        <v>210</v>
      </c>
      <c r="B198">
        <f>HYPERLINK("https://www.suredividend.com/sure-analysis-LNN/","Lindsay Corporation")</f>
        <v>0</v>
      </c>
      <c r="C198" t="s">
        <v>386</v>
      </c>
      <c r="D198">
        <v>161.86</v>
      </c>
      <c r="E198">
        <v>0.008402322995181021</v>
      </c>
      <c r="F198" t="s">
        <v>394</v>
      </c>
      <c r="G198" t="s">
        <v>394</v>
      </c>
      <c r="H198">
        <v>1.335783011559652</v>
      </c>
      <c r="I198">
        <v>1781.569065</v>
      </c>
      <c r="J198">
        <v>27.21240686004064</v>
      </c>
      <c r="K198">
        <v>0.2248792948753623</v>
      </c>
      <c r="L198">
        <v>0.8060518796585361</v>
      </c>
      <c r="M198">
        <v>183.08</v>
      </c>
      <c r="N198">
        <v>116.3</v>
      </c>
    </row>
    <row r="199" spans="1:14">
      <c r="A199" s="1" t="s">
        <v>211</v>
      </c>
      <c r="B199">
        <f>HYPERLINK("https://www.suredividend.com/sure-analysis-LNT/","Alliant Energy Corp.")</f>
        <v>0</v>
      </c>
      <c r="C199" t="s">
        <v>390</v>
      </c>
      <c r="D199">
        <v>54.13</v>
      </c>
      <c r="E199">
        <v>0.03159061518566414</v>
      </c>
      <c r="F199">
        <v>0.06211180124223614</v>
      </c>
      <c r="G199">
        <v>0.04997331683701267</v>
      </c>
      <c r="H199">
        <v>1.690096437643406</v>
      </c>
      <c r="I199">
        <v>13587.811658</v>
      </c>
      <c r="J199">
        <v>20.40211960645646</v>
      </c>
      <c r="K199">
        <v>0.6377722406201533</v>
      </c>
      <c r="L199">
        <v>0.494922405662275</v>
      </c>
      <c r="M199">
        <v>64.08</v>
      </c>
      <c r="N199">
        <v>46.79</v>
      </c>
    </row>
    <row r="200" spans="1:14">
      <c r="A200" s="1" t="s">
        <v>212</v>
      </c>
      <c r="B200">
        <f>HYPERLINK("https://www.suredividend.com/sure-analysis-LOW/","Lowe`s Cos., Inc.")</f>
        <v>0</v>
      </c>
      <c r="C200" t="s">
        <v>393</v>
      </c>
      <c r="D200">
        <v>200.77</v>
      </c>
      <c r="E200">
        <v>0.02091946007869702</v>
      </c>
      <c r="F200">
        <v>0.3125</v>
      </c>
      <c r="G200">
        <v>0.2069272376856006</v>
      </c>
      <c r="H200">
        <v>3.673094315728159</v>
      </c>
      <c r="I200">
        <v>124618.052837</v>
      </c>
      <c r="J200">
        <v>18.70861024419606</v>
      </c>
      <c r="K200">
        <v>0.3580013952951422</v>
      </c>
      <c r="L200">
        <v>0.9701175674865491</v>
      </c>
      <c r="M200">
        <v>253.48</v>
      </c>
      <c r="N200">
        <v>168.22</v>
      </c>
    </row>
    <row r="201" spans="1:14">
      <c r="A201" s="1" t="s">
        <v>213</v>
      </c>
      <c r="B201">
        <f>HYPERLINK("https://www.suredividend.com/sure-analysis-LYB/","LyondellBasell Industries NV")</f>
        <v>0</v>
      </c>
      <c r="C201" t="s">
        <v>391</v>
      </c>
      <c r="D201">
        <v>86.93000000000001</v>
      </c>
      <c r="E201">
        <v>0.05475670079374208</v>
      </c>
      <c r="F201">
        <v>0.05309734513274345</v>
      </c>
      <c r="G201">
        <v>0.03540293633542868</v>
      </c>
      <c r="H201">
        <v>4.619252392133336</v>
      </c>
      <c r="I201">
        <v>28306.531961</v>
      </c>
      <c r="J201">
        <v>6.660360461338824</v>
      </c>
      <c r="K201">
        <v>0.3580815807855299</v>
      </c>
      <c r="L201">
        <v>0.825705232405311</v>
      </c>
      <c r="M201">
        <v>111.05</v>
      </c>
      <c r="N201">
        <v>71.45999999999999</v>
      </c>
    </row>
    <row r="202" spans="1:14">
      <c r="A202" s="1" t="s">
        <v>214</v>
      </c>
      <c r="B202">
        <f>HYPERLINK("https://www.suredividend.com/sure-analysis-MA/","Mastercard Incorporated")</f>
        <v>0</v>
      </c>
      <c r="C202" t="s">
        <v>389</v>
      </c>
      <c r="D202">
        <v>351.2</v>
      </c>
      <c r="E202">
        <v>0.006492027334851936</v>
      </c>
      <c r="F202">
        <v>0.1632653061224492</v>
      </c>
      <c r="G202">
        <v>0.1791986393694678</v>
      </c>
      <c r="H202">
        <v>1.465294446566637</v>
      </c>
      <c r="I202">
        <v>334975.627999</v>
      </c>
      <c r="J202">
        <v>34.23708381022077</v>
      </c>
      <c r="K202">
        <v>0.1463830615950686</v>
      </c>
      <c r="L202">
        <v>1.102228453377744</v>
      </c>
      <c r="M202">
        <v>397.47</v>
      </c>
      <c r="N202">
        <v>276.42</v>
      </c>
    </row>
    <row r="203" spans="1:14">
      <c r="A203" s="1" t="s">
        <v>215</v>
      </c>
      <c r="B203">
        <f>HYPERLINK("https://www.suredividend.com/sure-analysis-MAA/","Mid-America Apartment Communities, Inc.")</f>
        <v>0</v>
      </c>
      <c r="C203" t="s">
        <v>392</v>
      </c>
      <c r="D203">
        <v>153.01</v>
      </c>
      <c r="E203">
        <v>0.03267760277106072</v>
      </c>
      <c r="F203">
        <v>0.2195121951219514</v>
      </c>
      <c r="G203">
        <v>0.0626462834452628</v>
      </c>
      <c r="H203">
        <v>4.623931027235884</v>
      </c>
      <c r="I203">
        <v>17669.138524</v>
      </c>
      <c r="J203">
        <v>28.3088952650864</v>
      </c>
      <c r="K203">
        <v>0.8562835235622006</v>
      </c>
      <c r="L203">
        <v>0.723725835332314</v>
      </c>
      <c r="M203">
        <v>215.69</v>
      </c>
      <c r="N203">
        <v>141.13</v>
      </c>
    </row>
    <row r="204" spans="1:14">
      <c r="A204" s="1" t="s">
        <v>216</v>
      </c>
      <c r="B204">
        <f>HYPERLINK("https://www.suredividend.com/sure-analysis-MAN/","ManpowerGroup")</f>
        <v>0</v>
      </c>
      <c r="C204" t="s">
        <v>386</v>
      </c>
      <c r="D204">
        <v>86.55</v>
      </c>
      <c r="E204">
        <v>0.03142692085499711</v>
      </c>
      <c r="F204" t="s">
        <v>394</v>
      </c>
      <c r="G204" t="s">
        <v>394</v>
      </c>
      <c r="H204">
        <v>2.698840425664753</v>
      </c>
      <c r="I204">
        <v>4375.719861</v>
      </c>
      <c r="J204">
        <v>10.03145314339752</v>
      </c>
      <c r="K204">
        <v>0.3331901760079942</v>
      </c>
      <c r="L204">
        <v>1.055632295297308</v>
      </c>
      <c r="M204">
        <v>113.74</v>
      </c>
      <c r="N204">
        <v>63</v>
      </c>
    </row>
    <row r="205" spans="1:14">
      <c r="A205" s="1" t="s">
        <v>217</v>
      </c>
      <c r="B205">
        <f>HYPERLINK("https://www.suredividend.com/sure-analysis-MATW/","Matthews International Corp.")</f>
        <v>0</v>
      </c>
      <c r="C205" t="s">
        <v>386</v>
      </c>
      <c r="D205">
        <v>35.95</v>
      </c>
      <c r="E205">
        <v>0.02559109874826147</v>
      </c>
      <c r="F205">
        <v>0.04545454545454541</v>
      </c>
      <c r="G205">
        <v>0.03895047748988278</v>
      </c>
      <c r="H205">
        <v>0.8846922764739821</v>
      </c>
      <c r="I205">
        <v>1089.214933</v>
      </c>
      <c r="J205" t="s">
        <v>394</v>
      </c>
      <c r="K205" t="s">
        <v>394</v>
      </c>
      <c r="L205">
        <v>0.7379355942889491</v>
      </c>
      <c r="M205">
        <v>37.14</v>
      </c>
      <c r="N205">
        <v>22.12</v>
      </c>
    </row>
    <row r="206" spans="1:14">
      <c r="A206" s="1" t="s">
        <v>218</v>
      </c>
      <c r="B206">
        <f>HYPERLINK("https://www.suredividend.com/sure-analysis-MCD/","McDonald`s Corp")</f>
        <v>0</v>
      </c>
      <c r="C206" t="s">
        <v>393</v>
      </c>
      <c r="D206">
        <v>262.16</v>
      </c>
      <c r="E206">
        <v>0.02319194385108331</v>
      </c>
      <c r="F206">
        <v>0.1014492753623188</v>
      </c>
      <c r="G206">
        <v>0.08518665103512735</v>
      </c>
      <c r="H206">
        <v>5.614350645059032</v>
      </c>
      <c r="I206">
        <v>192012.247527</v>
      </c>
      <c r="J206">
        <v>32.47399667276418</v>
      </c>
      <c r="K206">
        <v>0.7070970585716665</v>
      </c>
      <c r="L206">
        <v>0.486801294950006</v>
      </c>
      <c r="M206">
        <v>280.09</v>
      </c>
      <c r="N206">
        <v>214.09</v>
      </c>
    </row>
    <row r="207" spans="1:14">
      <c r="A207" s="1" t="s">
        <v>219</v>
      </c>
      <c r="B207">
        <f>HYPERLINK("https://www.suredividend.com/sure-analysis-MCHP/","Microchip Technology, Inc.")</f>
        <v>0</v>
      </c>
      <c r="C207" t="s">
        <v>387</v>
      </c>
      <c r="D207">
        <v>69.09999999999999</v>
      </c>
      <c r="E207">
        <v>0.01895803183791607</v>
      </c>
      <c r="F207">
        <v>0.4137931034482758</v>
      </c>
      <c r="G207" t="s">
        <v>394</v>
      </c>
      <c r="H207">
        <v>1.151071677583935</v>
      </c>
      <c r="I207">
        <v>38005.601861</v>
      </c>
      <c r="J207">
        <v>20.60929551596985</v>
      </c>
      <c r="K207">
        <v>0.3509364870682728</v>
      </c>
      <c r="L207">
        <v>1.602386745104244</v>
      </c>
      <c r="M207">
        <v>85.39</v>
      </c>
      <c r="N207">
        <v>53.86</v>
      </c>
    </row>
    <row r="208" spans="1:14">
      <c r="A208" s="1" t="s">
        <v>220</v>
      </c>
      <c r="B208">
        <f>HYPERLINK("https://www.suredividend.com/sure-analysis-MCK/","Mckesson Corporation")</f>
        <v>0</v>
      </c>
      <c r="C208" t="s">
        <v>385</v>
      </c>
      <c r="D208">
        <v>374.05</v>
      </c>
      <c r="E208">
        <v>0.005774629060286058</v>
      </c>
      <c r="F208">
        <v>0.1489361702127661</v>
      </c>
      <c r="G208">
        <v>0.09694024046466465</v>
      </c>
      <c r="H208">
        <v>2.016514269316799</v>
      </c>
      <c r="I208">
        <v>53037.851194</v>
      </c>
      <c r="J208">
        <v>25.80917333041362</v>
      </c>
      <c r="K208">
        <v>0.1453867533754001</v>
      </c>
      <c r="L208">
        <v>0.393521522644699</v>
      </c>
      <c r="M208">
        <v>401.21</v>
      </c>
      <c r="N208">
        <v>236.52</v>
      </c>
    </row>
    <row r="209" spans="1:14">
      <c r="A209" s="1" t="s">
        <v>221</v>
      </c>
      <c r="B209">
        <f>HYPERLINK("https://www.suredividend.com/sure-analysis-MCO/","Moody`s Corp.")</f>
        <v>0</v>
      </c>
      <c r="C209" t="s">
        <v>389</v>
      </c>
      <c r="D209">
        <v>276.69</v>
      </c>
      <c r="E209">
        <v>0.01011962846506921</v>
      </c>
      <c r="F209">
        <v>0</v>
      </c>
      <c r="G209">
        <v>0.09730933214999538</v>
      </c>
      <c r="H209">
        <v>2.784506769015755</v>
      </c>
      <c r="I209">
        <v>50689.608</v>
      </c>
      <c r="J209">
        <v>32.59781864951768</v>
      </c>
      <c r="K209">
        <v>0.3326770333352157</v>
      </c>
      <c r="L209">
        <v>1.15271614752612</v>
      </c>
      <c r="M209">
        <v>371.94</v>
      </c>
      <c r="N209">
        <v>228.98</v>
      </c>
    </row>
    <row r="210" spans="1:14">
      <c r="A210" s="1" t="s">
        <v>222</v>
      </c>
      <c r="B210">
        <f>HYPERLINK("https://www.suredividend.com/sure-analysis-MCY/","Mercury General Corp.")</f>
        <v>0</v>
      </c>
      <c r="C210" t="s">
        <v>389</v>
      </c>
      <c r="D210">
        <v>35.69</v>
      </c>
      <c r="E210">
        <v>0.03558419725413281</v>
      </c>
      <c r="F210" t="s">
        <v>394</v>
      </c>
      <c r="G210" t="s">
        <v>394</v>
      </c>
      <c r="H210">
        <v>1.870115824214888</v>
      </c>
      <c r="I210">
        <v>1976.195523</v>
      </c>
      <c r="J210" t="s">
        <v>394</v>
      </c>
      <c r="K210" t="s">
        <v>394</v>
      </c>
      <c r="L210">
        <v>0.422115687945213</v>
      </c>
      <c r="M210">
        <v>54.46</v>
      </c>
      <c r="N210">
        <v>27.64</v>
      </c>
    </row>
    <row r="211" spans="1:14">
      <c r="A211" s="1" t="s">
        <v>223</v>
      </c>
      <c r="B211">
        <f>HYPERLINK("https://www.suredividend.com/sure-analysis-MDT/","Medtronic Plc")</f>
        <v>0</v>
      </c>
      <c r="C211" t="s">
        <v>385</v>
      </c>
      <c r="D211">
        <v>80.03</v>
      </c>
      <c r="E211">
        <v>0.03398725477945771</v>
      </c>
      <c r="F211">
        <v>0.07936507936507953</v>
      </c>
      <c r="G211">
        <v>0.08130999208865752</v>
      </c>
      <c r="H211">
        <v>2.63743394349721</v>
      </c>
      <c r="I211">
        <v>106454.303639</v>
      </c>
      <c r="J211">
        <v>24.62509915321305</v>
      </c>
      <c r="K211">
        <v>0.8165430165626036</v>
      </c>
      <c r="L211">
        <v>0.649520751619994</v>
      </c>
      <c r="M211">
        <v>111.55</v>
      </c>
      <c r="N211">
        <v>75.09999999999999</v>
      </c>
    </row>
    <row r="212" spans="1:14">
      <c r="A212" s="1" t="s">
        <v>224</v>
      </c>
      <c r="B212">
        <f>HYPERLINK("https://www.suredividend.com/sure-analysis-MDU/","MDU Resources Group Inc")</f>
        <v>0</v>
      </c>
      <c r="C212" t="s">
        <v>391</v>
      </c>
      <c r="D212">
        <v>30.09</v>
      </c>
      <c r="E212">
        <v>0.02957793286806248</v>
      </c>
      <c r="F212" t="s">
        <v>394</v>
      </c>
      <c r="G212" t="s">
        <v>394</v>
      </c>
      <c r="H212">
        <v>0.8654386111464371</v>
      </c>
      <c r="I212">
        <v>6118.823767</v>
      </c>
      <c r="J212">
        <v>18.1602498007034</v>
      </c>
      <c r="K212">
        <v>0.5213485609315885</v>
      </c>
      <c r="L212">
        <v>0.6463712234666591</v>
      </c>
      <c r="M212">
        <v>31.72</v>
      </c>
      <c r="N212">
        <v>24.37</v>
      </c>
    </row>
    <row r="213" spans="1:14">
      <c r="A213" s="1" t="s">
        <v>225</v>
      </c>
      <c r="B213">
        <f>HYPERLINK("https://www.suredividend.com/sure-analysis-MGEE/","MGE Energy, Inc.")</f>
        <v>0</v>
      </c>
      <c r="C213" t="s">
        <v>390</v>
      </c>
      <c r="D213">
        <v>69.27</v>
      </c>
      <c r="E213">
        <v>0.02353111014869352</v>
      </c>
      <c r="F213">
        <v>0.05161290322580658</v>
      </c>
      <c r="G213">
        <v>0.04789936894460256</v>
      </c>
      <c r="H213">
        <v>1.577264632622978</v>
      </c>
      <c r="I213">
        <v>2505.03664</v>
      </c>
      <c r="J213">
        <v>24.32995639028369</v>
      </c>
      <c r="K213">
        <v>0.5534261868852555</v>
      </c>
      <c r="L213">
        <v>0.433479170411622</v>
      </c>
      <c r="M213">
        <v>85.31999999999999</v>
      </c>
      <c r="N213">
        <v>61.31</v>
      </c>
    </row>
    <row r="214" spans="1:14">
      <c r="A214" s="1" t="s">
        <v>226</v>
      </c>
      <c r="B214">
        <f>HYPERLINK("https://www.suredividend.com/sure-analysis-MGRC/","McGrath Rentcorp")</f>
        <v>0</v>
      </c>
      <c r="C214" t="s">
        <v>386</v>
      </c>
      <c r="D214">
        <v>98.16</v>
      </c>
      <c r="E214">
        <v>0.01854115729421353</v>
      </c>
      <c r="F214">
        <v>0.04597701149425282</v>
      </c>
      <c r="G214">
        <v>0.1184269147201447</v>
      </c>
      <c r="H214">
        <v>1.785119503754775</v>
      </c>
      <c r="I214">
        <v>2393.380801</v>
      </c>
      <c r="J214">
        <v>23.02567537520203</v>
      </c>
      <c r="K214">
        <v>0.4210187508855602</v>
      </c>
      <c r="L214">
        <v>0.6115868398931691</v>
      </c>
      <c r="M214">
        <v>100.3</v>
      </c>
      <c r="N214">
        <v>69.98</v>
      </c>
    </row>
    <row r="215" spans="1:14">
      <c r="A215" s="1" t="s">
        <v>227</v>
      </c>
      <c r="B215">
        <f>HYPERLINK("https://www.suredividend.com/sure-analysis-MKC/","McCormick &amp; Co., Inc.")</f>
        <v>0</v>
      </c>
      <c r="C215" t="s">
        <v>388</v>
      </c>
      <c r="D215">
        <v>84.45</v>
      </c>
      <c r="E215">
        <v>0.01752516281823564</v>
      </c>
      <c r="F215">
        <v>0.05405405405405417</v>
      </c>
      <c r="G215" t="s">
        <v>394</v>
      </c>
      <c r="H215">
        <v>1.489397240505706</v>
      </c>
      <c r="I215">
        <v>22659.414287</v>
      </c>
      <c r="J215">
        <v>32.66457299554563</v>
      </c>
      <c r="K215">
        <v>0.5795320001967728</v>
      </c>
      <c r="L215">
        <v>0.4697838924590491</v>
      </c>
      <c r="M215">
        <v>105.45</v>
      </c>
      <c r="N215">
        <v>70.48999999999999</v>
      </c>
    </row>
    <row r="216" spans="1:14">
      <c r="A216" s="1" t="s">
        <v>228</v>
      </c>
      <c r="B216">
        <f>HYPERLINK("https://www.suredividend.com/sure-analysis-MKTX/","MarketAxess Holdings Inc.")</f>
        <v>0</v>
      </c>
      <c r="C216" t="s">
        <v>389</v>
      </c>
      <c r="D216">
        <v>298.23</v>
      </c>
      <c r="E216">
        <v>0.009388726821580658</v>
      </c>
      <c r="F216">
        <v>0.06060606060606055</v>
      </c>
      <c r="G216">
        <v>0.1075663432482901</v>
      </c>
      <c r="H216">
        <v>2.788485091343881</v>
      </c>
      <c r="I216">
        <v>11224.429723</v>
      </c>
      <c r="J216">
        <v>46.15630913053133</v>
      </c>
      <c r="K216">
        <v>0.4329945794012237</v>
      </c>
      <c r="L216">
        <v>0.8919461025153511</v>
      </c>
      <c r="M216">
        <v>386.96</v>
      </c>
      <c r="N216">
        <v>216.82</v>
      </c>
    </row>
    <row r="217" spans="1:14">
      <c r="A217" s="1" t="s">
        <v>229</v>
      </c>
      <c r="B217">
        <f>HYPERLINK("https://www.suredividend.com/sure-analysis-MMC/","Marsh &amp; McLennan Cos., Inc.")</f>
        <v>0</v>
      </c>
      <c r="C217" t="s">
        <v>389</v>
      </c>
      <c r="D217">
        <v>166.14</v>
      </c>
      <c r="E217">
        <v>0.01420488744432406</v>
      </c>
      <c r="F217">
        <v>0.1028037383177569</v>
      </c>
      <c r="G217">
        <v>0.09487401536266371</v>
      </c>
      <c r="H217">
        <v>2.238152047635877</v>
      </c>
      <c r="I217">
        <v>82407.019327</v>
      </c>
      <c r="J217">
        <v>24.33038657420726</v>
      </c>
      <c r="K217">
        <v>0.3355550296305663</v>
      </c>
      <c r="L217">
        <v>0.8589965826518341</v>
      </c>
      <c r="M217">
        <v>181.77</v>
      </c>
      <c r="N217">
        <v>141.29</v>
      </c>
    </row>
    <row r="218" spans="1:14">
      <c r="A218" s="1" t="s">
        <v>230</v>
      </c>
      <c r="B218">
        <f>HYPERLINK("https://www.suredividend.com/sure-analysis-MMM/","3M Co.")</f>
        <v>0</v>
      </c>
      <c r="C218" t="s">
        <v>386</v>
      </c>
      <c r="D218">
        <v>122.96</v>
      </c>
      <c r="E218">
        <v>0.04847104749512036</v>
      </c>
      <c r="F218">
        <v>0.006756756756756799</v>
      </c>
      <c r="G218">
        <v>0.01842598560270892</v>
      </c>
      <c r="H218">
        <v>5.863760260960179</v>
      </c>
      <c r="I218">
        <v>67965.268828</v>
      </c>
      <c r="J218">
        <v>10.33692301572624</v>
      </c>
      <c r="K218">
        <v>0.5121188000838585</v>
      </c>
      <c r="L218">
        <v>0.692305335836056</v>
      </c>
      <c r="M218">
        <v>173.96</v>
      </c>
      <c r="N218">
        <v>105.83</v>
      </c>
    </row>
    <row r="219" spans="1:14">
      <c r="A219" s="1" t="s">
        <v>231</v>
      </c>
      <c r="B219">
        <f>HYPERLINK("https://www.suredividend.com/sure-analysis-MMP/","Magellan Midstream Partners L.P.")</f>
        <v>0</v>
      </c>
      <c r="C219" t="s">
        <v>396</v>
      </c>
      <c r="D219">
        <v>51.21</v>
      </c>
      <c r="E219">
        <v>0.08181995703964071</v>
      </c>
      <c r="F219">
        <v>0.009638554216867545</v>
      </c>
      <c r="G219">
        <v>0.02629742879444374</v>
      </c>
      <c r="H219">
        <v>4.037391978444962</v>
      </c>
      <c r="I219">
        <v>10494.776503</v>
      </c>
      <c r="J219">
        <v>9.601228565493756</v>
      </c>
      <c r="K219">
        <v>0.7809268817108244</v>
      </c>
      <c r="L219">
        <v>0.4853035070323901</v>
      </c>
      <c r="M219">
        <v>53.89</v>
      </c>
      <c r="N219">
        <v>42.45</v>
      </c>
    </row>
    <row r="220" spans="1:14">
      <c r="A220" s="1" t="s">
        <v>232</v>
      </c>
      <c r="B220">
        <f>HYPERLINK("https://www.suredividend.com/sure-analysis-research-database/","Monro Inc")</f>
        <v>0</v>
      </c>
      <c r="C220" t="s">
        <v>393</v>
      </c>
      <c r="D220">
        <v>45.67</v>
      </c>
      <c r="E220">
        <v>0.023880082122599</v>
      </c>
      <c r="F220">
        <v>0.07692307692307709</v>
      </c>
      <c r="G220">
        <v>0.09238846414037316</v>
      </c>
      <c r="H220">
        <v>1.090603350539127</v>
      </c>
      <c r="I220">
        <v>1436.571406</v>
      </c>
      <c r="J220">
        <v>28.72568298820236</v>
      </c>
      <c r="K220">
        <v>0.7368941557696804</v>
      </c>
      <c r="L220">
        <v>0.808625199750262</v>
      </c>
      <c r="M220">
        <v>58.39</v>
      </c>
      <c r="N220">
        <v>36.84</v>
      </c>
    </row>
    <row r="221" spans="1:14">
      <c r="A221" s="1" t="s">
        <v>233</v>
      </c>
      <c r="B221">
        <f>HYPERLINK("https://www.suredividend.com/sure-analysis-MO/","Altria Group Inc.")</f>
        <v>0</v>
      </c>
      <c r="C221" t="s">
        <v>388</v>
      </c>
      <c r="D221">
        <v>45.37</v>
      </c>
      <c r="E221">
        <v>0.08287414591139519</v>
      </c>
      <c r="F221">
        <v>0.04444444444444451</v>
      </c>
      <c r="G221">
        <v>0.06073271303853334</v>
      </c>
      <c r="H221">
        <v>3.569500084064888</v>
      </c>
      <c r="I221">
        <v>81310.871679</v>
      </c>
      <c r="J221">
        <v>17.35928088784372</v>
      </c>
      <c r="K221">
        <v>1.383527164366236</v>
      </c>
      <c r="L221">
        <v>0.334657656718159</v>
      </c>
      <c r="M221">
        <v>53.63</v>
      </c>
      <c r="N221">
        <v>39.29</v>
      </c>
    </row>
    <row r="222" spans="1:14">
      <c r="A222" s="1" t="s">
        <v>234</v>
      </c>
      <c r="B222">
        <f>HYPERLINK("https://www.suredividend.com/sure-analysis-MORN/","Morningstar Inc")</f>
        <v>0</v>
      </c>
      <c r="C222" t="s">
        <v>389</v>
      </c>
      <c r="D222">
        <v>214.93</v>
      </c>
      <c r="E222">
        <v>0.006979016423951984</v>
      </c>
      <c r="F222">
        <v>0.04166666666666674</v>
      </c>
      <c r="G222">
        <v>0.08447177119769855</v>
      </c>
      <c r="H222">
        <v>1.451412692355211</v>
      </c>
      <c r="I222">
        <v>9122.959187</v>
      </c>
      <c r="J222">
        <v>73.75068057267583</v>
      </c>
      <c r="K222">
        <v>0.5057187081377041</v>
      </c>
      <c r="L222">
        <v>1.197987617309941</v>
      </c>
      <c r="M222">
        <v>320.16</v>
      </c>
      <c r="N222">
        <v>206.76</v>
      </c>
    </row>
    <row r="223" spans="1:14">
      <c r="A223" s="1" t="s">
        <v>235</v>
      </c>
      <c r="B223">
        <f>HYPERLINK("https://www.suredividend.com/sure-analysis-MRK/","Merck &amp; Co Inc")</f>
        <v>0</v>
      </c>
      <c r="C223" t="s">
        <v>385</v>
      </c>
      <c r="D223">
        <v>113.64</v>
      </c>
      <c r="E223">
        <v>0.02428722280887011</v>
      </c>
      <c r="F223">
        <v>0.05797101449275344</v>
      </c>
      <c r="G223">
        <v>0.08746759523109526</v>
      </c>
      <c r="H223">
        <v>2.76989191221934</v>
      </c>
      <c r="I223">
        <v>288122.398485</v>
      </c>
      <c r="J223">
        <v>18.8808911196173</v>
      </c>
      <c r="K223">
        <v>0.4555743276676546</v>
      </c>
      <c r="L223">
        <v>0.2943208939954</v>
      </c>
      <c r="M223">
        <v>113.91</v>
      </c>
      <c r="N223">
        <v>70.61</v>
      </c>
    </row>
    <row r="224" spans="1:14">
      <c r="A224" s="1" t="s">
        <v>236</v>
      </c>
      <c r="B224">
        <f>HYPERLINK("https://www.suredividend.com/sure-analysis-MSA/","MSA Safety Inc")</f>
        <v>0</v>
      </c>
      <c r="C224" t="s">
        <v>386</v>
      </c>
      <c r="D224">
        <v>141.16</v>
      </c>
      <c r="E224">
        <v>0.01303485406630774</v>
      </c>
      <c r="F224">
        <v>0.04545454545454541</v>
      </c>
      <c r="G224">
        <v>0.05618004403862731</v>
      </c>
      <c r="H224">
        <v>1.810666965346494</v>
      </c>
      <c r="I224">
        <v>5533.239086</v>
      </c>
      <c r="J224">
        <v>80.12335953315281</v>
      </c>
      <c r="K224">
        <v>1.034666837340854</v>
      </c>
      <c r="L224">
        <v>0.792931603832825</v>
      </c>
      <c r="M224">
        <v>147.59</v>
      </c>
      <c r="N224">
        <v>108.39</v>
      </c>
    </row>
    <row r="225" spans="1:14">
      <c r="A225" s="1" t="s">
        <v>237</v>
      </c>
      <c r="B225">
        <f>HYPERLINK("https://www.suredividend.com/sure-analysis-MSEX/","Middlesex Water Co.")</f>
        <v>0</v>
      </c>
      <c r="C225" t="s">
        <v>390</v>
      </c>
      <c r="D225">
        <v>77.62</v>
      </c>
      <c r="E225">
        <v>0.01610409688224684</v>
      </c>
      <c r="F225">
        <v>0.07758620689655182</v>
      </c>
      <c r="G225">
        <v>0.06909770076071187</v>
      </c>
      <c r="H225">
        <v>1.176713378433056</v>
      </c>
      <c r="I225">
        <v>1369.107744</v>
      </c>
      <c r="J225">
        <v>32.30856484566736</v>
      </c>
      <c r="K225">
        <v>0.4902972410137733</v>
      </c>
      <c r="L225">
        <v>0.5643697391569881</v>
      </c>
      <c r="M225">
        <v>114.08</v>
      </c>
      <c r="N225">
        <v>73.94</v>
      </c>
    </row>
    <row r="226" spans="1:14">
      <c r="A226" s="1" t="s">
        <v>238</v>
      </c>
      <c r="B226">
        <f>HYPERLINK("https://www.suredividend.com/sure-analysis-MSFT/","Microsoft Corporation")</f>
        <v>0</v>
      </c>
      <c r="C226" t="s">
        <v>387</v>
      </c>
      <c r="D226">
        <v>222.31</v>
      </c>
      <c r="E226">
        <v>0.01223516710899195</v>
      </c>
      <c r="F226">
        <v>0.09677419354838723</v>
      </c>
      <c r="G226">
        <v>0.1011637965442986</v>
      </c>
      <c r="H226">
        <v>2.530720170399952</v>
      </c>
      <c r="I226">
        <v>1657655.067218</v>
      </c>
      <c r="J226">
        <v>23.75238314373383</v>
      </c>
      <c r="K226">
        <v>0.272706914913788</v>
      </c>
      <c r="L226">
        <v>1.271077421570713</v>
      </c>
      <c r="M226">
        <v>320.41</v>
      </c>
      <c r="N226">
        <v>212.83</v>
      </c>
    </row>
    <row r="227" spans="1:14">
      <c r="A227" s="1" t="s">
        <v>239</v>
      </c>
      <c r="B227">
        <f>HYPERLINK("https://www.suredividend.com/sure-analysis-research-database/","Motorola Solutions Inc")</f>
        <v>0</v>
      </c>
      <c r="C227" t="s">
        <v>387</v>
      </c>
      <c r="D227">
        <v>255.12</v>
      </c>
      <c r="E227">
        <v>0.012676689639456</v>
      </c>
      <c r="F227">
        <v>0.1139240506329113</v>
      </c>
      <c r="G227">
        <v>0.1109534595426207</v>
      </c>
      <c r="H227">
        <v>3.234077060818107</v>
      </c>
      <c r="I227">
        <v>42656.88268</v>
      </c>
      <c r="J227">
        <v>36.30372994049362</v>
      </c>
      <c r="K227">
        <v>0.4742048476272884</v>
      </c>
      <c r="L227">
        <v>0.9410037952682561</v>
      </c>
      <c r="M227">
        <v>274.25</v>
      </c>
      <c r="N227">
        <v>193.91</v>
      </c>
    </row>
    <row r="228" spans="1:14">
      <c r="A228" s="1" t="s">
        <v>240</v>
      </c>
      <c r="B228">
        <f>HYPERLINK("https://www.suredividend.com/sure-analysis-NDSN/","Nordson Corp.")</f>
        <v>0</v>
      </c>
      <c r="C228" t="s">
        <v>386</v>
      </c>
      <c r="D228">
        <v>229.74</v>
      </c>
      <c r="E228">
        <v>0.01131714111604422</v>
      </c>
      <c r="F228">
        <v>0.2745098039215685</v>
      </c>
      <c r="G228">
        <v>0.1672353193296932</v>
      </c>
      <c r="H228">
        <v>2.311449343797608</v>
      </c>
      <c r="I228">
        <v>13131.208746</v>
      </c>
      <c r="J228">
        <v>25.59175983332781</v>
      </c>
      <c r="K228">
        <v>0.262366554347061</v>
      </c>
      <c r="L228">
        <v>0.9081230744030311</v>
      </c>
      <c r="M228">
        <v>245.75</v>
      </c>
      <c r="N228">
        <v>193.84</v>
      </c>
    </row>
    <row r="229" spans="1:14">
      <c r="A229" s="1" t="s">
        <v>241</v>
      </c>
      <c r="B229">
        <f>HYPERLINK("https://www.suredividend.com/sure-analysis-NEE/","NextEra Energy Inc")</f>
        <v>0</v>
      </c>
      <c r="C229" t="s">
        <v>390</v>
      </c>
      <c r="D229">
        <v>82.63</v>
      </c>
      <c r="E229">
        <v>0.02057364153455161</v>
      </c>
      <c r="F229">
        <v>0.1038961038961039</v>
      </c>
      <c r="G229" t="s">
        <v>394</v>
      </c>
      <c r="H229">
        <v>1.687092221427607</v>
      </c>
      <c r="I229">
        <v>164199.332565</v>
      </c>
      <c r="J229">
        <v>42.8830850260538</v>
      </c>
      <c r="K229">
        <v>0.8696351656843336</v>
      </c>
      <c r="L229">
        <v>0.7547824327193721</v>
      </c>
      <c r="M229">
        <v>90.59999999999999</v>
      </c>
      <c r="N229">
        <v>66.18000000000001</v>
      </c>
    </row>
    <row r="230" spans="1:14">
      <c r="A230" s="1" t="s">
        <v>242</v>
      </c>
      <c r="B230">
        <f>HYPERLINK("https://www.suredividend.com/sure-analysis-NFG/","National Fuel Gas Co.")</f>
        <v>0</v>
      </c>
      <c r="C230" t="s">
        <v>396</v>
      </c>
      <c r="D230">
        <v>60.26</v>
      </c>
      <c r="E230">
        <v>0.03153003650846332</v>
      </c>
      <c r="F230">
        <v>0.04395604395604402</v>
      </c>
      <c r="G230">
        <v>0.02737525815292696</v>
      </c>
      <c r="H230">
        <v>1.859545009718559</v>
      </c>
      <c r="I230">
        <v>5512.903816</v>
      </c>
      <c r="J230">
        <v>9.739751381026499</v>
      </c>
      <c r="K230">
        <v>0.30236504223066</v>
      </c>
      <c r="L230">
        <v>0.6146037492994451</v>
      </c>
      <c r="M230">
        <v>74.31999999999999</v>
      </c>
      <c r="N230">
        <v>56.48</v>
      </c>
    </row>
    <row r="231" spans="1:14">
      <c r="A231" s="1" t="s">
        <v>243</v>
      </c>
      <c r="B231">
        <f>HYPERLINK("https://www.suredividend.com/sure-analysis-NHC/","National Healthcare Corp.")</f>
        <v>0</v>
      </c>
      <c r="C231" t="s">
        <v>385</v>
      </c>
      <c r="D231">
        <v>55.7</v>
      </c>
      <c r="E231">
        <v>0.04093357271095152</v>
      </c>
      <c r="F231">
        <v>0.03636363636363638</v>
      </c>
      <c r="G231">
        <v>0.03496752704080697</v>
      </c>
      <c r="H231">
        <v>2.230373557139307</v>
      </c>
      <c r="I231">
        <v>854.6665369999999</v>
      </c>
      <c r="J231">
        <v>26.80886251882058</v>
      </c>
      <c r="K231">
        <v>1.082705610261799</v>
      </c>
      <c r="L231">
        <v>0.4259622534273551</v>
      </c>
      <c r="M231">
        <v>73.41</v>
      </c>
      <c r="N231">
        <v>55.51</v>
      </c>
    </row>
    <row r="232" spans="1:14">
      <c r="A232" s="1" t="s">
        <v>244</v>
      </c>
      <c r="B232">
        <f>HYPERLINK("https://www.suredividend.com/sure-analysis-research-database/","NiSource Inc")</f>
        <v>0</v>
      </c>
      <c r="C232" t="s">
        <v>390</v>
      </c>
      <c r="D232">
        <v>27.13</v>
      </c>
      <c r="E232">
        <v>0.034203250383296</v>
      </c>
      <c r="F232">
        <v>0.06818181818181834</v>
      </c>
      <c r="G232">
        <v>0.03802222005236078</v>
      </c>
      <c r="H232">
        <v>0.9279341828988211</v>
      </c>
      <c r="I232">
        <v>11018.424698</v>
      </c>
      <c r="J232">
        <v>16.43559770056682</v>
      </c>
      <c r="K232">
        <v>0.6064929299992294</v>
      </c>
      <c r="L232">
        <v>0.564654263366117</v>
      </c>
      <c r="M232">
        <v>31.77</v>
      </c>
      <c r="N232">
        <v>23.56</v>
      </c>
    </row>
    <row r="233" spans="1:14">
      <c r="A233" s="1" t="s">
        <v>245</v>
      </c>
      <c r="B233">
        <f>HYPERLINK("https://www.suredividend.com/sure-analysis-NJR/","New Jersey Resources Corporation")</f>
        <v>0</v>
      </c>
      <c r="C233" t="s">
        <v>390</v>
      </c>
      <c r="D233">
        <v>49.31</v>
      </c>
      <c r="E233">
        <v>0.03163658487122287</v>
      </c>
      <c r="F233">
        <v>0.07586206896551717</v>
      </c>
      <c r="G233">
        <v>0.0743347416121678</v>
      </c>
      <c r="H233">
        <v>1.487130311324188</v>
      </c>
      <c r="I233">
        <v>4754.982087</v>
      </c>
      <c r="J233">
        <v>21.68580811116128</v>
      </c>
      <c r="K233">
        <v>0.6551234851648405</v>
      </c>
      <c r="L233">
        <v>0.498083550074351</v>
      </c>
      <c r="M233">
        <v>51.42</v>
      </c>
      <c r="N233">
        <v>36.56</v>
      </c>
    </row>
    <row r="234" spans="1:14">
      <c r="A234" s="1" t="s">
        <v>246</v>
      </c>
      <c r="B234">
        <f>HYPERLINK("https://www.suredividend.com/sure-analysis-NKE/","Nike, Inc.")</f>
        <v>0</v>
      </c>
      <c r="C234" t="s">
        <v>393</v>
      </c>
      <c r="D234">
        <v>120.62</v>
      </c>
      <c r="E234">
        <v>0.01127507875974134</v>
      </c>
      <c r="F234">
        <v>0.1147540983606559</v>
      </c>
      <c r="G234">
        <v>0.1119615859385787</v>
      </c>
      <c r="H234">
        <v>1.249708741675475</v>
      </c>
      <c r="I234">
        <v>188167.2</v>
      </c>
      <c r="J234">
        <v>27.02513883064893</v>
      </c>
      <c r="K234">
        <v>0.3550308925214418</v>
      </c>
      <c r="L234">
        <v>1.333807901169349</v>
      </c>
      <c r="M234">
        <v>159.43</v>
      </c>
      <c r="N234">
        <v>81.97</v>
      </c>
    </row>
    <row r="235" spans="1:14">
      <c r="A235" s="1" t="s">
        <v>247</v>
      </c>
      <c r="B235">
        <f>HYPERLINK("https://www.suredividend.com/sure-analysis-NNN/","National Retail Properties Inc")</f>
        <v>0</v>
      </c>
      <c r="C235" t="s">
        <v>392</v>
      </c>
      <c r="D235">
        <v>46.18</v>
      </c>
      <c r="E235">
        <v>0.0476396708531832</v>
      </c>
      <c r="F235">
        <v>0.03773584905660377</v>
      </c>
      <c r="G235">
        <v>0.02975477857041309</v>
      </c>
      <c r="H235">
        <v>2.120512930604406</v>
      </c>
      <c r="I235">
        <v>8253.880196</v>
      </c>
      <c r="J235">
        <v>26.80283747911985</v>
      </c>
      <c r="K235">
        <v>1.211721674631089</v>
      </c>
      <c r="L235">
        <v>0.6130837682841881</v>
      </c>
      <c r="M235">
        <v>47.78</v>
      </c>
      <c r="N235">
        <v>37.55</v>
      </c>
    </row>
    <row r="236" spans="1:14">
      <c r="A236" s="1" t="s">
        <v>248</v>
      </c>
      <c r="B236">
        <f>HYPERLINK("https://www.suredividend.com/sure-analysis-NOC/","Northrop Grumman Corp.")</f>
        <v>0</v>
      </c>
      <c r="C236" t="s">
        <v>386</v>
      </c>
      <c r="D236">
        <v>528.52</v>
      </c>
      <c r="E236">
        <v>0.01309316582153939</v>
      </c>
      <c r="F236">
        <v>0.1019108280254777</v>
      </c>
      <c r="G236">
        <v>0.09478965151396856</v>
      </c>
      <c r="H236">
        <v>6.742664321350533</v>
      </c>
      <c r="I236">
        <v>81345.652689</v>
      </c>
      <c r="J236">
        <v>14.72053070740499</v>
      </c>
      <c r="K236">
        <v>0.1910103207181454</v>
      </c>
      <c r="L236">
        <v>0.345437963073723</v>
      </c>
      <c r="M236">
        <v>556.27</v>
      </c>
      <c r="N236">
        <v>360.56</v>
      </c>
    </row>
    <row r="237" spans="1:14">
      <c r="A237" s="1" t="s">
        <v>249</v>
      </c>
      <c r="B237">
        <f>HYPERLINK("https://www.suredividend.com/sure-analysis-research-database/","Neenah Inc")</f>
        <v>0</v>
      </c>
      <c r="C237" t="s">
        <v>391</v>
      </c>
      <c r="D237">
        <v>32</v>
      </c>
      <c r="E237">
        <v>0.058252615601215</v>
      </c>
      <c r="F237" t="s">
        <v>394</v>
      </c>
      <c r="G237" t="s">
        <v>394</v>
      </c>
      <c r="H237">
        <v>1.864083699238888</v>
      </c>
      <c r="I237">
        <v>537.253888</v>
      </c>
      <c r="J237" t="s">
        <v>394</v>
      </c>
      <c r="K237" t="s">
        <v>394</v>
      </c>
      <c r="L237">
        <v>0.7464642607469351</v>
      </c>
      <c r="M237">
        <v>55.11</v>
      </c>
      <c r="N237">
        <v>31.05</v>
      </c>
    </row>
    <row r="238" spans="1:14">
      <c r="A238" s="1" t="s">
        <v>250</v>
      </c>
      <c r="B238">
        <f>HYPERLINK("https://www.suredividend.com/sure-analysis-NSP/","Insperity Inc")</f>
        <v>0</v>
      </c>
      <c r="C238" t="s">
        <v>386</v>
      </c>
      <c r="D238">
        <v>110.19</v>
      </c>
      <c r="E238">
        <v>0.01887648606951629</v>
      </c>
      <c r="F238">
        <v>0.1555555555555557</v>
      </c>
      <c r="G238">
        <v>0.2105832751075947</v>
      </c>
      <c r="H238">
        <v>1.996597146609161</v>
      </c>
      <c r="I238">
        <v>4179.985035</v>
      </c>
      <c r="J238">
        <v>27.70495466306545</v>
      </c>
      <c r="K238">
        <v>0.5119479863100413</v>
      </c>
      <c r="L238">
        <v>0.946186257159864</v>
      </c>
      <c r="M238">
        <v>121.72</v>
      </c>
      <c r="N238">
        <v>82.31</v>
      </c>
    </row>
    <row r="239" spans="1:14">
      <c r="A239" s="1" t="s">
        <v>251</v>
      </c>
      <c r="B239">
        <f>HYPERLINK("https://www.suredividend.com/sure-analysis-NUE/","Nucor Corp.")</f>
        <v>0</v>
      </c>
      <c r="C239" t="s">
        <v>391</v>
      </c>
      <c r="D239">
        <v>137.05</v>
      </c>
      <c r="E239">
        <v>0.01488507843852608</v>
      </c>
      <c r="F239">
        <v>0.02000000000000002</v>
      </c>
      <c r="G239">
        <v>0.06061390336787298</v>
      </c>
      <c r="H239">
        <v>1.997344488312795</v>
      </c>
      <c r="I239">
        <v>35159.315456</v>
      </c>
      <c r="J239">
        <v>4.105070299004618</v>
      </c>
      <c r="K239">
        <v>0.06282933275598601</v>
      </c>
      <c r="L239">
        <v>1.200871047097704</v>
      </c>
      <c r="M239">
        <v>185.45</v>
      </c>
      <c r="N239">
        <v>87.05</v>
      </c>
    </row>
    <row r="240" spans="1:14">
      <c r="A240" s="1" t="s">
        <v>252</v>
      </c>
      <c r="B240">
        <f>HYPERLINK("https://www.suredividend.com/sure-analysis-NUS/","Nu Skin Enterprises, Inc.")</f>
        <v>0</v>
      </c>
      <c r="C240" t="s">
        <v>388</v>
      </c>
      <c r="D240">
        <v>42.94</v>
      </c>
      <c r="E240">
        <v>0.03586399627387052</v>
      </c>
      <c r="F240">
        <v>0.01315789473684204</v>
      </c>
      <c r="G240">
        <v>0.01072631497080168</v>
      </c>
      <c r="H240">
        <v>1.518621344558621</v>
      </c>
      <c r="I240">
        <v>2122.103474</v>
      </c>
      <c r="J240">
        <v>55.36114666284044</v>
      </c>
      <c r="K240">
        <v>2.010087815431663</v>
      </c>
      <c r="L240">
        <v>0.9562900636229881</v>
      </c>
      <c r="M240">
        <v>54.78</v>
      </c>
      <c r="N240">
        <v>29.66</v>
      </c>
    </row>
    <row r="241" spans="1:14">
      <c r="A241" s="1" t="s">
        <v>253</v>
      </c>
      <c r="B241">
        <f>HYPERLINK("https://www.suredividend.com/sure-analysis-NWBI/","Northwest Bancshares Inc")</f>
        <v>0</v>
      </c>
      <c r="C241" t="s">
        <v>389</v>
      </c>
      <c r="D241">
        <v>13.82</v>
      </c>
      <c r="E241">
        <v>0.05788712011577424</v>
      </c>
      <c r="F241">
        <v>0</v>
      </c>
      <c r="G241">
        <v>0.03303780411393231</v>
      </c>
      <c r="H241">
        <v>0.7834063256140751</v>
      </c>
      <c r="I241">
        <v>1754.979232</v>
      </c>
      <c r="J241">
        <v>13.70403029711939</v>
      </c>
      <c r="K241">
        <v>0.7756498273406683</v>
      </c>
      <c r="L241">
        <v>0.501061718191521</v>
      </c>
      <c r="M241">
        <v>15.35</v>
      </c>
      <c r="N241">
        <v>11.71</v>
      </c>
    </row>
    <row r="242" spans="1:14">
      <c r="A242" s="1" t="s">
        <v>254</v>
      </c>
      <c r="B242">
        <f>HYPERLINK("https://www.suredividend.com/sure-analysis-NWE/","Northwestern Corp.")</f>
        <v>0</v>
      </c>
      <c r="C242" t="s">
        <v>390</v>
      </c>
      <c r="D242">
        <v>58.42</v>
      </c>
      <c r="E242">
        <v>0.04313591235878124</v>
      </c>
      <c r="F242">
        <v>0.0161290322580645</v>
      </c>
      <c r="G242">
        <v>0.02753251148110025</v>
      </c>
      <c r="H242">
        <v>2.478399485396339</v>
      </c>
      <c r="I242">
        <v>3375.434166</v>
      </c>
      <c r="J242">
        <v>20.13982199319809</v>
      </c>
      <c r="K242">
        <v>0.8152629886172168</v>
      </c>
      <c r="L242">
        <v>0.368304906891763</v>
      </c>
      <c r="M242">
        <v>60.98</v>
      </c>
      <c r="N242">
        <v>48.16</v>
      </c>
    </row>
    <row r="243" spans="1:14">
      <c r="A243" s="1" t="s">
        <v>255</v>
      </c>
      <c r="B243">
        <f>HYPERLINK("https://www.suredividend.com/sure-analysis-NWN/","Northwest Natural Holding Co")</f>
        <v>0</v>
      </c>
      <c r="C243" t="s">
        <v>390</v>
      </c>
      <c r="D243">
        <v>48.17</v>
      </c>
      <c r="E243">
        <v>0.04027402947892879</v>
      </c>
      <c r="F243" t="s">
        <v>394</v>
      </c>
      <c r="G243" t="s">
        <v>394</v>
      </c>
      <c r="H243">
        <v>1.904389707214475</v>
      </c>
      <c r="I243">
        <v>1690.726585</v>
      </c>
      <c r="J243">
        <v>21.43008537131631</v>
      </c>
      <c r="K243">
        <v>0.7934957113393647</v>
      </c>
      <c r="L243">
        <v>0.394051253590415</v>
      </c>
      <c r="M243">
        <v>55.97</v>
      </c>
      <c r="N243">
        <v>41.94</v>
      </c>
    </row>
    <row r="244" spans="1:14">
      <c r="A244" s="1" t="s">
        <v>256</v>
      </c>
      <c r="B244">
        <f>HYPERLINK("https://www.suredividend.com/sure-analysis-O/","Realty Income Corp.")</f>
        <v>0</v>
      </c>
      <c r="C244" t="s">
        <v>392</v>
      </c>
      <c r="D244">
        <v>63.39</v>
      </c>
      <c r="E244">
        <v>0.04701056949045591</v>
      </c>
      <c r="F244">
        <v>0.004040404040403844</v>
      </c>
      <c r="G244">
        <v>0.01123410012792792</v>
      </c>
      <c r="H244">
        <v>2.911197489447348</v>
      </c>
      <c r="I244">
        <v>39755.283249</v>
      </c>
      <c r="J244">
        <v>61.52316251840033</v>
      </c>
      <c r="K244">
        <v>2.599283472720846</v>
      </c>
      <c r="L244">
        <v>0.561610298355956</v>
      </c>
      <c r="M244">
        <v>73.64</v>
      </c>
      <c r="N244">
        <v>54.85</v>
      </c>
    </row>
    <row r="245" spans="1:14">
      <c r="A245" s="1" t="s">
        <v>257</v>
      </c>
      <c r="B245">
        <f>HYPERLINK("https://www.suredividend.com/sure-analysis-OGE/","Oge Energy Corp.")</f>
        <v>0</v>
      </c>
      <c r="C245" t="s">
        <v>390</v>
      </c>
      <c r="D245">
        <v>38.3059</v>
      </c>
      <c r="E245">
        <v>0.0433353608713018</v>
      </c>
      <c r="F245">
        <v>0.01000000000000001</v>
      </c>
      <c r="G245">
        <v>0.04487109745552287</v>
      </c>
      <c r="H245">
        <v>1.600064421917453</v>
      </c>
      <c r="I245">
        <v>7668.943533</v>
      </c>
      <c r="J245">
        <v>8.205589057741065</v>
      </c>
      <c r="K245">
        <v>0.3433614639307839</v>
      </c>
      <c r="L245">
        <v>0.514582360585718</v>
      </c>
      <c r="M245">
        <v>41.96</v>
      </c>
      <c r="N245">
        <v>32.92</v>
      </c>
    </row>
    <row r="246" spans="1:14">
      <c r="A246" s="1" t="s">
        <v>258</v>
      </c>
      <c r="B246">
        <f>HYPERLINK("https://www.suredividend.com/sure-analysis-ORCL/","Oracle Corp.")</f>
        <v>0</v>
      </c>
      <c r="C246" t="s">
        <v>387</v>
      </c>
      <c r="D246">
        <v>84.31</v>
      </c>
      <c r="E246">
        <v>0.01518206618431977</v>
      </c>
      <c r="F246">
        <v>0</v>
      </c>
      <c r="G246">
        <v>0.1098883056567086</v>
      </c>
      <c r="H246">
        <v>0.9553095284963761</v>
      </c>
      <c r="I246">
        <v>227321.09043</v>
      </c>
      <c r="J246">
        <v>25.84368922578445</v>
      </c>
      <c r="K246">
        <v>0.3013594727117906</v>
      </c>
      <c r="L246">
        <v>0.8844114873803791</v>
      </c>
      <c r="M246">
        <v>88.31999999999999</v>
      </c>
      <c r="N246">
        <v>60.47</v>
      </c>
    </row>
    <row r="247" spans="1:14">
      <c r="A247" s="1" t="s">
        <v>259</v>
      </c>
      <c r="B247">
        <f>HYPERLINK("https://www.suredividend.com/sure-analysis-ORI/","Old Republic International Corp.")</f>
        <v>0</v>
      </c>
      <c r="C247" t="s">
        <v>389</v>
      </c>
      <c r="D247">
        <v>24.11</v>
      </c>
      <c r="E247">
        <v>0.03815844048112817</v>
      </c>
      <c r="F247">
        <v>0</v>
      </c>
      <c r="G247">
        <v>0.02834672210021361</v>
      </c>
      <c r="H247">
        <v>0.906793510843751</v>
      </c>
      <c r="I247">
        <v>7336.761243</v>
      </c>
      <c r="J247">
        <v>9.150363235969069</v>
      </c>
      <c r="K247">
        <v>0.3461043934518134</v>
      </c>
      <c r="L247">
        <v>0.6406317704536011</v>
      </c>
      <c r="M247">
        <v>26.18</v>
      </c>
      <c r="N247">
        <v>20.08</v>
      </c>
    </row>
    <row r="248" spans="1:14">
      <c r="A248" s="1" t="s">
        <v>260</v>
      </c>
      <c r="B248">
        <f>HYPERLINK("https://www.suredividend.com/sure-analysis-OZK/","Bank OZK")</f>
        <v>0</v>
      </c>
      <c r="C248" t="s">
        <v>389</v>
      </c>
      <c r="D248">
        <v>39.05</v>
      </c>
      <c r="E248">
        <v>0.03380281690140845</v>
      </c>
      <c r="F248" t="s">
        <v>394</v>
      </c>
      <c r="G248" t="s">
        <v>394</v>
      </c>
      <c r="H248">
        <v>1.245023313646361</v>
      </c>
      <c r="I248">
        <v>4747.588762</v>
      </c>
      <c r="J248">
        <v>8.817172246623629</v>
      </c>
      <c r="K248">
        <v>0.2849023601021421</v>
      </c>
      <c r="L248">
        <v>0.9230223771758961</v>
      </c>
      <c r="M248">
        <v>49.85</v>
      </c>
      <c r="N248">
        <v>34.21</v>
      </c>
    </row>
    <row r="249" spans="1:14">
      <c r="A249" s="1" t="s">
        <v>261</v>
      </c>
      <c r="B249">
        <f>HYPERLINK("https://www.suredividend.com/sure-analysis-PAYX/","Paychex Inc.")</f>
        <v>0</v>
      </c>
      <c r="C249" t="s">
        <v>386</v>
      </c>
      <c r="D249">
        <v>114.36</v>
      </c>
      <c r="E249">
        <v>0.02763203917453655</v>
      </c>
      <c r="F249">
        <v>0.196969696969697</v>
      </c>
      <c r="G249">
        <v>0.0958003060411996</v>
      </c>
      <c r="H249">
        <v>3.001687969311451</v>
      </c>
      <c r="I249">
        <v>41222.954429</v>
      </c>
      <c r="J249">
        <v>28.10783746712123</v>
      </c>
      <c r="K249">
        <v>0.7429920716117453</v>
      </c>
      <c r="L249">
        <v>0.9829303083861211</v>
      </c>
      <c r="M249">
        <v>139.18</v>
      </c>
      <c r="N249">
        <v>104.94</v>
      </c>
    </row>
    <row r="250" spans="1:14">
      <c r="A250" s="1" t="s">
        <v>262</v>
      </c>
      <c r="B250">
        <f>HYPERLINK("https://www.suredividend.com/sure-analysis-PB/","Prosperity Bancshares Inc.")</f>
        <v>0</v>
      </c>
      <c r="C250" t="s">
        <v>389</v>
      </c>
      <c r="D250">
        <v>72.44</v>
      </c>
      <c r="E250">
        <v>0.03036996134732193</v>
      </c>
      <c r="F250">
        <v>0.05769230769230771</v>
      </c>
      <c r="G250">
        <v>0.08845890735664219</v>
      </c>
      <c r="H250">
        <v>2.086113506982922</v>
      </c>
      <c r="I250">
        <v>6614.391072</v>
      </c>
      <c r="J250">
        <v>12.88292708398338</v>
      </c>
      <c r="K250">
        <v>0.3731866738788769</v>
      </c>
      <c r="L250">
        <v>0.6687234094689121</v>
      </c>
      <c r="M250">
        <v>78.04000000000001</v>
      </c>
      <c r="N250">
        <v>63.21</v>
      </c>
    </row>
    <row r="251" spans="1:14">
      <c r="A251" s="1" t="s">
        <v>263</v>
      </c>
      <c r="B251">
        <f>HYPERLINK("https://www.suredividend.com/sure-analysis-PEG/","Public Service Enterprise Group Inc.")</f>
        <v>0</v>
      </c>
      <c r="C251" t="s">
        <v>390</v>
      </c>
      <c r="D251">
        <v>61.12</v>
      </c>
      <c r="E251">
        <v>0.03534031413612566</v>
      </c>
      <c r="F251">
        <v>0.05882352941176472</v>
      </c>
      <c r="G251">
        <v>0.03713728933664817</v>
      </c>
      <c r="H251">
        <v>2.132654535939173</v>
      </c>
      <c r="I251">
        <v>30495.808353</v>
      </c>
      <c r="J251">
        <v>44.32530283906976</v>
      </c>
      <c r="K251">
        <v>1.556682143021294</v>
      </c>
      <c r="L251">
        <v>0.545594061650099</v>
      </c>
      <c r="M251">
        <v>73.75</v>
      </c>
      <c r="N251">
        <v>52.04</v>
      </c>
    </row>
    <row r="252" spans="1:14">
      <c r="A252" s="1" t="s">
        <v>264</v>
      </c>
      <c r="B252">
        <f>HYPERLINK("https://www.suredividend.com/sure-analysis-PEP/","PepsiCo Inc")</f>
        <v>0</v>
      </c>
      <c r="C252" t="s">
        <v>388</v>
      </c>
      <c r="D252">
        <v>177.1</v>
      </c>
      <c r="E252">
        <v>0.02597402597402597</v>
      </c>
      <c r="F252">
        <v>0.06976744186046502</v>
      </c>
      <c r="G252">
        <v>0.07394092378577932</v>
      </c>
      <c r="H252">
        <v>4.481986479150072</v>
      </c>
      <c r="I252">
        <v>243992.300914</v>
      </c>
      <c r="J252">
        <v>25.11759325858555</v>
      </c>
      <c r="K252">
        <v>0.6411997824249029</v>
      </c>
      <c r="L252">
        <v>0.49212832708175</v>
      </c>
      <c r="M252">
        <v>186.84</v>
      </c>
      <c r="N252">
        <v>150.36</v>
      </c>
    </row>
    <row r="253" spans="1:14">
      <c r="A253" s="1" t="s">
        <v>265</v>
      </c>
      <c r="B253">
        <f>HYPERLINK("https://www.suredividend.com/sure-analysis-PETS/","Petmed Express, Inc.")</f>
        <v>0</v>
      </c>
      <c r="C253" t="s">
        <v>385</v>
      </c>
      <c r="D253">
        <v>18.08</v>
      </c>
      <c r="E253">
        <v>0.06637168141592921</v>
      </c>
      <c r="F253">
        <v>0</v>
      </c>
      <c r="G253">
        <v>0.03713728933664817</v>
      </c>
      <c r="H253">
        <v>1.173566226466245</v>
      </c>
      <c r="I253">
        <v>381.04824</v>
      </c>
      <c r="J253">
        <v>24.30619634879121</v>
      </c>
      <c r="K253">
        <v>1.521543143350506</v>
      </c>
      <c r="L253">
        <v>0.7111980045856581</v>
      </c>
      <c r="M253">
        <v>28.25</v>
      </c>
      <c r="N253">
        <v>17.08</v>
      </c>
    </row>
    <row r="254" spans="1:14">
      <c r="A254" s="1" t="s">
        <v>266</v>
      </c>
      <c r="B254">
        <f>HYPERLINK("https://www.suredividend.com/sure-analysis-research-database/","Premier Financial Corp")</f>
        <v>0</v>
      </c>
      <c r="C254" t="s">
        <v>394</v>
      </c>
      <c r="D254">
        <v>27.03</v>
      </c>
      <c r="E254">
        <v>0.043241158011158</v>
      </c>
      <c r="F254">
        <v>0</v>
      </c>
      <c r="G254">
        <v>0</v>
      </c>
      <c r="H254">
        <v>1.168808501041604</v>
      </c>
      <c r="I254">
        <v>961.3593049999999</v>
      </c>
      <c r="J254">
        <v>9.412725492588169</v>
      </c>
      <c r="K254">
        <v>0.4130065374705315</v>
      </c>
      <c r="L254">
        <v>0.6475191512937131</v>
      </c>
      <c r="M254">
        <v>31.51</v>
      </c>
      <c r="N254">
        <v>23.59</v>
      </c>
    </row>
    <row r="255" spans="1:14">
      <c r="A255" s="1" t="s">
        <v>267</v>
      </c>
      <c r="B255">
        <f>HYPERLINK("https://www.suredividend.com/sure-analysis-PFE/","Pfizer Inc.")</f>
        <v>0</v>
      </c>
      <c r="C255" t="s">
        <v>385</v>
      </c>
      <c r="D255">
        <v>49.66</v>
      </c>
      <c r="E255">
        <v>0.03302456705598067</v>
      </c>
      <c r="F255">
        <v>0.02564102564102577</v>
      </c>
      <c r="G255">
        <v>0.03303780411393231</v>
      </c>
      <c r="H255">
        <v>1.580511977127286</v>
      </c>
      <c r="I255">
        <v>278757.199907</v>
      </c>
      <c r="J255">
        <v>9.363065964914012</v>
      </c>
      <c r="K255">
        <v>0.3045302460746216</v>
      </c>
      <c r="L255">
        <v>0.520215413034926</v>
      </c>
      <c r="M255">
        <v>55.62</v>
      </c>
      <c r="N255">
        <v>41.09</v>
      </c>
    </row>
    <row r="256" spans="1:14">
      <c r="A256" s="1" t="s">
        <v>268</v>
      </c>
      <c r="B256">
        <f>HYPERLINK("https://www.suredividend.com/sure-analysis-PFG/","Principal Financial Group Inc")</f>
        <v>0</v>
      </c>
      <c r="C256" t="s">
        <v>389</v>
      </c>
      <c r="D256">
        <v>84.39</v>
      </c>
      <c r="E256">
        <v>0.03033534779002251</v>
      </c>
      <c r="F256">
        <v>0</v>
      </c>
      <c r="G256">
        <v>0.04645837861673296</v>
      </c>
      <c r="H256">
        <v>2.529866161715626</v>
      </c>
      <c r="I256">
        <v>20648.780648</v>
      </c>
      <c r="J256">
        <v>3.902623445114345</v>
      </c>
      <c r="K256">
        <v>0.1243788673409846</v>
      </c>
      <c r="L256">
        <v>0.9829335070084499</v>
      </c>
      <c r="M256">
        <v>95.48</v>
      </c>
      <c r="N256">
        <v>60.09</v>
      </c>
    </row>
    <row r="257" spans="1:14">
      <c r="A257" s="1" t="s">
        <v>269</v>
      </c>
      <c r="B257">
        <f>HYPERLINK("https://www.suredividend.com/sure-analysis-PG/","Procter &amp; Gamble Co.")</f>
        <v>0</v>
      </c>
      <c r="C257" t="s">
        <v>388</v>
      </c>
      <c r="D257">
        <v>150.34</v>
      </c>
      <c r="E257">
        <v>0.02427830251430092</v>
      </c>
      <c r="F257">
        <v>0.05001149689583806</v>
      </c>
      <c r="G257">
        <v>0.05779921640308716</v>
      </c>
      <c r="H257">
        <v>3.574479587017307</v>
      </c>
      <c r="I257">
        <v>358635.990019</v>
      </c>
      <c r="J257">
        <v>25.10226009792959</v>
      </c>
      <c r="K257">
        <v>0.6315334959394535</v>
      </c>
      <c r="L257">
        <v>0.4784498677343371</v>
      </c>
      <c r="M257">
        <v>162.68</v>
      </c>
      <c r="N257">
        <v>121.32</v>
      </c>
    </row>
    <row r="258" spans="1:14">
      <c r="A258" s="1" t="s">
        <v>270</v>
      </c>
      <c r="B258">
        <f>HYPERLINK("https://www.suredividend.com/sure-analysis-PII/","Polaris Inc")</f>
        <v>0</v>
      </c>
      <c r="C258" t="s">
        <v>393</v>
      </c>
      <c r="D258">
        <v>101.71</v>
      </c>
      <c r="E258">
        <v>0.02516959984269</v>
      </c>
      <c r="F258">
        <v>0.01587301587301582</v>
      </c>
      <c r="G258">
        <v>0.01299136822423641</v>
      </c>
      <c r="H258">
        <v>2.542065572777388</v>
      </c>
      <c r="I258">
        <v>5894.960459</v>
      </c>
      <c r="J258">
        <v>17.42009591885343</v>
      </c>
      <c r="K258">
        <v>0.4580298329328628</v>
      </c>
      <c r="L258">
        <v>1.252183994889541</v>
      </c>
      <c r="M258">
        <v>125.27</v>
      </c>
      <c r="N258">
        <v>91.34</v>
      </c>
    </row>
    <row r="259" spans="1:14">
      <c r="A259" s="1" t="s">
        <v>271</v>
      </c>
      <c r="B259">
        <f>HYPERLINK("https://www.suredividend.com/sure-analysis-PKG/","Packaging Corp Of America")</f>
        <v>0</v>
      </c>
      <c r="C259" t="s">
        <v>393</v>
      </c>
      <c r="D259">
        <v>129.88</v>
      </c>
      <c r="E259">
        <v>0.0384970742223591</v>
      </c>
      <c r="F259">
        <v>0.25</v>
      </c>
      <c r="G259">
        <v>0.1468692082056793</v>
      </c>
      <c r="H259">
        <v>4.684159216088056</v>
      </c>
      <c r="I259">
        <v>12018.378262</v>
      </c>
      <c r="J259">
        <v>11.7058325337489</v>
      </c>
      <c r="K259">
        <v>0.4266083074761435</v>
      </c>
      <c r="L259">
        <v>0.740395929498823</v>
      </c>
      <c r="M259">
        <v>163.65</v>
      </c>
      <c r="N259">
        <v>108.49</v>
      </c>
    </row>
    <row r="260" spans="1:14">
      <c r="A260" s="1" t="s">
        <v>272</v>
      </c>
      <c r="B260">
        <f>HYPERLINK("https://www.suredividend.com/sure-analysis-research-database/","Douglas Dynamics Inc")</f>
        <v>0</v>
      </c>
      <c r="C260" t="s">
        <v>393</v>
      </c>
      <c r="D260">
        <v>36.66</v>
      </c>
      <c r="E260">
        <v>0.031219433476024</v>
      </c>
      <c r="F260">
        <v>0.01754385964912264</v>
      </c>
      <c r="G260">
        <v>0.01819374512778538</v>
      </c>
      <c r="H260">
        <v>1.144504431231039</v>
      </c>
      <c r="I260">
        <v>839.0298309999999</v>
      </c>
      <c r="J260">
        <v>23.86454950167814</v>
      </c>
      <c r="K260">
        <v>0.7480421119157118</v>
      </c>
      <c r="L260">
        <v>0.8196008749337561</v>
      </c>
      <c r="M260">
        <v>39.23</v>
      </c>
      <c r="N260">
        <v>27.3</v>
      </c>
    </row>
    <row r="261" spans="1:14">
      <c r="A261" s="1" t="s">
        <v>273</v>
      </c>
      <c r="B261">
        <f>HYPERLINK("https://www.suredividend.com/sure-analysis-PM/","Philip Morris International Inc")</f>
        <v>0</v>
      </c>
      <c r="C261" t="s">
        <v>388</v>
      </c>
      <c r="D261">
        <v>100.82</v>
      </c>
      <c r="E261">
        <v>0.05038682801031542</v>
      </c>
      <c r="F261">
        <v>0.01600000000000001</v>
      </c>
      <c r="G261">
        <v>0.03486569022617725</v>
      </c>
      <c r="H261">
        <v>4.943318793118779</v>
      </c>
      <c r="I261">
        <v>156291.39639</v>
      </c>
      <c r="J261">
        <v>17.92538093704553</v>
      </c>
      <c r="K261">
        <v>0.8811619952083385</v>
      </c>
      <c r="L261">
        <v>0.428558399168544</v>
      </c>
      <c r="M261">
        <v>106.73</v>
      </c>
      <c r="N261">
        <v>81.81</v>
      </c>
    </row>
    <row r="262" spans="1:14">
      <c r="A262" s="1" t="s">
        <v>274</v>
      </c>
      <c r="B262">
        <f>HYPERLINK("https://www.suredividend.com/sure-analysis-PNC/","PNC Financial Services Group Inc")</f>
        <v>0</v>
      </c>
      <c r="C262" t="s">
        <v>389</v>
      </c>
      <c r="D262">
        <v>159.37</v>
      </c>
      <c r="E262">
        <v>0.03764823994478258</v>
      </c>
      <c r="F262">
        <v>0.2</v>
      </c>
      <c r="G262">
        <v>0.1486983549970351</v>
      </c>
      <c r="H262">
        <v>5.672835066892508</v>
      </c>
      <c r="I262">
        <v>64276.954289</v>
      </c>
      <c r="J262">
        <v>11.64226667074986</v>
      </c>
      <c r="K262">
        <v>0.4287857193418373</v>
      </c>
      <c r="L262">
        <v>0.936234027660735</v>
      </c>
      <c r="M262">
        <v>220.74</v>
      </c>
      <c r="N262">
        <v>142.11</v>
      </c>
    </row>
    <row r="263" spans="1:14">
      <c r="A263" s="1" t="s">
        <v>275</v>
      </c>
      <c r="B263">
        <f>HYPERLINK("https://www.suredividend.com/sure-analysis-PNW/","Pinnacle West Capital Corp.")</f>
        <v>0</v>
      </c>
      <c r="C263" t="s">
        <v>390</v>
      </c>
      <c r="D263">
        <v>73.65000000000001</v>
      </c>
      <c r="E263">
        <v>0.04643584521384928</v>
      </c>
      <c r="F263">
        <v>0.01764705882352935</v>
      </c>
      <c r="G263">
        <v>0.04473527950049339</v>
      </c>
      <c r="H263">
        <v>3.353880083729922</v>
      </c>
      <c r="I263">
        <v>8332.775951</v>
      </c>
      <c r="J263">
        <v>15.57010181836698</v>
      </c>
      <c r="K263">
        <v>0.7105678143495597</v>
      </c>
      <c r="L263">
        <v>0.473251618446176</v>
      </c>
      <c r="M263">
        <v>80.59999999999999</v>
      </c>
      <c r="N263">
        <v>58.28</v>
      </c>
    </row>
    <row r="264" spans="1:14">
      <c r="A264" s="1" t="s">
        <v>276</v>
      </c>
      <c r="B264">
        <f>HYPERLINK("https://www.suredividend.com/sure-analysis-POOL/","Pool Corporation")</f>
        <v>0</v>
      </c>
      <c r="C264" t="s">
        <v>393</v>
      </c>
      <c r="D264">
        <v>303</v>
      </c>
      <c r="E264">
        <v>0.0132013201320132</v>
      </c>
      <c r="F264">
        <v>0.25</v>
      </c>
      <c r="G264">
        <v>0.2199995070269016</v>
      </c>
      <c r="H264">
        <v>3.784082755494502</v>
      </c>
      <c r="I264">
        <v>11832.337254</v>
      </c>
      <c r="J264">
        <v>15.24516580706757</v>
      </c>
      <c r="K264">
        <v>0.1946544627311987</v>
      </c>
      <c r="L264">
        <v>1.216316402807423</v>
      </c>
      <c r="M264">
        <v>515.28</v>
      </c>
      <c r="N264">
        <v>277.2</v>
      </c>
    </row>
    <row r="265" spans="1:14">
      <c r="A265" s="1" t="s">
        <v>277</v>
      </c>
      <c r="B265">
        <f>HYPERLINK("https://www.suredividend.com/sure-analysis-POR/","Portland General Electric Co")</f>
        <v>0</v>
      </c>
      <c r="C265" t="s">
        <v>390</v>
      </c>
      <c r="D265">
        <v>48.08</v>
      </c>
      <c r="E265">
        <v>0.03764559068219634</v>
      </c>
      <c r="F265">
        <v>0.05232558139534893</v>
      </c>
      <c r="G265">
        <v>0.05883413386416847</v>
      </c>
      <c r="H265">
        <v>1.763110905460479</v>
      </c>
      <c r="I265">
        <v>4292.241224</v>
      </c>
      <c r="J265">
        <v>17.3074242916129</v>
      </c>
      <c r="K265">
        <v>0.636502131935191</v>
      </c>
      <c r="L265">
        <v>0.4713590521042441</v>
      </c>
      <c r="M265">
        <v>55.45</v>
      </c>
      <c r="N265">
        <v>41.19</v>
      </c>
    </row>
    <row r="266" spans="1:14">
      <c r="A266" s="1" t="s">
        <v>278</v>
      </c>
      <c r="B266">
        <f>HYPERLINK("https://www.suredividend.com/sure-analysis-PPG/","PPG Industries, Inc.")</f>
        <v>0</v>
      </c>
      <c r="C266" t="s">
        <v>391</v>
      </c>
      <c r="D266">
        <v>123.11</v>
      </c>
      <c r="E266">
        <v>0.02014458614247421</v>
      </c>
      <c r="F266">
        <v>0.05084745762711873</v>
      </c>
      <c r="G266">
        <v>0.06619302030280272</v>
      </c>
      <c r="H266">
        <v>2.402064119485093</v>
      </c>
      <c r="I266">
        <v>28934.222475</v>
      </c>
      <c r="J266">
        <v>26.94061682992552</v>
      </c>
      <c r="K266">
        <v>0.5314301149303304</v>
      </c>
      <c r="L266">
        <v>1.095410375695095</v>
      </c>
      <c r="M266">
        <v>167.96</v>
      </c>
      <c r="N266">
        <v>105.98</v>
      </c>
    </row>
    <row r="267" spans="1:14">
      <c r="A267" s="1" t="s">
        <v>279</v>
      </c>
      <c r="B267">
        <f>HYPERLINK("https://www.suredividend.com/sure-analysis-PRGO/","Perrigo Company plc")</f>
        <v>0</v>
      </c>
      <c r="C267" t="s">
        <v>385</v>
      </c>
      <c r="D267">
        <v>35.51</v>
      </c>
      <c r="E267">
        <v>0.02928752464094622</v>
      </c>
      <c r="F267">
        <v>0.08333333333333348</v>
      </c>
      <c r="G267">
        <v>0.06474093044470108</v>
      </c>
      <c r="H267">
        <v>1.028459956432093</v>
      </c>
      <c r="I267">
        <v>4781.05738</v>
      </c>
      <c r="J267" t="s">
        <v>394</v>
      </c>
      <c r="K267" t="s">
        <v>394</v>
      </c>
      <c r="L267">
        <v>0.5792806880657081</v>
      </c>
      <c r="M267">
        <v>43.24</v>
      </c>
      <c r="N267">
        <v>30.65</v>
      </c>
    </row>
    <row r="268" spans="1:14">
      <c r="A268" s="1" t="s">
        <v>280</v>
      </c>
      <c r="B268">
        <f>HYPERLINK("https://www.suredividend.com/sure-analysis-PRI/","Primerica Inc")</f>
        <v>0</v>
      </c>
      <c r="C268" t="s">
        <v>389</v>
      </c>
      <c r="D268">
        <v>142.57</v>
      </c>
      <c r="E268">
        <v>0.01543101634284913</v>
      </c>
      <c r="F268">
        <v>0.1702127659574468</v>
      </c>
      <c r="G268">
        <v>0.1708049129648923</v>
      </c>
      <c r="H268">
        <v>2.186832661899342</v>
      </c>
      <c r="I268">
        <v>5260.572097</v>
      </c>
      <c r="J268">
        <v>19.13986260419357</v>
      </c>
      <c r="K268">
        <v>0.3084390214244488</v>
      </c>
      <c r="L268">
        <v>0.8358794123501181</v>
      </c>
      <c r="M268">
        <v>156.88</v>
      </c>
      <c r="N268">
        <v>109.36</v>
      </c>
    </row>
    <row r="269" spans="1:14">
      <c r="A269" s="1" t="s">
        <v>281</v>
      </c>
      <c r="B269">
        <f>HYPERLINK("https://www.suredividend.com/sure-analysis-PRU/","Prudential Financial Inc.")</f>
        <v>0</v>
      </c>
      <c r="C269" t="s">
        <v>389</v>
      </c>
      <c r="D269">
        <v>99.44</v>
      </c>
      <c r="E269">
        <v>0.04827031375703942</v>
      </c>
      <c r="F269">
        <v>0.04347826086956519</v>
      </c>
      <c r="G269">
        <v>0.05922384104881218</v>
      </c>
      <c r="H269">
        <v>4.717949965292103</v>
      </c>
      <c r="I269">
        <v>36991.68</v>
      </c>
      <c r="J269">
        <v>126.2514675767918</v>
      </c>
      <c r="K269">
        <v>6.047103262358502</v>
      </c>
      <c r="L269">
        <v>0.920256526414965</v>
      </c>
      <c r="M269">
        <v>118.73</v>
      </c>
      <c r="N269">
        <v>84.5</v>
      </c>
    </row>
    <row r="270" spans="1:14">
      <c r="A270" s="1" t="s">
        <v>282</v>
      </c>
      <c r="B270">
        <f>HYPERLINK("https://www.suredividend.com/sure-analysis-QCOM/","Qualcomm, Inc.")</f>
        <v>0</v>
      </c>
      <c r="C270" t="s">
        <v>387</v>
      </c>
      <c r="D270">
        <v>109.4</v>
      </c>
      <c r="E270">
        <v>0.02742230347349177</v>
      </c>
      <c r="F270">
        <v>0.1029411764705881</v>
      </c>
      <c r="G270">
        <v>0.05642162229904302</v>
      </c>
      <c r="H270">
        <v>2.904740864470164</v>
      </c>
      <c r="I270">
        <v>122637.4</v>
      </c>
      <c r="J270">
        <v>9.480318491032778</v>
      </c>
      <c r="K270">
        <v>0.2552496365966752</v>
      </c>
      <c r="L270">
        <v>1.531037580350161</v>
      </c>
      <c r="M270">
        <v>188.04</v>
      </c>
      <c r="N270">
        <v>101.28</v>
      </c>
    </row>
    <row r="271" spans="1:14">
      <c r="A271" s="1" t="s">
        <v>283</v>
      </c>
      <c r="B271">
        <f>HYPERLINK("https://www.suredividend.com/sure-analysis-R/","Ryder System, Inc.")</f>
        <v>0</v>
      </c>
      <c r="C271" t="s">
        <v>386</v>
      </c>
      <c r="D271">
        <v>81.89</v>
      </c>
      <c r="E271">
        <v>0.03028452802539993</v>
      </c>
      <c r="F271" t="s">
        <v>394</v>
      </c>
      <c r="G271" t="s">
        <v>394</v>
      </c>
      <c r="H271">
        <v>2.374869029279291</v>
      </c>
      <c r="I271">
        <v>4115.061924</v>
      </c>
      <c r="J271">
        <v>4.905476436639245</v>
      </c>
      <c r="K271">
        <v>0.1472330458325661</v>
      </c>
      <c r="L271">
        <v>0.9669925727105981</v>
      </c>
      <c r="M271">
        <v>97.26000000000001</v>
      </c>
      <c r="N271">
        <v>60.38</v>
      </c>
    </row>
    <row r="272" spans="1:14">
      <c r="A272" s="1" t="s">
        <v>284</v>
      </c>
      <c r="B272">
        <f>HYPERLINK("https://www.suredividend.com/sure-analysis-RBCAA/","Republic Bancorp, Inc. (KY)")</f>
        <v>0</v>
      </c>
      <c r="C272" t="s">
        <v>389</v>
      </c>
      <c r="D272">
        <v>40.4</v>
      </c>
      <c r="E272">
        <v>0.03366336633663367</v>
      </c>
      <c r="F272">
        <v>0.1071428571428572</v>
      </c>
      <c r="G272">
        <v>0.07099588603959828</v>
      </c>
      <c r="H272">
        <v>1.347486738668693</v>
      </c>
      <c r="I272">
        <v>710.528536</v>
      </c>
      <c r="J272">
        <v>8.063650184418091</v>
      </c>
      <c r="K272">
        <v>0.3163114410020406</v>
      </c>
      <c r="L272">
        <v>0.4963179880956111</v>
      </c>
      <c r="M272">
        <v>51</v>
      </c>
      <c r="N272">
        <v>37.86</v>
      </c>
    </row>
    <row r="273" spans="1:14">
      <c r="A273" s="1" t="s">
        <v>285</v>
      </c>
      <c r="B273">
        <f>HYPERLINK("https://www.suredividend.com/sure-analysis-RGA/","Reinsurance Group Of America, Inc.")</f>
        <v>0</v>
      </c>
      <c r="C273" t="s">
        <v>389</v>
      </c>
      <c r="D273">
        <v>145.2</v>
      </c>
      <c r="E273">
        <v>0.02203856749311295</v>
      </c>
      <c r="F273">
        <v>0.09589041095890427</v>
      </c>
      <c r="G273">
        <v>0.09856054330611785</v>
      </c>
      <c r="H273">
        <v>3.033071092310166</v>
      </c>
      <c r="I273">
        <v>9704.587055</v>
      </c>
      <c r="J273">
        <v>16.877542704</v>
      </c>
      <c r="K273">
        <v>0.3589433245337474</v>
      </c>
      <c r="L273">
        <v>0.6968285023677571</v>
      </c>
      <c r="M273">
        <v>147.85</v>
      </c>
      <c r="N273">
        <v>95.83</v>
      </c>
    </row>
    <row r="274" spans="1:14">
      <c r="A274" s="1" t="s">
        <v>286</v>
      </c>
      <c r="B274">
        <f>HYPERLINK("https://www.suredividend.com/sure-analysis-RGLD/","Royal Gold, Inc.")</f>
        <v>0</v>
      </c>
      <c r="C274" t="s">
        <v>391</v>
      </c>
      <c r="D274">
        <v>120.53</v>
      </c>
      <c r="E274">
        <v>0.0116153654691778</v>
      </c>
      <c r="F274">
        <v>0.0714285714285714</v>
      </c>
      <c r="G274">
        <v>0.08447177119769855</v>
      </c>
      <c r="H274">
        <v>1.418083372583349</v>
      </c>
      <c r="I274">
        <v>7912.036366</v>
      </c>
      <c r="J274">
        <v>29.77035081706294</v>
      </c>
      <c r="K274">
        <v>0.3501440426131726</v>
      </c>
      <c r="L274">
        <v>0.5102940114316651</v>
      </c>
      <c r="M274">
        <v>146.24</v>
      </c>
      <c r="N274">
        <v>83.97</v>
      </c>
    </row>
    <row r="275" spans="1:14">
      <c r="A275" s="1" t="s">
        <v>287</v>
      </c>
      <c r="B275">
        <f>HYPERLINK("https://www.suredividend.com/sure-analysis-RHI/","Robert Half International Inc.")</f>
        <v>0</v>
      </c>
      <c r="C275" t="s">
        <v>386</v>
      </c>
      <c r="D275">
        <v>74.20999999999999</v>
      </c>
      <c r="E275">
        <v>0.02317746934375421</v>
      </c>
      <c r="F275">
        <v>0.131578947368421</v>
      </c>
      <c r="G275">
        <v>0.08958743119932766</v>
      </c>
      <c r="H275">
        <v>1.706058077740892</v>
      </c>
      <c r="I275">
        <v>8051.676357</v>
      </c>
      <c r="J275">
        <v>11.87195169130505</v>
      </c>
      <c r="K275">
        <v>0.2765086025511981</v>
      </c>
      <c r="L275">
        <v>1.021989978429229</v>
      </c>
      <c r="M275">
        <v>123.32</v>
      </c>
      <c r="N275">
        <v>65.04000000000001</v>
      </c>
    </row>
    <row r="276" spans="1:14">
      <c r="A276" s="1" t="s">
        <v>288</v>
      </c>
      <c r="B276">
        <f>HYPERLINK("https://www.suredividend.com/sure-analysis-RJF/","Raymond James Financial, Inc.")</f>
        <v>0</v>
      </c>
      <c r="C276" t="s">
        <v>389</v>
      </c>
      <c r="D276">
        <v>107.25</v>
      </c>
      <c r="E276">
        <v>0.01566433566433566</v>
      </c>
      <c r="F276">
        <v>0.2352941176470587</v>
      </c>
      <c r="G276">
        <v>0.1093328057258516</v>
      </c>
      <c r="H276">
        <v>1.432418180976265</v>
      </c>
      <c r="I276">
        <v>23065.570028</v>
      </c>
      <c r="J276">
        <v>15.35657125665779</v>
      </c>
      <c r="K276">
        <v>0.2052175044378603</v>
      </c>
      <c r="L276">
        <v>1.063966410477297</v>
      </c>
      <c r="M276">
        <v>125.51</v>
      </c>
      <c r="N276">
        <v>83.92</v>
      </c>
    </row>
    <row r="277" spans="1:14">
      <c r="A277" s="1" t="s">
        <v>289</v>
      </c>
      <c r="B277">
        <f>HYPERLINK("https://www.suredividend.com/sure-analysis-RLI/","RLI Corp.")</f>
        <v>0</v>
      </c>
      <c r="C277" t="s">
        <v>389</v>
      </c>
      <c r="D277">
        <v>132.89</v>
      </c>
      <c r="E277">
        <v>0.007826021521559185</v>
      </c>
      <c r="F277">
        <v>0.04000000000000004</v>
      </c>
      <c r="G277">
        <v>0.03397522653195018</v>
      </c>
      <c r="H277">
        <v>1.026761494298704</v>
      </c>
      <c r="I277">
        <v>6030.305144</v>
      </c>
      <c r="J277">
        <v>10.38166642998927</v>
      </c>
      <c r="K277">
        <v>0.08072024326247673</v>
      </c>
      <c r="L277">
        <v>0.447132176963958</v>
      </c>
      <c r="M277">
        <v>134.7</v>
      </c>
      <c r="N277">
        <v>95.36</v>
      </c>
    </row>
    <row r="278" spans="1:14">
      <c r="A278" s="1" t="s">
        <v>290</v>
      </c>
      <c r="B278">
        <f>HYPERLINK("https://www.suredividend.com/sure-analysis-RNR/","RenaissanceRe Holdings Ltd")</f>
        <v>0</v>
      </c>
      <c r="C278" t="s">
        <v>389</v>
      </c>
      <c r="D278">
        <v>186.32</v>
      </c>
      <c r="E278">
        <v>0.00794332331472735</v>
      </c>
      <c r="F278">
        <v>0.0277777777777779</v>
      </c>
      <c r="G278">
        <v>0.02314587308046168</v>
      </c>
      <c r="H278">
        <v>1.474938655171877</v>
      </c>
      <c r="I278">
        <v>8142.536145</v>
      </c>
      <c r="J278" t="s">
        <v>394</v>
      </c>
      <c r="K278" t="s">
        <v>394</v>
      </c>
      <c r="L278">
        <v>0.491067721783274</v>
      </c>
      <c r="M278">
        <v>189.38</v>
      </c>
      <c r="N278">
        <v>123.61</v>
      </c>
    </row>
    <row r="279" spans="1:14">
      <c r="A279" s="1" t="s">
        <v>291</v>
      </c>
      <c r="B279">
        <f>HYPERLINK("https://www.suredividend.com/sure-analysis-ROK/","Rockwell Automation Inc")</f>
        <v>0</v>
      </c>
      <c r="C279" t="s">
        <v>386</v>
      </c>
      <c r="D279">
        <v>258.58</v>
      </c>
      <c r="E279">
        <v>0.01825353855673293</v>
      </c>
      <c r="F279">
        <v>0.05357142857142838</v>
      </c>
      <c r="G279">
        <v>0.05103901130952315</v>
      </c>
      <c r="H279">
        <v>4.488350924199868</v>
      </c>
      <c r="I279">
        <v>29696.400824</v>
      </c>
      <c r="J279">
        <v>31.95566644157968</v>
      </c>
      <c r="K279">
        <v>0.5638631814321442</v>
      </c>
      <c r="L279">
        <v>1.084236997716537</v>
      </c>
      <c r="M279">
        <v>331.94</v>
      </c>
      <c r="N279">
        <v>187.52</v>
      </c>
    </row>
    <row r="280" spans="1:14">
      <c r="A280" s="1" t="s">
        <v>292</v>
      </c>
      <c r="B280">
        <f>HYPERLINK("https://www.suredividend.com/sure-analysis-ROP/","Roper Technologies Inc")</f>
        <v>0</v>
      </c>
      <c r="C280" t="s">
        <v>386</v>
      </c>
      <c r="D280">
        <v>435.2375</v>
      </c>
      <c r="E280">
        <v>0.006272437462305063</v>
      </c>
      <c r="F280">
        <v>0.1008064516129032</v>
      </c>
      <c r="G280">
        <v>0.1059506305412523</v>
      </c>
      <c r="H280">
        <v>2.470391192780664</v>
      </c>
      <c r="I280">
        <v>46157.830853</v>
      </c>
      <c r="J280">
        <v>15.89402253807548</v>
      </c>
      <c r="K280">
        <v>0.09085660878192953</v>
      </c>
      <c r="L280">
        <v>0.7865171726326121</v>
      </c>
      <c r="M280">
        <v>485.92</v>
      </c>
      <c r="N280">
        <v>355.66</v>
      </c>
    </row>
    <row r="281" spans="1:14">
      <c r="A281" s="1" t="s">
        <v>293</v>
      </c>
      <c r="B281">
        <f>HYPERLINK("https://www.suredividend.com/sure-analysis-RPM/","RPM International, Inc.")</f>
        <v>0</v>
      </c>
      <c r="C281" t="s">
        <v>391</v>
      </c>
      <c r="D281">
        <v>85.17</v>
      </c>
      <c r="E281">
        <v>0.01972525537160972</v>
      </c>
      <c r="F281">
        <v>0.04999999999999982</v>
      </c>
      <c r="G281">
        <v>0.05589288248337687</v>
      </c>
      <c r="H281">
        <v>1.608754753205813</v>
      </c>
      <c r="I281">
        <v>10995.355357</v>
      </c>
      <c r="J281">
        <v>21.07124583107521</v>
      </c>
      <c r="K281">
        <v>0.3991947278426335</v>
      </c>
      <c r="L281">
        <v>0.882820510253552</v>
      </c>
      <c r="M281">
        <v>106.5</v>
      </c>
      <c r="N281">
        <v>73.84999999999999</v>
      </c>
    </row>
    <row r="282" spans="1:14">
      <c r="A282" s="1" t="s">
        <v>294</v>
      </c>
      <c r="B282">
        <f>HYPERLINK("https://www.suredividend.com/sure-analysis-research-database/","Regal Rexnord Corp")</f>
        <v>0</v>
      </c>
      <c r="C282" t="s">
        <v>394</v>
      </c>
      <c r="D282">
        <v>121.39</v>
      </c>
      <c r="E282">
        <v>0.011321141303476</v>
      </c>
      <c r="F282" t="s">
        <v>394</v>
      </c>
      <c r="G282" t="s">
        <v>394</v>
      </c>
      <c r="H282">
        <v>1.374273342829054</v>
      </c>
      <c r="I282">
        <v>8030.098902</v>
      </c>
      <c r="J282">
        <v>20.98823549976477</v>
      </c>
      <c r="K282">
        <v>0.2419495321882138</v>
      </c>
      <c r="L282">
        <v>1.117010718174168</v>
      </c>
      <c r="M282">
        <v>170.85</v>
      </c>
      <c r="N282">
        <v>107.37</v>
      </c>
    </row>
    <row r="283" spans="1:14">
      <c r="A283" s="1" t="s">
        <v>295</v>
      </c>
      <c r="B283">
        <f>HYPERLINK("https://www.suredividend.com/sure-analysis-RS/","Reliance Steel &amp; Aluminum Co.")</f>
        <v>0</v>
      </c>
      <c r="C283" t="s">
        <v>391</v>
      </c>
      <c r="D283">
        <v>206.98</v>
      </c>
      <c r="E283">
        <v>0.01690984636196734</v>
      </c>
      <c r="F283">
        <v>0.2727272727272727</v>
      </c>
      <c r="G283">
        <v>0.1184269147201447</v>
      </c>
      <c r="H283">
        <v>3.476781373921429</v>
      </c>
      <c r="I283">
        <v>13196.276283</v>
      </c>
      <c r="J283">
        <v>6.905791136773248</v>
      </c>
      <c r="K283">
        <v>0.1136203063373016</v>
      </c>
      <c r="L283">
        <v>0.8265681132493751</v>
      </c>
      <c r="M283">
        <v>216.76</v>
      </c>
      <c r="N283">
        <v>143.16</v>
      </c>
    </row>
    <row r="284" spans="1:14">
      <c r="A284" s="1" t="s">
        <v>296</v>
      </c>
      <c r="B284">
        <f>HYPERLINK("https://www.suredividend.com/sure-analysis-RSG/","Republic Services, Inc.")</f>
        <v>0</v>
      </c>
      <c r="C284" t="s">
        <v>386</v>
      </c>
      <c r="D284">
        <v>125.52</v>
      </c>
      <c r="E284">
        <v>0.01577437858508604</v>
      </c>
      <c r="F284">
        <v>0.07608695652173902</v>
      </c>
      <c r="G284">
        <v>0.07487316557532875</v>
      </c>
      <c r="H284">
        <v>1.899729413031072</v>
      </c>
      <c r="I284">
        <v>39664.437487</v>
      </c>
      <c r="J284">
        <v>27.28140689643029</v>
      </c>
      <c r="K284">
        <v>0.4147880814478324</v>
      </c>
      <c r="L284">
        <v>0.5592378043263341</v>
      </c>
      <c r="M284">
        <v>148.07</v>
      </c>
      <c r="N284">
        <v>111.95</v>
      </c>
    </row>
    <row r="285" spans="1:14">
      <c r="A285" s="1" t="s">
        <v>297</v>
      </c>
      <c r="B285">
        <f>HYPERLINK("https://www.suredividend.com/sure-analysis-RTX/","Raytheon Technologies Corporation")</f>
        <v>0</v>
      </c>
      <c r="C285" t="s">
        <v>386</v>
      </c>
      <c r="D285">
        <v>100.88</v>
      </c>
      <c r="E285">
        <v>0.0218080888183981</v>
      </c>
      <c r="F285">
        <v>0.07843137254901977</v>
      </c>
      <c r="G285" t="s">
        <v>394</v>
      </c>
      <c r="H285">
        <v>2.141519384501536</v>
      </c>
      <c r="I285">
        <v>148299.730982</v>
      </c>
      <c r="J285">
        <v>33.24360703474557</v>
      </c>
      <c r="K285">
        <v>0.7162272188968347</v>
      </c>
      <c r="L285">
        <v>0.6572573940430481</v>
      </c>
      <c r="M285">
        <v>104.17</v>
      </c>
      <c r="N285">
        <v>79.8</v>
      </c>
    </row>
    <row r="286" spans="1:14">
      <c r="A286" s="1" t="s">
        <v>298</v>
      </c>
      <c r="B286">
        <f>HYPERLINK("https://www.suredividend.com/sure-analysis-research-database/","Sandy Spring Bancorp")</f>
        <v>0</v>
      </c>
      <c r="C286" t="s">
        <v>389</v>
      </c>
      <c r="D286">
        <v>34.3</v>
      </c>
      <c r="E286">
        <v>0.039110709061752</v>
      </c>
      <c r="F286">
        <v>0.0625</v>
      </c>
      <c r="G286">
        <v>0.05511819868320456</v>
      </c>
      <c r="H286">
        <v>1.341497320818097</v>
      </c>
      <c r="I286">
        <v>1531.298427</v>
      </c>
      <c r="J286">
        <v>8.645835036755987</v>
      </c>
      <c r="K286">
        <v>0.3422187042903309</v>
      </c>
      <c r="L286">
        <v>0.71537549266773</v>
      </c>
      <c r="M286">
        <v>50.3</v>
      </c>
      <c r="N286">
        <v>32.01</v>
      </c>
    </row>
    <row r="287" spans="1:14">
      <c r="A287" s="1" t="s">
        <v>299</v>
      </c>
      <c r="B287">
        <f>HYPERLINK("https://www.suredividend.com/sure-analysis-SBSI/","Southside Bancshares Inc")</f>
        <v>0</v>
      </c>
      <c r="C287" t="s">
        <v>389</v>
      </c>
      <c r="D287">
        <v>35.23</v>
      </c>
      <c r="E287">
        <v>0.03860346295770651</v>
      </c>
      <c r="F287">
        <v>0</v>
      </c>
      <c r="G287">
        <v>0.02534857565773274</v>
      </c>
      <c r="H287">
        <v>1.342006881616202</v>
      </c>
      <c r="I287">
        <v>1131.059855</v>
      </c>
      <c r="J287">
        <v>10.66645153764181</v>
      </c>
      <c r="K287">
        <v>0.4091484395171348</v>
      </c>
      <c r="L287">
        <v>0.460423101747774</v>
      </c>
      <c r="M287">
        <v>43.24</v>
      </c>
      <c r="N287">
        <v>30.89</v>
      </c>
    </row>
    <row r="288" spans="1:14">
      <c r="A288" s="1" t="s">
        <v>300</v>
      </c>
      <c r="B288">
        <f>HYPERLINK("https://www.suredividend.com/sure-analysis-SBUX/","Starbucks Corp.")</f>
        <v>0</v>
      </c>
      <c r="C288" t="s">
        <v>393</v>
      </c>
      <c r="D288">
        <v>104.43</v>
      </c>
      <c r="E288">
        <v>0.02030067988126017</v>
      </c>
      <c r="F288">
        <v>0.08163265306122458</v>
      </c>
      <c r="G288">
        <v>0.1205491821988536</v>
      </c>
      <c r="H288">
        <v>1.971223031985217</v>
      </c>
      <c r="I288">
        <v>119864.754</v>
      </c>
      <c r="J288">
        <v>36.52631460263287</v>
      </c>
      <c r="K288">
        <v>0.6965452409841756</v>
      </c>
      <c r="L288">
        <v>1.079791160333553</v>
      </c>
      <c r="M288">
        <v>106.54</v>
      </c>
      <c r="N288">
        <v>67.22</v>
      </c>
    </row>
    <row r="289" spans="1:14">
      <c r="A289" s="1" t="s">
        <v>301</v>
      </c>
      <c r="B289">
        <f>HYPERLINK("https://www.suredividend.com/sure-analysis-SCI/","Service Corp. International")</f>
        <v>0</v>
      </c>
      <c r="C289" t="s">
        <v>393</v>
      </c>
      <c r="D289">
        <v>68.02</v>
      </c>
      <c r="E289">
        <v>0.01470155836518671</v>
      </c>
      <c r="F289">
        <v>0.173913043478261</v>
      </c>
      <c r="G289">
        <v>0.09694024046466465</v>
      </c>
      <c r="H289">
        <v>1.014143909913788</v>
      </c>
      <c r="I289">
        <v>10461.850926</v>
      </c>
      <c r="J289">
        <v>15.39564807925443</v>
      </c>
      <c r="K289">
        <v>0.2431999783965919</v>
      </c>
      <c r="L289">
        <v>0.643374125792746</v>
      </c>
      <c r="M289">
        <v>74.52</v>
      </c>
      <c r="N289">
        <v>56.37</v>
      </c>
    </row>
    <row r="290" spans="1:14">
      <c r="A290" s="1" t="s">
        <v>302</v>
      </c>
      <c r="B290">
        <f>HYPERLINK("https://www.suredividend.com/sure-analysis-SCL/","Stepan Co.")</f>
        <v>0</v>
      </c>
      <c r="C290" t="s">
        <v>391</v>
      </c>
      <c r="D290">
        <v>103.79</v>
      </c>
      <c r="E290">
        <v>0.01406686578668465</v>
      </c>
      <c r="F290">
        <v>0.08955223880596996</v>
      </c>
      <c r="G290">
        <v>0.1015952871926673</v>
      </c>
      <c r="H290">
        <v>1.359722580893415</v>
      </c>
      <c r="I290">
        <v>2307.076295</v>
      </c>
      <c r="J290">
        <v>15.04804711180975</v>
      </c>
      <c r="K290">
        <v>0.2050863621257036</v>
      </c>
      <c r="L290">
        <v>0.72840068277182</v>
      </c>
      <c r="M290">
        <v>121.52</v>
      </c>
      <c r="N290">
        <v>91.33</v>
      </c>
    </row>
    <row r="291" spans="1:14">
      <c r="A291" s="1" t="s">
        <v>303</v>
      </c>
      <c r="B291">
        <f>HYPERLINK("https://www.suredividend.com/sure-analysis-SEIC/","SEI Investments Co.")</f>
        <v>0</v>
      </c>
      <c r="C291" t="s">
        <v>389</v>
      </c>
      <c r="D291">
        <v>58.99</v>
      </c>
      <c r="E291">
        <v>0.01356162061366333</v>
      </c>
      <c r="F291" t="s">
        <v>394</v>
      </c>
      <c r="G291" t="s">
        <v>394</v>
      </c>
      <c r="H291">
        <v>0.8270816642788451</v>
      </c>
      <c r="I291">
        <v>7953.532094</v>
      </c>
      <c r="J291">
        <v>15.63984185052198</v>
      </c>
      <c r="K291">
        <v>0.2259785967974987</v>
      </c>
      <c r="L291">
        <v>0.859945728401953</v>
      </c>
      <c r="M291">
        <v>63.37</v>
      </c>
      <c r="N291">
        <v>45.96</v>
      </c>
    </row>
    <row r="292" spans="1:14">
      <c r="A292" s="1" t="s">
        <v>304</v>
      </c>
      <c r="B292">
        <f>HYPERLINK("https://www.suredividend.com/sure-analysis-research-database/","Simmons First National Corp.")</f>
        <v>0</v>
      </c>
      <c r="C292" t="s">
        <v>389</v>
      </c>
      <c r="D292">
        <v>21.59</v>
      </c>
      <c r="E292">
        <v>0.034742432639275</v>
      </c>
      <c r="F292">
        <v>0.05555555555555558</v>
      </c>
      <c r="G292">
        <v>0.04841317128472156</v>
      </c>
      <c r="H292">
        <v>0.7500891206819511</v>
      </c>
      <c r="I292">
        <v>2741.2747</v>
      </c>
      <c r="J292">
        <v>12.3825545903461</v>
      </c>
      <c r="K292">
        <v>0.4098847653999733</v>
      </c>
      <c r="L292">
        <v>0.708595943566385</v>
      </c>
      <c r="M292">
        <v>31.27</v>
      </c>
      <c r="N292">
        <v>19.34</v>
      </c>
    </row>
    <row r="293" spans="1:14">
      <c r="A293" s="1" t="s">
        <v>305</v>
      </c>
      <c r="B293">
        <f>HYPERLINK("https://www.suredividend.com/sure-analysis-SHW/","Sherwin-Williams Co.")</f>
        <v>0</v>
      </c>
      <c r="C293" t="s">
        <v>391</v>
      </c>
      <c r="D293">
        <v>227.75</v>
      </c>
      <c r="E293">
        <v>0.01053787047200878</v>
      </c>
      <c r="F293">
        <v>0.09090909090909105</v>
      </c>
      <c r="G293" t="s">
        <v>394</v>
      </c>
      <c r="H293">
        <v>2.391279517932416</v>
      </c>
      <c r="I293">
        <v>59019.912994</v>
      </c>
      <c r="J293">
        <v>30.45717462792858</v>
      </c>
      <c r="K293">
        <v>0.3235831553359156</v>
      </c>
      <c r="L293">
        <v>0.863408035950985</v>
      </c>
      <c r="M293">
        <v>330.02</v>
      </c>
      <c r="N293">
        <v>194.75</v>
      </c>
    </row>
    <row r="294" spans="1:14">
      <c r="A294" s="1" t="s">
        <v>306</v>
      </c>
      <c r="B294">
        <f>HYPERLINK("https://www.suredividend.com/sure-analysis-SJM/","J.M. Smucker Co.")</f>
        <v>0</v>
      </c>
      <c r="C294" t="s">
        <v>388</v>
      </c>
      <c r="D294">
        <v>159.39</v>
      </c>
      <c r="E294">
        <v>0.02559759081498212</v>
      </c>
      <c r="F294">
        <v>0.03030303030303028</v>
      </c>
      <c r="G294">
        <v>0.05511819868320456</v>
      </c>
      <c r="H294">
        <v>3.950438662184704</v>
      </c>
      <c r="I294">
        <v>16984.17522</v>
      </c>
      <c r="J294">
        <v>29.71859181023622</v>
      </c>
      <c r="K294">
        <v>0.7453657853178687</v>
      </c>
      <c r="L294">
        <v>0.25078037907479</v>
      </c>
      <c r="M294">
        <v>160.53</v>
      </c>
      <c r="N294">
        <v>117.28</v>
      </c>
    </row>
    <row r="295" spans="1:14">
      <c r="A295" s="1" t="s">
        <v>307</v>
      </c>
      <c r="B295">
        <f>HYPERLINK("https://www.suredividend.com/sure-analysis-SJW/","SJW Group")</f>
        <v>0</v>
      </c>
      <c r="C295" t="s">
        <v>390</v>
      </c>
      <c r="D295">
        <v>80.45999999999999</v>
      </c>
      <c r="E295">
        <v>0.01789709172259508</v>
      </c>
      <c r="F295">
        <v>0.0588235294117645</v>
      </c>
      <c r="G295">
        <v>0.05154749679728043</v>
      </c>
      <c r="H295">
        <v>1.42833724794961</v>
      </c>
      <c r="I295">
        <v>2439.492246</v>
      </c>
      <c r="J295">
        <v>41.80935500479879</v>
      </c>
      <c r="K295">
        <v>0.7400711129272589</v>
      </c>
      <c r="L295">
        <v>0.4149906969929</v>
      </c>
      <c r="M295">
        <v>83.88</v>
      </c>
      <c r="N295">
        <v>55.15</v>
      </c>
    </row>
    <row r="296" spans="1:14">
      <c r="A296" s="1" t="s">
        <v>308</v>
      </c>
      <c r="B296">
        <f>HYPERLINK("https://www.suredividend.com/sure-analysis-SLGN/","Silgan Holdings Inc.")</f>
        <v>0</v>
      </c>
      <c r="C296" t="s">
        <v>393</v>
      </c>
      <c r="D296">
        <v>52.72</v>
      </c>
      <c r="E296">
        <v>0.01213960546282246</v>
      </c>
      <c r="F296">
        <v>0.1428571428571428</v>
      </c>
      <c r="G296">
        <v>0.09856054330611763</v>
      </c>
      <c r="H296">
        <v>0.319509630619105</v>
      </c>
      <c r="I296">
        <v>5803.365249</v>
      </c>
      <c r="J296">
        <v>14.46195409506959</v>
      </c>
      <c r="K296">
        <v>0.08850682288617868</v>
      </c>
      <c r="L296">
        <v>0.5555072907922231</v>
      </c>
      <c r="M296">
        <v>54.59</v>
      </c>
      <c r="N296">
        <v>38.34</v>
      </c>
    </row>
    <row r="297" spans="1:14">
      <c r="A297" s="1" t="s">
        <v>309</v>
      </c>
      <c r="B297">
        <f>HYPERLINK("https://www.suredividend.com/sure-analysis-research-database/","Southern Missouri Bancorp, Inc.")</f>
        <v>0</v>
      </c>
      <c r="C297" t="s">
        <v>389</v>
      </c>
      <c r="D297">
        <v>45.33</v>
      </c>
      <c r="E297">
        <v>0.017981201662901</v>
      </c>
      <c r="F297">
        <v>0.04999999999999982</v>
      </c>
      <c r="G297">
        <v>0.1380604263098537</v>
      </c>
      <c r="H297">
        <v>0.815087871379314</v>
      </c>
      <c r="I297">
        <v>418.357415</v>
      </c>
      <c r="J297">
        <v>0</v>
      </c>
      <c r="K297" t="s">
        <v>394</v>
      </c>
      <c r="L297">
        <v>0.514154050167789</v>
      </c>
      <c r="M297">
        <v>57.51</v>
      </c>
      <c r="N297">
        <v>41.27</v>
      </c>
    </row>
    <row r="298" spans="1:14">
      <c r="A298" s="1" t="s">
        <v>310</v>
      </c>
      <c r="B298">
        <f>HYPERLINK("https://www.suredividend.com/sure-analysis-SMG/","Scotts Miracle-Gro Company")</f>
        <v>0</v>
      </c>
      <c r="C298" t="s">
        <v>391</v>
      </c>
      <c r="D298">
        <v>54.66</v>
      </c>
      <c r="E298">
        <v>0.04829857299670692</v>
      </c>
      <c r="F298">
        <v>0</v>
      </c>
      <c r="G298">
        <v>0.04484919677280197</v>
      </c>
      <c r="H298">
        <v>2.623428147897792</v>
      </c>
      <c r="I298">
        <v>3031.70165</v>
      </c>
      <c r="J298" t="s">
        <v>394</v>
      </c>
      <c r="K298" t="s">
        <v>394</v>
      </c>
      <c r="L298">
        <v>1.396776304543441</v>
      </c>
      <c r="M298">
        <v>163.58</v>
      </c>
      <c r="N298">
        <v>39.06</v>
      </c>
    </row>
    <row r="299" spans="1:14">
      <c r="A299" s="1" t="s">
        <v>311</v>
      </c>
      <c r="B299">
        <f>HYPERLINK("https://www.suredividend.com/sure-analysis-SNA/","Snap-on, Inc.")</f>
        <v>0</v>
      </c>
      <c r="C299" t="s">
        <v>386</v>
      </c>
      <c r="D299">
        <v>230.05</v>
      </c>
      <c r="E299">
        <v>0.02816778961095414</v>
      </c>
      <c r="F299">
        <v>0.1408450704225352</v>
      </c>
      <c r="G299">
        <v>0.1458828839838071</v>
      </c>
      <c r="H299">
        <v>5.824063805414838</v>
      </c>
      <c r="I299">
        <v>12228.224702</v>
      </c>
      <c r="J299">
        <v>13.63996062682655</v>
      </c>
      <c r="K299">
        <v>0.3529735639645356</v>
      </c>
      <c r="L299">
        <v>0.7717936700497581</v>
      </c>
      <c r="M299">
        <v>245.56</v>
      </c>
      <c r="N299">
        <v>187.61</v>
      </c>
    </row>
    <row r="300" spans="1:14">
      <c r="A300" s="1" t="s">
        <v>312</v>
      </c>
      <c r="B300">
        <f>HYPERLINK("https://www.suredividend.com/sure-analysis-SO/","Southern Company")</f>
        <v>0</v>
      </c>
      <c r="C300" t="s">
        <v>390</v>
      </c>
      <c r="D300">
        <v>70.38</v>
      </c>
      <c r="E300">
        <v>0.03864734299516909</v>
      </c>
      <c r="F300">
        <v>0.03030303030303028</v>
      </c>
      <c r="G300">
        <v>0.03232437953530787</v>
      </c>
      <c r="H300">
        <v>2.661323934862225</v>
      </c>
      <c r="I300">
        <v>76620.79363499999</v>
      </c>
      <c r="J300">
        <v>22.56207115272085</v>
      </c>
      <c r="K300">
        <v>0.8421911186272865</v>
      </c>
      <c r="L300">
        <v>0.453911654521497</v>
      </c>
      <c r="M300">
        <v>79.73</v>
      </c>
      <c r="N300">
        <v>60.03</v>
      </c>
    </row>
    <row r="301" spans="1:14">
      <c r="A301" s="1" t="s">
        <v>313</v>
      </c>
      <c r="B301">
        <f>HYPERLINK("https://www.suredividend.com/sure-analysis-SON/","Sonoco Products Co.")</f>
        <v>0</v>
      </c>
      <c r="C301" t="s">
        <v>393</v>
      </c>
      <c r="D301">
        <v>58.85</v>
      </c>
      <c r="E301">
        <v>0.03330501274426508</v>
      </c>
      <c r="F301">
        <v>0.0888888888888888</v>
      </c>
      <c r="G301">
        <v>0.0467098102600354</v>
      </c>
      <c r="H301">
        <v>1.897022374145292</v>
      </c>
      <c r="I301">
        <v>5738.5945</v>
      </c>
      <c r="J301">
        <v>13.21069660926817</v>
      </c>
      <c r="K301">
        <v>0.4291905823858127</v>
      </c>
      <c r="L301">
        <v>0.725104120274489</v>
      </c>
      <c r="M301">
        <v>65.44</v>
      </c>
      <c r="N301">
        <v>50.68</v>
      </c>
    </row>
    <row r="302" spans="1:14">
      <c r="A302" s="1" t="s">
        <v>314</v>
      </c>
      <c r="B302">
        <f>HYPERLINK("https://www.suredividend.com/sure-analysis-SPGI/","S&amp;P Global Inc")</f>
        <v>0</v>
      </c>
      <c r="C302" t="s">
        <v>389</v>
      </c>
      <c r="D302">
        <v>336.08</v>
      </c>
      <c r="E302">
        <v>0.01011663889550107</v>
      </c>
      <c r="F302">
        <v>0.1038961038961039</v>
      </c>
      <c r="G302">
        <v>0.1119615859385787</v>
      </c>
      <c r="H302">
        <v>3.314456686988452</v>
      </c>
      <c r="I302">
        <v>111914.64</v>
      </c>
      <c r="J302">
        <v>31.38287876182288</v>
      </c>
      <c r="K302">
        <v>0.2823216939513162</v>
      </c>
      <c r="L302">
        <v>0.9540248097419891</v>
      </c>
      <c r="M302">
        <v>449.09</v>
      </c>
      <c r="N302">
        <v>279.32</v>
      </c>
    </row>
    <row r="303" spans="1:14">
      <c r="A303" s="1" t="s">
        <v>315</v>
      </c>
      <c r="B303">
        <f>HYPERLINK("https://www.suredividend.com/sure-analysis-SPTN/","SpartanNash Co")</f>
        <v>0</v>
      </c>
      <c r="C303" t="s">
        <v>388</v>
      </c>
      <c r="D303">
        <v>30.84</v>
      </c>
      <c r="E303">
        <v>0.02723735408560311</v>
      </c>
      <c r="F303">
        <v>0.04999999999999982</v>
      </c>
      <c r="G303">
        <v>0.03131030647754507</v>
      </c>
      <c r="H303">
        <v>0.831556940369183</v>
      </c>
      <c r="I303">
        <v>1087.885842</v>
      </c>
      <c r="J303">
        <v>19.52800879355221</v>
      </c>
      <c r="K303">
        <v>0.5364883486252794</v>
      </c>
      <c r="L303">
        <v>0.601314370024151</v>
      </c>
      <c r="M303">
        <v>37.5</v>
      </c>
      <c r="N303">
        <v>23.12</v>
      </c>
    </row>
    <row r="304" spans="1:14">
      <c r="A304" s="1" t="s">
        <v>316</v>
      </c>
      <c r="B304">
        <f>HYPERLINK("https://www.suredividend.com/sure-analysis-SR/","Spire Inc.")</f>
        <v>0</v>
      </c>
      <c r="C304" t="s">
        <v>390</v>
      </c>
      <c r="D304">
        <v>70.09</v>
      </c>
      <c r="E304">
        <v>0.04109002710800399</v>
      </c>
      <c r="F304">
        <v>0.05109489051094873</v>
      </c>
      <c r="G304">
        <v>0.05061112176150684</v>
      </c>
      <c r="H304">
        <v>2.734235741372004</v>
      </c>
      <c r="I304">
        <v>3682.539884</v>
      </c>
      <c r="J304">
        <v>18.14059056399015</v>
      </c>
      <c r="K304">
        <v>0.6992930284838885</v>
      </c>
      <c r="L304">
        <v>0.435945332324117</v>
      </c>
      <c r="M304">
        <v>76.95</v>
      </c>
      <c r="N304">
        <v>59.51</v>
      </c>
    </row>
    <row r="305" spans="1:14">
      <c r="A305" s="1" t="s">
        <v>317</v>
      </c>
      <c r="B305">
        <f>HYPERLINK("https://www.suredividend.com/sure-analysis-SRCE/","1st Source Corp.")</f>
        <v>0</v>
      </c>
      <c r="C305" t="s">
        <v>389</v>
      </c>
      <c r="D305">
        <v>52.09</v>
      </c>
      <c r="E305">
        <v>0.02457285467460165</v>
      </c>
      <c r="F305">
        <v>0.032258064516129</v>
      </c>
      <c r="G305">
        <v>0.07781806771272581</v>
      </c>
      <c r="H305">
        <v>1.248589295353526</v>
      </c>
      <c r="I305">
        <v>1284.392402</v>
      </c>
      <c r="J305">
        <v>11.05119858563783</v>
      </c>
      <c r="K305">
        <v>0.2656572968837289</v>
      </c>
      <c r="L305">
        <v>0.567522232580541</v>
      </c>
      <c r="M305">
        <v>59.61</v>
      </c>
      <c r="N305">
        <v>41.78</v>
      </c>
    </row>
    <row r="306" spans="1:14">
      <c r="A306" s="1" t="s">
        <v>318</v>
      </c>
      <c r="B306">
        <f>HYPERLINK("https://www.suredividend.com/sure-analysis-SRE/","Sempra Energy")</f>
        <v>0</v>
      </c>
      <c r="C306" t="s">
        <v>390</v>
      </c>
      <c r="D306">
        <v>152.48</v>
      </c>
      <c r="E306">
        <v>0.03003672612801679</v>
      </c>
      <c r="F306">
        <v>0.04090909090909078</v>
      </c>
      <c r="G306">
        <v>0.05050104865141103</v>
      </c>
      <c r="H306">
        <v>4.530425004550722</v>
      </c>
      <c r="I306">
        <v>47929.55119</v>
      </c>
      <c r="J306">
        <v>21.20776601338053</v>
      </c>
      <c r="K306">
        <v>0.6345133059594849</v>
      </c>
      <c r="L306">
        <v>0.5240533762941311</v>
      </c>
      <c r="M306">
        <v>173.97</v>
      </c>
      <c r="N306">
        <v>125.95</v>
      </c>
    </row>
    <row r="307" spans="1:14">
      <c r="A307" s="1" t="s">
        <v>319</v>
      </c>
      <c r="B307">
        <f>HYPERLINK("https://www.suredividend.com/sure-analysis-research-database/","SouthState Corporation")</f>
        <v>0</v>
      </c>
      <c r="C307" t="s">
        <v>389</v>
      </c>
      <c r="D307">
        <v>76.75</v>
      </c>
      <c r="E307">
        <v>0.025428142695163</v>
      </c>
      <c r="F307">
        <v>0.02040816326530615</v>
      </c>
      <c r="G307">
        <v>0.0801851873035635</v>
      </c>
      <c r="H307">
        <v>1.951609951853814</v>
      </c>
      <c r="I307">
        <v>5809.633463</v>
      </c>
      <c r="J307">
        <v>12.64632561336372</v>
      </c>
      <c r="K307">
        <v>0.3127580051047779</v>
      </c>
      <c r="L307">
        <v>0.84636863837799</v>
      </c>
      <c r="M307">
        <v>91.45</v>
      </c>
      <c r="N307">
        <v>71.02</v>
      </c>
    </row>
    <row r="308" spans="1:14">
      <c r="A308" s="1" t="s">
        <v>320</v>
      </c>
      <c r="B308">
        <f>HYPERLINK("https://www.suredividend.com/sure-analysis-STAG/","STAG Industrial Inc")</f>
        <v>0</v>
      </c>
      <c r="C308" t="s">
        <v>392</v>
      </c>
      <c r="D308">
        <v>32.52</v>
      </c>
      <c r="E308">
        <v>0.04489544895448954</v>
      </c>
      <c r="F308">
        <v>0</v>
      </c>
      <c r="G308">
        <v>0.001376622202540201</v>
      </c>
      <c r="H308">
        <v>1.429785188053549</v>
      </c>
      <c r="I308">
        <v>5828.118499</v>
      </c>
      <c r="J308">
        <v>24.84533157151627</v>
      </c>
      <c r="K308">
        <v>1.083170597010264</v>
      </c>
      <c r="L308">
        <v>0.929488910435135</v>
      </c>
      <c r="M308">
        <v>43.54</v>
      </c>
      <c r="N308">
        <v>26.25</v>
      </c>
    </row>
    <row r="309" spans="1:14">
      <c r="A309" s="1" t="s">
        <v>321</v>
      </c>
      <c r="B309">
        <f>HYPERLINK("https://www.suredividend.com/sure-analysis-research-database/","Steris Plc")</f>
        <v>0</v>
      </c>
      <c r="C309" t="s">
        <v>385</v>
      </c>
      <c r="D309">
        <v>187.29</v>
      </c>
      <c r="E309">
        <v>0.009586202979973001</v>
      </c>
      <c r="F309">
        <v>0.09302325581395365</v>
      </c>
      <c r="G309">
        <v>0.08679400183142283</v>
      </c>
      <c r="H309">
        <v>1.795399956119235</v>
      </c>
      <c r="I309">
        <v>18695.840867</v>
      </c>
      <c r="J309" t="s">
        <v>394</v>
      </c>
      <c r="K309" t="s">
        <v>394</v>
      </c>
      <c r="L309">
        <v>0.8698499293910641</v>
      </c>
      <c r="M309">
        <v>254.71</v>
      </c>
      <c r="N309">
        <v>158.76</v>
      </c>
    </row>
    <row r="310" spans="1:14">
      <c r="A310" s="1" t="s">
        <v>322</v>
      </c>
      <c r="B310">
        <f>HYPERLINK("https://www.suredividend.com/sure-analysis-STT/","State Street Corp.")</f>
        <v>0</v>
      </c>
      <c r="C310" t="s">
        <v>389</v>
      </c>
      <c r="D310">
        <v>78.70999999999999</v>
      </c>
      <c r="E310">
        <v>0.03201626222843349</v>
      </c>
      <c r="F310">
        <v>0.1052631578947367</v>
      </c>
      <c r="G310">
        <v>0.08447177119769855</v>
      </c>
      <c r="H310">
        <v>2.999245161984432</v>
      </c>
      <c r="I310">
        <v>28881.85897</v>
      </c>
      <c r="J310">
        <v>10.99842306563976</v>
      </c>
      <c r="K310">
        <v>0.4248222609043105</v>
      </c>
      <c r="L310">
        <v>1.245971214084098</v>
      </c>
      <c r="M310">
        <v>101.42</v>
      </c>
      <c r="N310">
        <v>57.73</v>
      </c>
    </row>
    <row r="311" spans="1:14">
      <c r="A311" s="1" t="s">
        <v>323</v>
      </c>
      <c r="B311">
        <f>HYPERLINK("https://www.suredividend.com/sure-analysis-SWK/","Stanley Black &amp; Decker Inc")</f>
        <v>0</v>
      </c>
      <c r="C311" t="s">
        <v>386</v>
      </c>
      <c r="D311">
        <v>78.64</v>
      </c>
      <c r="E311">
        <v>0.04069175991861648</v>
      </c>
      <c r="F311">
        <v>0.01265822784810133</v>
      </c>
      <c r="G311">
        <v>0.04893816562469966</v>
      </c>
      <c r="H311">
        <v>3.136731898739138</v>
      </c>
      <c r="I311">
        <v>11634.142051</v>
      </c>
      <c r="J311">
        <v>8.209824325058218</v>
      </c>
      <c r="K311">
        <v>0.3580744176642852</v>
      </c>
      <c r="L311">
        <v>1.099581551722858</v>
      </c>
      <c r="M311">
        <v>190.53</v>
      </c>
      <c r="N311">
        <v>69.54000000000001</v>
      </c>
    </row>
    <row r="312" spans="1:14">
      <c r="A312" s="1" t="s">
        <v>324</v>
      </c>
      <c r="B312">
        <f>HYPERLINK("https://www.suredividend.com/sure-analysis-SWX/","Southwest Gas Holdings Inc")</f>
        <v>0</v>
      </c>
      <c r="C312" t="s">
        <v>390</v>
      </c>
      <c r="D312">
        <v>62.87</v>
      </c>
      <c r="E312">
        <v>0.03944647685700652</v>
      </c>
      <c r="F312">
        <v>0.04201680672268915</v>
      </c>
      <c r="G312">
        <v>0.04606169223332812</v>
      </c>
      <c r="H312">
        <v>2.424063757432396</v>
      </c>
      <c r="I312">
        <v>4216.553969</v>
      </c>
      <c r="J312">
        <v>28.63786934765039</v>
      </c>
      <c r="K312">
        <v>1.053940764101042</v>
      </c>
      <c r="L312">
        <v>0.374780890302812</v>
      </c>
      <c r="M312">
        <v>93.95</v>
      </c>
      <c r="N312">
        <v>59.51</v>
      </c>
    </row>
    <row r="313" spans="1:14">
      <c r="A313" s="1" t="s">
        <v>325</v>
      </c>
      <c r="B313">
        <f>HYPERLINK("https://www.suredividend.com/sure-analysis-SXI/","Standex International Corp.")</f>
        <v>0</v>
      </c>
      <c r="C313" t="s">
        <v>386</v>
      </c>
      <c r="D313">
        <v>102.06</v>
      </c>
      <c r="E313">
        <v>0.01097393689986283</v>
      </c>
      <c r="F313">
        <v>0.07692307692307709</v>
      </c>
      <c r="G313">
        <v>0.09238846414037316</v>
      </c>
      <c r="H313">
        <v>1.05571610511886</v>
      </c>
      <c r="I313">
        <v>1223.31198</v>
      </c>
      <c r="J313">
        <v>19.16065440112773</v>
      </c>
      <c r="K313">
        <v>0.1995682618372136</v>
      </c>
      <c r="L313">
        <v>0.803671489241462</v>
      </c>
      <c r="M313">
        <v>110.12</v>
      </c>
      <c r="N313">
        <v>78.58</v>
      </c>
    </row>
    <row r="314" spans="1:14">
      <c r="A314" s="1" t="s">
        <v>326</v>
      </c>
      <c r="B314">
        <f>HYPERLINK("https://www.suredividend.com/sure-analysis-SXT/","Sensient Technologies Corp.")</f>
        <v>0</v>
      </c>
      <c r="C314" t="s">
        <v>391</v>
      </c>
      <c r="D314">
        <v>71.79000000000001</v>
      </c>
      <c r="E314">
        <v>0.02284440729906672</v>
      </c>
      <c r="F314">
        <v>0</v>
      </c>
      <c r="G314">
        <v>0.04436902690230249</v>
      </c>
      <c r="H314">
        <v>1.626682375610863</v>
      </c>
      <c r="I314">
        <v>3017.885406</v>
      </c>
      <c r="J314">
        <v>21.71218681355445</v>
      </c>
      <c r="K314">
        <v>0.4944323330124203</v>
      </c>
      <c r="L314">
        <v>0.8621942782779041</v>
      </c>
      <c r="M314">
        <v>95.06</v>
      </c>
      <c r="N314">
        <v>62.78</v>
      </c>
    </row>
    <row r="315" spans="1:14">
      <c r="A315" s="1" t="s">
        <v>327</v>
      </c>
      <c r="B315">
        <f>HYPERLINK("https://www.suredividend.com/sure-analysis-research-database/","Stock Yards Bancorp Inc")</f>
        <v>0</v>
      </c>
      <c r="C315" t="s">
        <v>389</v>
      </c>
      <c r="D315">
        <v>61.3</v>
      </c>
      <c r="E315">
        <v>0.018474756369746</v>
      </c>
      <c r="F315">
        <v>0.03571428571428559</v>
      </c>
      <c r="G315">
        <v>0.04745176373283</v>
      </c>
      <c r="H315">
        <v>1.132502565465457</v>
      </c>
      <c r="I315">
        <v>1793.520304</v>
      </c>
      <c r="J315">
        <v>20.44037545587163</v>
      </c>
      <c r="K315">
        <v>0.3641487348763527</v>
      </c>
      <c r="L315">
        <v>0.4857351570758691</v>
      </c>
      <c r="M315">
        <v>78.36</v>
      </c>
      <c r="N315">
        <v>49.89</v>
      </c>
    </row>
    <row r="316" spans="1:14">
      <c r="A316" s="1" t="s">
        <v>328</v>
      </c>
      <c r="B316">
        <f>HYPERLINK("https://www.suredividend.com/sure-analysis-SYK/","Stryker Corp.")</f>
        <v>0</v>
      </c>
      <c r="C316" t="s">
        <v>385</v>
      </c>
      <c r="D316">
        <v>249.82</v>
      </c>
      <c r="E316">
        <v>0.01112801216876151</v>
      </c>
      <c r="F316">
        <v>0.07913669064748197</v>
      </c>
      <c r="G316">
        <v>0.09797557995870743</v>
      </c>
      <c r="H316">
        <v>2.821423835006069</v>
      </c>
      <c r="I316">
        <v>94539.364863</v>
      </c>
      <c r="J316">
        <v>38.47755997671143</v>
      </c>
      <c r="K316">
        <v>0.4387906430802596</v>
      </c>
      <c r="L316">
        <v>0.997659827051353</v>
      </c>
      <c r="M316">
        <v>276.5</v>
      </c>
      <c r="N316">
        <v>187.62</v>
      </c>
    </row>
    <row r="317" spans="1:14">
      <c r="A317" s="1" t="s">
        <v>329</v>
      </c>
      <c r="B317">
        <f>HYPERLINK("https://www.suredividend.com/sure-analysis-SYY/","Sysco Corp.")</f>
        <v>0</v>
      </c>
      <c r="C317" t="s">
        <v>388</v>
      </c>
      <c r="D317">
        <v>76.27</v>
      </c>
      <c r="E317">
        <v>0.02569817752720598</v>
      </c>
      <c r="F317">
        <v>0.04255319148936154</v>
      </c>
      <c r="G317">
        <v>0.06360094824680784</v>
      </c>
      <c r="H317">
        <v>1.921878276641909</v>
      </c>
      <c r="I317">
        <v>38651.159208</v>
      </c>
      <c r="J317">
        <v>26.7237395851549</v>
      </c>
      <c r="K317">
        <v>0.6815171193765633</v>
      </c>
      <c r="L317">
        <v>0.797683596448277</v>
      </c>
      <c r="M317">
        <v>89.84</v>
      </c>
      <c r="N317">
        <v>69.7</v>
      </c>
    </row>
    <row r="318" spans="1:14">
      <c r="A318" s="1" t="s">
        <v>330</v>
      </c>
      <c r="B318">
        <f>HYPERLINK("https://www.suredividend.com/sure-analysis-TDS/","Telephone And Data Systems, Inc.")</f>
        <v>0</v>
      </c>
      <c r="C318" t="s">
        <v>395</v>
      </c>
      <c r="D318">
        <v>11.82</v>
      </c>
      <c r="E318">
        <v>0.06091370558375634</v>
      </c>
      <c r="F318">
        <v>0.02857142857142847</v>
      </c>
      <c r="G318">
        <v>0.02383625553960966</v>
      </c>
      <c r="H318">
        <v>0.7047005267306821</v>
      </c>
      <c r="I318">
        <v>1255.068876</v>
      </c>
      <c r="J318">
        <v>25.61365053061225</v>
      </c>
      <c r="K318">
        <v>1.661245937601796</v>
      </c>
      <c r="L318">
        <v>0.484796094340002</v>
      </c>
      <c r="M318">
        <v>20.17</v>
      </c>
      <c r="N318">
        <v>9.49</v>
      </c>
    </row>
    <row r="319" spans="1:14">
      <c r="A319" s="1" t="s">
        <v>331</v>
      </c>
      <c r="B319">
        <f>HYPERLINK("https://www.suredividend.com/sure-analysis-TEL/","TE Connectivity Ltd")</f>
        <v>0</v>
      </c>
      <c r="C319" t="s">
        <v>387</v>
      </c>
      <c r="D319">
        <v>116.26</v>
      </c>
      <c r="E319">
        <v>0.01926715981420953</v>
      </c>
      <c r="F319">
        <v>0.1200000000000001</v>
      </c>
      <c r="G319">
        <v>0.06961037572506878</v>
      </c>
      <c r="H319">
        <v>2.166170458484043</v>
      </c>
      <c r="I319">
        <v>36881.225254</v>
      </c>
      <c r="J319">
        <v>14.67033621892601</v>
      </c>
      <c r="K319">
        <v>0.2827898770866897</v>
      </c>
      <c r="L319">
        <v>1.173870044030913</v>
      </c>
      <c r="M319">
        <v>159.69</v>
      </c>
      <c r="N319">
        <v>104.29</v>
      </c>
    </row>
    <row r="320" spans="1:14">
      <c r="A320" s="1" t="s">
        <v>332</v>
      </c>
      <c r="B320">
        <f>HYPERLINK("https://www.suredividend.com/sure-analysis-TFC/","Truist Financial Corporation")</f>
        <v>0</v>
      </c>
      <c r="C320" t="s">
        <v>389</v>
      </c>
      <c r="D320">
        <v>44.44</v>
      </c>
      <c r="E320">
        <v>0.04680468046804681</v>
      </c>
      <c r="F320">
        <v>0.08333333333333348</v>
      </c>
      <c r="G320">
        <v>0.6313913902711874</v>
      </c>
      <c r="H320">
        <v>1.968198513417699</v>
      </c>
      <c r="I320">
        <v>58961.493839</v>
      </c>
      <c r="J320">
        <v>10.09441770907721</v>
      </c>
      <c r="K320">
        <v>0.4514216773893805</v>
      </c>
      <c r="L320">
        <v>0.9516291652181251</v>
      </c>
      <c r="M320">
        <v>66.27</v>
      </c>
      <c r="N320">
        <v>39.54</v>
      </c>
    </row>
    <row r="321" spans="1:14">
      <c r="A321" s="1" t="s">
        <v>333</v>
      </c>
      <c r="B321">
        <f>HYPERLINK("https://www.suredividend.com/sure-analysis-TGT/","Target Corp")</f>
        <v>0</v>
      </c>
      <c r="C321" t="s">
        <v>388</v>
      </c>
      <c r="D321">
        <v>154.26</v>
      </c>
      <c r="E321">
        <v>0.0280046674445741</v>
      </c>
      <c r="F321">
        <v>0.2</v>
      </c>
      <c r="G321">
        <v>0.1173942011257414</v>
      </c>
      <c r="H321">
        <v>3.908663670762684</v>
      </c>
      <c r="I321">
        <v>71000.113304</v>
      </c>
      <c r="J321">
        <v>20.5916801925174</v>
      </c>
      <c r="K321">
        <v>0.5310684335275386</v>
      </c>
      <c r="L321">
        <v>1.140641603136822</v>
      </c>
      <c r="M321">
        <v>249.03</v>
      </c>
      <c r="N321">
        <v>134.57</v>
      </c>
    </row>
    <row r="322" spans="1:14">
      <c r="A322" s="1" t="s">
        <v>334</v>
      </c>
      <c r="B322">
        <f>HYPERLINK("https://www.suredividend.com/sure-analysis-THFF/","First Financial Corp. - Indiana")</f>
        <v>0</v>
      </c>
      <c r="C322" t="s">
        <v>389</v>
      </c>
      <c r="D322">
        <v>44.89</v>
      </c>
      <c r="E322">
        <v>0.02405881042548452</v>
      </c>
      <c r="F322" t="s">
        <v>394</v>
      </c>
      <c r="G322" t="s">
        <v>394</v>
      </c>
      <c r="H322">
        <v>1.077643413049845</v>
      </c>
      <c r="I322">
        <v>539.66749</v>
      </c>
      <c r="J322">
        <v>8.706280292646726</v>
      </c>
      <c r="K322">
        <v>0.215528682609969</v>
      </c>
      <c r="L322">
        <v>0.262475284736068</v>
      </c>
      <c r="M322">
        <v>49.68</v>
      </c>
      <c r="N322">
        <v>40.82</v>
      </c>
    </row>
    <row r="323" spans="1:14">
      <c r="A323" s="1" t="s">
        <v>335</v>
      </c>
      <c r="B323">
        <f>HYPERLINK("https://www.suredividend.com/sure-analysis-THG/","Hanover Insurance Group Inc")</f>
        <v>0</v>
      </c>
      <c r="C323" t="s">
        <v>389</v>
      </c>
      <c r="D323">
        <v>135.62</v>
      </c>
      <c r="E323">
        <v>0.02212063117534287</v>
      </c>
      <c r="F323">
        <v>0.08000000000000007</v>
      </c>
      <c r="G323">
        <v>0.08447177119769855</v>
      </c>
      <c r="H323">
        <v>3.034701728868815</v>
      </c>
      <c r="I323">
        <v>4822.960075</v>
      </c>
      <c r="J323">
        <v>16.56805247454483</v>
      </c>
      <c r="K323">
        <v>0.3760473022142274</v>
      </c>
      <c r="L323">
        <v>0.533160310356108</v>
      </c>
      <c r="M323">
        <v>152.99</v>
      </c>
      <c r="N323">
        <v>121.95</v>
      </c>
    </row>
    <row r="324" spans="1:14">
      <c r="A324" s="1" t="s">
        <v>336</v>
      </c>
      <c r="B324">
        <f>HYPERLINK("https://www.suredividend.com/sure-analysis-THO/","Thor Industries, Inc.")</f>
        <v>0</v>
      </c>
      <c r="C324" t="s">
        <v>393</v>
      </c>
      <c r="D324">
        <v>78.28</v>
      </c>
      <c r="E324">
        <v>0.0229943791517629</v>
      </c>
      <c r="F324">
        <v>0.04651162790697683</v>
      </c>
      <c r="G324">
        <v>0.03992533304330625</v>
      </c>
      <c r="H324">
        <v>2.194792909455928</v>
      </c>
      <c r="I324">
        <v>4189.446576</v>
      </c>
      <c r="J324">
        <v>4.060536716656313</v>
      </c>
      <c r="K324">
        <v>0.1165583063970222</v>
      </c>
      <c r="L324">
        <v>1.252809902354492</v>
      </c>
      <c r="M324">
        <v>105.91</v>
      </c>
      <c r="N324">
        <v>65.11</v>
      </c>
    </row>
    <row r="325" spans="1:14">
      <c r="A325" s="1" t="s">
        <v>337</v>
      </c>
      <c r="B325">
        <f>HYPERLINK("https://www.suredividend.com/sure-analysis-TMP/","Tompkins Financial Corp")</f>
        <v>0</v>
      </c>
      <c r="C325" t="s">
        <v>389</v>
      </c>
      <c r="D325">
        <v>75.79000000000001</v>
      </c>
      <c r="E325">
        <v>0.03166644676078638</v>
      </c>
      <c r="F325">
        <v>0.05263157894736836</v>
      </c>
      <c r="G325">
        <v>0.04563955259127317</v>
      </c>
      <c r="H325">
        <v>2.28506264632586</v>
      </c>
      <c r="I325">
        <v>1097.723943</v>
      </c>
      <c r="J325">
        <v>12.97132053635365</v>
      </c>
      <c r="K325">
        <v>0.3899424311136279</v>
      </c>
      <c r="L325">
        <v>0.581883000307831</v>
      </c>
      <c r="M325">
        <v>85</v>
      </c>
      <c r="N325">
        <v>67.51000000000001</v>
      </c>
    </row>
    <row r="326" spans="1:14">
      <c r="A326" s="1" t="s">
        <v>338</v>
      </c>
      <c r="B326">
        <f>HYPERLINK("https://www.suredividend.com/sure-analysis-TNC/","Tennant Co.")</f>
        <v>0</v>
      </c>
      <c r="C326" t="s">
        <v>386</v>
      </c>
      <c r="D326">
        <v>63.11</v>
      </c>
      <c r="E326">
        <v>0.01584534938995405</v>
      </c>
      <c r="F326">
        <v>0.06000000000000005</v>
      </c>
      <c r="G326">
        <v>0.04762370263962179</v>
      </c>
      <c r="H326">
        <v>1.008828742342007</v>
      </c>
      <c r="I326">
        <v>1173.620634</v>
      </c>
      <c r="J326">
        <v>23.28612369424604</v>
      </c>
      <c r="K326">
        <v>0.3750292722460993</v>
      </c>
      <c r="L326">
        <v>0.7844826079922681</v>
      </c>
      <c r="M326">
        <v>84.29000000000001</v>
      </c>
      <c r="N326">
        <v>54.45</v>
      </c>
    </row>
    <row r="327" spans="1:14">
      <c r="A327" s="1" t="s">
        <v>339</v>
      </c>
      <c r="B327">
        <f>HYPERLINK("https://www.suredividend.com/sure-analysis-research-database/","Townebank Portsmouth VA")</f>
        <v>0</v>
      </c>
      <c r="C327" t="s">
        <v>389</v>
      </c>
      <c r="D327">
        <v>29.88</v>
      </c>
      <c r="E327">
        <v>0.029448415313639</v>
      </c>
      <c r="F327">
        <v>0.1499999999999999</v>
      </c>
      <c r="G327">
        <v>0.1043836287043816</v>
      </c>
      <c r="H327">
        <v>0.8799186495715481</v>
      </c>
      <c r="I327">
        <v>1544.15857</v>
      </c>
      <c r="J327">
        <v>0</v>
      </c>
      <c r="K327" t="s">
        <v>394</v>
      </c>
      <c r="L327">
        <v>0.627053901694929</v>
      </c>
      <c r="M327">
        <v>33.74</v>
      </c>
      <c r="N327">
        <v>25.77</v>
      </c>
    </row>
    <row r="328" spans="1:14">
      <c r="A328" s="1" t="s">
        <v>340</v>
      </c>
      <c r="B328">
        <f>HYPERLINK("https://www.suredividend.com/sure-analysis-TR/","Tootsie Roll Industries, Inc.")</f>
        <v>0</v>
      </c>
      <c r="C328" t="s">
        <v>388</v>
      </c>
      <c r="D328">
        <v>45.01</v>
      </c>
      <c r="E328">
        <v>0.007998222617196179</v>
      </c>
      <c r="F328">
        <v>0</v>
      </c>
      <c r="G328">
        <v>0</v>
      </c>
      <c r="H328">
        <v>0.358707035729033</v>
      </c>
      <c r="I328">
        <v>1813.623578</v>
      </c>
      <c r="J328">
        <v>25.6796258820531</v>
      </c>
      <c r="K328">
        <v>0.3516735644402285</v>
      </c>
      <c r="L328">
        <v>0.406878015270644</v>
      </c>
      <c r="M328">
        <v>46.42</v>
      </c>
      <c r="N328">
        <v>30.81</v>
      </c>
    </row>
    <row r="329" spans="1:14">
      <c r="A329" s="1" t="s">
        <v>341</v>
      </c>
      <c r="B329">
        <f>HYPERLINK("https://www.suredividend.com/sure-analysis-TRN/","Trinity Industries, Inc.")</f>
        <v>0</v>
      </c>
      <c r="C329" t="s">
        <v>386</v>
      </c>
      <c r="D329">
        <v>29.5</v>
      </c>
      <c r="E329">
        <v>0.0311864406779661</v>
      </c>
      <c r="F329">
        <v>0.09523809523809534</v>
      </c>
      <c r="G329">
        <v>0.1208742617958329</v>
      </c>
      <c r="H329">
        <v>0.9065080427652941</v>
      </c>
      <c r="I329">
        <v>2401.399386</v>
      </c>
      <c r="J329">
        <v>14.75061047604423</v>
      </c>
      <c r="K329">
        <v>0.4900043474406995</v>
      </c>
      <c r="L329">
        <v>1.029174176531675</v>
      </c>
      <c r="M329">
        <v>34.37</v>
      </c>
      <c r="N329">
        <v>20.73</v>
      </c>
    </row>
    <row r="330" spans="1:14">
      <c r="A330" s="1" t="s">
        <v>342</v>
      </c>
      <c r="B330">
        <f>HYPERLINK("https://www.suredividend.com/sure-analysis-research-database/","Terreno Realty Corp")</f>
        <v>0</v>
      </c>
      <c r="C330" t="s">
        <v>392</v>
      </c>
      <c r="D330">
        <v>56.67</v>
      </c>
      <c r="E330">
        <v>0.025856675939212</v>
      </c>
      <c r="F330">
        <v>0.1764705882352942</v>
      </c>
      <c r="G330">
        <v>0.1270092020979254</v>
      </c>
      <c r="H330">
        <v>1.465297825475194</v>
      </c>
      <c r="I330">
        <v>4310.701532</v>
      </c>
      <c r="J330">
        <v>25.25264074111175</v>
      </c>
      <c r="K330">
        <v>0.6426744848575412</v>
      </c>
      <c r="L330">
        <v>0.8691714052086331</v>
      </c>
      <c r="M330">
        <v>79.36</v>
      </c>
      <c r="N330">
        <v>50</v>
      </c>
    </row>
    <row r="331" spans="1:14">
      <c r="A331" s="1" t="s">
        <v>343</v>
      </c>
      <c r="B331">
        <f>HYPERLINK("https://www.suredividend.com/sure-analysis-TROW/","T. Rowe Price Group Inc.")</f>
        <v>0</v>
      </c>
      <c r="C331" t="s">
        <v>389</v>
      </c>
      <c r="D331">
        <v>108.21</v>
      </c>
      <c r="E331">
        <v>0.04435819240365955</v>
      </c>
      <c r="F331">
        <v>0.1111111111111109</v>
      </c>
      <c r="G331">
        <v>0.1138241786028789</v>
      </c>
      <c r="H331">
        <v>4.725957099148772</v>
      </c>
      <c r="I331">
        <v>24181.127307</v>
      </c>
      <c r="J331">
        <v>12.18806819885081</v>
      </c>
      <c r="K331">
        <v>0.5425897932432574</v>
      </c>
      <c r="L331">
        <v>1.452042350097898</v>
      </c>
      <c r="M331">
        <v>186.11</v>
      </c>
      <c r="N331">
        <v>92.58</v>
      </c>
    </row>
    <row r="332" spans="1:14">
      <c r="A332" s="1" t="s">
        <v>344</v>
      </c>
      <c r="B332">
        <f>HYPERLINK("https://www.suredividend.com/sure-analysis-TRV/","Travelers Companies Inc.")</f>
        <v>0</v>
      </c>
      <c r="C332" t="s">
        <v>389</v>
      </c>
      <c r="D332">
        <v>187.55</v>
      </c>
      <c r="E332">
        <v>0.01983471074380165</v>
      </c>
      <c r="F332">
        <v>0.05681818181818188</v>
      </c>
      <c r="G332">
        <v>0.05251935381426631</v>
      </c>
      <c r="H332">
        <v>3.641635440177124</v>
      </c>
      <c r="I332">
        <v>43951.878314</v>
      </c>
      <c r="J332">
        <v>13.19479985402282</v>
      </c>
      <c r="K332">
        <v>0.2646537383849654</v>
      </c>
      <c r="L332">
        <v>0.446646249128744</v>
      </c>
      <c r="M332">
        <v>191.22</v>
      </c>
      <c r="N332">
        <v>148.91</v>
      </c>
    </row>
    <row r="333" spans="1:14">
      <c r="A333" s="1" t="s">
        <v>345</v>
      </c>
      <c r="B333">
        <f>HYPERLINK("https://www.suredividend.com/sure-analysis-TSCO/","Tractor Supply Co.")</f>
        <v>0</v>
      </c>
      <c r="C333" t="s">
        <v>393</v>
      </c>
      <c r="D333">
        <v>219.63</v>
      </c>
      <c r="E333">
        <v>0.01675545235168237</v>
      </c>
      <c r="F333">
        <v>0.7692307692307692</v>
      </c>
      <c r="G333">
        <v>0.2778645216135123</v>
      </c>
      <c r="H333">
        <v>3.655224726897375</v>
      </c>
      <c r="I333">
        <v>24261.042499</v>
      </c>
      <c r="J333">
        <v>23.34633316590966</v>
      </c>
      <c r="K333">
        <v>0.3977393609246328</v>
      </c>
      <c r="L333">
        <v>0.8939693437638531</v>
      </c>
      <c r="M333">
        <v>238.18</v>
      </c>
      <c r="N333">
        <v>165.03</v>
      </c>
    </row>
    <row r="334" spans="1:14">
      <c r="A334" s="1" t="s">
        <v>346</v>
      </c>
      <c r="B334">
        <f>HYPERLINK("https://www.suredividend.com/sure-analysis-TSN/","Tyson Foods, Inc.")</f>
        <v>0</v>
      </c>
      <c r="C334" t="s">
        <v>388</v>
      </c>
      <c r="D334">
        <v>64.36</v>
      </c>
      <c r="E334">
        <v>0.02983219390926041</v>
      </c>
      <c r="F334">
        <v>0.04347826086956519</v>
      </c>
      <c r="G334">
        <v>0.09856054330611763</v>
      </c>
      <c r="H334">
        <v>1.84455678378169</v>
      </c>
      <c r="I334">
        <v>23145.7868</v>
      </c>
      <c r="J334">
        <v>4.568144572024661</v>
      </c>
      <c r="K334">
        <v>0.1654311016844565</v>
      </c>
      <c r="L334">
        <v>0.539445268888842</v>
      </c>
      <c r="M334">
        <v>98.90000000000001</v>
      </c>
      <c r="N334">
        <v>59.38</v>
      </c>
    </row>
    <row r="335" spans="1:14">
      <c r="A335" s="1" t="s">
        <v>347</v>
      </c>
      <c r="B335">
        <f>HYPERLINK("https://www.suredividend.com/sure-analysis-TT/","Trane Technologies plc")</f>
        <v>0</v>
      </c>
      <c r="C335" t="s">
        <v>386</v>
      </c>
      <c r="D335">
        <v>171.95</v>
      </c>
      <c r="E335">
        <v>0.01558592614132015</v>
      </c>
      <c r="F335">
        <v>0.1355932203389831</v>
      </c>
      <c r="G335">
        <v>0.08286036471404024</v>
      </c>
      <c r="H335">
        <v>2.663380998271266</v>
      </c>
      <c r="I335">
        <v>39601.339547</v>
      </c>
      <c r="J335">
        <v>24.21804032974559</v>
      </c>
      <c r="K335">
        <v>0.3859972461262705</v>
      </c>
      <c r="L335">
        <v>0.9896852577746861</v>
      </c>
      <c r="M335">
        <v>193.7</v>
      </c>
      <c r="N335">
        <v>119.66</v>
      </c>
    </row>
    <row r="336" spans="1:14">
      <c r="A336" s="1" t="s">
        <v>348</v>
      </c>
      <c r="B336">
        <f>HYPERLINK("https://www.suredividend.com/sure-analysis-TTC/","Toro Co.")</f>
        <v>0</v>
      </c>
      <c r="C336" t="s">
        <v>386</v>
      </c>
      <c r="D336">
        <v>112.37</v>
      </c>
      <c r="E336">
        <v>0.01210287443267776</v>
      </c>
      <c r="F336">
        <v>0.1333333333333333</v>
      </c>
      <c r="G336">
        <v>0.1119615859385787</v>
      </c>
      <c r="H336">
        <v>1.235266041734241</v>
      </c>
      <c r="I336">
        <v>11687.432898</v>
      </c>
      <c r="J336">
        <v>26.36211524646887</v>
      </c>
      <c r="K336">
        <v>0.2941109623176764</v>
      </c>
      <c r="L336">
        <v>0.807685864006728</v>
      </c>
      <c r="M336">
        <v>115.55</v>
      </c>
      <c r="N336">
        <v>71.40000000000001</v>
      </c>
    </row>
    <row r="337" spans="1:14">
      <c r="A337" s="1" t="s">
        <v>349</v>
      </c>
      <c r="B337">
        <f>HYPERLINK("https://www.suredividend.com/sure-analysis-TXN/","Texas Instruments Inc.")</f>
        <v>0</v>
      </c>
      <c r="C337" t="s">
        <v>387</v>
      </c>
      <c r="D337">
        <v>166.93</v>
      </c>
      <c r="E337">
        <v>0.02971305337566645</v>
      </c>
      <c r="F337">
        <v>0.07826086956521738</v>
      </c>
      <c r="G337">
        <v>0.1486983549970351</v>
      </c>
      <c r="H337">
        <v>4.640123850144524</v>
      </c>
      <c r="I337">
        <v>151500.945884</v>
      </c>
      <c r="J337">
        <v>17.0493974661445</v>
      </c>
      <c r="K337">
        <v>0.4858768429470705</v>
      </c>
      <c r="L337">
        <v>1.086103919953503</v>
      </c>
      <c r="M337">
        <v>187.31</v>
      </c>
      <c r="N337">
        <v>142.38</v>
      </c>
    </row>
    <row r="338" spans="1:14">
      <c r="A338" s="1" t="s">
        <v>350</v>
      </c>
      <c r="B338">
        <f>HYPERLINK("https://www.suredividend.com/sure-analysis-UBSI/","United Bankshares, Inc.")</f>
        <v>0</v>
      </c>
      <c r="C338" t="s">
        <v>389</v>
      </c>
      <c r="D338">
        <v>39.49</v>
      </c>
      <c r="E338">
        <v>0.03646492782983033</v>
      </c>
      <c r="F338">
        <v>0</v>
      </c>
      <c r="G338">
        <v>0.01149727415513624</v>
      </c>
      <c r="H338">
        <v>1.419924534732175</v>
      </c>
      <c r="I338">
        <v>5317.682488</v>
      </c>
      <c r="J338">
        <v>15.03384793465908</v>
      </c>
      <c r="K338">
        <v>0.5398952603544391</v>
      </c>
      <c r="L338">
        <v>0.646782083951811</v>
      </c>
      <c r="M338">
        <v>43.76</v>
      </c>
      <c r="N338">
        <v>32.17</v>
      </c>
    </row>
    <row r="339" spans="1:14">
      <c r="A339" s="1" t="s">
        <v>351</v>
      </c>
      <c r="B339">
        <f>HYPERLINK("https://www.suredividend.com/sure-analysis-UDR/","UDR Inc")</f>
        <v>0</v>
      </c>
      <c r="C339" t="s">
        <v>392</v>
      </c>
      <c r="D339">
        <v>37.25</v>
      </c>
      <c r="E339">
        <v>0.04080536912751678</v>
      </c>
      <c r="F339">
        <v>0.04827586206896539</v>
      </c>
      <c r="G339">
        <v>0.03335792744906896</v>
      </c>
      <c r="H339">
        <v>1.468389358211502</v>
      </c>
      <c r="I339">
        <v>12126.431305</v>
      </c>
      <c r="J339">
        <v>77.98849639848221</v>
      </c>
      <c r="K339">
        <v>3.012698724274727</v>
      </c>
      <c r="L339">
        <v>0.7433968459588121</v>
      </c>
      <c r="M339">
        <v>58.35</v>
      </c>
      <c r="N339">
        <v>36.8</v>
      </c>
    </row>
    <row r="340" spans="1:14">
      <c r="A340" s="1" t="s">
        <v>352</v>
      </c>
      <c r="B340">
        <f>HYPERLINK("https://www.suredividend.com/sure-analysis-UGI/","UGI Corp.")</f>
        <v>0</v>
      </c>
      <c r="C340" t="s">
        <v>390</v>
      </c>
      <c r="D340">
        <v>38.12</v>
      </c>
      <c r="E340">
        <v>0.03777544596012592</v>
      </c>
      <c r="F340">
        <v>0.04347826086956519</v>
      </c>
      <c r="G340">
        <v>0.07565375693257015</v>
      </c>
      <c r="H340">
        <v>1.405670818952206</v>
      </c>
      <c r="I340">
        <v>7994.100218</v>
      </c>
      <c r="J340">
        <v>7.450233195153775</v>
      </c>
      <c r="K340">
        <v>0.2828311506946088</v>
      </c>
      <c r="L340">
        <v>0.712568987189061</v>
      </c>
      <c r="M340">
        <v>45.29</v>
      </c>
      <c r="N340">
        <v>30.9</v>
      </c>
    </row>
    <row r="341" spans="1:14">
      <c r="A341" s="1" t="s">
        <v>353</v>
      </c>
      <c r="B341">
        <f>HYPERLINK("https://www.suredividend.com/sure-analysis-UHT/","Universal Health Realty Income Trust")</f>
        <v>0</v>
      </c>
      <c r="C341" t="s">
        <v>392</v>
      </c>
      <c r="D341">
        <v>47.6</v>
      </c>
      <c r="E341">
        <v>0.05966386554621848</v>
      </c>
      <c r="F341">
        <v>0.01418439716312059</v>
      </c>
      <c r="G341">
        <v>0.01460472222032205</v>
      </c>
      <c r="H341">
        <v>2.780747944228887</v>
      </c>
      <c r="I341">
        <v>656.985101</v>
      </c>
      <c r="J341">
        <v>6.135116642698392</v>
      </c>
      <c r="K341">
        <v>0.3578826183048761</v>
      </c>
      <c r="L341">
        <v>0.515466753535441</v>
      </c>
      <c r="M341">
        <v>57.66</v>
      </c>
      <c r="N341">
        <v>40.35</v>
      </c>
    </row>
    <row r="342" spans="1:14">
      <c r="A342" s="1" t="s">
        <v>354</v>
      </c>
      <c r="B342">
        <f>HYPERLINK("https://www.suredividend.com/sure-analysis-UMBF/","UMB Financial Corp.")</f>
        <v>0</v>
      </c>
      <c r="C342" t="s">
        <v>389</v>
      </c>
      <c r="D342">
        <v>81.92</v>
      </c>
      <c r="E342">
        <v>0.0185546875</v>
      </c>
      <c r="F342">
        <v>0.02702702702702697</v>
      </c>
      <c r="G342">
        <v>0.05554589164848411</v>
      </c>
      <c r="H342">
        <v>1.480311409360208</v>
      </c>
      <c r="I342">
        <v>3957.743862</v>
      </c>
      <c r="J342">
        <v>9.652916090681821</v>
      </c>
      <c r="K342">
        <v>0.1762275487333581</v>
      </c>
      <c r="L342">
        <v>0.7901686718755211</v>
      </c>
      <c r="M342">
        <v>110.38</v>
      </c>
      <c r="N342">
        <v>76.97</v>
      </c>
    </row>
    <row r="343" spans="1:14">
      <c r="A343" s="1" t="s">
        <v>355</v>
      </c>
      <c r="B343">
        <f>HYPERLINK("https://www.suredividend.com/sure-analysis-UNH/","Unitedhealth Group Inc")</f>
        <v>0</v>
      </c>
      <c r="C343" t="s">
        <v>385</v>
      </c>
      <c r="D343">
        <v>489.96</v>
      </c>
      <c r="E343">
        <v>0.01347048738672545</v>
      </c>
      <c r="F343">
        <v>0.1379310344827587</v>
      </c>
      <c r="G343">
        <v>0.1708049129648923</v>
      </c>
      <c r="H343">
        <v>6.370615305271219</v>
      </c>
      <c r="I343">
        <v>457793.671807</v>
      </c>
      <c r="J343">
        <v>23.56117713881008</v>
      </c>
      <c r="K343">
        <v>0.3121320580730632</v>
      </c>
      <c r="L343">
        <v>0.5750288098890111</v>
      </c>
      <c r="M343">
        <v>556.38</v>
      </c>
      <c r="N343">
        <v>440.1</v>
      </c>
    </row>
    <row r="344" spans="1:14">
      <c r="A344" s="1" t="s">
        <v>356</v>
      </c>
      <c r="B344">
        <f>HYPERLINK("https://www.suredividend.com/sure-analysis-UNM/","Unum Group")</f>
        <v>0</v>
      </c>
      <c r="C344" t="s">
        <v>389</v>
      </c>
      <c r="D344">
        <v>40.89</v>
      </c>
      <c r="E344">
        <v>0.03228173147468819</v>
      </c>
      <c r="F344">
        <v>0.09999999999999987</v>
      </c>
      <c r="G344">
        <v>0.07487316557532875</v>
      </c>
      <c r="H344">
        <v>1.244331839956149</v>
      </c>
      <c r="I344">
        <v>8134.692747</v>
      </c>
      <c r="J344">
        <v>6.811264126902788</v>
      </c>
      <c r="K344">
        <v>0.2116210612170321</v>
      </c>
      <c r="L344">
        <v>0.6849045712497021</v>
      </c>
      <c r="M344">
        <v>46.64</v>
      </c>
      <c r="N344">
        <v>23.36</v>
      </c>
    </row>
    <row r="345" spans="1:14">
      <c r="A345" s="1" t="s">
        <v>357</v>
      </c>
      <c r="B345">
        <f>HYPERLINK("https://www.suredividend.com/sure-analysis-UNP/","Union Pacific Corp.")</f>
        <v>0</v>
      </c>
      <c r="C345" t="s">
        <v>386</v>
      </c>
      <c r="D345">
        <v>203.08</v>
      </c>
      <c r="E345">
        <v>0.02560567264132362</v>
      </c>
      <c r="F345">
        <v>0.1016949152542375</v>
      </c>
      <c r="G345">
        <v>0.1223391137583876</v>
      </c>
      <c r="H345">
        <v>5.036216432409461</v>
      </c>
      <c r="I345">
        <v>124853.746464</v>
      </c>
      <c r="J345">
        <v>17.65715548918116</v>
      </c>
      <c r="K345">
        <v>0.4492610555226994</v>
      </c>
      <c r="L345">
        <v>0.689227413044998</v>
      </c>
      <c r="M345">
        <v>274.06</v>
      </c>
      <c r="N345">
        <v>182.58</v>
      </c>
    </row>
    <row r="346" spans="1:14">
      <c r="A346" s="1" t="s">
        <v>358</v>
      </c>
      <c r="B346">
        <f>HYPERLINK("https://www.suredividend.com/sure-analysis-UPS/","United Parcel Service, Inc.")</f>
        <v>0</v>
      </c>
      <c r="C346" t="s">
        <v>386</v>
      </c>
      <c r="D346">
        <v>173.84</v>
      </c>
      <c r="E346">
        <v>0.0349746893695352</v>
      </c>
      <c r="F346">
        <v>0</v>
      </c>
      <c r="G346">
        <v>0.1080527581672168</v>
      </c>
      <c r="H346">
        <v>5.949679889163654</v>
      </c>
      <c r="I346">
        <v>150357.372587</v>
      </c>
      <c r="J346">
        <v>11.34001329395781</v>
      </c>
      <c r="K346">
        <v>0.4662758533827315</v>
      </c>
      <c r="L346">
        <v>0.904170419485222</v>
      </c>
      <c r="M346">
        <v>224.24</v>
      </c>
      <c r="N346">
        <v>152.08</v>
      </c>
    </row>
    <row r="347" spans="1:14">
      <c r="A347" s="1" t="s">
        <v>359</v>
      </c>
      <c r="B347">
        <f>HYPERLINK("https://www.suredividend.com/sure-analysis-USB/","U.S. Bancorp.")</f>
        <v>0</v>
      </c>
      <c r="C347" t="s">
        <v>389</v>
      </c>
      <c r="D347">
        <v>45.67</v>
      </c>
      <c r="E347">
        <v>0.04204072695423691</v>
      </c>
      <c r="F347">
        <v>0.04347826086956519</v>
      </c>
      <c r="G347">
        <v>0.09856054330611763</v>
      </c>
      <c r="H347">
        <v>1.849543845671094</v>
      </c>
      <c r="I347">
        <v>67857.55860600001</v>
      </c>
      <c r="J347">
        <v>10.89206398164045</v>
      </c>
      <c r="K347">
        <v>0.4414185789191155</v>
      </c>
      <c r="L347">
        <v>0.783589175366449</v>
      </c>
      <c r="M347">
        <v>61.03</v>
      </c>
      <c r="N347">
        <v>37.96</v>
      </c>
    </row>
    <row r="348" spans="1:14">
      <c r="A348" s="1" t="s">
        <v>360</v>
      </c>
      <c r="B348">
        <f>HYPERLINK("https://www.suredividend.com/sure-analysis-UVV/","Universal Corp.")</f>
        <v>0</v>
      </c>
      <c r="C348" t="s">
        <v>388</v>
      </c>
      <c r="D348">
        <v>52.29</v>
      </c>
      <c r="E348">
        <v>0.06043220501051827</v>
      </c>
      <c r="F348">
        <v>0.01282051282051277</v>
      </c>
      <c r="G348">
        <v>0.01044613160468888</v>
      </c>
      <c r="H348">
        <v>3.024568488534759</v>
      </c>
      <c r="I348">
        <v>1283.999827</v>
      </c>
      <c r="J348">
        <v>14.36321748073158</v>
      </c>
      <c r="K348">
        <v>0.8448515331102678</v>
      </c>
      <c r="L348">
        <v>0.431679315904796</v>
      </c>
      <c r="M348">
        <v>61.29</v>
      </c>
      <c r="N348">
        <v>42.99</v>
      </c>
    </row>
    <row r="349" spans="1:14">
      <c r="A349" s="1" t="s">
        <v>361</v>
      </c>
      <c r="B349">
        <f>HYPERLINK("https://www.suredividend.com/sure-analysis-V/","Visa Inc")</f>
        <v>0</v>
      </c>
      <c r="C349" t="s">
        <v>389</v>
      </c>
      <c r="D349">
        <v>211.11</v>
      </c>
      <c r="E349">
        <v>0.008526360665056132</v>
      </c>
      <c r="F349">
        <v>0.05333333333333345</v>
      </c>
      <c r="G349">
        <v>0.134685643891294</v>
      </c>
      <c r="H349">
        <v>1.566811806169759</v>
      </c>
      <c r="I349">
        <v>399085.420506</v>
      </c>
      <c r="J349">
        <v>23.53647882082803</v>
      </c>
      <c r="K349">
        <v>0.2307528433239704</v>
      </c>
      <c r="L349">
        <v>0.9786729764030431</v>
      </c>
      <c r="M349">
        <v>233.54</v>
      </c>
      <c r="N349">
        <v>173.81</v>
      </c>
    </row>
    <row r="350" spans="1:14">
      <c r="A350" s="1" t="s">
        <v>362</v>
      </c>
      <c r="B350">
        <f>HYPERLINK("https://www.suredividend.com/sure-analysis-VFC/","VF Corp.")</f>
        <v>0</v>
      </c>
      <c r="C350" t="s">
        <v>393</v>
      </c>
      <c r="D350">
        <v>29.45</v>
      </c>
      <c r="E350">
        <v>0.06926994906621392</v>
      </c>
      <c r="F350">
        <v>0.02000000000000002</v>
      </c>
      <c r="G350">
        <v>0.02085125936929089</v>
      </c>
      <c r="H350">
        <v>1.966954103923225</v>
      </c>
      <c r="I350">
        <v>11443.271203</v>
      </c>
      <c r="J350">
        <v>26.97287974159165</v>
      </c>
      <c r="K350">
        <v>1.804545049470849</v>
      </c>
      <c r="L350">
        <v>1.1632067956654</v>
      </c>
      <c r="M350">
        <v>69.48</v>
      </c>
      <c r="N350">
        <v>25.05</v>
      </c>
    </row>
    <row r="351" spans="1:14">
      <c r="A351" s="1" t="s">
        <v>363</v>
      </c>
      <c r="B351">
        <f>HYPERLINK("https://www.suredividend.com/sure-analysis-VZ/","Verizon Communications Inc")</f>
        <v>0</v>
      </c>
      <c r="C351" t="s">
        <v>395</v>
      </c>
      <c r="D351">
        <v>41.7</v>
      </c>
      <c r="E351">
        <v>0.06258992805755395</v>
      </c>
      <c r="F351">
        <v>0.01953125</v>
      </c>
      <c r="G351">
        <v>0.02034185229948715</v>
      </c>
      <c r="H351">
        <v>2.51758496947016</v>
      </c>
      <c r="I351">
        <v>175132.38754</v>
      </c>
      <c r="J351">
        <v>9.077979864187228</v>
      </c>
      <c r="K351">
        <v>0.5473010803196</v>
      </c>
      <c r="L351">
        <v>0.377321411305362</v>
      </c>
      <c r="M351">
        <v>53.91</v>
      </c>
      <c r="N351">
        <v>34.55</v>
      </c>
    </row>
    <row r="352" spans="1:14">
      <c r="A352" s="1" t="s">
        <v>364</v>
      </c>
      <c r="B352">
        <f>HYPERLINK("https://www.suredividend.com/sure-analysis-WABC/","Westamerica Bancorporation")</f>
        <v>0</v>
      </c>
      <c r="C352" t="s">
        <v>389</v>
      </c>
      <c r="D352">
        <v>57.06</v>
      </c>
      <c r="E352">
        <v>0.02944269190325972</v>
      </c>
      <c r="F352">
        <v>0</v>
      </c>
      <c r="G352">
        <v>0.009805797673485328</v>
      </c>
      <c r="H352">
        <v>1.662350622428662</v>
      </c>
      <c r="I352">
        <v>1535.626508</v>
      </c>
      <c r="J352">
        <v>14.70765739124605</v>
      </c>
      <c r="K352">
        <v>0.4284408820692428</v>
      </c>
      <c r="L352">
        <v>0.444994538613657</v>
      </c>
      <c r="M352">
        <v>63.86</v>
      </c>
      <c r="N352">
        <v>51.68</v>
      </c>
    </row>
    <row r="353" spans="1:14">
      <c r="A353" s="1" t="s">
        <v>365</v>
      </c>
      <c r="B353">
        <f>HYPERLINK("https://www.suredividend.com/sure-analysis-WAFD/","Washington Federal Inc.")</f>
        <v>0</v>
      </c>
      <c r="C353" t="s">
        <v>389</v>
      </c>
      <c r="D353">
        <v>32.29</v>
      </c>
      <c r="E353">
        <v>0.02973056673892846</v>
      </c>
      <c r="F353">
        <v>0.04347826086956519</v>
      </c>
      <c r="G353">
        <v>0.07140202794100681</v>
      </c>
      <c r="H353">
        <v>0.9500300670762031</v>
      </c>
      <c r="I353">
        <v>2111.368349</v>
      </c>
      <c r="J353">
        <v>9.523323103448275</v>
      </c>
      <c r="K353">
        <v>0.2802448575446027</v>
      </c>
      <c r="L353">
        <v>0.6913988759878971</v>
      </c>
      <c r="M353">
        <v>38.91</v>
      </c>
      <c r="N353">
        <v>29.06</v>
      </c>
    </row>
    <row r="354" spans="1:14">
      <c r="A354" s="1" t="s">
        <v>366</v>
      </c>
      <c r="B354">
        <f>HYPERLINK("https://www.suredividend.com/sure-analysis-WASH/","Washington Trust Bancorp, Inc.")</f>
        <v>0</v>
      </c>
      <c r="C354" t="s">
        <v>389</v>
      </c>
      <c r="D354">
        <v>46.89</v>
      </c>
      <c r="E354">
        <v>0.04777137982512263</v>
      </c>
      <c r="F354">
        <v>0.03703703703703698</v>
      </c>
      <c r="G354">
        <v>0.05425073941302982</v>
      </c>
      <c r="H354">
        <v>2.703084475885298</v>
      </c>
      <c r="I354">
        <v>805.612542</v>
      </c>
      <c r="J354">
        <v>10.73134155226386</v>
      </c>
      <c r="K354">
        <v>0.6271657716671225</v>
      </c>
      <c r="L354">
        <v>0.500813420232556</v>
      </c>
      <c r="M354">
        <v>58.31</v>
      </c>
      <c r="N354">
        <v>44.06</v>
      </c>
    </row>
    <row r="355" spans="1:14">
      <c r="A355" s="1" t="s">
        <v>367</v>
      </c>
      <c r="B355">
        <f>HYPERLINK("https://www.suredividend.com/sure-analysis-WBA/","Walgreens Boots Alliance Inc")</f>
        <v>0</v>
      </c>
      <c r="C355" t="s">
        <v>385</v>
      </c>
      <c r="D355">
        <v>35.19</v>
      </c>
      <c r="E355">
        <v>0.05456095481670929</v>
      </c>
      <c r="F355">
        <v>0.005235602094240788</v>
      </c>
      <c r="G355">
        <v>0.03713728933664817</v>
      </c>
      <c r="H355">
        <v>1.881811112496192</v>
      </c>
      <c r="I355">
        <v>30345.541554</v>
      </c>
      <c r="J355">
        <v>6.995283898962654</v>
      </c>
      <c r="K355">
        <v>0.3756110004982419</v>
      </c>
      <c r="L355">
        <v>0.7806917714164411</v>
      </c>
      <c r="M355">
        <v>52.57</v>
      </c>
      <c r="N355">
        <v>30.04</v>
      </c>
    </row>
    <row r="356" spans="1:14">
      <c r="A356" s="1" t="s">
        <v>368</v>
      </c>
      <c r="B356">
        <f>HYPERLINK("https://www.suredividend.com/sure-analysis-WDFC/","WD-40 Co.")</f>
        <v>0</v>
      </c>
      <c r="C356" t="s">
        <v>391</v>
      </c>
      <c r="D356">
        <v>162.59</v>
      </c>
      <c r="E356">
        <v>0.02041945999138938</v>
      </c>
      <c r="F356">
        <v>0.08333333333333348</v>
      </c>
      <c r="G356">
        <v>0.07631692251481081</v>
      </c>
      <c r="H356">
        <v>3.098996984259906</v>
      </c>
      <c r="I356">
        <v>2207.960168</v>
      </c>
      <c r="J356">
        <v>32.91630889919199</v>
      </c>
      <c r="K356">
        <v>0.6324483641346746</v>
      </c>
      <c r="L356">
        <v>0.596382468044769</v>
      </c>
      <c r="M356">
        <v>251.92</v>
      </c>
      <c r="N356">
        <v>145.16</v>
      </c>
    </row>
    <row r="357" spans="1:14">
      <c r="A357" s="1" t="s">
        <v>369</v>
      </c>
      <c r="B357">
        <f>HYPERLINK("https://www.suredividend.com/sure-analysis-WEC/","WEC Energy Group Inc")</f>
        <v>0</v>
      </c>
      <c r="C357" t="s">
        <v>390</v>
      </c>
      <c r="D357">
        <v>92.41</v>
      </c>
      <c r="E357">
        <v>0.03376257980738016</v>
      </c>
      <c r="F357">
        <v>0</v>
      </c>
      <c r="G357">
        <v>0.0565745440471801</v>
      </c>
      <c r="H357">
        <v>2.855086123039069</v>
      </c>
      <c r="I357">
        <v>29149.30501</v>
      </c>
      <c r="J357">
        <v>21.12880908213251</v>
      </c>
      <c r="K357">
        <v>0.6548362667520801</v>
      </c>
      <c r="L357">
        <v>0.449182690857943</v>
      </c>
      <c r="M357">
        <v>106.5</v>
      </c>
      <c r="N357">
        <v>79.55</v>
      </c>
    </row>
    <row r="358" spans="1:14">
      <c r="A358" s="1" t="s">
        <v>370</v>
      </c>
      <c r="B358">
        <f>HYPERLINK("https://www.suredividend.com/sure-analysis-WHR/","Whirlpool Corp.")</f>
        <v>0</v>
      </c>
      <c r="C358" t="s">
        <v>393</v>
      </c>
      <c r="D358">
        <v>149.76</v>
      </c>
      <c r="E358">
        <v>0.04674145299145299</v>
      </c>
      <c r="F358">
        <v>0.25</v>
      </c>
      <c r="G358">
        <v>0.09730933214999515</v>
      </c>
      <c r="H358">
        <v>6.884656556998607</v>
      </c>
      <c r="I358">
        <v>8158.678295</v>
      </c>
      <c r="J358">
        <v>21.30203210193212</v>
      </c>
      <c r="K358">
        <v>1.039978331872901</v>
      </c>
      <c r="L358">
        <v>1.085054679135737</v>
      </c>
      <c r="M358">
        <v>224.78</v>
      </c>
      <c r="N358">
        <v>122.97</v>
      </c>
    </row>
    <row r="359" spans="1:14">
      <c r="A359" s="1" t="s">
        <v>371</v>
      </c>
      <c r="B359">
        <f>HYPERLINK("https://www.suredividend.com/sure-analysis-research-database/","Westlake Corporation")</f>
        <v>0</v>
      </c>
      <c r="C359" t="s">
        <v>391</v>
      </c>
      <c r="D359">
        <v>101.98</v>
      </c>
      <c r="E359">
        <v>0.012778791844317</v>
      </c>
      <c r="F359">
        <v>0.2</v>
      </c>
      <c r="G359">
        <v>0.1119615859385787</v>
      </c>
      <c r="H359">
        <v>1.303181192283509</v>
      </c>
      <c r="I359">
        <v>13006.277411</v>
      </c>
      <c r="J359">
        <v>4.909881997500944</v>
      </c>
      <c r="K359">
        <v>0.06341514317681309</v>
      </c>
      <c r="L359">
        <v>0.9165859705993171</v>
      </c>
      <c r="M359">
        <v>139.93</v>
      </c>
      <c r="N359">
        <v>81.01000000000001</v>
      </c>
    </row>
    <row r="360" spans="1:14">
      <c r="A360" s="1" t="s">
        <v>372</v>
      </c>
      <c r="B360">
        <f>HYPERLINK("https://www.suredividend.com/sure-analysis-WM/","Waste Management, Inc.")</f>
        <v>0</v>
      </c>
      <c r="C360" t="s">
        <v>386</v>
      </c>
      <c r="D360">
        <v>153.88</v>
      </c>
      <c r="E360">
        <v>0.01819599688068625</v>
      </c>
      <c r="F360">
        <v>0.1304347826086956</v>
      </c>
      <c r="G360">
        <v>0.06928156829257182</v>
      </c>
      <c r="H360">
        <v>2.584952906394319</v>
      </c>
      <c r="I360">
        <v>63164.215532</v>
      </c>
      <c r="J360">
        <v>28.13550803228508</v>
      </c>
      <c r="K360">
        <v>0.4804745179171597</v>
      </c>
      <c r="L360">
        <v>0.4905684361069391</v>
      </c>
      <c r="M360">
        <v>174.64</v>
      </c>
      <c r="N360">
        <v>136.39</v>
      </c>
    </row>
    <row r="361" spans="1:14">
      <c r="A361" s="1" t="s">
        <v>373</v>
      </c>
      <c r="B361">
        <f>HYPERLINK("https://www.suredividend.com/sure-analysis-WMT/","Walmart Inc")</f>
        <v>0</v>
      </c>
      <c r="C361" t="s">
        <v>388</v>
      </c>
      <c r="D361">
        <v>143.27</v>
      </c>
      <c r="E361">
        <v>0.01563481538354157</v>
      </c>
      <c r="F361">
        <v>0.0181818181818183</v>
      </c>
      <c r="G361">
        <v>0.01493197894539389</v>
      </c>
      <c r="H361">
        <v>2.226840039871083</v>
      </c>
      <c r="I361">
        <v>386370.543737</v>
      </c>
      <c r="J361">
        <v>43.08804993159139</v>
      </c>
      <c r="K361">
        <v>0.6830797668316206</v>
      </c>
      <c r="L361">
        <v>0.446345858426024</v>
      </c>
      <c r="M361">
        <v>158.89</v>
      </c>
      <c r="N361">
        <v>116.32</v>
      </c>
    </row>
    <row r="362" spans="1:14">
      <c r="A362" s="1" t="s">
        <v>374</v>
      </c>
      <c r="B362">
        <f>HYPERLINK("https://www.suredividend.com/sure-analysis-WOR/","Worthington Industries, Inc.")</f>
        <v>0</v>
      </c>
      <c r="C362" t="s">
        <v>391</v>
      </c>
      <c r="D362">
        <v>49.98</v>
      </c>
      <c r="E362">
        <v>0.02480992396958784</v>
      </c>
      <c r="F362">
        <v>0.107142857142857</v>
      </c>
      <c r="G362">
        <v>0.08100693430783124</v>
      </c>
      <c r="H362">
        <v>1.169702268842716</v>
      </c>
      <c r="I362">
        <v>2484.572523</v>
      </c>
      <c r="J362">
        <v>7.98957004312216</v>
      </c>
      <c r="K362">
        <v>0.1892722117868473</v>
      </c>
      <c r="L362">
        <v>1.230741909172006</v>
      </c>
      <c r="M362">
        <v>61.67</v>
      </c>
      <c r="N362">
        <v>37.79</v>
      </c>
    </row>
    <row r="363" spans="1:14">
      <c r="A363" s="1" t="s">
        <v>375</v>
      </c>
      <c r="B363">
        <f>HYPERLINK("https://www.suredividend.com/sure-analysis-WPC/","W. P. Carey Inc")</f>
        <v>0</v>
      </c>
      <c r="C363" t="s">
        <v>392</v>
      </c>
      <c r="D363">
        <v>78.09999999999999</v>
      </c>
      <c r="E363">
        <v>0.05428937259923176</v>
      </c>
      <c r="F363">
        <v>0.009478672985782088</v>
      </c>
      <c r="G363">
        <v>0.009663631569345243</v>
      </c>
      <c r="H363">
        <v>4.155965742497832</v>
      </c>
      <c r="I363">
        <v>16247.355276</v>
      </c>
      <c r="J363">
        <v>33.21460387600861</v>
      </c>
      <c r="K363">
        <v>1.655763244023041</v>
      </c>
      <c r="L363">
        <v>0.4978401448420131</v>
      </c>
      <c r="M363">
        <v>87.13</v>
      </c>
      <c r="N363">
        <v>66.84999999999999</v>
      </c>
    </row>
    <row r="364" spans="1:14">
      <c r="A364" s="1" t="s">
        <v>376</v>
      </c>
      <c r="B364">
        <f>HYPERLINK("https://www.suredividend.com/sure-analysis-WRB/","W.R. Berkley Corp.")</f>
        <v>0</v>
      </c>
      <c r="C364" t="s">
        <v>389</v>
      </c>
      <c r="D364">
        <v>71.88</v>
      </c>
      <c r="E364">
        <v>0.01238174735670562</v>
      </c>
      <c r="F364" t="s">
        <v>394</v>
      </c>
      <c r="G364" t="s">
        <v>394</v>
      </c>
      <c r="H364">
        <v>0.385848594267978</v>
      </c>
      <c r="I364">
        <v>19082.423577</v>
      </c>
      <c r="J364">
        <v>14.75518517607706</v>
      </c>
      <c r="K364">
        <v>0.08333662943152872</v>
      </c>
      <c r="L364">
        <v>0.5122998105587301</v>
      </c>
      <c r="M364">
        <v>76.88</v>
      </c>
      <c r="N364">
        <v>53.03</v>
      </c>
    </row>
    <row r="365" spans="1:14">
      <c r="A365" s="1" t="s">
        <v>377</v>
      </c>
      <c r="B365">
        <f>HYPERLINK("https://www.suredividend.com/sure-analysis-WSBC/","Wesbanco, Inc.")</f>
        <v>0</v>
      </c>
      <c r="C365" t="s">
        <v>389</v>
      </c>
      <c r="D365">
        <v>36.71</v>
      </c>
      <c r="E365">
        <v>0.03813674748025061</v>
      </c>
      <c r="F365">
        <v>0.06060606060606055</v>
      </c>
      <c r="G365">
        <v>0.0383266700886169</v>
      </c>
      <c r="H365">
        <v>1.350837136187868</v>
      </c>
      <c r="I365">
        <v>2171.60839</v>
      </c>
      <c r="J365">
        <v>11.80677538680687</v>
      </c>
      <c r="K365">
        <v>0.4487831017235442</v>
      </c>
      <c r="L365">
        <v>0.586342426899067</v>
      </c>
      <c r="M365">
        <v>41</v>
      </c>
      <c r="N365">
        <v>28.95</v>
      </c>
    </row>
    <row r="366" spans="1:14">
      <c r="A366" s="1" t="s">
        <v>378</v>
      </c>
      <c r="B366">
        <f>HYPERLINK("https://www.suredividend.com/sure-analysis-WSM/","Williams-Sonoma, Inc.")</f>
        <v>0</v>
      </c>
      <c r="C366" t="s">
        <v>393</v>
      </c>
      <c r="D366">
        <v>116.81</v>
      </c>
      <c r="E366">
        <v>0.02671004194846332</v>
      </c>
      <c r="F366">
        <v>0.09859154929577474</v>
      </c>
      <c r="G366">
        <v>0.1486983549970351</v>
      </c>
      <c r="H366">
        <v>3.022524312578921</v>
      </c>
      <c r="I366">
        <v>7775.742199</v>
      </c>
      <c r="J366">
        <v>6.612857909975064</v>
      </c>
      <c r="K366">
        <v>0.1822994157164609</v>
      </c>
      <c r="L366">
        <v>1.44184442617594</v>
      </c>
      <c r="M366">
        <v>175.7</v>
      </c>
      <c r="N366">
        <v>100.32</v>
      </c>
    </row>
    <row r="367" spans="1:14">
      <c r="A367" s="1" t="s">
        <v>379</v>
      </c>
      <c r="B367">
        <f>HYPERLINK("https://www.suredividend.com/sure-analysis-WST/","West Pharmaceutical Services, Inc.")</f>
        <v>0</v>
      </c>
      <c r="C367" t="s">
        <v>385</v>
      </c>
      <c r="D367">
        <v>233.7</v>
      </c>
      <c r="E367">
        <v>0.003252032520325203</v>
      </c>
      <c r="F367">
        <v>0.05555555555555558</v>
      </c>
      <c r="G367">
        <v>0.06298004826234438</v>
      </c>
      <c r="H367">
        <v>0.7292373297871321</v>
      </c>
      <c r="I367">
        <v>17301.509062</v>
      </c>
      <c r="J367">
        <v>27.43658271788772</v>
      </c>
      <c r="K367">
        <v>0.08828539101539129</v>
      </c>
      <c r="L367">
        <v>1.178709785993396</v>
      </c>
      <c r="M367">
        <v>423.18</v>
      </c>
      <c r="N367">
        <v>206.02</v>
      </c>
    </row>
    <row r="368" spans="1:14">
      <c r="A368" s="1" t="s">
        <v>380</v>
      </c>
      <c r="B368">
        <f>HYPERLINK("https://www.suredividend.com/sure-analysis-WTRG/","Essential Utilities Inc")</f>
        <v>0</v>
      </c>
      <c r="C368" t="s">
        <v>390</v>
      </c>
      <c r="D368">
        <v>47.89</v>
      </c>
      <c r="E368">
        <v>0.02401336395907287</v>
      </c>
      <c r="F368">
        <v>0.0700969425801643</v>
      </c>
      <c r="G368">
        <v>0.0699237075947905</v>
      </c>
      <c r="H368">
        <v>1.093289126351479</v>
      </c>
      <c r="I368">
        <v>12561.109142</v>
      </c>
      <c r="J368">
        <v>26.90834008138197</v>
      </c>
      <c r="K368">
        <v>0.6142073743547635</v>
      </c>
      <c r="L368">
        <v>0.671598418272335</v>
      </c>
      <c r="M368">
        <v>51.75</v>
      </c>
      <c r="N368">
        <v>38</v>
      </c>
    </row>
    <row r="369" spans="1:14">
      <c r="A369" s="1" t="s">
        <v>381</v>
      </c>
      <c r="B369">
        <f>HYPERLINK("https://www.suredividend.com/sure-analysis-XEL/","Xcel Energy, Inc.")</f>
        <v>0</v>
      </c>
      <c r="C369" t="s">
        <v>390</v>
      </c>
      <c r="D369">
        <v>69.23999999999999</v>
      </c>
      <c r="E369">
        <v>0.0281629116117851</v>
      </c>
      <c r="F369">
        <v>0.06557377049180335</v>
      </c>
      <c r="G369">
        <v>0.05108588665585678</v>
      </c>
      <c r="H369">
        <v>1.930321719255474</v>
      </c>
      <c r="I369">
        <v>37891.485863</v>
      </c>
      <c r="J369">
        <v>22.6623719276555</v>
      </c>
      <c r="K369">
        <v>0.6287692896597635</v>
      </c>
      <c r="L369">
        <v>0.4911578523794911</v>
      </c>
      <c r="M369">
        <v>76.63</v>
      </c>
      <c r="N369">
        <v>56.5</v>
      </c>
    </row>
    <row r="370" spans="1:14">
      <c r="A370" s="1" t="s">
        <v>382</v>
      </c>
      <c r="B370">
        <f>HYPERLINK("https://www.suredividend.com/sure-analysis-XOM/","Exxon Mobil Corp.")</f>
        <v>0</v>
      </c>
      <c r="C370" t="s">
        <v>396</v>
      </c>
      <c r="D370">
        <v>109.21</v>
      </c>
      <c r="E370">
        <v>0.03333028110978849</v>
      </c>
      <c r="F370">
        <v>0.03409090909090917</v>
      </c>
      <c r="G370">
        <v>0.03397522653195018</v>
      </c>
      <c r="H370">
        <v>3.503350004935757</v>
      </c>
      <c r="I370">
        <v>449758.824507</v>
      </c>
      <c r="J370">
        <v>8.672557356486887</v>
      </c>
      <c r="K370">
        <v>0.286455437852474</v>
      </c>
      <c r="L370">
        <v>0.533226951502457</v>
      </c>
      <c r="M370">
        <v>114.64</v>
      </c>
      <c r="N370">
        <v>65.36</v>
      </c>
    </row>
    <row r="371" spans="1:14">
      <c r="A371" s="1" t="s">
        <v>383</v>
      </c>
      <c r="B371">
        <f>HYPERLINK("https://www.suredividend.com/sure-analysis-XYL/","Xylem Inc")</f>
        <v>0</v>
      </c>
      <c r="C371" t="s">
        <v>386</v>
      </c>
      <c r="D371">
        <v>107.45</v>
      </c>
      <c r="E371">
        <v>0.01116798510935319</v>
      </c>
      <c r="F371">
        <v>0.0714285714285714</v>
      </c>
      <c r="G371">
        <v>0.07394092378577932</v>
      </c>
      <c r="H371">
        <v>1.194545976751309</v>
      </c>
      <c r="I371">
        <v>19364.803613</v>
      </c>
      <c r="J371">
        <v>60.7047135216301</v>
      </c>
      <c r="K371">
        <v>0.6787193049723346</v>
      </c>
      <c r="L371">
        <v>1.116969786513626</v>
      </c>
      <c r="M371">
        <v>116.78</v>
      </c>
      <c r="N371">
        <v>71.65000000000001</v>
      </c>
    </row>
    <row r="372" spans="1:14">
      <c r="A372" s="1" t="s">
        <v>384</v>
      </c>
      <c r="B372">
        <f>HYPERLINK("https://www.suredividend.com/sure-analysis-YORW/","York Water Co.")</f>
        <v>0</v>
      </c>
      <c r="C372" t="s">
        <v>390</v>
      </c>
      <c r="D372">
        <v>44.12</v>
      </c>
      <c r="E372">
        <v>0.01767905711695376</v>
      </c>
      <c r="F372">
        <v>0.04002052334530526</v>
      </c>
      <c r="G372">
        <v>0.04000577367145808</v>
      </c>
      <c r="H372">
        <v>0.7819623294786461</v>
      </c>
      <c r="I372">
        <v>629.8712829999999</v>
      </c>
      <c r="J372">
        <v>33.91875511685515</v>
      </c>
      <c r="K372">
        <v>0.5749723010872398</v>
      </c>
      <c r="L372">
        <v>0.4252796516660231</v>
      </c>
      <c r="M372">
        <v>47.27</v>
      </c>
      <c r="N372">
        <v>36.68</v>
      </c>
    </row>
  </sheetData>
  <autoFilter ref="A1:O372"/>
  <conditionalFormatting sqref="A1:N1">
    <cfRule type="cellIs" dxfId="8" priority="15" operator="notEqual">
      <formula>-13.345</formula>
    </cfRule>
  </conditionalFormatting>
  <conditionalFormatting sqref="A2:A372">
    <cfRule type="cellIs" dxfId="0" priority="1" operator="notEqual">
      <formula>"None"</formula>
    </cfRule>
  </conditionalFormatting>
  <conditionalFormatting sqref="B2:B372">
    <cfRule type="cellIs" dxfId="1" priority="2" operator="notEqual">
      <formula>"None"</formula>
    </cfRule>
  </conditionalFormatting>
  <conditionalFormatting sqref="C2:C372">
    <cfRule type="cellIs" dxfId="0" priority="3" operator="notEqual">
      <formula>"None"</formula>
    </cfRule>
  </conditionalFormatting>
  <conditionalFormatting sqref="D2:D372">
    <cfRule type="cellIs" dxfId="2" priority="4" operator="notEqual">
      <formula>"None"</formula>
    </cfRule>
  </conditionalFormatting>
  <conditionalFormatting sqref="E2:E372">
    <cfRule type="cellIs" dxfId="3" priority="5" operator="notEqual">
      <formula>"None"</formula>
    </cfRule>
  </conditionalFormatting>
  <conditionalFormatting sqref="F2:F372">
    <cfRule type="cellIs" dxfId="4" priority="6" operator="notEqual">
      <formula>"None"</formula>
    </cfRule>
  </conditionalFormatting>
  <conditionalFormatting sqref="G2:G372">
    <cfRule type="cellIs" dxfId="3" priority="7" operator="notEqual">
      <formula>"None"</formula>
    </cfRule>
  </conditionalFormatting>
  <conditionalFormatting sqref="H2:H372">
    <cfRule type="cellIs" dxfId="2" priority="8" operator="notEqual">
      <formula>"None"</formula>
    </cfRule>
  </conditionalFormatting>
  <conditionalFormatting sqref="I2:I372">
    <cfRule type="cellIs" dxfId="5" priority="9" operator="notEqual">
      <formula>"None"</formula>
    </cfRule>
  </conditionalFormatting>
  <conditionalFormatting sqref="J2:J372">
    <cfRule type="cellIs" dxfId="6" priority="10" operator="notEqual">
      <formula>"None"</formula>
    </cfRule>
  </conditionalFormatting>
  <conditionalFormatting sqref="K2:K372">
    <cfRule type="cellIs" dxfId="3" priority="11" operator="notEqual">
      <formula>"None"</formula>
    </cfRule>
  </conditionalFormatting>
  <conditionalFormatting sqref="L2:L372">
    <cfRule type="cellIs" dxfId="7" priority="12" operator="notEqual">
      <formula>"None"</formula>
    </cfRule>
  </conditionalFormatting>
  <conditionalFormatting sqref="M2:M372">
    <cfRule type="cellIs" dxfId="2" priority="13" operator="notEqual">
      <formula>"None"</formula>
    </cfRule>
  </conditionalFormatting>
  <conditionalFormatting sqref="N2:N37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397</v>
      </c>
      <c r="D1" s="1" t="s">
        <v>398</v>
      </c>
      <c r="E1" s="1" t="s">
        <v>399</v>
      </c>
      <c r="F1" s="1" t="s">
        <v>400</v>
      </c>
      <c r="G1" s="1" t="s">
        <v>401</v>
      </c>
      <c r="H1" s="1" t="s">
        <v>402</v>
      </c>
      <c r="I1" s="1" t="s">
        <v>403</v>
      </c>
    </row>
    <row r="2" spans="1:9">
      <c r="A2" s="1" t="s">
        <v>14</v>
      </c>
      <c r="B2">
        <f>HYPERLINK("https://www.suredividend.com/sure-analysis-ABC/","Amerisource Bergen Corp.")</f>
        <v>0</v>
      </c>
      <c r="C2">
        <v>-0.04787482484820101</v>
      </c>
      <c r="D2">
        <v>0.151947920765083</v>
      </c>
      <c r="E2">
        <v>0.169823041669028</v>
      </c>
      <c r="F2">
        <v>-0.015871100114658</v>
      </c>
      <c r="G2">
        <v>0.2501523594441</v>
      </c>
      <c r="H2">
        <v>0.720320307860117</v>
      </c>
      <c r="I2">
        <v>0.8621412569110921</v>
      </c>
    </row>
    <row r="3" spans="1:9">
      <c r="A3" s="1" t="s">
        <v>15</v>
      </c>
      <c r="B3">
        <f>HYPERLINK("https://www.suredividend.com/sure-analysis-ABM/","ABM Industries Inc.")</f>
        <v>0</v>
      </c>
      <c r="C3">
        <v>0.000100843136309</v>
      </c>
      <c r="D3">
        <v>0.100712012527173</v>
      </c>
      <c r="E3">
        <v>0.08283883218609001</v>
      </c>
      <c r="F3">
        <v>0.032070656796916</v>
      </c>
      <c r="G3">
        <v>0.086689836043705</v>
      </c>
      <c r="H3">
        <v>0.243438016168509</v>
      </c>
      <c r="I3">
        <v>0.29119541713367</v>
      </c>
    </row>
    <row r="4" spans="1:9">
      <c r="A4" s="1" t="s">
        <v>16</v>
      </c>
      <c r="B4">
        <f>HYPERLINK("https://www.suredividend.com/sure-analysis-ABT/","Abbott Laboratories")</f>
        <v>0</v>
      </c>
      <c r="C4">
        <v>0.051133668532397</v>
      </c>
      <c r="D4">
        <v>0.076831123140692</v>
      </c>
      <c r="E4">
        <v>0.023033960480234</v>
      </c>
      <c r="F4">
        <v>0.009199380635759001</v>
      </c>
      <c r="G4">
        <v>-0.16647483551419</v>
      </c>
      <c r="H4">
        <v>0.03567469345711501</v>
      </c>
      <c r="I4">
        <v>1.039268808021614</v>
      </c>
    </row>
    <row r="5" spans="1:9">
      <c r="A5" s="1" t="s">
        <v>17</v>
      </c>
      <c r="B5">
        <f>HYPERLINK("https://www.suredividend.com/sure-analysis-ACN/","Accenture plc")</f>
        <v>0</v>
      </c>
      <c r="C5">
        <v>-0.101660176265628</v>
      </c>
      <c r="D5">
        <v>-0.037145574889775</v>
      </c>
      <c r="E5">
        <v>-0.03663554359867</v>
      </c>
      <c r="F5">
        <v>-0.014465597361714</v>
      </c>
      <c r="G5">
        <v>-0.3288491260593761</v>
      </c>
      <c r="H5">
        <v>0.046303443117346</v>
      </c>
      <c r="I5">
        <v>0.7927565762698691</v>
      </c>
    </row>
    <row r="6" spans="1:9">
      <c r="A6" s="1" t="s">
        <v>18</v>
      </c>
      <c r="B6">
        <f>HYPERLINK("https://www.suredividend.com/sure-analysis-ADI/","Analog Devices Inc.")</f>
        <v>0</v>
      </c>
      <c r="C6">
        <v>-0.048558150619637</v>
      </c>
      <c r="D6">
        <v>0.05603345660006</v>
      </c>
      <c r="E6">
        <v>0.126531441507346</v>
      </c>
      <c r="F6">
        <v>-0.026458574650978</v>
      </c>
      <c r="G6">
        <v>-0.058588690684278</v>
      </c>
      <c r="H6">
        <v>0.113005344432951</v>
      </c>
      <c r="I6">
        <v>0.91782039333993</v>
      </c>
    </row>
    <row r="7" spans="1:9">
      <c r="A7" s="1" t="s">
        <v>19</v>
      </c>
      <c r="B7">
        <f>HYPERLINK("https://www.suredividend.com/sure-analysis-ADM/","Archer Daniels Midland Co.")</f>
        <v>0</v>
      </c>
      <c r="C7">
        <v>-0.072050236862399</v>
      </c>
      <c r="D7">
        <v>-0.01948686906314</v>
      </c>
      <c r="E7">
        <v>0.174130379630378</v>
      </c>
      <c r="F7">
        <v>-0.092837910608508</v>
      </c>
      <c r="G7">
        <v>0.250965365650805</v>
      </c>
      <c r="H7">
        <v>0.729071724760849</v>
      </c>
      <c r="I7">
        <v>1.411228544274083</v>
      </c>
    </row>
    <row r="8" spans="1:9">
      <c r="A8" s="1" t="s">
        <v>20</v>
      </c>
      <c r="B8">
        <f>HYPERLINK("https://www.suredividend.com/sure-analysis-ADP/","Automatic Data Processing Inc.")</f>
        <v>0</v>
      </c>
      <c r="C8">
        <v>-0.112061603457954</v>
      </c>
      <c r="D8">
        <v>-0.01793757222129</v>
      </c>
      <c r="E8">
        <v>0.109640856897508</v>
      </c>
      <c r="F8">
        <v>-0.021895671104412</v>
      </c>
      <c r="G8">
        <v>-0.020500604142716</v>
      </c>
      <c r="H8">
        <v>0.439845187214386</v>
      </c>
      <c r="I8">
        <v>1.189168194795958</v>
      </c>
    </row>
    <row r="9" spans="1:9">
      <c r="A9" s="1" t="s">
        <v>21</v>
      </c>
      <c r="B9">
        <f>HYPERLINK("https://www.suredividend.com/sure-analysis-AEL/","American Equity Investment Life Holding Co")</f>
        <v>0</v>
      </c>
      <c r="C9">
        <v>0.151402333085132</v>
      </c>
      <c r="D9">
        <v>0.167925478348439</v>
      </c>
      <c r="E9">
        <v>0.256500541711809</v>
      </c>
      <c r="F9">
        <v>0.016878562034195</v>
      </c>
      <c r="G9">
        <v>0.144301924025653</v>
      </c>
      <c r="H9">
        <v>0.702385321100917</v>
      </c>
      <c r="I9">
        <v>0.499799552549562</v>
      </c>
    </row>
    <row r="10" spans="1:9">
      <c r="A10" s="1" t="s">
        <v>22</v>
      </c>
      <c r="B10">
        <f>HYPERLINK("https://www.suredividend.com/sure-analysis-AEP/","American Electric Power Company Inc.")</f>
        <v>0</v>
      </c>
      <c r="C10">
        <v>-0.007829030892932</v>
      </c>
      <c r="D10">
        <v>0.07936522551804401</v>
      </c>
      <c r="E10">
        <v>0.019489668127739</v>
      </c>
      <c r="F10">
        <v>-0.012322274881516</v>
      </c>
      <c r="G10">
        <v>0.084109210882246</v>
      </c>
      <c r="H10">
        <v>0.233911649925923</v>
      </c>
      <c r="I10">
        <v>0.5692508492160441</v>
      </c>
    </row>
    <row r="11" spans="1:9">
      <c r="A11" s="1" t="s">
        <v>23</v>
      </c>
      <c r="B11">
        <f>HYPERLINK("https://www.suredividend.com/sure-analysis-AFG/","American Financial Group Inc")</f>
        <v>0</v>
      </c>
      <c r="C11">
        <v>0.007365810968494001</v>
      </c>
      <c r="D11">
        <v>0.089229614302476</v>
      </c>
      <c r="E11">
        <v>0.021109685202817</v>
      </c>
      <c r="F11">
        <v>0.006191724941724001</v>
      </c>
      <c r="G11">
        <v>0.132485096830632</v>
      </c>
      <c r="H11">
        <v>1.199494273958293</v>
      </c>
      <c r="I11">
        <v>1.029270385257269</v>
      </c>
    </row>
    <row r="12" spans="1:9">
      <c r="A12" s="1" t="s">
        <v>24</v>
      </c>
      <c r="B12">
        <f>HYPERLINK("https://www.suredividend.com/sure-analysis-AFL/","Aflac Inc.")</f>
        <v>0</v>
      </c>
      <c r="C12">
        <v>0.006475225225225</v>
      </c>
      <c r="D12">
        <v>0.205274212526086</v>
      </c>
      <c r="E12">
        <v>0.303747681973089</v>
      </c>
      <c r="F12">
        <v>-0.006116207951070001</v>
      </c>
      <c r="G12">
        <v>0.221038753891527</v>
      </c>
      <c r="H12">
        <v>0.7255026884055871</v>
      </c>
      <c r="I12">
        <v>0.7568171878148141</v>
      </c>
    </row>
    <row r="13" spans="1:9">
      <c r="A13" s="1" t="s">
        <v>25</v>
      </c>
      <c r="B13">
        <f>HYPERLINK("https://www.suredividend.com/sure-analysis-AGM/","Federal Agricultural Mortgage Corp.")</f>
        <v>0</v>
      </c>
      <c r="C13">
        <v>-0.043512315435123</v>
      </c>
      <c r="D13">
        <v>0.108631175145182</v>
      </c>
      <c r="E13">
        <v>0.194886522733447</v>
      </c>
      <c r="F13">
        <v>0.018454440599769</v>
      </c>
      <c r="G13">
        <v>-0.051471256579545</v>
      </c>
      <c r="H13">
        <v>0.6145252418130951</v>
      </c>
      <c r="I13">
        <v>0.79552955530181</v>
      </c>
    </row>
    <row r="14" spans="1:9">
      <c r="A14" s="1" t="s">
        <v>26</v>
      </c>
      <c r="B14">
        <f>HYPERLINK("https://www.suredividend.com/sure-analysis-AGO/","Assured Guaranty Ltd")</f>
        <v>0</v>
      </c>
      <c r="C14">
        <v>-0.05772182990482001</v>
      </c>
      <c r="D14">
        <v>0.211910605303737</v>
      </c>
      <c r="E14">
        <v>0.118030750399361</v>
      </c>
      <c r="F14">
        <v>-0.014134275618374</v>
      </c>
      <c r="G14">
        <v>0.204355930540567</v>
      </c>
      <c r="H14">
        <v>1.037855371365775</v>
      </c>
      <c r="I14">
        <v>0.998560827817049</v>
      </c>
    </row>
    <row r="15" spans="1:9">
      <c r="A15" s="1" t="s">
        <v>27</v>
      </c>
      <c r="B15">
        <f>HYPERLINK("https://www.suredividend.com/sure-analysis-AIT/","Applied Industrial Technologies Inc.")</f>
        <v>0</v>
      </c>
      <c r="C15">
        <v>-0.086604361370716</v>
      </c>
      <c r="D15">
        <v>0.059798938213035</v>
      </c>
      <c r="E15">
        <v>0.265642468952477</v>
      </c>
      <c r="F15">
        <v>-0.06942791398873201</v>
      </c>
      <c r="G15">
        <v>0.165879340236356</v>
      </c>
      <c r="H15">
        <v>0.5374591809044631</v>
      </c>
      <c r="I15">
        <v>0.8157159754519161</v>
      </c>
    </row>
    <row r="16" spans="1:9">
      <c r="A16" s="1" t="s">
        <v>28</v>
      </c>
      <c r="B16">
        <f>HYPERLINK("https://www.suredividend.com/sure-analysis-AIZ/","Assurant Inc")</f>
        <v>0</v>
      </c>
      <c r="C16">
        <v>-0.026167502894635</v>
      </c>
      <c r="D16">
        <v>-0.169617587046666</v>
      </c>
      <c r="E16">
        <v>-0.265923086009073</v>
      </c>
      <c r="F16">
        <v>0.008795778026547001</v>
      </c>
      <c r="G16">
        <v>-0.183091496212991</v>
      </c>
      <c r="H16">
        <v>-0.020662651818248</v>
      </c>
      <c r="I16">
        <v>0.349875080916536</v>
      </c>
    </row>
    <row r="17" spans="1:9">
      <c r="A17" s="1" t="s">
        <v>29</v>
      </c>
      <c r="B17">
        <f>HYPERLINK("https://www.suredividend.com/sure-analysis-AJG/","Arthur J. Gallagher &amp; Co.")</f>
        <v>0</v>
      </c>
      <c r="C17">
        <v>-0.05278666869887701</v>
      </c>
      <c r="D17">
        <v>0.028382564491787</v>
      </c>
      <c r="E17">
        <v>0.128712175973517</v>
      </c>
      <c r="F17">
        <v>-0.011138220006364</v>
      </c>
      <c r="G17">
        <v>0.148266421952804</v>
      </c>
      <c r="H17">
        <v>0.600927376940085</v>
      </c>
      <c r="I17">
        <v>2.178835949967946</v>
      </c>
    </row>
    <row r="18" spans="1:9">
      <c r="A18" s="1" t="s">
        <v>30</v>
      </c>
      <c r="B18">
        <f>HYPERLINK("https://www.suredividend.com/sure-analysis-ALB/","Albemarle Corp.")</f>
        <v>0</v>
      </c>
      <c r="C18">
        <v>-0.174456293312155</v>
      </c>
      <c r="D18">
        <v>-0.208963416774346</v>
      </c>
      <c r="E18">
        <v>0.09385288801980601</v>
      </c>
      <c r="F18">
        <v>0.008069722401549</v>
      </c>
      <c r="G18">
        <v>-0.066213776860076</v>
      </c>
      <c r="H18">
        <v>0.361485184094146</v>
      </c>
      <c r="I18">
        <v>0.772265396358023</v>
      </c>
    </row>
    <row r="19" spans="1:9">
      <c r="A19" s="1" t="s">
        <v>31</v>
      </c>
      <c r="B19">
        <f>HYPERLINK("https://www.suredividend.com/sure-analysis-ALE/","Allete, Inc.")</f>
        <v>0</v>
      </c>
      <c r="C19">
        <v>-0.023856556754292</v>
      </c>
      <c r="D19">
        <v>0.261619012268577</v>
      </c>
      <c r="E19">
        <v>0.137879300480552</v>
      </c>
      <c r="F19">
        <v>-0.004185397612773</v>
      </c>
      <c r="G19">
        <v>0.003108950686202</v>
      </c>
      <c r="H19">
        <v>0.142172367749632</v>
      </c>
      <c r="I19">
        <v>0.045886137775635</v>
      </c>
    </row>
    <row r="20" spans="1:9">
      <c r="A20" s="1" t="s">
        <v>32</v>
      </c>
      <c r="B20">
        <f>HYPERLINK("https://www.suredividend.com/sure-analysis-ALL/","Allstate Corp (The)")</f>
        <v>0</v>
      </c>
      <c r="C20">
        <v>0.084864528184366</v>
      </c>
      <c r="D20">
        <v>0.05442223200921301</v>
      </c>
      <c r="E20">
        <v>0.095464365567795</v>
      </c>
      <c r="F20">
        <v>0.027581120943952</v>
      </c>
      <c r="G20">
        <v>0.182523032636074</v>
      </c>
      <c r="H20">
        <v>0.37003676307921</v>
      </c>
      <c r="I20">
        <v>0.5249247606019151</v>
      </c>
    </row>
    <row r="21" spans="1:9">
      <c r="A21" s="1" t="s">
        <v>33</v>
      </c>
      <c r="B21">
        <f>HYPERLINK("https://www.suredividend.com/sure-analysis-AMGN/","AMGEN Inc.")</f>
        <v>0</v>
      </c>
      <c r="C21">
        <v>-0.063353339651117</v>
      </c>
      <c r="D21">
        <v>0.149166417262903</v>
      </c>
      <c r="E21">
        <v>0.09744728152940201</v>
      </c>
      <c r="F21">
        <v>0.016067621078282</v>
      </c>
      <c r="G21">
        <v>0.222745840139475</v>
      </c>
      <c r="H21">
        <v>0.255473820693912</v>
      </c>
      <c r="I21">
        <v>0.7253462847448511</v>
      </c>
    </row>
    <row r="22" spans="1:9">
      <c r="A22" s="1" t="s">
        <v>34</v>
      </c>
      <c r="B22">
        <f>HYPERLINK("https://www.suredividend.com/sure-analysis-AMP/","Ameriprise Financial Inc")</f>
        <v>0</v>
      </c>
      <c r="C22">
        <v>-0.038671108758601</v>
      </c>
      <c r="D22">
        <v>0.122080954097712</v>
      </c>
      <c r="E22">
        <v>0.323563895663297</v>
      </c>
      <c r="F22">
        <v>-0.008414426566464</v>
      </c>
      <c r="G22">
        <v>-0.002970904511253</v>
      </c>
      <c r="H22">
        <v>0.7081443770653331</v>
      </c>
      <c r="I22">
        <v>1.030468536780252</v>
      </c>
    </row>
    <row r="23" spans="1:9">
      <c r="A23" s="1" t="s">
        <v>35</v>
      </c>
      <c r="B23">
        <f>HYPERLINK("https://www.suredividend.com/sure-analysis-ANDE/","Andersons Inc.")</f>
        <v>0</v>
      </c>
      <c r="C23">
        <v>-0.040341772514837</v>
      </c>
      <c r="D23">
        <v>0.027976817541025</v>
      </c>
      <c r="E23">
        <v>0.08265997295776101</v>
      </c>
      <c r="F23">
        <v>-0.04344098313803901</v>
      </c>
      <c r="G23">
        <v>-0.125689626347906</v>
      </c>
      <c r="H23">
        <v>0.409085168189281</v>
      </c>
      <c r="I23">
        <v>0.206900281982677</v>
      </c>
    </row>
    <row r="24" spans="1:9">
      <c r="A24" s="1" t="s">
        <v>36</v>
      </c>
      <c r="B24">
        <f>HYPERLINK("https://www.suredividend.com/sure-analysis-ANTM/","Anthem Inc")</f>
        <v>0</v>
      </c>
      <c r="C24">
        <v>-0.07055450096761801</v>
      </c>
      <c r="D24">
        <v>0.006370677989535001</v>
      </c>
      <c r="E24">
        <v>0.055850828743787</v>
      </c>
      <c r="F24">
        <v>0.046693895717118</v>
      </c>
      <c r="G24">
        <v>0.281523573203628</v>
      </c>
      <c r="H24">
        <v>0.933428179140786</v>
      </c>
      <c r="I24">
        <v>1.73652872878833</v>
      </c>
    </row>
    <row r="25" spans="1:9">
      <c r="A25" s="1" t="s">
        <v>37</v>
      </c>
      <c r="B25">
        <f>HYPERLINK("https://www.suredividend.com/sure-analysis-AON/","Aon plc.")</f>
        <v>0</v>
      </c>
      <c r="C25">
        <v>-0.027174969229772</v>
      </c>
      <c r="D25">
        <v>0.06419390544813401</v>
      </c>
      <c r="E25">
        <v>0.09254414554936001</v>
      </c>
      <c r="F25">
        <v>0.0006996734857060001</v>
      </c>
      <c r="G25">
        <v>0.03280741021693601</v>
      </c>
      <c r="H25">
        <v>0.4929468389640481</v>
      </c>
      <c r="I25">
        <v>0.9534794177350041</v>
      </c>
    </row>
    <row r="26" spans="1:9">
      <c r="A26" s="1" t="s">
        <v>38</v>
      </c>
      <c r="B26">
        <f>HYPERLINK("https://www.suredividend.com/sure-analysis-AOS/","A.O. Smith Corp.")</f>
        <v>0</v>
      </c>
      <c r="C26">
        <v>-0.007355399531929</v>
      </c>
      <c r="D26">
        <v>0.159713528493837</v>
      </c>
      <c r="E26">
        <v>0.045525615201498</v>
      </c>
      <c r="F26">
        <v>0.03738644304682</v>
      </c>
      <c r="G26">
        <v>-0.275863372564514</v>
      </c>
      <c r="H26">
        <v>0.133731864204201</v>
      </c>
      <c r="I26">
        <v>0.029817536034075</v>
      </c>
    </row>
    <row r="27" spans="1:9">
      <c r="A27" s="1" t="s">
        <v>39</v>
      </c>
      <c r="B27">
        <f>HYPERLINK("https://www.suredividend.com/sure-analysis-APD/","Air Products &amp; Chemicals Inc.")</f>
        <v>0</v>
      </c>
      <c r="C27">
        <v>-0.03673904474973</v>
      </c>
      <c r="D27">
        <v>0.249581326911126</v>
      </c>
      <c r="E27">
        <v>0.273217381766946</v>
      </c>
      <c r="F27">
        <v>-0.020891455265036</v>
      </c>
      <c r="G27">
        <v>0.017500660758496</v>
      </c>
      <c r="H27">
        <v>0.119794072459751</v>
      </c>
      <c r="I27">
        <v>1.014673164636218</v>
      </c>
    </row>
    <row r="28" spans="1:9">
      <c r="A28" s="1" t="s">
        <v>40</v>
      </c>
      <c r="B28">
        <f>HYPERLINK("https://www.suredividend.com/sure-analysis-APH/","Amphenol Corp.")</f>
        <v>0</v>
      </c>
      <c r="C28">
        <v>-0.03236102647949701</v>
      </c>
      <c r="D28">
        <v>0.06994989230752001</v>
      </c>
      <c r="E28">
        <v>0.205942608452289</v>
      </c>
      <c r="F28">
        <v>0.007354872603099001</v>
      </c>
      <c r="G28">
        <v>-0.08870132215536901</v>
      </c>
      <c r="H28">
        <v>0.199817289883365</v>
      </c>
      <c r="I28">
        <v>0.8017044546966461</v>
      </c>
    </row>
    <row r="29" spans="1:9">
      <c r="A29" s="1" t="s">
        <v>41</v>
      </c>
      <c r="B29">
        <f>HYPERLINK("https://www.suredividend.com/sure-analysis-APOG/","Apogee Enterprises Inc.")</f>
        <v>0</v>
      </c>
      <c r="C29">
        <v>-0.061426116838487</v>
      </c>
      <c r="D29">
        <v>0.03773607308321601</v>
      </c>
      <c r="E29">
        <v>0.120742716454657</v>
      </c>
      <c r="F29">
        <v>-0.017094017094017</v>
      </c>
      <c r="G29">
        <v>-0.05190854931160301</v>
      </c>
      <c r="H29">
        <v>0.434630738522954</v>
      </c>
      <c r="I29">
        <v>0.063387119145591</v>
      </c>
    </row>
    <row r="30" spans="1:9">
      <c r="A30" s="1" t="s">
        <v>42</v>
      </c>
      <c r="B30">
        <f>HYPERLINK("https://www.suredividend.com/sure-analysis-ARE/","Alexandria Real Estate Equities Inc.")</f>
        <v>0</v>
      </c>
      <c r="C30">
        <v>-0.041925552156956</v>
      </c>
      <c r="D30">
        <v>0.020636040688453</v>
      </c>
      <c r="E30">
        <v>-0.025699599450495</v>
      </c>
      <c r="F30">
        <v>-0.017985858447174</v>
      </c>
      <c r="G30">
        <v>-0.286148078987303</v>
      </c>
      <c r="H30">
        <v>-0.114619759978708</v>
      </c>
      <c r="I30">
        <v>0.294218764136433</v>
      </c>
    </row>
    <row r="31" spans="1:9">
      <c r="A31" s="1" t="s">
        <v>43</v>
      </c>
      <c r="B31">
        <f>HYPERLINK("https://www.suredividend.com/sure-analysis-ASB/","Associated Banc-Corp.")</f>
        <v>0</v>
      </c>
      <c r="C31">
        <v>-0.012499999999999</v>
      </c>
      <c r="D31">
        <v>0.06929158848842901</v>
      </c>
      <c r="E31">
        <v>0.265585036155626</v>
      </c>
      <c r="F31">
        <v>-0.007795582503248</v>
      </c>
      <c r="G31">
        <v>-0.0123211960786</v>
      </c>
      <c r="H31">
        <v>0.378459687123946</v>
      </c>
      <c r="I31">
        <v>0.05174725012395</v>
      </c>
    </row>
    <row r="32" spans="1:9">
      <c r="A32" s="1" t="s">
        <v>44</v>
      </c>
      <c r="B32">
        <f>HYPERLINK("https://www.suredividend.com/sure-analysis-research-database/","Ashland Inc")</f>
        <v>0</v>
      </c>
      <c r="C32">
        <v>-0.08254361881144201</v>
      </c>
      <c r="D32">
        <v>0.05819835575241501</v>
      </c>
      <c r="E32">
        <v>0.026039757926328</v>
      </c>
      <c r="F32">
        <v>-0.036640937412815</v>
      </c>
      <c r="G32">
        <v>-0.003254169705623</v>
      </c>
      <c r="H32">
        <v>0.286928218252292</v>
      </c>
      <c r="I32">
        <v>0.484937751306255</v>
      </c>
    </row>
    <row r="33" spans="1:9">
      <c r="A33" s="1" t="s">
        <v>45</v>
      </c>
      <c r="B33">
        <f>HYPERLINK("https://www.suredividend.com/sure-analysis-ATO/","Atmos Energy Corp.")</f>
        <v>0</v>
      </c>
      <c r="C33">
        <v>-0.060331434489901</v>
      </c>
      <c r="D33">
        <v>0.045720872154451</v>
      </c>
      <c r="E33">
        <v>-0.010029734571212</v>
      </c>
      <c r="F33">
        <v>-0.028553582582314</v>
      </c>
      <c r="G33">
        <v>0.040187724886732</v>
      </c>
      <c r="H33">
        <v>0.220809948586262</v>
      </c>
      <c r="I33">
        <v>0.434258854279195</v>
      </c>
    </row>
    <row r="34" spans="1:9">
      <c r="A34" s="1" t="s">
        <v>46</v>
      </c>
      <c r="B34">
        <f>HYPERLINK("https://www.suredividend.com/sure-analysis-ATR/","Aptargroup Inc.")</f>
        <v>0</v>
      </c>
      <c r="C34">
        <v>0.050796626054357</v>
      </c>
      <c r="D34">
        <v>0.146434162347429</v>
      </c>
      <c r="E34">
        <v>0.09764884635265701</v>
      </c>
      <c r="F34">
        <v>0.01945808328787</v>
      </c>
      <c r="G34">
        <v>-0.075970367098215</v>
      </c>
      <c r="H34">
        <v>-0.140089089592715</v>
      </c>
      <c r="I34">
        <v>0.375285342269662</v>
      </c>
    </row>
    <row r="35" spans="1:9">
      <c r="A35" s="1" t="s">
        <v>47</v>
      </c>
      <c r="B35">
        <f>HYPERLINK("https://www.suredividend.com/sure-analysis-ATRI/","Atrion Corp.")</f>
        <v>0</v>
      </c>
      <c r="C35">
        <v>-0.04784485577866401</v>
      </c>
      <c r="D35">
        <v>0.027583278715949</v>
      </c>
      <c r="E35">
        <v>-0.06628255383507201</v>
      </c>
      <c r="F35">
        <v>0.040843685762802</v>
      </c>
      <c r="G35">
        <v>-0.121990673167624</v>
      </c>
      <c r="H35">
        <v>-0.083886887169413</v>
      </c>
      <c r="I35">
        <v>0.026506900848212</v>
      </c>
    </row>
    <row r="36" spans="1:9">
      <c r="A36" s="1" t="s">
        <v>48</v>
      </c>
      <c r="B36">
        <f>HYPERLINK("https://www.suredividend.com/sure-analysis-research-database/","Atlantic Union Bankshares Corp")</f>
        <v>0</v>
      </c>
      <c r="C36">
        <v>-0.000281928390188</v>
      </c>
      <c r="D36">
        <v>0.11886611470113</v>
      </c>
      <c r="E36">
        <v>0.057336501963497</v>
      </c>
      <c r="F36">
        <v>0.009106431417188001</v>
      </c>
      <c r="G36">
        <v>-0.062854303708147</v>
      </c>
      <c r="H36">
        <v>0.155075197154332</v>
      </c>
      <c r="I36">
        <v>0.024133270179411</v>
      </c>
    </row>
    <row r="37" spans="1:9">
      <c r="A37" s="1" t="s">
        <v>49</v>
      </c>
      <c r="B37">
        <f>HYPERLINK("https://www.suredividend.com/sure-analysis-AVA/","Avista Corp.")</f>
        <v>0</v>
      </c>
      <c r="C37">
        <v>0.039470574332308</v>
      </c>
      <c r="D37">
        <v>0.164271324457904</v>
      </c>
      <c r="E37">
        <v>0.062105906303808</v>
      </c>
      <c r="F37">
        <v>-0.008119079837618001</v>
      </c>
      <c r="G37">
        <v>0.07582117591804301</v>
      </c>
      <c r="H37">
        <v>0.230402524591264</v>
      </c>
      <c r="I37">
        <v>0.024000447039758</v>
      </c>
    </row>
    <row r="38" spans="1:9">
      <c r="A38" s="1" t="s">
        <v>50</v>
      </c>
      <c r="B38">
        <f>HYPERLINK("https://www.suredividend.com/sure-analysis-AVGO/","Broadcom Inc")</f>
        <v>0</v>
      </c>
      <c r="C38">
        <v>0.05467163744318</v>
      </c>
      <c r="D38">
        <v>0.154395571939755</v>
      </c>
      <c r="E38">
        <v>0.184849248843319</v>
      </c>
      <c r="F38">
        <v>-0.007350705560424001</v>
      </c>
      <c r="G38">
        <v>-0.116391977956127</v>
      </c>
      <c r="H38">
        <v>0.366576131182641</v>
      </c>
      <c r="I38">
        <v>1.414390116582565</v>
      </c>
    </row>
    <row r="39" spans="1:9">
      <c r="A39" s="1" t="s">
        <v>51</v>
      </c>
      <c r="B39">
        <f>HYPERLINK("https://www.suredividend.com/sure-analysis-AVNT/","Avient Corp")</f>
        <v>0</v>
      </c>
      <c r="C39">
        <v>0.04557180707964</v>
      </c>
      <c r="D39">
        <v>0.09588957578861301</v>
      </c>
      <c r="E39">
        <v>-0.053247269691534</v>
      </c>
      <c r="F39">
        <v>0.06486966824644501</v>
      </c>
      <c r="G39">
        <v>-0.344638247604602</v>
      </c>
      <c r="H39">
        <v>-0.078996246813634</v>
      </c>
      <c r="I39">
        <v>-0.160270395268549</v>
      </c>
    </row>
    <row r="40" spans="1:9">
      <c r="A40" s="1" t="s">
        <v>52</v>
      </c>
      <c r="B40">
        <f>HYPERLINK("https://www.suredividend.com/sure-analysis-AVY/","Avery Dennison Corp.")</f>
        <v>0</v>
      </c>
      <c r="C40">
        <v>-0.039294895336026</v>
      </c>
      <c r="D40">
        <v>0.069773012066492</v>
      </c>
      <c r="E40">
        <v>0.127095531686636</v>
      </c>
      <c r="F40">
        <v>0.01171270718232</v>
      </c>
      <c r="G40">
        <v>-0.137523384646107</v>
      </c>
      <c r="H40">
        <v>0.224078081101189</v>
      </c>
      <c r="I40">
        <v>0.654930086614514</v>
      </c>
    </row>
    <row r="41" spans="1:9">
      <c r="A41" s="1" t="s">
        <v>53</v>
      </c>
      <c r="B41">
        <f>HYPERLINK("https://www.suredividend.com/sure-analysis-AWK/","American Water Works Co. Inc.")</f>
        <v>0</v>
      </c>
      <c r="C41">
        <v>0.009727118422770001</v>
      </c>
      <c r="D41">
        <v>0.16493286214823</v>
      </c>
      <c r="E41">
        <v>0.042825492758137</v>
      </c>
      <c r="F41">
        <v>0.014761842277916</v>
      </c>
      <c r="G41">
        <v>-0.116465266979781</v>
      </c>
      <c r="H41">
        <v>0.05646453565969001</v>
      </c>
      <c r="I41">
        <v>0.9429586435091081</v>
      </c>
    </row>
    <row r="42" spans="1:9">
      <c r="A42" s="1" t="s">
        <v>54</v>
      </c>
      <c r="B42">
        <f>HYPERLINK("https://www.suredividend.com/sure-analysis-AWR/","American States Water Co.")</f>
        <v>0</v>
      </c>
      <c r="C42">
        <v>-0.047950819672131</v>
      </c>
      <c r="D42">
        <v>0.131440455693366</v>
      </c>
      <c r="E42">
        <v>0.135909381521057</v>
      </c>
      <c r="F42">
        <v>0.003997839005942</v>
      </c>
      <c r="G42">
        <v>-0.05511490746390001</v>
      </c>
      <c r="H42">
        <v>0.225091433589022</v>
      </c>
      <c r="I42">
        <v>0.8194919834264091</v>
      </c>
    </row>
    <row r="43" spans="1:9">
      <c r="A43" s="1" t="s">
        <v>55</v>
      </c>
      <c r="B43">
        <f>HYPERLINK("https://www.suredividend.com/sure-analysis-AXS/","Axis Capital Holdings Ltd")</f>
        <v>0</v>
      </c>
      <c r="C43">
        <v>-0.019022250921516</v>
      </c>
      <c r="D43">
        <v>0.05532496251657001</v>
      </c>
      <c r="E43">
        <v>-0.001369487811558</v>
      </c>
      <c r="F43">
        <v>0.009599409267121</v>
      </c>
      <c r="G43">
        <v>0.04058648816806101</v>
      </c>
      <c r="H43">
        <v>0.185593382008636</v>
      </c>
      <c r="I43">
        <v>0.298618036757373</v>
      </c>
    </row>
    <row r="44" spans="1:9">
      <c r="A44" s="1" t="s">
        <v>56</v>
      </c>
      <c r="B44">
        <f>HYPERLINK("https://www.suredividend.com/sure-analysis-BANF/","Bancfirst Corp.")</f>
        <v>0</v>
      </c>
      <c r="C44">
        <v>-0.128889817887283</v>
      </c>
      <c r="D44">
        <v>-0.08350395077421101</v>
      </c>
      <c r="E44">
        <v>-0.147089461975641</v>
      </c>
      <c r="F44">
        <v>-0.05477432524381901</v>
      </c>
      <c r="G44">
        <v>0.179196901124304</v>
      </c>
      <c r="H44">
        <v>0.463795858871463</v>
      </c>
      <c r="I44">
        <v>0.7626595328476411</v>
      </c>
    </row>
    <row r="45" spans="1:9">
      <c r="A45" s="1" t="s">
        <v>57</v>
      </c>
      <c r="B45">
        <f>HYPERLINK("https://www.suredividend.com/sure-analysis-BBY/","Best Buy Co. Inc.")</f>
        <v>0</v>
      </c>
      <c r="C45">
        <v>-0.022814189634709</v>
      </c>
      <c r="D45">
        <v>0.213495390772015</v>
      </c>
      <c r="E45">
        <v>0.191867053671304</v>
      </c>
      <c r="F45">
        <v>0.016207455429497</v>
      </c>
      <c r="G45">
        <v>-0.172959184708826</v>
      </c>
      <c r="H45">
        <v>-0.134832772547312</v>
      </c>
      <c r="I45">
        <v>0.37496288899085</v>
      </c>
    </row>
    <row r="46" spans="1:9">
      <c r="A46" s="1" t="s">
        <v>58</v>
      </c>
      <c r="B46">
        <f>HYPERLINK("https://www.suredividend.com/sure-analysis-research-database/","Balchem Corp.")</f>
        <v>0</v>
      </c>
      <c r="C46">
        <v>-0.10049836941863</v>
      </c>
      <c r="D46">
        <v>-0.06532456861133901</v>
      </c>
      <c r="E46">
        <v>-0.08424422650270001</v>
      </c>
      <c r="F46">
        <v>-0.03865367291786</v>
      </c>
      <c r="G46">
        <v>-0.279003834994509</v>
      </c>
      <c r="H46">
        <v>0.008761678227453001</v>
      </c>
      <c r="I46">
        <v>0.497890779913793</v>
      </c>
    </row>
    <row r="47" spans="1:9">
      <c r="A47" s="1" t="s">
        <v>59</v>
      </c>
      <c r="B47">
        <f>HYPERLINK("https://www.suredividend.com/sure-analysis-BDX/","Becton, Dickinson And Co.")</f>
        <v>0</v>
      </c>
      <c r="C47">
        <v>0.040802931908145</v>
      </c>
      <c r="D47">
        <v>0.08202560142670901</v>
      </c>
      <c r="E47">
        <v>0.037066463892165</v>
      </c>
      <c r="F47">
        <v>0.003971686983877</v>
      </c>
      <c r="G47">
        <v>0.04851049988952601</v>
      </c>
      <c r="H47">
        <v>0.07100758023852301</v>
      </c>
      <c r="I47">
        <v>0.253954985123067</v>
      </c>
    </row>
    <row r="48" spans="1:9">
      <c r="A48" s="1" t="s">
        <v>60</v>
      </c>
      <c r="B48">
        <f>HYPERLINK("https://www.suredividend.com/sure-analysis-BEN/","Franklin Resources, Inc.")</f>
        <v>0</v>
      </c>
      <c r="C48">
        <v>0.019810366766048</v>
      </c>
      <c r="D48">
        <v>0.185549569245985</v>
      </c>
      <c r="E48">
        <v>0.175458592288337</v>
      </c>
      <c r="F48">
        <v>0.036012130401819</v>
      </c>
      <c r="G48">
        <v>-0.154791063608699</v>
      </c>
      <c r="H48">
        <v>0.221507106462858</v>
      </c>
      <c r="I48">
        <v>-0.234061157400011</v>
      </c>
    </row>
    <row r="49" spans="1:9">
      <c r="A49" s="1" t="s">
        <v>61</v>
      </c>
      <c r="B49">
        <f>HYPERLINK("https://www.suredividend.com/sure-analysis-BIP/","Brookfield Infrastructure Partners L.P")</f>
        <v>0</v>
      </c>
      <c r="C49">
        <v>-0.08073289436014801</v>
      </c>
      <c r="D49">
        <v>-0.117010540325751</v>
      </c>
      <c r="E49">
        <v>-0.134776540076202</v>
      </c>
      <c r="F49">
        <v>0.036140690545337</v>
      </c>
      <c r="G49">
        <v>-0.161426124018051</v>
      </c>
      <c r="H49">
        <v>0.04924696679072801</v>
      </c>
      <c r="I49">
        <v>0.504263093788063</v>
      </c>
    </row>
    <row r="50" spans="1:9">
      <c r="A50" s="1" t="s">
        <v>62</v>
      </c>
      <c r="B50">
        <f>HYPERLINK("https://www.suredividend.com/sure-analysis-BK/","Bank Of New York Mellon Corp")</f>
        <v>0</v>
      </c>
      <c r="C50">
        <v>0.071980018165304</v>
      </c>
      <c r="D50">
        <v>0.151685324733302</v>
      </c>
      <c r="E50">
        <v>0.141694961161573</v>
      </c>
      <c r="F50">
        <v>0.03712653778558801</v>
      </c>
      <c r="G50">
        <v>-0.190647790353605</v>
      </c>
      <c r="H50">
        <v>0.186517780173768</v>
      </c>
      <c r="I50">
        <v>-0.015058896181658</v>
      </c>
    </row>
    <row r="51" spans="1:9">
      <c r="A51" s="1" t="s">
        <v>63</v>
      </c>
      <c r="B51">
        <f>HYPERLINK("https://www.suredividend.com/sure-analysis-BKH/","Black Hills Corporation")</f>
        <v>0</v>
      </c>
      <c r="C51">
        <v>-0.003136136849608</v>
      </c>
      <c r="D51">
        <v>0.025192196048765</v>
      </c>
      <c r="E51">
        <v>-0.003763843736376</v>
      </c>
      <c r="F51">
        <v>-0.005828831390389</v>
      </c>
      <c r="G51">
        <v>0.027311229908815</v>
      </c>
      <c r="H51">
        <v>0.257021651402532</v>
      </c>
      <c r="I51">
        <v>0.43369690011481</v>
      </c>
    </row>
    <row r="52" spans="1:9">
      <c r="A52" s="1" t="s">
        <v>64</v>
      </c>
      <c r="B52">
        <f>HYPERLINK("https://www.suredividend.com/sure-analysis-BLK/","Blackrock Inc.")</f>
        <v>0</v>
      </c>
      <c r="C52">
        <v>-0.009380120924450001</v>
      </c>
      <c r="D52">
        <v>0.210793473414999</v>
      </c>
      <c r="E52">
        <v>0.137508349957548</v>
      </c>
      <c r="F52">
        <v>-0.010428573444533</v>
      </c>
      <c r="G52">
        <v>-0.19725387653205</v>
      </c>
      <c r="H52">
        <v>0.021550544273867</v>
      </c>
      <c r="I52">
        <v>0.4936515973087681</v>
      </c>
    </row>
    <row r="53" spans="1:9">
      <c r="A53" s="1" t="s">
        <v>65</v>
      </c>
      <c r="B53">
        <f>HYPERLINK("https://www.suredividend.com/sure-analysis-BMI/","Badger Meter Inc.")</f>
        <v>0</v>
      </c>
      <c r="C53">
        <v>-0.05881837307152801</v>
      </c>
      <c r="D53">
        <v>0.113514836493667</v>
      </c>
      <c r="E53">
        <v>0.332309211881463</v>
      </c>
      <c r="F53">
        <v>-0.015225167385123</v>
      </c>
      <c r="G53">
        <v>0.07106411122228201</v>
      </c>
      <c r="H53">
        <v>0.183081830653025</v>
      </c>
      <c r="I53">
        <v>1.394011960026221</v>
      </c>
    </row>
    <row r="54" spans="1:9">
      <c r="A54" s="1" t="s">
        <v>66</v>
      </c>
      <c r="B54">
        <f>HYPERLINK("https://www.suredividend.com/sure-analysis-BMRC/","Bank of Marin Bancorp")</f>
        <v>0</v>
      </c>
      <c r="C54">
        <v>-0.06467517401392001</v>
      </c>
      <c r="D54">
        <v>0.04616083303597401</v>
      </c>
      <c r="E54">
        <v>0.009380193613205001</v>
      </c>
      <c r="F54">
        <v>-0.019160583941605</v>
      </c>
      <c r="G54">
        <v>-0.127817352783682</v>
      </c>
      <c r="H54">
        <v>-0.032089605992941</v>
      </c>
      <c r="I54">
        <v>0.06723056151219101</v>
      </c>
    </row>
    <row r="55" spans="1:9">
      <c r="A55" s="1" t="s">
        <v>67</v>
      </c>
      <c r="B55">
        <f>HYPERLINK("https://www.suredividend.com/sure-analysis-BMY/","Bristol-Myers Squibb Co.")</f>
        <v>0</v>
      </c>
      <c r="C55">
        <v>-0.101747794960695</v>
      </c>
      <c r="D55">
        <v>0.022267580529157</v>
      </c>
      <c r="E55">
        <v>-0.038428113409863</v>
      </c>
      <c r="F55">
        <v>0.007490337646546</v>
      </c>
      <c r="G55">
        <v>0.202386047506955</v>
      </c>
      <c r="H55">
        <v>0.242860722525122</v>
      </c>
      <c r="I55">
        <v>0.345576734544202</v>
      </c>
    </row>
    <row r="56" spans="1:9">
      <c r="A56" s="1" t="s">
        <v>68</v>
      </c>
      <c r="B56">
        <f>HYPERLINK("https://www.suredividend.com/sure-analysis-BOKF/","BOK Financial Corp.")</f>
        <v>0</v>
      </c>
      <c r="C56">
        <v>-0.029057822130906</v>
      </c>
      <c r="D56">
        <v>0.05729462978707001</v>
      </c>
      <c r="E56">
        <v>0.30283580776739</v>
      </c>
      <c r="F56">
        <v>-0.04383852008864</v>
      </c>
      <c r="G56">
        <v>-0.060727150891287</v>
      </c>
      <c r="H56">
        <v>0.469969605223398</v>
      </c>
      <c r="I56">
        <v>0.217867455670679</v>
      </c>
    </row>
    <row r="57" spans="1:9">
      <c r="A57" s="1" t="s">
        <v>69</v>
      </c>
      <c r="B57">
        <f>HYPERLINK("https://www.suredividend.com/sure-analysis-BR/","Broadridge Financial Solutions, Inc.")</f>
        <v>0</v>
      </c>
      <c r="C57">
        <v>-0.077889947114887</v>
      </c>
      <c r="D57">
        <v>-0.112123894159721</v>
      </c>
      <c r="E57">
        <v>-0.08131933096952501</v>
      </c>
      <c r="F57">
        <v>-0.008275553567434001</v>
      </c>
      <c r="G57">
        <v>-0.236426069890377</v>
      </c>
      <c r="H57">
        <v>-0.09350673600411001</v>
      </c>
      <c r="I57">
        <v>0.5626376647130761</v>
      </c>
    </row>
    <row r="58" spans="1:9">
      <c r="A58" s="1" t="s">
        <v>70</v>
      </c>
      <c r="B58">
        <f>HYPERLINK("https://www.suredividend.com/sure-analysis-BRC/","Brady Corp.")</f>
        <v>0</v>
      </c>
      <c r="C58">
        <v>-0.005702217529039001</v>
      </c>
      <c r="D58">
        <v>0.09948622139187301</v>
      </c>
      <c r="E58">
        <v>0.012642980973152</v>
      </c>
      <c r="F58">
        <v>-0.000424628450106</v>
      </c>
      <c r="G58">
        <v>-0.106809157293032</v>
      </c>
      <c r="H58">
        <v>-0.077522949261802</v>
      </c>
      <c r="I58">
        <v>0.332439002991478</v>
      </c>
    </row>
    <row r="59" spans="1:9">
      <c r="A59" s="1" t="s">
        <v>71</v>
      </c>
      <c r="B59">
        <f>HYPERLINK("https://www.suredividend.com/sure-analysis-BRO/","Brown &amp; Brown, Inc.")</f>
        <v>0</v>
      </c>
      <c r="C59">
        <v>-0.033361558001693</v>
      </c>
      <c r="D59">
        <v>-0.102309649699459</v>
      </c>
      <c r="E59">
        <v>-0.043709896295799</v>
      </c>
      <c r="F59">
        <v>0.0019308407934</v>
      </c>
      <c r="G59">
        <v>-0.147989760353461</v>
      </c>
      <c r="H59">
        <v>0.249633297867216</v>
      </c>
      <c r="I59">
        <v>1.279097624276302</v>
      </c>
    </row>
    <row r="60" spans="1:9">
      <c r="A60" s="1" t="s">
        <v>72</v>
      </c>
      <c r="B60">
        <f>HYPERLINK("https://www.suredividend.com/sure-analysis-CAH/","Cardinal Health, Inc.")</f>
        <v>0</v>
      </c>
      <c r="C60">
        <v>-0.029796221751457</v>
      </c>
      <c r="D60">
        <v>0.111281933763999</v>
      </c>
      <c r="E60">
        <v>0.486695991819485</v>
      </c>
      <c r="F60">
        <v>-0.003252244048393</v>
      </c>
      <c r="G60">
        <v>0.483067250963935</v>
      </c>
      <c r="H60">
        <v>0.5423419361202311</v>
      </c>
      <c r="I60">
        <v>0.45457444869692</v>
      </c>
    </row>
    <row r="61" spans="1:9">
      <c r="A61" s="1" t="s">
        <v>73</v>
      </c>
      <c r="B61">
        <f>HYPERLINK("https://www.suredividend.com/sure-analysis-CASS/","Cass Information Systems Inc")</f>
        <v>0</v>
      </c>
      <c r="C61">
        <v>0.087780898876404</v>
      </c>
      <c r="D61">
        <v>0.289100209718045</v>
      </c>
      <c r="E61">
        <v>0.371184760286098</v>
      </c>
      <c r="F61">
        <v>0.014185945002182</v>
      </c>
      <c r="G61">
        <v>0.167133402820509</v>
      </c>
      <c r="H61">
        <v>0.250507926341934</v>
      </c>
      <c r="I61">
        <v>-0.09447507029656001</v>
      </c>
    </row>
    <row r="62" spans="1:9">
      <c r="A62" s="1" t="s">
        <v>74</v>
      </c>
      <c r="B62">
        <f>HYPERLINK("https://www.suredividend.com/sure-analysis-CASY/","Casey`s General Stores, Inc.")</f>
        <v>0</v>
      </c>
      <c r="C62">
        <v>-0.05657923260351101</v>
      </c>
      <c r="D62">
        <v>0.07500852201149101</v>
      </c>
      <c r="E62">
        <v>0.15801534476767</v>
      </c>
      <c r="F62">
        <v>-0.030086917762424</v>
      </c>
      <c r="G62">
        <v>0.132248262082171</v>
      </c>
      <c r="H62">
        <v>0.24087520479288</v>
      </c>
      <c r="I62">
        <v>0.8648418183921731</v>
      </c>
    </row>
    <row r="63" spans="1:9">
      <c r="A63" s="1" t="s">
        <v>75</v>
      </c>
      <c r="B63">
        <f>HYPERLINK("https://www.suredividend.com/sure-analysis-CAT/","Caterpillar Inc.")</f>
        <v>0</v>
      </c>
      <c r="C63">
        <v>0.033151309283226</v>
      </c>
      <c r="D63">
        <v>0.356024795365993</v>
      </c>
      <c r="E63">
        <v>0.401775379905163</v>
      </c>
      <c r="F63">
        <v>0.003005510101853</v>
      </c>
      <c r="G63">
        <v>0.119126831424418</v>
      </c>
      <c r="H63">
        <v>0.359926649536465</v>
      </c>
      <c r="I63">
        <v>0.6699726026635601</v>
      </c>
    </row>
    <row r="64" spans="1:9">
      <c r="A64" s="1" t="s">
        <v>76</v>
      </c>
      <c r="B64">
        <f>HYPERLINK("https://www.suredividend.com/sure-analysis-CB/","Chubb Limited")</f>
        <v>0</v>
      </c>
      <c r="C64">
        <v>0.041726369292836</v>
      </c>
      <c r="D64">
        <v>0.17724932504056</v>
      </c>
      <c r="E64">
        <v>0.166962374389466</v>
      </c>
      <c r="F64">
        <v>0.013417951042611</v>
      </c>
      <c r="G64">
        <v>0.170968405956665</v>
      </c>
      <c r="H64">
        <v>0.54337586200469</v>
      </c>
      <c r="I64">
        <v>0.714747240458094</v>
      </c>
    </row>
    <row r="65" spans="1:9">
      <c r="A65" s="1" t="s">
        <v>77</v>
      </c>
      <c r="B65">
        <f>HYPERLINK("https://www.suredividend.com/sure-analysis-CBOE/","Cboe Global Markets Inc.")</f>
        <v>0</v>
      </c>
      <c r="C65">
        <v>-0.027271298333857</v>
      </c>
      <c r="D65">
        <v>0.03755814626074101</v>
      </c>
      <c r="E65">
        <v>0.06255848492913101</v>
      </c>
      <c r="F65">
        <v>-0.013549055551127</v>
      </c>
      <c r="G65">
        <v>0.010940075438656</v>
      </c>
      <c r="H65">
        <v>0.381162756701323</v>
      </c>
      <c r="I65">
        <v>0.05273275030577401</v>
      </c>
    </row>
    <row r="66" spans="1:9">
      <c r="A66" s="1" t="s">
        <v>78</v>
      </c>
      <c r="B66">
        <f>HYPERLINK("https://www.suredividend.com/sure-analysis-CBSH/","Commerce Bancshares, Inc.")</f>
        <v>0</v>
      </c>
      <c r="C66">
        <v>-0.011252374689463</v>
      </c>
      <c r="D66">
        <v>0.003149111310113</v>
      </c>
      <c r="E66">
        <v>0.06895941556389701</v>
      </c>
      <c r="F66">
        <v>-0.006023211400029</v>
      </c>
      <c r="G66">
        <v>0.01809120688799</v>
      </c>
      <c r="H66">
        <v>0.141827227330949</v>
      </c>
      <c r="I66">
        <v>0.492701953793748</v>
      </c>
    </row>
    <row r="67" spans="1:9">
      <c r="A67" s="1" t="s">
        <v>79</v>
      </c>
      <c r="B67">
        <f>HYPERLINK("https://www.suredividend.com/sure-analysis-research-database/","Cabot Corp.")</f>
        <v>0</v>
      </c>
      <c r="C67">
        <v>-0.09284253578732</v>
      </c>
      <c r="D67">
        <v>0.021161398441708</v>
      </c>
      <c r="E67">
        <v>0.06391993898529401</v>
      </c>
      <c r="F67">
        <v>-0.004488330341113</v>
      </c>
      <c r="G67">
        <v>0.171272663263509</v>
      </c>
      <c r="H67">
        <v>0.520768291958257</v>
      </c>
      <c r="I67">
        <v>0.163917507740209</v>
      </c>
    </row>
    <row r="68" spans="1:9">
      <c r="A68" s="1" t="s">
        <v>80</v>
      </c>
      <c r="B68">
        <f>HYPERLINK("https://www.suredividend.com/sure-analysis-CBU/","Community Bank System, Inc.")</f>
        <v>0</v>
      </c>
      <c r="C68">
        <v>-0.004093583279993001</v>
      </c>
      <c r="D68">
        <v>-0.002496584556056</v>
      </c>
      <c r="E68">
        <v>-0.026581863567025</v>
      </c>
      <c r="F68">
        <v>-0.018745035742652</v>
      </c>
      <c r="G68">
        <v>-0.159084999530329</v>
      </c>
      <c r="H68">
        <v>0.026785862702922</v>
      </c>
      <c r="I68">
        <v>0.301327872686019</v>
      </c>
    </row>
    <row r="69" spans="1:9">
      <c r="A69" s="1" t="s">
        <v>81</v>
      </c>
      <c r="B69">
        <f>HYPERLINK("https://www.suredividend.com/sure-analysis-CE/","Celanese Corp")</f>
        <v>0</v>
      </c>
      <c r="C69">
        <v>0.022882450636648</v>
      </c>
      <c r="D69">
        <v>0.178510416411974</v>
      </c>
      <c r="E69">
        <v>-0.006202494085712</v>
      </c>
      <c r="F69">
        <v>0.084311424100156</v>
      </c>
      <c r="G69">
        <v>-0.347633302360724</v>
      </c>
      <c r="H69">
        <v>-0.122274327672111</v>
      </c>
      <c r="I69">
        <v>0.140800227213323</v>
      </c>
    </row>
    <row r="70" spans="1:9">
      <c r="A70" s="1" t="s">
        <v>82</v>
      </c>
      <c r="B70">
        <f>HYPERLINK("https://www.suredividend.com/sure-analysis-CFR/","Cullen Frost Bankers Inc.")</f>
        <v>0</v>
      </c>
      <c r="C70">
        <v>-0.042412818096135</v>
      </c>
      <c r="D70">
        <v>-0.054843141744904</v>
      </c>
      <c r="E70">
        <v>0.134518817310517</v>
      </c>
      <c r="F70">
        <v>-0.012116679132385</v>
      </c>
      <c r="G70">
        <v>0.04715611648422501</v>
      </c>
      <c r="H70">
        <v>0.5671180476044141</v>
      </c>
      <c r="I70">
        <v>0.572096477780211</v>
      </c>
    </row>
    <row r="71" spans="1:9">
      <c r="A71" s="1" t="s">
        <v>83</v>
      </c>
      <c r="B71">
        <f>HYPERLINK("https://www.suredividend.com/sure-analysis-research-database/","City Holding Co.")</f>
        <v>0</v>
      </c>
      <c r="C71">
        <v>-0.06773600326930901</v>
      </c>
      <c r="D71">
        <v>0.028992207850787</v>
      </c>
      <c r="E71">
        <v>0.130848812020086</v>
      </c>
      <c r="F71">
        <v>-0.019765818025566</v>
      </c>
      <c r="G71">
        <v>0.124458103615271</v>
      </c>
      <c r="H71">
        <v>0.4037835235043361</v>
      </c>
      <c r="I71">
        <v>0.577115322129045</v>
      </c>
    </row>
    <row r="72" spans="1:9">
      <c r="A72" s="1" t="s">
        <v>84</v>
      </c>
      <c r="B72">
        <f>HYPERLINK("https://www.suredividend.com/sure-analysis-CHD/","Church &amp; Dwight Co., Inc.")</f>
        <v>0</v>
      </c>
      <c r="C72">
        <v>0.019778579425301</v>
      </c>
      <c r="D72">
        <v>0.134602183396443</v>
      </c>
      <c r="E72">
        <v>-0.131122312711178</v>
      </c>
      <c r="F72">
        <v>0.016995409998759</v>
      </c>
      <c r="G72">
        <v>-0.19092988782763</v>
      </c>
      <c r="H72">
        <v>-0.021875950771653</v>
      </c>
      <c r="I72">
        <v>0.7464327864102901</v>
      </c>
    </row>
    <row r="73" spans="1:9">
      <c r="A73" s="1" t="s">
        <v>85</v>
      </c>
      <c r="B73">
        <f>HYPERLINK("https://www.suredividend.com/sure-analysis-research-database/","Churchill Downs, Inc.")</f>
        <v>0</v>
      </c>
      <c r="C73">
        <v>-0.02319657964159</v>
      </c>
      <c r="D73">
        <v>0.088916888707481</v>
      </c>
      <c r="E73">
        <v>0.07372215514375201</v>
      </c>
      <c r="F73">
        <v>0.0157498935818</v>
      </c>
      <c r="G73">
        <v>-0.042728642364918</v>
      </c>
      <c r="H73">
        <v>0.100160956683083</v>
      </c>
      <c r="I73">
        <v>1.728108819479378</v>
      </c>
    </row>
    <row r="74" spans="1:9">
      <c r="A74" s="1" t="s">
        <v>86</v>
      </c>
      <c r="B74">
        <f>HYPERLINK("https://www.suredividend.com/sure-analysis-research-database/","Chemed Corp.")</f>
        <v>0</v>
      </c>
      <c r="C74">
        <v>-0.036151960784313</v>
      </c>
      <c r="D74">
        <v>0.12822181787699</v>
      </c>
      <c r="E74">
        <v>0.056012110908125</v>
      </c>
      <c r="F74">
        <v>-0.013851066747644</v>
      </c>
      <c r="G74">
        <v>-0.002005268339957</v>
      </c>
      <c r="H74">
        <v>-0.049968565691476</v>
      </c>
      <c r="I74">
        <v>1.001155307796499</v>
      </c>
    </row>
    <row r="75" spans="1:9">
      <c r="A75" s="1" t="s">
        <v>87</v>
      </c>
      <c r="B75">
        <f>HYPERLINK("https://www.suredividend.com/sure-analysis-CHRW/","C.H. Robinson Worldwide, Inc.")</f>
        <v>0</v>
      </c>
      <c r="C75">
        <v>-0.056696709285265</v>
      </c>
      <c r="D75">
        <v>-0.09111563258897201</v>
      </c>
      <c r="E75">
        <v>-0.08506245787943001</v>
      </c>
      <c r="F75">
        <v>-0.016928789864569</v>
      </c>
      <c r="G75">
        <v>-0.161474597366204</v>
      </c>
      <c r="H75">
        <v>0.03278261538055501</v>
      </c>
      <c r="I75">
        <v>0.130565848144194</v>
      </c>
    </row>
    <row r="76" spans="1:9">
      <c r="A76" s="1" t="s">
        <v>88</v>
      </c>
      <c r="B76">
        <f>HYPERLINK("https://www.suredividend.com/sure-analysis-CINF/","Cincinnati Financial Corp.")</f>
        <v>0</v>
      </c>
      <c r="C76">
        <v>-0.004670128440195</v>
      </c>
      <c r="D76">
        <v>0.110990757540093</v>
      </c>
      <c r="E76">
        <v>-0.091964649018416</v>
      </c>
      <c r="F76">
        <v>0.04180095712471901</v>
      </c>
      <c r="G76">
        <v>-0.04191347850884401</v>
      </c>
      <c r="H76">
        <v>0.334993679836802</v>
      </c>
      <c r="I76">
        <v>0.641440565294465</v>
      </c>
    </row>
    <row r="77" spans="1:9">
      <c r="A77" s="1" t="s">
        <v>89</v>
      </c>
      <c r="B77">
        <f>HYPERLINK("https://www.suredividend.com/sure-analysis-CL/","Colgate-Palmolive Co.")</f>
        <v>0</v>
      </c>
      <c r="C77">
        <v>0.018412863070539</v>
      </c>
      <c r="D77">
        <v>0.111768552832362</v>
      </c>
      <c r="E77">
        <v>-0.018024145553477</v>
      </c>
      <c r="F77">
        <v>-0.003172991496382</v>
      </c>
      <c r="G77">
        <v>-0.05607655226372101</v>
      </c>
      <c r="H77">
        <v>-0.026514888595821</v>
      </c>
      <c r="I77">
        <v>0.165280170207462</v>
      </c>
    </row>
    <row r="78" spans="1:9">
      <c r="A78" s="1" t="s">
        <v>90</v>
      </c>
      <c r="B78">
        <f>HYPERLINK("https://www.suredividend.com/sure-analysis-CLX/","Clorox Co.")</f>
        <v>0</v>
      </c>
      <c r="C78">
        <v>-0.04657093007649901</v>
      </c>
      <c r="D78">
        <v>0.08816528348359901</v>
      </c>
      <c r="E78">
        <v>-0.002045357488031</v>
      </c>
      <c r="F78">
        <v>0.012470605002494</v>
      </c>
      <c r="G78">
        <v>-0.174191148477618</v>
      </c>
      <c r="H78">
        <v>-0.249188708449216</v>
      </c>
      <c r="I78">
        <v>0.104865826611962</v>
      </c>
    </row>
    <row r="79" spans="1:9">
      <c r="A79" s="1" t="s">
        <v>91</v>
      </c>
      <c r="B79">
        <f>HYPERLINK("https://www.suredividend.com/sure-analysis-CMCSA/","Comcast Corp")</f>
        <v>0</v>
      </c>
      <c r="C79">
        <v>0.05206258890469401</v>
      </c>
      <c r="D79">
        <v>0.202992843201041</v>
      </c>
      <c r="E79">
        <v>-0.063297103009455</v>
      </c>
      <c r="F79">
        <v>0.05747783814698301</v>
      </c>
      <c r="G79">
        <v>-0.252899107034627</v>
      </c>
      <c r="H79">
        <v>-0.238784525382769</v>
      </c>
      <c r="I79">
        <v>-0.011734648882522</v>
      </c>
    </row>
    <row r="80" spans="1:9">
      <c r="A80" s="1" t="s">
        <v>92</v>
      </c>
      <c r="B80">
        <f>HYPERLINK("https://www.suredividend.com/sure-analysis-CME/","CME Group Inc")</f>
        <v>0</v>
      </c>
      <c r="C80">
        <v>-0.028327056812672</v>
      </c>
      <c r="D80">
        <v>-0.030959626838108</v>
      </c>
      <c r="E80">
        <v>-0.138042658636964</v>
      </c>
      <c r="F80">
        <v>0.009455280685061001</v>
      </c>
      <c r="G80">
        <v>-0.214613055236182</v>
      </c>
      <c r="H80">
        <v>0.009748910095764</v>
      </c>
      <c r="I80">
        <v>0.315988386741659</v>
      </c>
    </row>
    <row r="81" spans="1:9">
      <c r="A81" s="1" t="s">
        <v>93</v>
      </c>
      <c r="B81">
        <f>HYPERLINK("https://www.suredividend.com/sure-analysis-CMI/","Cummins Inc.")</f>
        <v>0</v>
      </c>
      <c r="C81">
        <v>-0.03517424088037401</v>
      </c>
      <c r="D81">
        <v>0.06175844098409101</v>
      </c>
      <c r="E81">
        <v>0.235838265566357</v>
      </c>
      <c r="F81">
        <v>-0.022988980147756</v>
      </c>
      <c r="G81">
        <v>0.07136343125953501</v>
      </c>
      <c r="H81">
        <v>0.122964413527185</v>
      </c>
      <c r="I81">
        <v>0.497751032424487</v>
      </c>
    </row>
    <row r="82" spans="1:9">
      <c r="A82" s="1" t="s">
        <v>94</v>
      </c>
      <c r="B82">
        <f>HYPERLINK("https://www.suredividend.com/sure-analysis-CMS/","CMS Energy Corporation")</f>
        <v>0</v>
      </c>
      <c r="C82">
        <v>0.055898548306357</v>
      </c>
      <c r="D82">
        <v>0.08994453822040001</v>
      </c>
      <c r="E82">
        <v>-0.028580726967937</v>
      </c>
      <c r="F82">
        <v>-0.000789515237644</v>
      </c>
      <c r="G82">
        <v>-0.004362992134656</v>
      </c>
      <c r="H82">
        <v>0.144376226343439</v>
      </c>
      <c r="I82">
        <v>0.5911291032297811</v>
      </c>
    </row>
    <row r="83" spans="1:9">
      <c r="A83" s="1" t="s">
        <v>95</v>
      </c>
      <c r="B83">
        <f>HYPERLINK("https://www.suredividend.com/sure-analysis-research-database/","Cohen &amp; Steers Inc.")</f>
        <v>0</v>
      </c>
      <c r="C83">
        <v>-0.016432272390821</v>
      </c>
      <c r="D83">
        <v>0.04700491039629801</v>
      </c>
      <c r="E83">
        <v>0.030743907301309</v>
      </c>
      <c r="F83">
        <v>0.029120198265179</v>
      </c>
      <c r="G83">
        <v>-0.233303522487955</v>
      </c>
      <c r="H83">
        <v>-0.008893702208657001</v>
      </c>
      <c r="I83">
        <v>0.805066902125925</v>
      </c>
    </row>
    <row r="84" spans="1:9">
      <c r="A84" s="1" t="s">
        <v>96</v>
      </c>
      <c r="B84">
        <f>HYPERLINK("https://www.suredividend.com/sure-analysis-COST/","Costco Wholesale Corp")</f>
        <v>0</v>
      </c>
      <c r="C84">
        <v>-0.07872549420865201</v>
      </c>
      <c r="D84">
        <v>-0.06103707442520601</v>
      </c>
      <c r="E84">
        <v>-0.07471198691824901</v>
      </c>
      <c r="F84">
        <v>-0.013822562979189</v>
      </c>
      <c r="G84">
        <v>-0.175876328178388</v>
      </c>
      <c r="H84">
        <v>0.215362611030511</v>
      </c>
      <c r="I84">
        <v>1.568580687860875</v>
      </c>
    </row>
    <row r="85" spans="1:9">
      <c r="A85" s="1" t="s">
        <v>97</v>
      </c>
      <c r="B85">
        <f>HYPERLINK("https://www.suredividend.com/sure-analysis-CPK/","Chesapeake Utilities Corp")</f>
        <v>0</v>
      </c>
      <c r="C85">
        <v>-0.013797945597452</v>
      </c>
      <c r="D85">
        <v>-0.004656888522606001</v>
      </c>
      <c r="E85">
        <v>-0.07408892467289101</v>
      </c>
      <c r="F85">
        <v>-0.023015738703672</v>
      </c>
      <c r="G85">
        <v>-0.16583944179299</v>
      </c>
      <c r="H85">
        <v>0.150738122859682</v>
      </c>
      <c r="I85">
        <v>0.655340501792114</v>
      </c>
    </row>
    <row r="86" spans="1:9">
      <c r="A86" s="1" t="s">
        <v>98</v>
      </c>
      <c r="B86">
        <f>HYPERLINK("https://www.suredividend.com/sure-analysis-CSCO/","Cisco Systems, Inc.")</f>
        <v>0</v>
      </c>
      <c r="C86">
        <v>-0.04207278448681</v>
      </c>
      <c r="D86">
        <v>0.125375685355712</v>
      </c>
      <c r="E86">
        <v>0.136641911730833</v>
      </c>
      <c r="F86">
        <v>-0.008090998341175</v>
      </c>
      <c r="G86">
        <v>-0.203382226995282</v>
      </c>
      <c r="H86">
        <v>0.121407691976481</v>
      </c>
      <c r="I86">
        <v>0.357616757068266</v>
      </c>
    </row>
    <row r="87" spans="1:9">
      <c r="A87" s="1" t="s">
        <v>99</v>
      </c>
      <c r="B87">
        <f>HYPERLINK("https://www.suredividend.com/sure-analysis-CSL/","Carlisle Companies Inc.")</f>
        <v>0</v>
      </c>
      <c r="C87">
        <v>-0.101008916001877</v>
      </c>
      <c r="D87">
        <v>-0.224832863121244</v>
      </c>
      <c r="E87">
        <v>-0.061989712855992</v>
      </c>
      <c r="F87">
        <v>-0.02444302991725</v>
      </c>
      <c r="G87">
        <v>-0.045827982570972</v>
      </c>
      <c r="H87">
        <v>0.5512051546245671</v>
      </c>
      <c r="I87">
        <v>1.070799377742306</v>
      </c>
    </row>
    <row r="88" spans="1:9">
      <c r="A88" s="1" t="s">
        <v>100</v>
      </c>
      <c r="B88">
        <f>HYPERLINK("https://www.suredividend.com/sure-analysis-CSX/","CSX Corp.")</f>
        <v>0</v>
      </c>
      <c r="C88">
        <v>-0.014035087719298</v>
      </c>
      <c r="D88">
        <v>0.114588817331477</v>
      </c>
      <c r="E88">
        <v>0.09094631033557801</v>
      </c>
      <c r="F88">
        <v>-0.002259522272433</v>
      </c>
      <c r="G88">
        <v>-0.164133738601823</v>
      </c>
      <c r="H88">
        <v>0.061047110354391</v>
      </c>
      <c r="I88">
        <v>0.7075555604660281</v>
      </c>
    </row>
    <row r="89" spans="1:9">
      <c r="A89" s="1" t="s">
        <v>101</v>
      </c>
      <c r="B89">
        <f>HYPERLINK("https://www.suredividend.com/sure-analysis-CTAS/","Cintas Corporation")</f>
        <v>0</v>
      </c>
      <c r="C89">
        <v>-0.05633312291852501</v>
      </c>
      <c r="D89">
        <v>0.055144330591932</v>
      </c>
      <c r="E89">
        <v>0.161079142355325</v>
      </c>
      <c r="F89">
        <v>-0.040055799123156</v>
      </c>
      <c r="G89">
        <v>0.07902227186791501</v>
      </c>
      <c r="H89">
        <v>0.266892928508933</v>
      </c>
      <c r="I89">
        <v>1.798450017719062</v>
      </c>
    </row>
    <row r="90" spans="1:9">
      <c r="A90" s="1" t="s">
        <v>102</v>
      </c>
      <c r="B90">
        <f>HYPERLINK("https://www.suredividend.com/sure-analysis-CTBI/","Community Trust Bancorp, Inc.")</f>
        <v>0</v>
      </c>
      <c r="C90">
        <v>-0.023787983609174</v>
      </c>
      <c r="D90">
        <v>0.105611714758927</v>
      </c>
      <c r="E90">
        <v>0.134118263854369</v>
      </c>
      <c r="F90">
        <v>-0.001524058349662</v>
      </c>
      <c r="G90">
        <v>0.067494716064096</v>
      </c>
      <c r="H90">
        <v>0.331305120270325</v>
      </c>
      <c r="I90">
        <v>0.157808898415271</v>
      </c>
    </row>
    <row r="91" spans="1:9">
      <c r="A91" s="1" t="s">
        <v>103</v>
      </c>
      <c r="B91">
        <f>HYPERLINK("https://www.suredividend.com/sure-analysis-CUBE/","CubeSmart")</f>
        <v>0</v>
      </c>
      <c r="C91">
        <v>-0.06872151738410401</v>
      </c>
      <c r="D91">
        <v>-0.031442695556864</v>
      </c>
      <c r="E91">
        <v>-0.0694509115656</v>
      </c>
      <c r="F91">
        <v>-0.031801242236024</v>
      </c>
      <c r="G91">
        <v>-0.247279427955543</v>
      </c>
      <c r="H91">
        <v>0.313558607904272</v>
      </c>
      <c r="I91">
        <v>0.6900785407297211</v>
      </c>
    </row>
    <row r="92" spans="1:9">
      <c r="A92" s="1" t="s">
        <v>104</v>
      </c>
      <c r="B92">
        <f>HYPERLINK("https://www.suredividend.com/sure-analysis-CVX/","Chevron Corp.")</f>
        <v>0</v>
      </c>
      <c r="C92">
        <v>-0.007476212052559001</v>
      </c>
      <c r="D92">
        <v>0.113956816056641</v>
      </c>
      <c r="E92">
        <v>0.24912502797772</v>
      </c>
      <c r="F92">
        <v>-0.023678199342581</v>
      </c>
      <c r="G92">
        <v>0.485456109790159</v>
      </c>
      <c r="H92">
        <v>1.165576916660385</v>
      </c>
      <c r="I92">
        <v>0.682266317234494</v>
      </c>
    </row>
    <row r="93" spans="1:9">
      <c r="A93" s="1" t="s">
        <v>105</v>
      </c>
      <c r="B93">
        <f>HYPERLINK("https://www.suredividend.com/sure-analysis-CWT/","California Water Service Group")</f>
        <v>0</v>
      </c>
      <c r="C93">
        <v>-0.048528490920475</v>
      </c>
      <c r="D93">
        <v>0.10880641859905</v>
      </c>
      <c r="E93">
        <v>0.097201036185249</v>
      </c>
      <c r="F93">
        <v>0.00230870712401</v>
      </c>
      <c r="G93">
        <v>-0.107774603724505</v>
      </c>
      <c r="H93">
        <v>0.169262141338745</v>
      </c>
      <c r="I93">
        <v>0.520214500815383</v>
      </c>
    </row>
    <row r="94" spans="1:9">
      <c r="A94" s="1" t="s">
        <v>106</v>
      </c>
      <c r="B94">
        <f>HYPERLINK("https://www.suredividend.com/sure-analysis-DCI/","Donaldson Co. Inc.")</f>
        <v>0</v>
      </c>
      <c r="C94">
        <v>-0.018303946263643</v>
      </c>
      <c r="D94">
        <v>0.129792826221397</v>
      </c>
      <c r="E94">
        <v>0.216844322607369</v>
      </c>
      <c r="F94">
        <v>-0.006964498046543001</v>
      </c>
      <c r="G94">
        <v>0.001200550095136</v>
      </c>
      <c r="H94">
        <v>0.07733559390750601</v>
      </c>
      <c r="I94">
        <v>0.276199083564188</v>
      </c>
    </row>
    <row r="95" spans="1:9">
      <c r="A95" s="1" t="s">
        <v>107</v>
      </c>
      <c r="B95">
        <f>HYPERLINK("https://www.suredividend.com/sure-analysis-DDS/","Dillard`s Inc.")</f>
        <v>0</v>
      </c>
      <c r="C95">
        <v>-0.035707531505988</v>
      </c>
      <c r="D95">
        <v>0.21297763944766</v>
      </c>
      <c r="E95">
        <v>0.584253950359586</v>
      </c>
      <c r="F95">
        <v>0.001794554455445</v>
      </c>
      <c r="G95">
        <v>0.393505381767881</v>
      </c>
      <c r="H95">
        <v>4.858808116705691</v>
      </c>
      <c r="I95">
        <v>5.036043257875024</v>
      </c>
    </row>
    <row r="96" spans="1:9">
      <c r="A96" s="1" t="s">
        <v>108</v>
      </c>
      <c r="B96">
        <f>HYPERLINK("https://www.suredividend.com/sure-analysis-DFS/","Discover Financial Services")</f>
        <v>0</v>
      </c>
      <c r="C96">
        <v>-0.038257173219978</v>
      </c>
      <c r="D96">
        <v>0.035430335456546</v>
      </c>
      <c r="E96">
        <v>0.027689283745475</v>
      </c>
      <c r="F96">
        <v>0.017581518961463</v>
      </c>
      <c r="G96">
        <v>-0.15730146852176</v>
      </c>
      <c r="H96">
        <v>0.139203713197597</v>
      </c>
      <c r="I96">
        <v>0.42195394040506</v>
      </c>
    </row>
    <row r="97" spans="1:9">
      <c r="A97" s="1" t="s">
        <v>109</v>
      </c>
      <c r="B97">
        <f>HYPERLINK("https://www.suredividend.com/sure-analysis-DGX/","Quest Diagnostics, Inc.")</f>
        <v>0</v>
      </c>
      <c r="C97">
        <v>0.037469782433521</v>
      </c>
      <c r="D97">
        <v>0.209298685034439</v>
      </c>
      <c r="E97">
        <v>0.16286596407986</v>
      </c>
      <c r="F97">
        <v>-0.012400920480695</v>
      </c>
      <c r="G97">
        <v>-0.007746003528442001</v>
      </c>
      <c r="H97">
        <v>0.293989356623466</v>
      </c>
      <c r="I97">
        <v>0.671419484099337</v>
      </c>
    </row>
    <row r="98" spans="1:9">
      <c r="A98" s="1" t="s">
        <v>110</v>
      </c>
      <c r="B98">
        <f>HYPERLINK("https://www.suredividend.com/sure-analysis-DLR/","Digital Realty Trust Inc")</f>
        <v>0</v>
      </c>
      <c r="C98">
        <v>-0.09152547396657301</v>
      </c>
      <c r="D98">
        <v>0.001707641901773</v>
      </c>
      <c r="E98">
        <v>-0.220704718756877</v>
      </c>
      <c r="F98">
        <v>-0.021841029221102</v>
      </c>
      <c r="G98">
        <v>-0.373315161517666</v>
      </c>
      <c r="H98">
        <v>-0.208807023289694</v>
      </c>
      <c r="I98">
        <v>0.033989451367811</v>
      </c>
    </row>
    <row r="99" spans="1:9">
      <c r="A99" s="1" t="s">
        <v>111</v>
      </c>
      <c r="B99">
        <f>HYPERLINK("https://www.suredividend.com/sure-analysis-DOV/","Dover Corp.")</f>
        <v>0</v>
      </c>
      <c r="C99">
        <v>-0.046734274164952</v>
      </c>
      <c r="D99">
        <v>0.08727391262497901</v>
      </c>
      <c r="E99">
        <v>0.112308209168888</v>
      </c>
      <c r="F99">
        <v>-0.007311129163281</v>
      </c>
      <c r="G99">
        <v>-0.239458103997682</v>
      </c>
      <c r="H99">
        <v>0.113900973689662</v>
      </c>
      <c r="I99">
        <v>0.7789365024747881</v>
      </c>
    </row>
    <row r="100" spans="1:9">
      <c r="A100" s="1" t="s">
        <v>112</v>
      </c>
      <c r="B100">
        <f>HYPERLINK("https://www.suredividend.com/sure-analysis-DTE/","DTE Energy Co.")</f>
        <v>0</v>
      </c>
      <c r="C100">
        <v>0.030332865214466</v>
      </c>
      <c r="D100">
        <v>0.012141706784509</v>
      </c>
      <c r="E100">
        <v>-0.047253232212615</v>
      </c>
      <c r="F100">
        <v>-0.008083042627414001</v>
      </c>
      <c r="G100">
        <v>0.006607100301515001</v>
      </c>
      <c r="H100">
        <v>0.218211095982453</v>
      </c>
      <c r="I100">
        <v>0.5195912302197651</v>
      </c>
    </row>
    <row r="101" spans="1:9">
      <c r="A101" s="1" t="s">
        <v>113</v>
      </c>
      <c r="B101">
        <f>HYPERLINK("https://www.suredividend.com/sure-analysis-DUK/","Duke Energy Corp.")</f>
        <v>0</v>
      </c>
      <c r="C101">
        <v>0.04166246343185701</v>
      </c>
      <c r="D101">
        <v>0.109663941402522</v>
      </c>
      <c r="E101">
        <v>-0.009854469894340001</v>
      </c>
      <c r="F101">
        <v>0.002621613748907</v>
      </c>
      <c r="G101">
        <v>0.035375842634102</v>
      </c>
      <c r="H101">
        <v>0.243009126956421</v>
      </c>
      <c r="I101">
        <v>0.552333762282168</v>
      </c>
    </row>
    <row r="102" spans="1:9">
      <c r="A102" s="1" t="s">
        <v>114</v>
      </c>
      <c r="B102">
        <f>HYPERLINK("https://www.suredividend.com/sure-analysis-ECL/","Ecolab, Inc.")</f>
        <v>0</v>
      </c>
      <c r="C102">
        <v>-0.03379998865884101</v>
      </c>
      <c r="D102">
        <v>-0.039355068508051</v>
      </c>
      <c r="E102">
        <v>-0.077100324795943</v>
      </c>
      <c r="F102">
        <v>-0.005015114042319</v>
      </c>
      <c r="G102">
        <v>-0.370490190069974</v>
      </c>
      <c r="H102">
        <v>-0.316035964900267</v>
      </c>
      <c r="I102">
        <v>0.1132727975716</v>
      </c>
    </row>
    <row r="103" spans="1:9">
      <c r="A103" s="1" t="s">
        <v>115</v>
      </c>
      <c r="B103">
        <f>HYPERLINK("https://www.suredividend.com/sure-analysis-ED/","Consolidated Edison, Inc.")</f>
        <v>0</v>
      </c>
      <c r="C103">
        <v>-0.021361815754339</v>
      </c>
      <c r="D103">
        <v>0.114023437865339</v>
      </c>
      <c r="E103">
        <v>0.045458634770797</v>
      </c>
      <c r="F103">
        <v>-0.000209841569614</v>
      </c>
      <c r="G103">
        <v>0.153179624457234</v>
      </c>
      <c r="H103">
        <v>0.4545870859410771</v>
      </c>
      <c r="I103">
        <v>0.376937560238308</v>
      </c>
    </row>
    <row r="104" spans="1:9">
      <c r="A104" s="1" t="s">
        <v>116</v>
      </c>
      <c r="B104">
        <f>HYPERLINK("https://www.suredividend.com/sure-analysis-EGP/","Eastgroup Properties, Inc.")</f>
        <v>0</v>
      </c>
      <c r="C104">
        <v>-0.040090864642085</v>
      </c>
      <c r="D104">
        <v>0.021414912083533</v>
      </c>
      <c r="E104">
        <v>-0.05161966483236401</v>
      </c>
      <c r="F104">
        <v>-0.01479130082399</v>
      </c>
      <c r="G104">
        <v>-0.313951978990102</v>
      </c>
      <c r="H104">
        <v>0.147553493363038</v>
      </c>
      <c r="I104">
        <v>0.9238581090348921</v>
      </c>
    </row>
    <row r="105" spans="1:9">
      <c r="A105" s="1" t="s">
        <v>117</v>
      </c>
      <c r="B105">
        <f>HYPERLINK("https://www.suredividend.com/sure-analysis-EIX/","Edison International")</f>
        <v>0</v>
      </c>
      <c r="C105">
        <v>0.00789979714638</v>
      </c>
      <c r="D105">
        <v>0.092269780031106</v>
      </c>
      <c r="E105">
        <v>0.076228275165481</v>
      </c>
      <c r="F105">
        <v>0.019962276013832</v>
      </c>
      <c r="G105">
        <v>0.040128874035248</v>
      </c>
      <c r="H105">
        <v>0.165941359743848</v>
      </c>
      <c r="I105">
        <v>0.25862894982359</v>
      </c>
    </row>
    <row r="106" spans="1:9">
      <c r="A106" s="1" t="s">
        <v>118</v>
      </c>
      <c r="B106">
        <f>HYPERLINK("https://www.suredividend.com/sure-analysis-ELS/","Equity Lifestyle Properties Inc.")</f>
        <v>0</v>
      </c>
      <c r="C106">
        <v>-0.003398849188918</v>
      </c>
      <c r="D106">
        <v>0.007202172458577001</v>
      </c>
      <c r="E106">
        <v>-0.09983679441724301</v>
      </c>
      <c r="F106">
        <v>-0.009597523219814001</v>
      </c>
      <c r="G106">
        <v>-0.21558338380507</v>
      </c>
      <c r="H106">
        <v>0.099140855982999</v>
      </c>
      <c r="I106">
        <v>0.639966165124445</v>
      </c>
    </row>
    <row r="107" spans="1:9">
      <c r="A107" s="1" t="s">
        <v>119</v>
      </c>
      <c r="B107">
        <f>HYPERLINK("https://www.suredividend.com/sure-analysis-EMN/","Eastman Chemical Co")</f>
        <v>0</v>
      </c>
      <c r="C107">
        <v>0.004476714403438001</v>
      </c>
      <c r="D107">
        <v>0.129085176161795</v>
      </c>
      <c r="E107">
        <v>-0.012519532960574</v>
      </c>
      <c r="F107">
        <v>0.05218565815324101</v>
      </c>
      <c r="G107">
        <v>-0.274802409257207</v>
      </c>
      <c r="H107">
        <v>-0.105243758164167</v>
      </c>
      <c r="I107">
        <v>0.030919153031761</v>
      </c>
    </row>
    <row r="108" spans="1:9">
      <c r="A108" s="1" t="s">
        <v>120</v>
      </c>
      <c r="B108">
        <f>HYPERLINK("https://www.suredividend.com/sure-analysis-EMR/","Emerson Electric Co.")</f>
        <v>0</v>
      </c>
      <c r="C108">
        <v>-0.001471361008933</v>
      </c>
      <c r="D108">
        <v>0.204826916297436</v>
      </c>
      <c r="E108">
        <v>0.221759431311555</v>
      </c>
      <c r="F108">
        <v>-0.010930668332292</v>
      </c>
      <c r="G108">
        <v>0.021968944019206</v>
      </c>
      <c r="H108">
        <v>0.25907765703684</v>
      </c>
      <c r="I108">
        <v>0.5060131152010471</v>
      </c>
    </row>
    <row r="109" spans="1:9">
      <c r="A109" s="1" t="s">
        <v>121</v>
      </c>
      <c r="B109">
        <f>HYPERLINK("https://www.suredividend.com/sure-analysis-research-database/","Ensign Group Inc")</f>
        <v>0</v>
      </c>
      <c r="C109">
        <v>0.027785901034005</v>
      </c>
      <c r="D109">
        <v>0.120399865823224</v>
      </c>
      <c r="E109">
        <v>0.253316585188004</v>
      </c>
      <c r="F109">
        <v>-0.004439277032026</v>
      </c>
      <c r="G109">
        <v>0.136880729515567</v>
      </c>
      <c r="H109">
        <v>0.174516520418431</v>
      </c>
      <c r="I109">
        <v>3.306911452022222</v>
      </c>
    </row>
    <row r="110" spans="1:9">
      <c r="A110" s="1" t="s">
        <v>122</v>
      </c>
      <c r="B110">
        <f>HYPERLINK("https://www.suredividend.com/sure-analysis-EPD/","Enterprise Products Partners L P")</f>
        <v>0</v>
      </c>
      <c r="C110">
        <v>0.006538618716796001</v>
      </c>
      <c r="D110">
        <v>0.009819396896332001</v>
      </c>
      <c r="E110">
        <v>0.065090292672801</v>
      </c>
      <c r="F110">
        <v>0.021144278606965</v>
      </c>
      <c r="G110">
        <v>0.159620898600262</v>
      </c>
      <c r="H110">
        <v>0.4381725923893041</v>
      </c>
      <c r="I110">
        <v>0.288361850261281</v>
      </c>
    </row>
    <row r="111" spans="1:9">
      <c r="A111" s="1" t="s">
        <v>123</v>
      </c>
      <c r="B111">
        <f>HYPERLINK("https://www.suredividend.com/sure-analysis-ERIE/","Erie Indemnity Co.")</f>
        <v>0</v>
      </c>
      <c r="C111">
        <v>-0.099100763757671</v>
      </c>
      <c r="D111">
        <v>0.038151138759558</v>
      </c>
      <c r="E111">
        <v>0.270586837245737</v>
      </c>
      <c r="F111">
        <v>-0.015066914684383</v>
      </c>
      <c r="G111">
        <v>0.315693604977809</v>
      </c>
      <c r="H111">
        <v>0.042074094212423</v>
      </c>
      <c r="I111">
        <v>1.281230056314884</v>
      </c>
    </row>
    <row r="112" spans="1:9">
      <c r="A112" s="1" t="s">
        <v>124</v>
      </c>
      <c r="B112">
        <f>HYPERLINK("https://www.suredividend.com/sure-analysis-ES/","Eversource Energy")</f>
        <v>0</v>
      </c>
      <c r="C112">
        <v>0.008686142639662001</v>
      </c>
      <c r="D112">
        <v>0.069411510826275</v>
      </c>
      <c r="E112">
        <v>0.019459193635166</v>
      </c>
      <c r="F112">
        <v>-0.001073473282442</v>
      </c>
      <c r="G112">
        <v>-0.03303722142812601</v>
      </c>
      <c r="H112">
        <v>0.042718463524774</v>
      </c>
      <c r="I112">
        <v>0.5672602606423991</v>
      </c>
    </row>
    <row r="113" spans="1:9">
      <c r="A113" s="1" t="s">
        <v>125</v>
      </c>
      <c r="B113">
        <f>HYPERLINK("https://www.suredividend.com/sure-analysis-ESS/","Essex Property Trust, Inc.")</f>
        <v>0</v>
      </c>
      <c r="C113">
        <v>-0.029686740764515</v>
      </c>
      <c r="D113">
        <v>-0.119882457198577</v>
      </c>
      <c r="E113">
        <v>-0.206416202862652</v>
      </c>
      <c r="F113">
        <v>-0.028501321253303</v>
      </c>
      <c r="G113">
        <v>-0.39031829720295</v>
      </c>
      <c r="H113">
        <v>-0.037124581244133</v>
      </c>
      <c r="I113">
        <v>0.004626905146004</v>
      </c>
    </row>
    <row r="114" spans="1:9">
      <c r="A114" s="1" t="s">
        <v>126</v>
      </c>
      <c r="B114">
        <f>HYPERLINK("https://www.suredividend.com/sure-analysis-ETN/","Eaton Corporation plc")</f>
        <v>0</v>
      </c>
      <c r="C114">
        <v>-0.019705662259915</v>
      </c>
      <c r="D114">
        <v>0.09348838794630701</v>
      </c>
      <c r="E114">
        <v>0.254110562770148</v>
      </c>
      <c r="F114">
        <v>0.001592863969416</v>
      </c>
      <c r="G114">
        <v>-0.049389420163829</v>
      </c>
      <c r="H114">
        <v>0.365297981495522</v>
      </c>
      <c r="I114">
        <v>1.24736449335655</v>
      </c>
    </row>
    <row r="115" spans="1:9">
      <c r="A115" s="1" t="s">
        <v>127</v>
      </c>
      <c r="B115">
        <f>HYPERLINK("https://www.suredividend.com/sure-analysis-research-database/","Evercore Inc")</f>
        <v>0</v>
      </c>
      <c r="C115">
        <v>0.033009189044517</v>
      </c>
      <c r="D115">
        <v>0.292440467819024</v>
      </c>
      <c r="E115">
        <v>0.24201949645597</v>
      </c>
      <c r="F115">
        <v>0.06151448478181101</v>
      </c>
      <c r="G115">
        <v>-0.117226846550407</v>
      </c>
      <c r="H115">
        <v>0.108389355862957</v>
      </c>
      <c r="I115">
        <v>0.43255876101421</v>
      </c>
    </row>
    <row r="116" spans="1:9">
      <c r="A116" s="1" t="s">
        <v>128</v>
      </c>
      <c r="B116">
        <f>HYPERLINK("https://www.suredividend.com/sure-analysis-EVRG/","Evergy Inc")</f>
        <v>0</v>
      </c>
      <c r="C116">
        <v>0.083046767537826</v>
      </c>
      <c r="D116">
        <v>0.057940685452853</v>
      </c>
      <c r="E116">
        <v>0.002377443881821</v>
      </c>
      <c r="F116">
        <v>0.0009534403305260001</v>
      </c>
      <c r="G116">
        <v>-0.03253205054363401</v>
      </c>
      <c r="H116">
        <v>0.260902028372797</v>
      </c>
      <c r="I116">
        <v>0.3548101244042191</v>
      </c>
    </row>
    <row r="117" spans="1:9">
      <c r="A117" s="1" t="s">
        <v>129</v>
      </c>
      <c r="B117">
        <f>HYPERLINK("https://www.suredividend.com/sure-analysis-EXPD/","Expeditors International Of Washington, Inc.")</f>
        <v>0</v>
      </c>
      <c r="C117">
        <v>-0.06170631371847601</v>
      </c>
      <c r="D117">
        <v>0.162748172816383</v>
      </c>
      <c r="E117">
        <v>0.093706185819555</v>
      </c>
      <c r="F117">
        <v>0.009622786759045</v>
      </c>
      <c r="G117">
        <v>-0.186067258834025</v>
      </c>
      <c r="H117">
        <v>0.157091874771162</v>
      </c>
      <c r="I117">
        <v>0.6894649973833581</v>
      </c>
    </row>
    <row r="118" spans="1:9">
      <c r="A118" s="1" t="s">
        <v>130</v>
      </c>
      <c r="B118">
        <f>HYPERLINK("https://www.suredividend.com/sure-analysis-EXR/","Extra Space Storage Inc.")</f>
        <v>0</v>
      </c>
      <c r="C118">
        <v>-0.09221216644235801</v>
      </c>
      <c r="D118">
        <v>-0.20056998498518</v>
      </c>
      <c r="E118">
        <v>-0.165106865610856</v>
      </c>
      <c r="F118">
        <v>-0.041717624677266</v>
      </c>
      <c r="G118">
        <v>-0.329613824480883</v>
      </c>
      <c r="H118">
        <v>0.3768838922937841</v>
      </c>
      <c r="I118">
        <v>0.984756886982561</v>
      </c>
    </row>
    <row r="119" spans="1:9">
      <c r="A119" s="1" t="s">
        <v>131</v>
      </c>
      <c r="B119">
        <f>HYPERLINK("https://www.suredividend.com/sure-analysis-FAF/","First American Financial Corp")</f>
        <v>0</v>
      </c>
      <c r="C119">
        <v>0.06907225680979001</v>
      </c>
      <c r="D119">
        <v>0.133404526224996</v>
      </c>
      <c r="E119">
        <v>0.025441883884824</v>
      </c>
      <c r="F119">
        <v>0.054451662208635</v>
      </c>
      <c r="G119">
        <v>-0.258801646510566</v>
      </c>
      <c r="H119">
        <v>0.131840209346346</v>
      </c>
      <c r="I119">
        <v>0.093453740705445</v>
      </c>
    </row>
    <row r="120" spans="1:9">
      <c r="A120" s="1" t="s">
        <v>132</v>
      </c>
      <c r="B120">
        <f>HYPERLINK("https://www.suredividend.com/sure-analysis-FAST/","Fastenal Co.")</f>
        <v>0</v>
      </c>
      <c r="C120">
        <v>-0.090194537237178</v>
      </c>
      <c r="D120">
        <v>-0.031662340867404</v>
      </c>
      <c r="E120">
        <v>-0.055624338376122</v>
      </c>
      <c r="F120">
        <v>-0.021555367709213</v>
      </c>
      <c r="G120">
        <v>-0.229391635487264</v>
      </c>
      <c r="H120">
        <v>0.003724402859855</v>
      </c>
      <c r="I120">
        <v>0.9280660622894431</v>
      </c>
    </row>
    <row r="121" spans="1:9">
      <c r="A121" s="1" t="s">
        <v>133</v>
      </c>
      <c r="B121">
        <f>HYPERLINK("https://www.suredividend.com/sure-analysis-research-database/","First Community Bankshares Inc.")</f>
        <v>0</v>
      </c>
      <c r="C121">
        <v>-0.084628190899001</v>
      </c>
      <c r="D121">
        <v>0.003950067254612001</v>
      </c>
      <c r="E121">
        <v>0.127963511286473</v>
      </c>
      <c r="F121">
        <v>-0.026843657817109</v>
      </c>
      <c r="G121">
        <v>0.000506470386646</v>
      </c>
      <c r="H121">
        <v>0.622485614518271</v>
      </c>
      <c r="I121">
        <v>0.3912082721859551</v>
      </c>
    </row>
    <row r="122" spans="1:9">
      <c r="A122" s="1" t="s">
        <v>134</v>
      </c>
      <c r="B122">
        <f>HYPERLINK("https://www.suredividend.com/sure-analysis-FDS/","Factset Research Systems Inc.")</f>
        <v>0</v>
      </c>
      <c r="C122">
        <v>-0.142760678734017</v>
      </c>
      <c r="D122">
        <v>-0.06954740118713901</v>
      </c>
      <c r="E122">
        <v>-0.001736529467479</v>
      </c>
      <c r="F122">
        <v>-0.019092245955983</v>
      </c>
      <c r="G122">
        <v>-0.120562196621332</v>
      </c>
      <c r="H122">
        <v>0.221237839599075</v>
      </c>
      <c r="I122">
        <v>1.104858369319075</v>
      </c>
    </row>
    <row r="123" spans="1:9">
      <c r="A123" s="1" t="s">
        <v>135</v>
      </c>
      <c r="B123">
        <f>HYPERLINK("https://www.suredividend.com/sure-analysis-FELE/","Franklin Electric Co., Inc.")</f>
        <v>0</v>
      </c>
      <c r="C123">
        <v>-0.03813143697891101</v>
      </c>
      <c r="D123">
        <v>-0.08025628550157901</v>
      </c>
      <c r="E123">
        <v>0.063555760418643</v>
      </c>
      <c r="F123">
        <v>-0.016300940438871</v>
      </c>
      <c r="G123">
        <v>-0.153823005012344</v>
      </c>
      <c r="H123">
        <v>0.152723778289119</v>
      </c>
      <c r="I123">
        <v>0.8187508693837801</v>
      </c>
    </row>
    <row r="124" spans="1:9">
      <c r="A124" s="1" t="s">
        <v>136</v>
      </c>
      <c r="B124">
        <f>HYPERLINK("https://www.suredividend.com/sure-analysis-research-database/","First Financial Bankshares, Inc.")</f>
        <v>0</v>
      </c>
      <c r="C124">
        <v>-0.070890315378174</v>
      </c>
      <c r="D124">
        <v>-0.235649193057701</v>
      </c>
      <c r="E124">
        <v>-0.169125097962871</v>
      </c>
      <c r="F124">
        <v>-0.03226744186046501</v>
      </c>
      <c r="G124">
        <v>-0.339782796671347</v>
      </c>
      <c r="H124">
        <v>-0.061904708229538</v>
      </c>
      <c r="I124">
        <v>0.59691075240448</v>
      </c>
    </row>
    <row r="125" spans="1:9">
      <c r="A125" s="1" t="s">
        <v>137</v>
      </c>
      <c r="B125">
        <f>HYPERLINK("https://www.suredividend.com/sure-analysis-research-database/","Financial Institutions Inc.")</f>
        <v>0</v>
      </c>
      <c r="C125">
        <v>-0.011312784309213</v>
      </c>
      <c r="D125">
        <v>-0.032141276801158</v>
      </c>
      <c r="E125">
        <v>-0.06077995081391201</v>
      </c>
      <c r="F125">
        <v>-0.01231527093596</v>
      </c>
      <c r="G125">
        <v>-0.229187090325433</v>
      </c>
      <c r="H125">
        <v>0.153586137787857</v>
      </c>
      <c r="I125">
        <v>-0.09128677720285501</v>
      </c>
    </row>
    <row r="126" spans="1:9">
      <c r="A126" s="1" t="s">
        <v>138</v>
      </c>
      <c r="B126">
        <f>HYPERLINK("https://www.suredividend.com/sure-analysis-FITB/","Fifth Third Bancorp")</f>
        <v>0</v>
      </c>
      <c r="C126">
        <v>0.015706196328987</v>
      </c>
      <c r="D126">
        <v>-0.018547758775451</v>
      </c>
      <c r="E126">
        <v>0.003276623321563</v>
      </c>
      <c r="F126">
        <v>0.009753124047546</v>
      </c>
      <c r="G126">
        <v>-0.260666003133187</v>
      </c>
      <c r="H126">
        <v>0.278671694384728</v>
      </c>
      <c r="I126">
        <v>0.288994716405599</v>
      </c>
    </row>
    <row r="127" spans="1:9">
      <c r="A127" s="1" t="s">
        <v>139</v>
      </c>
      <c r="B127">
        <f>HYPERLINK("https://www.suredividend.com/sure-analysis-FLIC/","First Of Long Island Corp.")</f>
        <v>0</v>
      </c>
      <c r="C127">
        <v>-0.028694217746136</v>
      </c>
      <c r="D127">
        <v>0.022705198084855</v>
      </c>
      <c r="E127">
        <v>0.029729854112016</v>
      </c>
      <c r="F127">
        <v>-0.005555555555555001</v>
      </c>
      <c r="G127">
        <v>-0.141692639654759</v>
      </c>
      <c r="H127">
        <v>0.104481479881777</v>
      </c>
      <c r="I127">
        <v>-0.233732876712328</v>
      </c>
    </row>
    <row r="128" spans="1:9">
      <c r="A128" s="1" t="s">
        <v>140</v>
      </c>
      <c r="B128">
        <f>HYPERLINK("https://www.suredividend.com/sure-analysis-FLO/","Flowers Foods, Inc.")</f>
        <v>0</v>
      </c>
      <c r="C128">
        <v>-0.04779289744440701</v>
      </c>
      <c r="D128">
        <v>0.15375644438725</v>
      </c>
      <c r="E128">
        <v>0.08233110504157201</v>
      </c>
      <c r="F128">
        <v>-0.001739735560194</v>
      </c>
      <c r="G128">
        <v>0.062018316021706</v>
      </c>
      <c r="H128">
        <v>0.349971532492953</v>
      </c>
      <c r="I128">
        <v>0.7871714849906251</v>
      </c>
    </row>
    <row r="129" spans="1:9">
      <c r="A129" s="1" t="s">
        <v>141</v>
      </c>
      <c r="B129">
        <f>HYPERLINK("https://www.suredividend.com/sure-analysis-FNF/","Fidelity National Financial Inc")</f>
        <v>0</v>
      </c>
      <c r="C129">
        <v>0.030627048084222</v>
      </c>
      <c r="D129">
        <v>-0.013105135992301</v>
      </c>
      <c r="E129">
        <v>0.033390849276626</v>
      </c>
      <c r="F129">
        <v>0.014088250930356</v>
      </c>
      <c r="G129">
        <v>-0.236517479046757</v>
      </c>
      <c r="H129">
        <v>0.058807530161443</v>
      </c>
      <c r="I129">
        <v>0.119694292640834</v>
      </c>
    </row>
    <row r="130" spans="1:9">
      <c r="A130" s="1" t="s">
        <v>142</v>
      </c>
      <c r="B130">
        <f>HYPERLINK("https://www.suredividend.com/sure-analysis-research-database/","First Merchants Corp.")</f>
        <v>0</v>
      </c>
      <c r="C130">
        <v>-0.009305654974946001</v>
      </c>
      <c r="D130">
        <v>0.023562648838138</v>
      </c>
      <c r="E130">
        <v>0.172129736016735</v>
      </c>
      <c r="F130">
        <v>0.009973242520068001</v>
      </c>
      <c r="G130">
        <v>-0.010663013045809</v>
      </c>
      <c r="H130">
        <v>0.180638887151168</v>
      </c>
      <c r="I130">
        <v>0.130565010211027</v>
      </c>
    </row>
    <row r="131" spans="1:9">
      <c r="A131" s="1" t="s">
        <v>143</v>
      </c>
      <c r="B131">
        <f>HYPERLINK("https://www.suredividend.com/sure-analysis-FRT/","Federal Realty Investment Trust.")</f>
        <v>0</v>
      </c>
      <c r="C131">
        <v>-0.029840526258624</v>
      </c>
      <c r="D131">
        <v>0.115589252027381</v>
      </c>
      <c r="E131">
        <v>0.08398224177067301</v>
      </c>
      <c r="F131">
        <v>0.016627078384797</v>
      </c>
      <c r="G131">
        <v>-0.220757940349141</v>
      </c>
      <c r="H131">
        <v>-0.220757940349141</v>
      </c>
      <c r="I131">
        <v>-0.220757940349141</v>
      </c>
    </row>
    <row r="132" spans="1:9">
      <c r="A132" s="1" t="s">
        <v>144</v>
      </c>
      <c r="B132">
        <f>HYPERLINK("https://www.suredividend.com/sure-analysis-FUL/","H.B. Fuller Company")</f>
        <v>0</v>
      </c>
      <c r="C132">
        <v>-0.09980781550288201</v>
      </c>
      <c r="D132">
        <v>0.055558810670969</v>
      </c>
      <c r="E132">
        <v>0.183796843882368</v>
      </c>
      <c r="F132">
        <v>-0.018989109187377</v>
      </c>
      <c r="G132">
        <v>-0.08058190554830701</v>
      </c>
      <c r="H132">
        <v>0.335970032895362</v>
      </c>
      <c r="I132">
        <v>0.362866636535921</v>
      </c>
    </row>
    <row r="133" spans="1:9">
      <c r="A133" s="1" t="s">
        <v>145</v>
      </c>
      <c r="B133">
        <f>HYPERLINK("https://www.suredividend.com/sure-analysis-GATX/","GATX Corp.")</f>
        <v>0</v>
      </c>
      <c r="C133">
        <v>-0.020089658123998</v>
      </c>
      <c r="D133">
        <v>0.180025070209689</v>
      </c>
      <c r="E133">
        <v>0.182690497765287</v>
      </c>
      <c r="F133">
        <v>0.016268572503291</v>
      </c>
      <c r="G133">
        <v>0.051701436296983</v>
      </c>
      <c r="H133">
        <v>0.354635807661018</v>
      </c>
      <c r="I133">
        <v>0.9227381983870131</v>
      </c>
    </row>
    <row r="134" spans="1:9">
      <c r="A134" s="1" t="s">
        <v>146</v>
      </c>
      <c r="B134">
        <f>HYPERLINK("https://www.suredividend.com/sure-analysis-GD/","General Dynamics Corp.")</f>
        <v>0</v>
      </c>
      <c r="C134">
        <v>-0.025068749750906</v>
      </c>
      <c r="D134">
        <v>0.08517434122970401</v>
      </c>
      <c r="E134">
        <v>0.146633854807523</v>
      </c>
      <c r="F134">
        <v>-0.014066341542057</v>
      </c>
      <c r="G134">
        <v>0.189268290311367</v>
      </c>
      <c r="H134">
        <v>0.7581586698309971</v>
      </c>
      <c r="I134">
        <v>0.338063762332044</v>
      </c>
    </row>
    <row r="135" spans="1:9">
      <c r="A135" s="1" t="s">
        <v>147</v>
      </c>
      <c r="B135">
        <f>HYPERLINK("https://www.suredividend.com/sure-analysis-research-database/","Griffon Corp.")</f>
        <v>0</v>
      </c>
      <c r="C135">
        <v>0.009221902017291001</v>
      </c>
      <c r="D135">
        <v>0.09874594872728001</v>
      </c>
      <c r="E135">
        <v>0.307995129566964</v>
      </c>
      <c r="F135">
        <v>-0.021514389494271</v>
      </c>
      <c r="G135">
        <v>0.389980392623816</v>
      </c>
      <c r="H135">
        <v>0.800958591323308</v>
      </c>
      <c r="I135">
        <v>1.073391670909758</v>
      </c>
    </row>
    <row r="136" spans="1:9">
      <c r="A136" s="1" t="s">
        <v>148</v>
      </c>
      <c r="B136">
        <f>HYPERLINK("https://www.suredividend.com/sure-analysis-GGG/","Graco Inc.")</f>
        <v>0</v>
      </c>
      <c r="C136">
        <v>-0.029339143064633</v>
      </c>
      <c r="D136">
        <v>0.059414730033924</v>
      </c>
      <c r="E136">
        <v>0.11709711874861</v>
      </c>
      <c r="F136">
        <v>-0.006393101397561001</v>
      </c>
      <c r="G136">
        <v>-0.131812955902126</v>
      </c>
      <c r="H136">
        <v>-0.024671448690537</v>
      </c>
      <c r="I136">
        <v>0.5380543600837721</v>
      </c>
    </row>
    <row r="137" spans="1:9">
      <c r="A137" s="1" t="s">
        <v>149</v>
      </c>
      <c r="B137">
        <f>HYPERLINK("https://www.suredividend.com/sure-analysis-GL/","Globe Life Inc")</f>
        <v>0</v>
      </c>
      <c r="C137">
        <v>0.013538014210951</v>
      </c>
      <c r="D137">
        <v>0.132492907196639</v>
      </c>
      <c r="E137">
        <v>0.236755479683932</v>
      </c>
      <c r="F137">
        <v>-0.00125974725282</v>
      </c>
      <c r="G137">
        <v>0.245755579417825</v>
      </c>
      <c r="H137">
        <v>0.325617202251751</v>
      </c>
      <c r="I137">
        <v>0.335483025065168</v>
      </c>
    </row>
    <row r="138" spans="1:9">
      <c r="A138" s="1" t="s">
        <v>150</v>
      </c>
      <c r="B138">
        <f>HYPERLINK("https://www.suredividend.com/sure-analysis-GLW/","Corning, Inc.")</f>
        <v>0</v>
      </c>
      <c r="C138">
        <v>0.026567164179104</v>
      </c>
      <c r="D138">
        <v>0.106948119250404</v>
      </c>
      <c r="E138">
        <v>0.104080184666159</v>
      </c>
      <c r="F138">
        <v>0.076706324358171</v>
      </c>
      <c r="G138">
        <v>-0.07149163424492201</v>
      </c>
      <c r="H138">
        <v>0.017916394107391</v>
      </c>
      <c r="I138">
        <v>0.171289610637312</v>
      </c>
    </row>
    <row r="139" spans="1:9">
      <c r="A139" s="1" t="s">
        <v>151</v>
      </c>
      <c r="B139">
        <f>HYPERLINK("https://www.suredividend.com/sure-analysis-GNTX/","Gentex Corp.")</f>
        <v>0</v>
      </c>
      <c r="C139">
        <v>0.010731623306029</v>
      </c>
      <c r="D139">
        <v>0.138904274630775</v>
      </c>
      <c r="E139">
        <v>0.015665843413675</v>
      </c>
      <c r="F139">
        <v>0.037416218604993</v>
      </c>
      <c r="G139">
        <v>-0.189564747073428</v>
      </c>
      <c r="H139">
        <v>-0.159656345086808</v>
      </c>
      <c r="I139">
        <v>0.400301236261687</v>
      </c>
    </row>
    <row r="140" spans="1:9">
      <c r="A140" s="1" t="s">
        <v>152</v>
      </c>
      <c r="B140">
        <f>HYPERLINK("https://www.suredividend.com/sure-analysis-GPC/","Genuine Parts Co.")</f>
        <v>0</v>
      </c>
      <c r="C140">
        <v>-0.08841661258922701</v>
      </c>
      <c r="D140">
        <v>0.07546776180593301</v>
      </c>
      <c r="E140">
        <v>0.259792971555448</v>
      </c>
      <c r="F140">
        <v>-0.028470981499625</v>
      </c>
      <c r="G140">
        <v>0.243286459631726</v>
      </c>
      <c r="H140">
        <v>0.7859280691698821</v>
      </c>
      <c r="I140">
        <v>0.9853627052848781</v>
      </c>
    </row>
    <row r="141" spans="1:9">
      <c r="A141" s="1" t="s">
        <v>153</v>
      </c>
      <c r="B141">
        <f>HYPERLINK("https://www.suredividend.com/sure-analysis-GRC/","Gorman-Rupp Co.")</f>
        <v>0</v>
      </c>
      <c r="C141">
        <v>-0.089169675090252</v>
      </c>
      <c r="D141">
        <v>0.009850343621292001</v>
      </c>
      <c r="E141">
        <v>-0.08277225995026601</v>
      </c>
      <c r="F141">
        <v>-0.015222482435597</v>
      </c>
      <c r="G141">
        <v>-0.410602152949091</v>
      </c>
      <c r="H141">
        <v>-0.180008190167898</v>
      </c>
      <c r="I141">
        <v>-0.123635782614434</v>
      </c>
    </row>
    <row r="142" spans="1:9">
      <c r="A142" s="1" t="s">
        <v>154</v>
      </c>
      <c r="B142">
        <f>HYPERLINK("https://www.suredividend.com/sure-analysis-GS/","Goldman Sachs Group, Inc.")</f>
        <v>0</v>
      </c>
      <c r="C142">
        <v>-0.074769876729289</v>
      </c>
      <c r="D142">
        <v>0.119787560898383</v>
      </c>
      <c r="E142">
        <v>0.173037739834452</v>
      </c>
      <c r="F142">
        <v>0.001106645698642</v>
      </c>
      <c r="G142">
        <v>-0.120282484111804</v>
      </c>
      <c r="H142">
        <v>0.317085599452874</v>
      </c>
      <c r="I142">
        <v>0.47144495329395</v>
      </c>
    </row>
    <row r="143" spans="1:9">
      <c r="A143" s="1" t="s">
        <v>155</v>
      </c>
      <c r="B143">
        <f>HYPERLINK("https://www.suredividend.com/sure-analysis-GWW/","W.W. Grainger Inc.")</f>
        <v>0</v>
      </c>
      <c r="C143">
        <v>-0.083417171114332</v>
      </c>
      <c r="D143">
        <v>0.042153179630619</v>
      </c>
      <c r="E143">
        <v>0.19152013080055</v>
      </c>
      <c r="F143">
        <v>-0.03365393258426901</v>
      </c>
      <c r="G143">
        <v>0.07435887339921901</v>
      </c>
      <c r="H143">
        <v>0.403679288542751</v>
      </c>
      <c r="I143">
        <v>1.45970653563607</v>
      </c>
    </row>
    <row r="144" spans="1:9">
      <c r="A144" s="1" t="s">
        <v>156</v>
      </c>
      <c r="B144">
        <f>HYPERLINK("https://www.suredividend.com/sure-analysis-HBAN/","Huntington Bancshares, Inc.")</f>
        <v>0</v>
      </c>
      <c r="C144">
        <v>-0.031381605760086</v>
      </c>
      <c r="D144">
        <v>0.051219296434995</v>
      </c>
      <c r="E144">
        <v>0.202077081296152</v>
      </c>
      <c r="F144">
        <v>0.011347517730496</v>
      </c>
      <c r="G144">
        <v>-0.091748670424508</v>
      </c>
      <c r="H144">
        <v>0.208710172321723</v>
      </c>
      <c r="I144">
        <v>0.185912096137053</v>
      </c>
    </row>
    <row r="145" spans="1:9">
      <c r="A145" s="1" t="s">
        <v>157</v>
      </c>
      <c r="B145">
        <f>HYPERLINK("https://www.suredividend.com/sure-analysis-research-database/","Horizon Bancorp Inc (IN)")</f>
        <v>0</v>
      </c>
      <c r="C145">
        <v>0.000760735552582</v>
      </c>
      <c r="D145">
        <v>-0.18187471853488</v>
      </c>
      <c r="E145">
        <v>-0.111856081108608</v>
      </c>
      <c r="F145">
        <v>0.022657972510202</v>
      </c>
      <c r="G145">
        <v>-0.250428572130285</v>
      </c>
      <c r="H145">
        <v>0.055055068896617</v>
      </c>
      <c r="I145">
        <v>-0.008543676704674001</v>
      </c>
    </row>
    <row r="146" spans="1:9">
      <c r="A146" s="1" t="s">
        <v>158</v>
      </c>
      <c r="B146">
        <f>HYPERLINK("https://www.suredividend.com/sure-analysis-HCSG/","Healthcare Services Group, Inc.")</f>
        <v>0</v>
      </c>
      <c r="C146">
        <v>-0.09077598828696901</v>
      </c>
      <c r="D146">
        <v>0.01410934744268</v>
      </c>
      <c r="E146">
        <v>-0.269957149658784</v>
      </c>
      <c r="F146">
        <v>0.034999999999999</v>
      </c>
      <c r="G146">
        <v>-0.277066356228172</v>
      </c>
      <c r="H146">
        <v>-0.533720773077442</v>
      </c>
      <c r="I146">
        <v>-0.7246309012019131</v>
      </c>
    </row>
    <row r="147" spans="1:9">
      <c r="A147" s="1" t="s">
        <v>159</v>
      </c>
      <c r="B147">
        <f>HYPERLINK("https://www.suredividend.com/sure-analysis-HD/","Home Depot, Inc.")</f>
        <v>0</v>
      </c>
      <c r="C147">
        <v>-0.014402649337665</v>
      </c>
      <c r="D147">
        <v>0.09497513076738801</v>
      </c>
      <c r="E147">
        <v>0.125892055407008</v>
      </c>
      <c r="F147">
        <v>-0.001234724244918</v>
      </c>
      <c r="G147">
        <v>-0.205856927876896</v>
      </c>
      <c r="H147">
        <v>0.240980889043791</v>
      </c>
      <c r="I147">
        <v>0.8441668220668671</v>
      </c>
    </row>
    <row r="148" spans="1:9">
      <c r="A148" s="1" t="s">
        <v>160</v>
      </c>
      <c r="B148">
        <f>HYPERLINK("https://www.suredividend.com/sure-analysis-research-database/","Heico Corp.")</f>
        <v>0</v>
      </c>
      <c r="C148">
        <v>-0.063500750678569</v>
      </c>
      <c r="D148">
        <v>0.017737909213357</v>
      </c>
      <c r="E148">
        <v>0.161218733259</v>
      </c>
      <c r="F148">
        <v>-0.010348517541808</v>
      </c>
      <c r="G148">
        <v>0.042229678750449</v>
      </c>
      <c r="H148">
        <v>0.164727498223589</v>
      </c>
      <c r="I148">
        <v>0.9995341657817131</v>
      </c>
    </row>
    <row r="149" spans="1:9">
      <c r="A149" s="1" t="s">
        <v>161</v>
      </c>
      <c r="B149">
        <f>HYPERLINK("https://www.suredividend.com/sure-analysis-research-database/","Heritage Financial Corp.")</f>
        <v>0</v>
      </c>
      <c r="C149">
        <v>-0.04718810601163501</v>
      </c>
      <c r="D149">
        <v>0.06785284784908001</v>
      </c>
      <c r="E149">
        <v>0.160785301969555</v>
      </c>
      <c r="F149">
        <v>-0.037859007832898</v>
      </c>
      <c r="G149">
        <v>0.211593154580874</v>
      </c>
      <c r="H149">
        <v>0.333815944258438</v>
      </c>
      <c r="I149">
        <v>0.112818170493709</v>
      </c>
    </row>
    <row r="150" spans="1:9">
      <c r="A150" s="1" t="s">
        <v>162</v>
      </c>
      <c r="B150">
        <f>HYPERLINK("https://www.suredividend.com/sure-analysis-HI/","Hillenbrand Inc")</f>
        <v>0</v>
      </c>
      <c r="C150">
        <v>-0.174754913915036</v>
      </c>
      <c r="D150">
        <v>0.07656050371833301</v>
      </c>
      <c r="E150">
        <v>0.042354587838703</v>
      </c>
      <c r="F150">
        <v>-0.008671197562690001</v>
      </c>
      <c r="G150">
        <v>-0.179157190427769</v>
      </c>
      <c r="H150">
        <v>0.115400436667404</v>
      </c>
      <c r="I150">
        <v>0.067187393565087</v>
      </c>
    </row>
    <row r="151" spans="1:9">
      <c r="A151" s="1" t="s">
        <v>163</v>
      </c>
      <c r="B151">
        <f>HYPERLINK("https://www.suredividend.com/sure-analysis-research-database/","Hingham Institution For Savings")</f>
        <v>0</v>
      </c>
      <c r="C151">
        <v>-0.018084419419337</v>
      </c>
      <c r="D151">
        <v>0.09406664089703501</v>
      </c>
      <c r="E151">
        <v>0.00196596938746</v>
      </c>
      <c r="F151">
        <v>0.006160313088853</v>
      </c>
      <c r="G151">
        <v>-0.32517201235621</v>
      </c>
      <c r="H151">
        <v>0.29106595010011</v>
      </c>
      <c r="I151">
        <v>0.4354205504082511</v>
      </c>
    </row>
    <row r="152" spans="1:9">
      <c r="A152" s="1" t="s">
        <v>164</v>
      </c>
      <c r="B152">
        <f>HYPERLINK("https://www.suredividend.com/sure-analysis-research-database/","Horace Mann Educators Corp.")</f>
        <v>0</v>
      </c>
      <c r="C152">
        <v>-0.003104509495591</v>
      </c>
      <c r="D152">
        <v>0.024001418530103</v>
      </c>
      <c r="E152">
        <v>-0.02124087378615</v>
      </c>
      <c r="F152">
        <v>-0.01097136740701</v>
      </c>
      <c r="G152">
        <v>-0.006750655716558001</v>
      </c>
      <c r="H152">
        <v>-0.056165314075292</v>
      </c>
      <c r="I152">
        <v>-0.011968124209721</v>
      </c>
    </row>
    <row r="153" spans="1:9">
      <c r="A153" s="1" t="s">
        <v>165</v>
      </c>
      <c r="B153">
        <f>HYPERLINK("https://www.suredividend.com/sure-analysis-HNI/","HNI Corp.")</f>
        <v>0</v>
      </c>
      <c r="C153">
        <v>0.003480682213713</v>
      </c>
      <c r="D153">
        <v>0.017731760785379</v>
      </c>
      <c r="E153">
        <v>-0.154902328635415</v>
      </c>
      <c r="F153">
        <v>0.01406964474147</v>
      </c>
      <c r="G153">
        <v>-0.298714187719835</v>
      </c>
      <c r="H153">
        <v>-0.09838628971728801</v>
      </c>
      <c r="I153">
        <v>-0.108870494124047</v>
      </c>
    </row>
    <row r="154" spans="1:9">
      <c r="A154" s="1" t="s">
        <v>166</v>
      </c>
      <c r="B154">
        <f>HYPERLINK("https://www.suredividend.com/sure-analysis-research-database/","Home Bancshares Inc")</f>
        <v>0</v>
      </c>
      <c r="C154">
        <v>-0.08853951179147701</v>
      </c>
      <c r="D154">
        <v>-0.07462247705458501</v>
      </c>
      <c r="E154">
        <v>0.045309393549734</v>
      </c>
      <c r="F154">
        <v>-0.03334795963141701</v>
      </c>
      <c r="G154">
        <v>-0.097600838907617</v>
      </c>
      <c r="H154">
        <v>0.175717144763175</v>
      </c>
      <c r="I154">
        <v>0.06221913633821201</v>
      </c>
    </row>
    <row r="155" spans="1:9">
      <c r="A155" s="1" t="s">
        <v>167</v>
      </c>
      <c r="B155">
        <f>HYPERLINK("https://www.suredividend.com/sure-analysis-HON/","Honeywell International Inc")</f>
        <v>0</v>
      </c>
      <c r="C155">
        <v>-0.051623376623376</v>
      </c>
      <c r="D155">
        <v>0.161300142727405</v>
      </c>
      <c r="E155">
        <v>0.205891511637233</v>
      </c>
      <c r="F155">
        <v>-0.045870275314979</v>
      </c>
      <c r="G155">
        <v>-0.006278133258943001</v>
      </c>
      <c r="H155">
        <v>0.023308328249405</v>
      </c>
      <c r="I155">
        <v>0.526068628680268</v>
      </c>
    </row>
    <row r="156" spans="1:9">
      <c r="A156" s="1" t="s">
        <v>168</v>
      </c>
      <c r="B156">
        <f>HYPERLINK("https://www.suredividend.com/sure-analysis-HPQ/","HP Inc")</f>
        <v>0</v>
      </c>
      <c r="C156">
        <v>-0.05996724913458901</v>
      </c>
      <c r="D156">
        <v>0.025329906774487</v>
      </c>
      <c r="E156">
        <v>-0.121708423981459</v>
      </c>
      <c r="F156">
        <v>0.012653516933383</v>
      </c>
      <c r="G156">
        <v>-0.277733979948557</v>
      </c>
      <c r="H156">
        <v>0.1704937496236</v>
      </c>
      <c r="I156">
        <v>0.433720084727008</v>
      </c>
    </row>
    <row r="157" spans="1:9">
      <c r="A157" s="1" t="s">
        <v>169</v>
      </c>
      <c r="B157">
        <f>HYPERLINK("https://www.suredividend.com/sure-analysis-HRL/","Hormel Foods Corp.")</f>
        <v>0</v>
      </c>
      <c r="C157">
        <v>-0.024157660521296</v>
      </c>
      <c r="D157">
        <v>4.126120295900001E-05</v>
      </c>
      <c r="E157">
        <v>-0.021800778735797</v>
      </c>
      <c r="F157">
        <v>0.010976948408342</v>
      </c>
      <c r="G157">
        <v>-0.05239114330397501</v>
      </c>
      <c r="H157">
        <v>0.04955590452118101</v>
      </c>
      <c r="I157">
        <v>0.404121806423285</v>
      </c>
    </row>
    <row r="158" spans="1:9">
      <c r="A158" s="1" t="s">
        <v>170</v>
      </c>
      <c r="B158">
        <f>HYPERLINK("https://www.suredividend.com/sure-analysis-HSY/","Hershey Company")</f>
        <v>0</v>
      </c>
      <c r="C158">
        <v>-0.04360128617363301</v>
      </c>
      <c r="D158">
        <v>-0.00430717043451</v>
      </c>
      <c r="E158">
        <v>0.03110938550817</v>
      </c>
      <c r="F158">
        <v>-0.036662780152869</v>
      </c>
      <c r="G158">
        <v>0.152909924390029</v>
      </c>
      <c r="H158">
        <v>0.537377967005779</v>
      </c>
      <c r="I158">
        <v>1.203396359477182</v>
      </c>
    </row>
    <row r="159" spans="1:9">
      <c r="A159" s="1" t="s">
        <v>171</v>
      </c>
      <c r="B159">
        <f>HYPERLINK("https://www.suredividend.com/sure-analysis-HUBB/","Hubbell Inc.")</f>
        <v>0</v>
      </c>
      <c r="C159">
        <v>-0.088646146349386</v>
      </c>
      <c r="D159">
        <v>-0.051170341621799</v>
      </c>
      <c r="E159">
        <v>0.242623600712696</v>
      </c>
      <c r="F159">
        <v>-0.043676495653656</v>
      </c>
      <c r="G159">
        <v>0.122339114140732</v>
      </c>
      <c r="H159">
        <v>0.4769892926009041</v>
      </c>
      <c r="I159">
        <v>0.8536245326294241</v>
      </c>
    </row>
    <row r="160" spans="1:9">
      <c r="A160" s="1" t="s">
        <v>172</v>
      </c>
      <c r="B160">
        <f>HYPERLINK("https://www.suredividend.com/sure-analysis-HUM/","Humana Inc.")</f>
        <v>0</v>
      </c>
      <c r="C160">
        <v>-0.107144490666932</v>
      </c>
      <c r="D160">
        <v>-0.031588564244024</v>
      </c>
      <c r="E160">
        <v>0.035159622284036</v>
      </c>
      <c r="F160">
        <v>-0.047189519514242</v>
      </c>
      <c r="G160">
        <v>0.077736272399929</v>
      </c>
      <c r="H160">
        <v>0.19672522696386</v>
      </c>
      <c r="I160">
        <v>0.9111769900587621</v>
      </c>
    </row>
    <row r="161" spans="1:9">
      <c r="A161" s="1" t="s">
        <v>173</v>
      </c>
      <c r="B161">
        <f>HYPERLINK("https://www.suredividend.com/sure-analysis-research-database/","Hawkins Inc")</f>
        <v>0</v>
      </c>
      <c r="C161">
        <v>-0.111191684795745</v>
      </c>
      <c r="D161">
        <v>-0.05063617961746501</v>
      </c>
      <c r="E161">
        <v>0.058598630760106</v>
      </c>
      <c r="F161">
        <v>-0.04740932642487</v>
      </c>
      <c r="G161">
        <v>-0.059410372833663</v>
      </c>
      <c r="H161">
        <v>0.416055302023761</v>
      </c>
      <c r="I161">
        <v>1.244728520322821</v>
      </c>
    </row>
    <row r="162" spans="1:9">
      <c r="A162" s="1" t="s">
        <v>174</v>
      </c>
      <c r="B162">
        <f>HYPERLINK("https://www.suredividend.com/sure-analysis-IBM/","International Business Machines Corp.")</f>
        <v>0</v>
      </c>
      <c r="C162">
        <v>-0.042737941794993</v>
      </c>
      <c r="D162">
        <v>0.135616476941215</v>
      </c>
      <c r="E162">
        <v>0.050657303002686</v>
      </c>
      <c r="F162">
        <v>0.0015615018809</v>
      </c>
      <c r="G162">
        <v>0.07154057783154101</v>
      </c>
      <c r="H162">
        <v>0.233234314519758</v>
      </c>
      <c r="I162">
        <v>0.103644506179502</v>
      </c>
    </row>
    <row r="163" spans="1:9">
      <c r="A163" s="1" t="s">
        <v>175</v>
      </c>
      <c r="B163">
        <f>HYPERLINK("https://www.suredividend.com/sure-analysis-research-database/","International Bancshares Corp.")</f>
        <v>0</v>
      </c>
      <c r="C163">
        <v>-0.08560468402988</v>
      </c>
      <c r="D163">
        <v>0.026984126984126</v>
      </c>
      <c r="E163">
        <v>0.123737687020817</v>
      </c>
      <c r="F163">
        <v>-0.010270979020978</v>
      </c>
      <c r="G163">
        <v>0.065058144320199</v>
      </c>
      <c r="H163">
        <v>0.285092473313546</v>
      </c>
      <c r="I163">
        <v>0.315678624652488</v>
      </c>
    </row>
    <row r="164" spans="1:9">
      <c r="A164" s="1" t="s">
        <v>176</v>
      </c>
      <c r="B164">
        <f>HYPERLINK("https://www.suredividend.com/sure-analysis-IDA/","Idacorp, Inc.")</f>
        <v>0</v>
      </c>
      <c r="C164">
        <v>-0.016765468692108</v>
      </c>
      <c r="D164">
        <v>0.054075095030604</v>
      </c>
      <c r="E164">
        <v>0.027007938389198</v>
      </c>
      <c r="F164">
        <v>-0.015762633286972</v>
      </c>
      <c r="G164">
        <v>-0.028189374443257</v>
      </c>
      <c r="H164">
        <v>0.256312630705629</v>
      </c>
      <c r="I164">
        <v>0.388783496306607</v>
      </c>
    </row>
    <row r="165" spans="1:9">
      <c r="A165" s="1" t="s">
        <v>177</v>
      </c>
      <c r="B165">
        <f>HYPERLINK("https://www.suredividend.com/sure-analysis-IEX/","Idex Corporation")</f>
        <v>0</v>
      </c>
      <c r="C165">
        <v>-0.04698779921475901</v>
      </c>
      <c r="D165">
        <v>0.084065239847153</v>
      </c>
      <c r="E165">
        <v>0.231670082213186</v>
      </c>
      <c r="F165">
        <v>-0.011343231288048</v>
      </c>
      <c r="G165">
        <v>-0.012546788546172</v>
      </c>
      <c r="H165">
        <v>0.183609416233181</v>
      </c>
      <c r="I165">
        <v>0.776386508464866</v>
      </c>
    </row>
    <row r="166" spans="1:9">
      <c r="A166" s="1" t="s">
        <v>178</v>
      </c>
      <c r="B166">
        <f>HYPERLINK("https://www.suredividend.com/sure-analysis-IFF/","International Flavors &amp; Fragrances Inc.")</f>
        <v>0</v>
      </c>
      <c r="C166">
        <v>0.0125757968997</v>
      </c>
      <c r="D166">
        <v>0.167742911531692</v>
      </c>
      <c r="E166">
        <v>-0.08306433762102601</v>
      </c>
      <c r="F166">
        <v>0.023368943151468</v>
      </c>
      <c r="G166">
        <v>-0.237751918763636</v>
      </c>
      <c r="H166">
        <v>0.040285993808121</v>
      </c>
      <c r="I166">
        <v>-0.235528371808674</v>
      </c>
    </row>
    <row r="167" spans="1:9">
      <c r="A167" s="1" t="s">
        <v>179</v>
      </c>
      <c r="B167">
        <f>HYPERLINK("https://www.suredividend.com/sure-analysis-research-database/","Independent Bank Corp.")</f>
        <v>0</v>
      </c>
      <c r="C167">
        <v>-0.090572020645243</v>
      </c>
      <c r="D167">
        <v>0.025149233830437</v>
      </c>
      <c r="E167">
        <v>-0.005633417482247</v>
      </c>
      <c r="F167">
        <v>-0.05294326661139401</v>
      </c>
      <c r="G167">
        <v>-0.016312772187092</v>
      </c>
      <c r="H167">
        <v>0.13446117350616</v>
      </c>
      <c r="I167">
        <v>0.272733639578896</v>
      </c>
    </row>
    <row r="168" spans="1:9">
      <c r="A168" s="1" t="s">
        <v>180</v>
      </c>
      <c r="B168">
        <f>HYPERLINK("https://www.suredividend.com/sure-analysis-INGR/","Ingredion Inc")</f>
        <v>0</v>
      </c>
      <c r="C168">
        <v>-0.018318711363633</v>
      </c>
      <c r="D168">
        <v>0.191741616457782</v>
      </c>
      <c r="E168">
        <v>0.110736971346238</v>
      </c>
      <c r="F168">
        <v>-0.009700806698662001</v>
      </c>
      <c r="G168">
        <v>0.014131755562666</v>
      </c>
      <c r="H168">
        <v>0.303945045533201</v>
      </c>
      <c r="I168">
        <v>-0.202290638307322</v>
      </c>
    </row>
    <row r="169" spans="1:9">
      <c r="A169" s="1" t="s">
        <v>181</v>
      </c>
      <c r="B169">
        <f>HYPERLINK("https://www.suredividend.com/sure-analysis-INTU/","Intuit Inc")</f>
        <v>0</v>
      </c>
      <c r="C169">
        <v>-0.04940021258288101</v>
      </c>
      <c r="D169">
        <v>-0.09006782945736401</v>
      </c>
      <c r="E169">
        <v>-0.058133820122165</v>
      </c>
      <c r="F169">
        <v>-0.03494167822825101</v>
      </c>
      <c r="G169">
        <v>-0.363465653462784</v>
      </c>
      <c r="H169">
        <v>0.030134491761556</v>
      </c>
      <c r="I169">
        <v>1.376338596301435</v>
      </c>
    </row>
    <row r="170" spans="1:9">
      <c r="A170" s="1" t="s">
        <v>182</v>
      </c>
      <c r="B170">
        <f>HYPERLINK("https://www.suredividend.com/sure-analysis-ITT/","ITT Inc")</f>
        <v>0</v>
      </c>
      <c r="C170">
        <v>-0.009305135951661001</v>
      </c>
      <c r="D170">
        <v>0.150914709049379</v>
      </c>
      <c r="E170">
        <v>0.225610749733514</v>
      </c>
      <c r="F170">
        <v>0.010850801479654</v>
      </c>
      <c r="G170">
        <v>-0.186531227456704</v>
      </c>
      <c r="H170">
        <v>0.099110307879594</v>
      </c>
      <c r="I170">
        <v>0.597676956657312</v>
      </c>
    </row>
    <row r="171" spans="1:9">
      <c r="A171" s="1" t="s">
        <v>183</v>
      </c>
      <c r="B171">
        <f>HYPERLINK("https://www.suredividend.com/sure-analysis-ITW/","Illinois Tool Works, Inc.")</f>
        <v>0</v>
      </c>
      <c r="C171">
        <v>-0.01784860922463</v>
      </c>
      <c r="D171">
        <v>0.141997901537116</v>
      </c>
      <c r="E171">
        <v>0.213893220876656</v>
      </c>
      <c r="F171">
        <v>-0.006445755787562001</v>
      </c>
      <c r="G171">
        <v>-0.089847609353013</v>
      </c>
      <c r="H171">
        <v>0.124464238102014</v>
      </c>
      <c r="I171">
        <v>0.491732701237044</v>
      </c>
    </row>
    <row r="172" spans="1:9">
      <c r="A172" s="1" t="s">
        <v>184</v>
      </c>
      <c r="B172">
        <f>HYPERLINK("https://www.suredividend.com/sure-analysis-JBHT/","J.B. Hunt Transport Services, Inc.")</f>
        <v>0</v>
      </c>
      <c r="C172">
        <v>-0.047511821661787</v>
      </c>
      <c r="D172">
        <v>0.018708227393497</v>
      </c>
      <c r="E172">
        <v>0.064271426953994</v>
      </c>
      <c r="F172">
        <v>-0.029593943565037</v>
      </c>
      <c r="G172">
        <v>-0.160424015644297</v>
      </c>
      <c r="H172">
        <v>0.24536759320936</v>
      </c>
      <c r="I172">
        <v>0.520156903192419</v>
      </c>
    </row>
    <row r="173" spans="1:9">
      <c r="A173" s="1" t="s">
        <v>185</v>
      </c>
      <c r="B173">
        <f>HYPERLINK("https://www.suredividend.com/sure-analysis-JJSF/","J&amp;J Snack Foods Corp.")</f>
        <v>0</v>
      </c>
      <c r="C173">
        <v>-0.05717217195767801</v>
      </c>
      <c r="D173">
        <v>0.147490057259447</v>
      </c>
      <c r="E173">
        <v>0.058257948960275</v>
      </c>
      <c r="F173">
        <v>-0.000734753857457</v>
      </c>
      <c r="G173">
        <v>-0.03533784454753</v>
      </c>
      <c r="H173">
        <v>0.032501005929288</v>
      </c>
      <c r="I173">
        <v>0.08821289401344701</v>
      </c>
    </row>
    <row r="174" spans="1:9">
      <c r="A174" s="1" t="s">
        <v>186</v>
      </c>
      <c r="B174">
        <f>HYPERLINK("https://www.suredividend.com/sure-analysis-JKHY/","Jack Henry &amp; Associates, Inc.")</f>
        <v>0</v>
      </c>
      <c r="C174">
        <v>-0.080188429577092</v>
      </c>
      <c r="D174">
        <v>-0.07349106413107301</v>
      </c>
      <c r="E174">
        <v>-0.04954736183488</v>
      </c>
      <c r="F174">
        <v>-0.010138983823194</v>
      </c>
      <c r="G174">
        <v>0.015528030163134</v>
      </c>
      <c r="H174">
        <v>0.116825126701619</v>
      </c>
      <c r="I174">
        <v>0.525014699042587</v>
      </c>
    </row>
    <row r="175" spans="1:9">
      <c r="A175" s="1" t="s">
        <v>187</v>
      </c>
      <c r="B175">
        <f>HYPERLINK("https://www.suredividend.com/sure-analysis-JNJ/","Johnson &amp; Johnson")</f>
        <v>0</v>
      </c>
      <c r="C175">
        <v>0.000111869336614</v>
      </c>
      <c r="D175">
        <v>0.08990430420765201</v>
      </c>
      <c r="E175">
        <v>0.016970553924749</v>
      </c>
      <c r="F175">
        <v>0.012170959524483</v>
      </c>
      <c r="G175">
        <v>0.065484384217959</v>
      </c>
      <c r="H175">
        <v>0.188090390554814</v>
      </c>
      <c r="I175">
        <v>0.440072680178221</v>
      </c>
    </row>
    <row r="176" spans="1:9">
      <c r="A176" s="1" t="s">
        <v>188</v>
      </c>
      <c r="B176">
        <f>HYPERLINK("https://www.suredividend.com/sure-analysis-JPM/","JPMorgan Chase &amp; Co.")</f>
        <v>0</v>
      </c>
      <c r="C176">
        <v>0.037906794666224</v>
      </c>
      <c r="D176">
        <v>0.235163888498511</v>
      </c>
      <c r="E176">
        <v>0.221538425438323</v>
      </c>
      <c r="F176">
        <v>0.01677700844447</v>
      </c>
      <c r="G176">
        <v>-0.153807584534841</v>
      </c>
      <c r="H176">
        <v>0.129322673395043</v>
      </c>
      <c r="I176">
        <v>0.426853090531114</v>
      </c>
    </row>
    <row r="177" spans="1:9">
      <c r="A177" s="1" t="s">
        <v>189</v>
      </c>
      <c r="B177">
        <f>HYPERLINK("https://www.suredividend.com/sure-analysis-K/","Kellogg Co")</f>
        <v>0</v>
      </c>
      <c r="C177">
        <v>-0.03667348329925</v>
      </c>
      <c r="D177">
        <v>-0.009034530925246</v>
      </c>
      <c r="E177">
        <v>-0.006234591080864001</v>
      </c>
      <c r="F177">
        <v>-0.008141493542953</v>
      </c>
      <c r="G177">
        <v>0.103384952677496</v>
      </c>
      <c r="H177">
        <v>0.21687226285543</v>
      </c>
      <c r="I177">
        <v>0.203413702838905</v>
      </c>
    </row>
    <row r="178" spans="1:9">
      <c r="A178" s="1" t="s">
        <v>190</v>
      </c>
      <c r="B178">
        <f>HYPERLINK("https://www.suredividend.com/sure-analysis-KALU/","Kaiser Aluminum Corp")</f>
        <v>0</v>
      </c>
      <c r="C178">
        <v>-0.05991931656383401</v>
      </c>
      <c r="D178">
        <v>0.137091010336147</v>
      </c>
      <c r="E178">
        <v>0.05427317957240901</v>
      </c>
      <c r="F178">
        <v>0.04304897314376</v>
      </c>
      <c r="G178">
        <v>-0.163992702478266</v>
      </c>
      <c r="H178">
        <v>-0.165091267758802</v>
      </c>
      <c r="I178">
        <v>-0.171021862297346</v>
      </c>
    </row>
    <row r="179" spans="1:9">
      <c r="A179" s="1" t="s">
        <v>191</v>
      </c>
      <c r="B179">
        <f>HYPERLINK("https://www.suredividend.com/sure-analysis-KEY/","Keycorp")</f>
        <v>0</v>
      </c>
      <c r="C179">
        <v>0.022349570200573</v>
      </c>
      <c r="D179">
        <v>0.06774558447699</v>
      </c>
      <c r="E179">
        <v>0.04873933771875601</v>
      </c>
      <c r="F179">
        <v>0.024110218140068</v>
      </c>
      <c r="G179">
        <v>-0.248063257099985</v>
      </c>
      <c r="H179">
        <v>0.160393128703468</v>
      </c>
      <c r="I179">
        <v>0.06813555262842701</v>
      </c>
    </row>
    <row r="180" spans="1:9">
      <c r="A180" s="1" t="s">
        <v>192</v>
      </c>
      <c r="B180">
        <f>HYPERLINK("https://www.suredividend.com/sure-analysis-KLAC/","KLA Corp.")</f>
        <v>0</v>
      </c>
      <c r="C180">
        <v>-0.0388604369869</v>
      </c>
      <c r="D180">
        <v>0.138888812651921</v>
      </c>
      <c r="E180">
        <v>0.272373946502172</v>
      </c>
      <c r="F180">
        <v>-0.009442219452032</v>
      </c>
      <c r="G180">
        <v>-0.100780614017536</v>
      </c>
      <c r="H180">
        <v>0.439929859951235</v>
      </c>
      <c r="I180">
        <v>2.733587390957495</v>
      </c>
    </row>
    <row r="181" spans="1:9">
      <c r="A181" s="1" t="s">
        <v>193</v>
      </c>
      <c r="B181">
        <f>HYPERLINK("https://www.suredividend.com/sure-analysis-KMB/","Kimberly-Clark Corp.")</f>
        <v>0</v>
      </c>
      <c r="C181">
        <v>-0.003426319427084</v>
      </c>
      <c r="D181">
        <v>0.193052935672493</v>
      </c>
      <c r="E181">
        <v>0.013709080302452</v>
      </c>
      <c r="F181">
        <v>-0.001546961325966</v>
      </c>
      <c r="G181">
        <v>-0.025094081226335</v>
      </c>
      <c r="H181">
        <v>0.088060316142772</v>
      </c>
      <c r="I181">
        <v>0.343278257008752</v>
      </c>
    </row>
    <row r="182" spans="1:9">
      <c r="A182" s="1" t="s">
        <v>194</v>
      </c>
      <c r="B182">
        <f>HYPERLINK("https://www.suredividend.com/sure-analysis-KO/","Coca-Cola Co")</f>
        <v>0</v>
      </c>
      <c r="C182">
        <v>-0.020009453285016</v>
      </c>
      <c r="D182">
        <v>0.113819056333816</v>
      </c>
      <c r="E182">
        <v>-0.002879146387601</v>
      </c>
      <c r="F182">
        <v>-0.022166326049363</v>
      </c>
      <c r="G182">
        <v>0.05346593680559301</v>
      </c>
      <c r="H182">
        <v>0.265985097197939</v>
      </c>
      <c r="I182">
        <v>0.571123656525088</v>
      </c>
    </row>
    <row r="183" spans="1:9">
      <c r="A183" s="1" t="s">
        <v>195</v>
      </c>
      <c r="B183">
        <f>HYPERLINK("https://www.suredividend.com/sure-analysis-KR/","Kroger Co.")</f>
        <v>0</v>
      </c>
      <c r="C183">
        <v>-0.019752550466681</v>
      </c>
      <c r="D183">
        <v>0.018176571116792</v>
      </c>
      <c r="E183">
        <v>-0.033193821517646</v>
      </c>
      <c r="F183">
        <v>0.013010318528487</v>
      </c>
      <c r="G183">
        <v>-0.016269885354924</v>
      </c>
      <c r="H183">
        <v>0.4729385057958621</v>
      </c>
      <c r="I183">
        <v>0.831937204632578</v>
      </c>
    </row>
    <row r="184" spans="1:9">
      <c r="A184" s="1" t="s">
        <v>196</v>
      </c>
      <c r="B184">
        <f>HYPERLINK("https://www.suredividend.com/sure-analysis-research-database/","Kennedy-Wilson Holdings Inc")</f>
        <v>0</v>
      </c>
      <c r="C184">
        <v>-0.038467468868919</v>
      </c>
      <c r="D184">
        <v>0.005488587478797001</v>
      </c>
      <c r="E184">
        <v>-0.153816510076585</v>
      </c>
      <c r="F184">
        <v>-0.008900190718372001</v>
      </c>
      <c r="G184">
        <v>-0.32306863971099</v>
      </c>
      <c r="H184">
        <v>-0.035672091397749</v>
      </c>
      <c r="I184">
        <v>0.09784093629846601</v>
      </c>
    </row>
    <row r="185" spans="1:9">
      <c r="A185" s="1" t="s">
        <v>197</v>
      </c>
      <c r="B185">
        <f>HYPERLINK("https://www.suredividend.com/sure-analysis-research-database/","Quaker Houghton")</f>
        <v>0</v>
      </c>
      <c r="C185">
        <v>-0.091141582326695</v>
      </c>
      <c r="D185">
        <v>0.09835985801481101</v>
      </c>
      <c r="E185">
        <v>0.180419857173649</v>
      </c>
      <c r="F185">
        <v>0.0007789095266620001</v>
      </c>
      <c r="G185">
        <v>-0.280136189285868</v>
      </c>
      <c r="H185">
        <v>-0.3369188860014971</v>
      </c>
      <c r="I185">
        <v>0.137651546110884</v>
      </c>
    </row>
    <row r="186" spans="1:9">
      <c r="A186" s="1" t="s">
        <v>198</v>
      </c>
      <c r="B186">
        <f>HYPERLINK("https://www.suredividend.com/sure-analysis-LAD/","Lithia Motors, Inc.")</f>
        <v>0</v>
      </c>
      <c r="C186">
        <v>-0.057229191465982</v>
      </c>
      <c r="D186">
        <v>-0.048354955467892</v>
      </c>
      <c r="E186">
        <v>-0.275174078603062</v>
      </c>
      <c r="F186">
        <v>0.005763407248217001</v>
      </c>
      <c r="G186">
        <v>-0.291273704230674</v>
      </c>
      <c r="H186">
        <v>-0.293104750396495</v>
      </c>
      <c r="I186">
        <v>0.8087814441791701</v>
      </c>
    </row>
    <row r="187" spans="1:9">
      <c r="A187" s="1" t="s">
        <v>199</v>
      </c>
      <c r="B187">
        <f>HYPERLINK("https://www.suredividend.com/sure-analysis-LANC/","Lancaster Colony Corp.")</f>
        <v>0</v>
      </c>
      <c r="C187">
        <v>-0.018403101536045</v>
      </c>
      <c r="D187">
        <v>0.273090761658595</v>
      </c>
      <c r="E187">
        <v>0.554600262856618</v>
      </c>
      <c r="F187">
        <v>0.013786112519006</v>
      </c>
      <c r="G187">
        <v>0.22742680972123</v>
      </c>
      <c r="H187">
        <v>0.167175309708176</v>
      </c>
      <c r="I187">
        <v>0.6897391557048761</v>
      </c>
    </row>
    <row r="188" spans="1:9">
      <c r="A188" s="1" t="s">
        <v>200</v>
      </c>
      <c r="B188">
        <f>HYPERLINK("https://www.suredividend.com/sure-analysis-research-database/","Lakeland Bancorp, Inc.")</f>
        <v>0</v>
      </c>
      <c r="C188">
        <v>-0.036204059243006</v>
      </c>
      <c r="D188">
        <v>0.056181396299457</v>
      </c>
      <c r="E188">
        <v>0.193411445067074</v>
      </c>
      <c r="F188">
        <v>-0.002271436683702</v>
      </c>
      <c r="G188">
        <v>-0.07716710786167401</v>
      </c>
      <c r="H188">
        <v>0.46544893448434</v>
      </c>
      <c r="I188">
        <v>0.068117571962673</v>
      </c>
    </row>
    <row r="189" spans="1:9">
      <c r="A189" s="1" t="s">
        <v>201</v>
      </c>
      <c r="B189">
        <f>HYPERLINK("https://www.suredividend.com/sure-analysis-LECO/","Lincoln Electric Holdings, Inc.")</f>
        <v>0</v>
      </c>
      <c r="C189">
        <v>0.016566574660596</v>
      </c>
      <c r="D189">
        <v>0.145415673548426</v>
      </c>
      <c r="E189">
        <v>0.229556091710711</v>
      </c>
      <c r="F189">
        <v>0.026714651532977</v>
      </c>
      <c r="G189">
        <v>0.087484001120104</v>
      </c>
      <c r="H189">
        <v>0.333049380785757</v>
      </c>
      <c r="I189">
        <v>0.7214070631646731</v>
      </c>
    </row>
    <row r="190" spans="1:9">
      <c r="A190" s="1" t="s">
        <v>202</v>
      </c>
      <c r="B190">
        <f>HYPERLINK("https://www.suredividend.com/sure-analysis-LEG/","Leggett &amp; Platt, Inc.")</f>
        <v>0</v>
      </c>
      <c r="C190">
        <v>-0.028858596937147</v>
      </c>
      <c r="D190">
        <v>-0.034389244706018</v>
      </c>
      <c r="E190">
        <v>-0.041064884982222</v>
      </c>
      <c r="F190">
        <v>0.038473471920571</v>
      </c>
      <c r="G190">
        <v>-0.172941063093205</v>
      </c>
      <c r="H190">
        <v>-0.15225474403007</v>
      </c>
      <c r="I190">
        <v>-0.148124958640665</v>
      </c>
    </row>
    <row r="191" spans="1:9">
      <c r="A191" s="1" t="s">
        <v>203</v>
      </c>
      <c r="B191">
        <f>HYPERLINK("https://www.suredividend.com/sure-analysis-research-database/","Littelfuse, Inc.")</f>
        <v>0</v>
      </c>
      <c r="C191">
        <v>-0.05135646687697101</v>
      </c>
      <c r="D191">
        <v>0.05884689254211001</v>
      </c>
      <c r="E191">
        <v>-0.09648726072676</v>
      </c>
      <c r="F191">
        <v>0.02425068119891</v>
      </c>
      <c r="G191">
        <v>-0.281114874362441</v>
      </c>
      <c r="H191">
        <v>-0.101613940160175</v>
      </c>
      <c r="I191">
        <v>0.172693920335429</v>
      </c>
    </row>
    <row r="192" spans="1:9">
      <c r="A192" s="1" t="s">
        <v>204</v>
      </c>
      <c r="B192">
        <f>HYPERLINK("https://www.suredividend.com/sure-analysis-LHX/","L3Harris Technologies Inc")</f>
        <v>0</v>
      </c>
      <c r="C192">
        <v>-0.08268434871612301</v>
      </c>
      <c r="D192">
        <v>-0.061865537246163</v>
      </c>
      <c r="E192">
        <v>-0.09854752141020701</v>
      </c>
      <c r="F192">
        <v>-0.009989914029105</v>
      </c>
      <c r="G192">
        <v>0.003392833673265</v>
      </c>
      <c r="H192">
        <v>0.174274317498983</v>
      </c>
      <c r="I192">
        <v>0.477229891169586</v>
      </c>
    </row>
    <row r="193" spans="1:9">
      <c r="A193" s="1" t="s">
        <v>205</v>
      </c>
      <c r="B193">
        <f>HYPERLINK("https://www.suredividend.com/sure-analysis-LII/","Lennox International Inc")</f>
        <v>0</v>
      </c>
      <c r="C193">
        <v>-0.093136345936323</v>
      </c>
      <c r="D193">
        <v>-0.001001339232709</v>
      </c>
      <c r="E193">
        <v>0.092065671875087</v>
      </c>
      <c r="F193">
        <v>-0.018726748317518</v>
      </c>
      <c r="G193">
        <v>-0.226289097943725</v>
      </c>
      <c r="H193">
        <v>-0.09960394080054101</v>
      </c>
      <c r="I193">
        <v>0.173610340369495</v>
      </c>
    </row>
    <row r="194" spans="1:9">
      <c r="A194" s="1" t="s">
        <v>206</v>
      </c>
      <c r="B194">
        <f>HYPERLINK("https://www.suredividend.com/sure-analysis-research-database/","Lakeland Financial Corp.")</f>
        <v>0</v>
      </c>
      <c r="C194">
        <v>-0.03920256890553901</v>
      </c>
      <c r="D194">
        <v>-0.032831993448955</v>
      </c>
      <c r="E194">
        <v>0.072948868704587</v>
      </c>
      <c r="F194">
        <v>-0.015896943949568</v>
      </c>
      <c r="G194">
        <v>-0.080170311315147</v>
      </c>
      <c r="H194">
        <v>0.375522932405719</v>
      </c>
      <c r="I194">
        <v>0.6576256319106201</v>
      </c>
    </row>
    <row r="195" spans="1:9">
      <c r="A195" s="1" t="s">
        <v>207</v>
      </c>
      <c r="B195">
        <f>HYPERLINK("https://www.suredividend.com/sure-analysis-research-database/","Lemaitre Vascular Inc")</f>
        <v>0</v>
      </c>
      <c r="C195">
        <v>-0.02782003912193</v>
      </c>
      <c r="D195">
        <v>-0.125041077883667</v>
      </c>
      <c r="E195">
        <v>-0.03476194894790501</v>
      </c>
      <c r="F195">
        <v>-0.028031290743155</v>
      </c>
      <c r="G195">
        <v>-0.080405419296478</v>
      </c>
      <c r="H195">
        <v>0.09800821849209801</v>
      </c>
      <c r="I195">
        <v>0.533808597969323</v>
      </c>
    </row>
    <row r="196" spans="1:9">
      <c r="A196" s="1" t="s">
        <v>208</v>
      </c>
      <c r="B196">
        <f>HYPERLINK("https://www.suredividend.com/sure-analysis-LMT/","Lockheed Martin Corp.")</f>
        <v>0</v>
      </c>
      <c r="C196">
        <v>-0.027717203008131</v>
      </c>
      <c r="D196">
        <v>0.192628487488987</v>
      </c>
      <c r="E196">
        <v>0.163702871460679</v>
      </c>
      <c r="F196">
        <v>-0.019363193488047</v>
      </c>
      <c r="G196">
        <v>0.358559921357472</v>
      </c>
      <c r="H196">
        <v>0.4372024154713071</v>
      </c>
      <c r="I196">
        <v>0.630942194146631</v>
      </c>
    </row>
    <row r="197" spans="1:9">
      <c r="A197" s="1" t="s">
        <v>209</v>
      </c>
      <c r="B197">
        <f>HYPERLINK("https://www.suredividend.com/sure-analysis-LNC/","Lincoln National Corp.")</f>
        <v>0</v>
      </c>
      <c r="C197">
        <v>-0.174350821409644</v>
      </c>
      <c r="D197">
        <v>-0.351913477537437</v>
      </c>
      <c r="E197">
        <v>-0.324059029864182</v>
      </c>
      <c r="F197">
        <v>0.014322916666666</v>
      </c>
      <c r="G197">
        <v>-0.5462521387746181</v>
      </c>
      <c r="H197">
        <v>-0.326452310186436</v>
      </c>
      <c r="I197">
        <v>-0.5441078574093441</v>
      </c>
    </row>
    <row r="198" spans="1:9">
      <c r="A198" s="1" t="s">
        <v>210</v>
      </c>
      <c r="B198">
        <f>HYPERLINK("https://www.suredividend.com/sure-analysis-LNN/","Lindsay Corporation")</f>
        <v>0</v>
      </c>
      <c r="C198">
        <v>-0.046142966586127</v>
      </c>
      <c r="D198">
        <v>0.048478359020599</v>
      </c>
      <c r="E198">
        <v>0.232320509921527</v>
      </c>
      <c r="F198">
        <v>-0.006079214000613</v>
      </c>
      <c r="G198">
        <v>0.08417602688938701</v>
      </c>
      <c r="H198">
        <v>0.266338750701196</v>
      </c>
      <c r="I198">
        <v>0.928047818825923</v>
      </c>
    </row>
    <row r="199" spans="1:9">
      <c r="A199" s="1" t="s">
        <v>211</v>
      </c>
      <c r="B199">
        <f>HYPERLINK("https://www.suredividend.com/sure-analysis-LNT/","Alliant Energy Corp.")</f>
        <v>0</v>
      </c>
      <c r="C199">
        <v>-0.007517418408507</v>
      </c>
      <c r="D199">
        <v>0.029001376310726</v>
      </c>
      <c r="E199">
        <v>-0.05060571460643001</v>
      </c>
      <c r="F199">
        <v>-0.019561673609853</v>
      </c>
      <c r="G199">
        <v>-0.08940731569456001</v>
      </c>
      <c r="H199">
        <v>0.143418426083374</v>
      </c>
      <c r="I199">
        <v>0.529528115286804</v>
      </c>
    </row>
    <row r="200" spans="1:9">
      <c r="A200" s="1" t="s">
        <v>212</v>
      </c>
      <c r="B200">
        <f>HYPERLINK("https://www.suredividend.com/sure-analysis-LOW/","Lowe`s Cos., Inc.")</f>
        <v>0</v>
      </c>
      <c r="C200">
        <v>-0.026239208458628</v>
      </c>
      <c r="D200">
        <v>0.014379256684383</v>
      </c>
      <c r="E200">
        <v>0.128748886121566</v>
      </c>
      <c r="F200">
        <v>0.007679180887371</v>
      </c>
      <c r="G200">
        <v>-0.199761167949312</v>
      </c>
      <c r="H200">
        <v>0.280494416133579</v>
      </c>
      <c r="I200">
        <v>1.27725141867421</v>
      </c>
    </row>
    <row r="201" spans="1:9">
      <c r="A201" s="1" t="s">
        <v>213</v>
      </c>
      <c r="B201">
        <f>HYPERLINK("https://www.suredividend.com/sure-analysis-LYB/","LyondellBasell Industries NV")</f>
        <v>0</v>
      </c>
      <c r="C201">
        <v>0.041452018689349</v>
      </c>
      <c r="D201">
        <v>0.074669303993077</v>
      </c>
      <c r="E201">
        <v>0.034959806461444</v>
      </c>
      <c r="F201">
        <v>0.046970974346621</v>
      </c>
      <c r="G201">
        <v>-0.030810482364942</v>
      </c>
      <c r="H201">
        <v>0.042046260956289</v>
      </c>
      <c r="I201">
        <v>-0.07144520426496401</v>
      </c>
    </row>
    <row r="202" spans="1:9">
      <c r="A202" s="1" t="s">
        <v>214</v>
      </c>
      <c r="B202">
        <f>HYPERLINK("https://www.suredividend.com/sure-analysis-MA/","Mastercard Incorporated")</f>
        <v>0</v>
      </c>
      <c r="C202">
        <v>-0.012131764520565</v>
      </c>
      <c r="D202">
        <v>0.158242966526712</v>
      </c>
      <c r="E202">
        <v>0.105298572238751</v>
      </c>
      <c r="F202">
        <v>0.011618344511927</v>
      </c>
      <c r="G202">
        <v>-0.053674596093928</v>
      </c>
      <c r="H202">
        <v>0.022244887029132</v>
      </c>
      <c r="I202">
        <v>1.269858515168691</v>
      </c>
    </row>
    <row r="203" spans="1:9">
      <c r="A203" s="1" t="s">
        <v>215</v>
      </c>
      <c r="B203">
        <f>HYPERLINK("https://www.suredividend.com/sure-analysis-MAA/","Mid-America Apartment Communities, Inc.")</f>
        <v>0</v>
      </c>
      <c r="C203">
        <v>-0.0400878293601</v>
      </c>
      <c r="D203">
        <v>0.005403196184711001</v>
      </c>
      <c r="E203">
        <v>-0.09514330692270601</v>
      </c>
      <c r="F203">
        <v>-0.025351933244155</v>
      </c>
      <c r="G203">
        <v>-0.2962216471752731</v>
      </c>
      <c r="H203">
        <v>0.314373235268599</v>
      </c>
      <c r="I203">
        <v>0.8647385149364321</v>
      </c>
    </row>
    <row r="204" spans="1:9">
      <c r="A204" s="1" t="s">
        <v>216</v>
      </c>
      <c r="B204">
        <f>HYPERLINK("https://www.suredividend.com/sure-analysis-MAN/","ManpowerGroup")</f>
        <v>0</v>
      </c>
      <c r="C204">
        <v>-0.011083180987202</v>
      </c>
      <c r="D204">
        <v>0.264278827894475</v>
      </c>
      <c r="E204">
        <v>0.130485893416927</v>
      </c>
      <c r="F204">
        <v>0.040139406321355</v>
      </c>
      <c r="G204">
        <v>-0.125630394724081</v>
      </c>
      <c r="H204">
        <v>-0.025833697262204</v>
      </c>
      <c r="I204">
        <v>-0.256611263949812</v>
      </c>
    </row>
    <row r="205" spans="1:9">
      <c r="A205" s="1" t="s">
        <v>217</v>
      </c>
      <c r="B205">
        <f>HYPERLINK("https://www.suredividend.com/sure-analysis-MATW/","Matthews International Corp.")</f>
        <v>0</v>
      </c>
      <c r="C205">
        <v>0.132640201638311</v>
      </c>
      <c r="D205">
        <v>0.5363247863247861</v>
      </c>
      <c r="E205">
        <v>0.269950049808889</v>
      </c>
      <c r="F205">
        <v>0.181011826544021</v>
      </c>
      <c r="G205">
        <v>0.001540617417056</v>
      </c>
      <c r="H205">
        <v>0.278890655738288</v>
      </c>
      <c r="I205">
        <v>-0.268485245581406</v>
      </c>
    </row>
    <row r="206" spans="1:9">
      <c r="A206" s="1" t="s">
        <v>218</v>
      </c>
      <c r="B206">
        <f>HYPERLINK("https://www.suredividend.com/sure-analysis-MCD/","McDonald`s Corp")</f>
        <v>0</v>
      </c>
      <c r="C206">
        <v>-0.034721455134577</v>
      </c>
      <c r="D206">
        <v>0.102666234842335</v>
      </c>
      <c r="E206">
        <v>0.05069389642873801</v>
      </c>
      <c r="F206">
        <v>-0.005198649110157</v>
      </c>
      <c r="G206">
        <v>0.003149190508806</v>
      </c>
      <c r="H206">
        <v>0.296426519181831</v>
      </c>
      <c r="I206">
        <v>0.6845719910990651</v>
      </c>
    </row>
    <row r="207" spans="1:9">
      <c r="A207" s="1" t="s">
        <v>219</v>
      </c>
      <c r="B207">
        <f>HYPERLINK("https://www.suredividend.com/sure-analysis-MCHP/","Microchip Technology, Inc.")</f>
        <v>0</v>
      </c>
      <c r="C207">
        <v>-0.097675633324627</v>
      </c>
      <c r="D207">
        <v>0.02992905264413</v>
      </c>
      <c r="E207">
        <v>0.241530730131465</v>
      </c>
      <c r="F207">
        <v>-0.016370106761565</v>
      </c>
      <c r="G207">
        <v>-0.168937755723024</v>
      </c>
      <c r="H207">
        <v>1.02666635381899</v>
      </c>
      <c r="I207">
        <v>2.216781263529334</v>
      </c>
    </row>
    <row r="208" spans="1:9">
      <c r="A208" s="1" t="s">
        <v>220</v>
      </c>
      <c r="B208">
        <f>HYPERLINK("https://www.suredividend.com/sure-analysis-MCK/","Mckesson Corporation")</f>
        <v>0</v>
      </c>
      <c r="C208">
        <v>-0.021938081790607</v>
      </c>
      <c r="D208">
        <v>0.057030176155682</v>
      </c>
      <c r="E208">
        <v>0.163646205511648</v>
      </c>
      <c r="F208">
        <v>-0.002852420558754</v>
      </c>
      <c r="G208">
        <v>0.519459892027151</v>
      </c>
      <c r="H208">
        <v>1.159507374828821</v>
      </c>
      <c r="I208">
        <v>1.487151986563195</v>
      </c>
    </row>
    <row r="209" spans="1:9">
      <c r="A209" s="1" t="s">
        <v>221</v>
      </c>
      <c r="B209">
        <f>HYPERLINK("https://www.suredividend.com/sure-analysis-MCO/","Moody`s Corp.")</f>
        <v>0</v>
      </c>
      <c r="C209">
        <v>-0.05015447991761</v>
      </c>
      <c r="D209">
        <v>0.06205879496688001</v>
      </c>
      <c r="E209">
        <v>-0.004758412289501</v>
      </c>
      <c r="F209">
        <v>-0.006926997344052</v>
      </c>
      <c r="G209">
        <v>-0.25731551864039</v>
      </c>
      <c r="H209">
        <v>-0.007959556846294001</v>
      </c>
      <c r="I209">
        <v>0.8846038578901481</v>
      </c>
    </row>
    <row r="210" spans="1:9">
      <c r="A210" s="1" t="s">
        <v>222</v>
      </c>
      <c r="B210">
        <f>HYPERLINK("https://www.suredividend.com/sure-analysis-MCY/","Mercury General Corp.")</f>
        <v>0</v>
      </c>
      <c r="C210">
        <v>-0.009807593602175001</v>
      </c>
      <c r="D210">
        <v>0.207689418420901</v>
      </c>
      <c r="E210">
        <v>-0.182606863445647</v>
      </c>
      <c r="F210">
        <v>0.043567251461988</v>
      </c>
      <c r="G210">
        <v>-0.307305030335731</v>
      </c>
      <c r="H210">
        <v>-0.242708764335805</v>
      </c>
      <c r="I210">
        <v>-0.12800001954609</v>
      </c>
    </row>
    <row r="211" spans="1:9">
      <c r="A211" s="1" t="s">
        <v>223</v>
      </c>
      <c r="B211">
        <f>HYPERLINK("https://www.suredividend.com/sure-analysis-MDT/","Medtronic Plc")</f>
        <v>0</v>
      </c>
      <c r="C211">
        <v>0.024773577923383</v>
      </c>
      <c r="D211">
        <v>-0.050653557943584</v>
      </c>
      <c r="E211">
        <v>-0.100591476578628</v>
      </c>
      <c r="F211">
        <v>0.029722079258878</v>
      </c>
      <c r="G211">
        <v>-0.221753180134527</v>
      </c>
      <c r="H211">
        <v>-0.279369324346835</v>
      </c>
      <c r="I211">
        <v>0.041096175535865</v>
      </c>
    </row>
    <row r="212" spans="1:9">
      <c r="A212" s="1" t="s">
        <v>224</v>
      </c>
      <c r="B212">
        <f>HYPERLINK("https://www.suredividend.com/sure-analysis-MDU/","MDU Resources Group Inc")</f>
        <v>0</v>
      </c>
      <c r="C212">
        <v>-0.009809761057782002</v>
      </c>
      <c r="D212">
        <v>0.050232454242115</v>
      </c>
      <c r="E212">
        <v>0.150889271371199</v>
      </c>
      <c r="F212">
        <v>-0.008239947264337001</v>
      </c>
      <c r="G212">
        <v>0.003970504821327</v>
      </c>
      <c r="H212">
        <v>0.234208367514356</v>
      </c>
      <c r="I212">
        <v>0.419882124774088</v>
      </c>
    </row>
    <row r="213" spans="1:9">
      <c r="A213" s="1" t="s">
        <v>225</v>
      </c>
      <c r="B213">
        <f>HYPERLINK("https://www.suredividend.com/sure-analysis-MGEE/","MGE Energy, Inc.")</f>
        <v>0</v>
      </c>
      <c r="C213">
        <v>-0.016190881976991</v>
      </c>
      <c r="D213">
        <v>0.040543179462528</v>
      </c>
      <c r="E213">
        <v>-0.09226598035143001</v>
      </c>
      <c r="F213">
        <v>-0.016051136363636</v>
      </c>
      <c r="G213">
        <v>-0.122057682850784</v>
      </c>
      <c r="H213">
        <v>0.06877861146726701</v>
      </c>
      <c r="I213">
        <v>0.250293305416674</v>
      </c>
    </row>
    <row r="214" spans="1:9">
      <c r="A214" s="1" t="s">
        <v>226</v>
      </c>
      <c r="B214">
        <f>HYPERLINK("https://www.suredividend.com/sure-analysis-MGRC/","McGrath Rentcorp")</f>
        <v>0</v>
      </c>
      <c r="C214">
        <v>0.01091658084449</v>
      </c>
      <c r="D214">
        <v>0.148904643021422</v>
      </c>
      <c r="E214">
        <v>0.290570264819338</v>
      </c>
      <c r="F214">
        <v>-0.005874012558233</v>
      </c>
      <c r="G214">
        <v>0.250321624093402</v>
      </c>
      <c r="H214">
        <v>0.5233318383492891</v>
      </c>
      <c r="I214">
        <v>1.263059972472559</v>
      </c>
    </row>
    <row r="215" spans="1:9">
      <c r="A215" s="1" t="s">
        <v>227</v>
      </c>
      <c r="B215">
        <f>HYPERLINK("https://www.suredividend.com/sure-analysis-MKC/","McCormick &amp; Co., Inc.")</f>
        <v>0</v>
      </c>
      <c r="C215">
        <v>0.00948883645205</v>
      </c>
      <c r="D215">
        <v>0.163322487595359</v>
      </c>
      <c r="E215">
        <v>0.018627187274216</v>
      </c>
      <c r="F215">
        <v>0.01882012305465</v>
      </c>
      <c r="G215">
        <v>-0.11292389527775</v>
      </c>
      <c r="H215">
        <v>-0.073046565003638</v>
      </c>
      <c r="I215">
        <v>0.774182027504548</v>
      </c>
    </row>
    <row r="216" spans="1:9">
      <c r="A216" s="1" t="s">
        <v>228</v>
      </c>
      <c r="B216">
        <f>HYPERLINK("https://www.suredividend.com/sure-analysis-MKTX/","MarketAxess Holdings Inc.")</f>
        <v>0</v>
      </c>
      <c r="C216">
        <v>0.047229440269682</v>
      </c>
      <c r="D216">
        <v>0.248592753112899</v>
      </c>
      <c r="E216">
        <v>0.132556978177116</v>
      </c>
      <c r="F216">
        <v>0.069346337265588</v>
      </c>
      <c r="G216">
        <v>-0.205230559888327</v>
      </c>
      <c r="H216">
        <v>-0.4534066914105691</v>
      </c>
      <c r="I216">
        <v>0.492362544567461</v>
      </c>
    </row>
    <row r="217" spans="1:9">
      <c r="A217" s="1" t="s">
        <v>229</v>
      </c>
      <c r="B217">
        <f>HYPERLINK("https://www.suredividend.com/sure-analysis-MMC/","Marsh &amp; McLennan Cos., Inc.")</f>
        <v>0</v>
      </c>
      <c r="C217">
        <v>-0.032212966738509</v>
      </c>
      <c r="D217">
        <v>0.047276853252647</v>
      </c>
      <c r="E217">
        <v>0.07165041517261901</v>
      </c>
      <c r="F217">
        <v>0.003988397389412</v>
      </c>
      <c r="G217">
        <v>0.022218202424307</v>
      </c>
      <c r="H217">
        <v>0.5175540835303271</v>
      </c>
      <c r="I217">
        <v>1.180864469787663</v>
      </c>
    </row>
    <row r="218" spans="1:9">
      <c r="A218" s="1" t="s">
        <v>230</v>
      </c>
      <c r="B218">
        <f>HYPERLINK("https://www.suredividend.com/sure-analysis-MMM/","3M Co.")</f>
        <v>0</v>
      </c>
      <c r="C218">
        <v>-0.013399663002487</v>
      </c>
      <c r="D218">
        <v>0.08013995437339801</v>
      </c>
      <c r="E218">
        <v>-0.027347544479706</v>
      </c>
      <c r="F218">
        <v>0.025350233488992</v>
      </c>
      <c r="G218">
        <v>-0.285900957668608</v>
      </c>
      <c r="H218">
        <v>-0.229268732981982</v>
      </c>
      <c r="I218">
        <v>-0.394982527512648</v>
      </c>
    </row>
    <row r="219" spans="1:9">
      <c r="A219" s="1" t="s">
        <v>231</v>
      </c>
      <c r="B219">
        <f>HYPERLINK("https://www.suredividend.com/sure-analysis-MMP/","Magellan Midstream Partners L.P.")</f>
        <v>0</v>
      </c>
      <c r="C219">
        <v>-0.008518877057115001</v>
      </c>
      <c r="D219">
        <v>0.082867600880504</v>
      </c>
      <c r="E219">
        <v>0.128739320949013</v>
      </c>
      <c r="F219">
        <v>0.019916351324437</v>
      </c>
      <c r="G219">
        <v>0.173330278382403</v>
      </c>
      <c r="H219">
        <v>0.4133485680220571</v>
      </c>
      <c r="I219">
        <v>0.041077955819749</v>
      </c>
    </row>
    <row r="220" spans="1:9">
      <c r="A220" s="1" t="s">
        <v>232</v>
      </c>
      <c r="B220">
        <f>HYPERLINK("https://www.suredividend.com/sure-analysis-research-database/","Monro Inc")</f>
        <v>0</v>
      </c>
      <c r="C220">
        <v>-0.032005086901229</v>
      </c>
      <c r="D220">
        <v>-0.003164902324566</v>
      </c>
      <c r="E220">
        <v>0.016931791866327</v>
      </c>
      <c r="F220">
        <v>0.010398230088495</v>
      </c>
      <c r="G220">
        <v>-0.19432801275809</v>
      </c>
      <c r="H220">
        <v>-0.133892911462501</v>
      </c>
      <c r="I220">
        <v>-0.178580871204286</v>
      </c>
    </row>
    <row r="221" spans="1:9">
      <c r="A221" s="1" t="s">
        <v>233</v>
      </c>
      <c r="B221">
        <f>HYPERLINK("https://www.suredividend.com/sure-analysis-MO/","Altria Group Inc.")</f>
        <v>0</v>
      </c>
      <c r="C221">
        <v>-0.018704525595439</v>
      </c>
      <c r="D221">
        <v>0.07942338758603601</v>
      </c>
      <c r="E221">
        <v>0.134777671617301</v>
      </c>
      <c r="F221">
        <v>-0.007438197330999</v>
      </c>
      <c r="G221">
        <v>0.00933922429711</v>
      </c>
      <c r="H221">
        <v>0.294082077376809</v>
      </c>
      <c r="I221">
        <v>-0.07913324456857</v>
      </c>
    </row>
    <row r="222" spans="1:9">
      <c r="A222" s="1" t="s">
        <v>234</v>
      </c>
      <c r="B222">
        <f>HYPERLINK("https://www.suredividend.com/sure-analysis-MORN/","Morningstar Inc")</f>
        <v>0</v>
      </c>
      <c r="C222">
        <v>-0.106430144148578</v>
      </c>
      <c r="D222">
        <v>-0.039759316586345</v>
      </c>
      <c r="E222">
        <v>-0.123901156908638</v>
      </c>
      <c r="F222">
        <v>-0.005971202625460001</v>
      </c>
      <c r="G222">
        <v>-0.326203181732967</v>
      </c>
      <c r="H222">
        <v>-0.070857039599136</v>
      </c>
      <c r="I222">
        <v>1.301904777204791</v>
      </c>
    </row>
    <row r="223" spans="1:9">
      <c r="A223" s="1" t="s">
        <v>235</v>
      </c>
      <c r="B223">
        <f>HYPERLINK("https://www.suredividend.com/sure-analysis-MRK/","Merck &amp; Co Inc")</f>
        <v>0</v>
      </c>
      <c r="C223">
        <v>0.03984137020420701</v>
      </c>
      <c r="D223">
        <v>0.294184370024667</v>
      </c>
      <c r="E223">
        <v>0.244765554914162</v>
      </c>
      <c r="F223">
        <v>0.024245155475439</v>
      </c>
      <c r="G223">
        <v>0.4869810646753011</v>
      </c>
      <c r="H223">
        <v>0.498797163838946</v>
      </c>
      <c r="I223">
        <v>1.329829568169656</v>
      </c>
    </row>
    <row r="224" spans="1:9">
      <c r="A224" s="1" t="s">
        <v>236</v>
      </c>
      <c r="B224">
        <f>HYPERLINK("https://www.suredividend.com/sure-analysis-MSA/","MSA Safety Inc")</f>
        <v>0</v>
      </c>
      <c r="C224">
        <v>0.015466513200489</v>
      </c>
      <c r="D224">
        <v>0.205667216716034</v>
      </c>
      <c r="E224">
        <v>0.152599390876207</v>
      </c>
      <c r="F224">
        <v>-0.021013939940356</v>
      </c>
      <c r="G224">
        <v>-0.022041478022606</v>
      </c>
      <c r="H224">
        <v>-0.027619437967341</v>
      </c>
      <c r="I224">
        <v>0.9256688548027131</v>
      </c>
    </row>
    <row r="225" spans="1:9">
      <c r="A225" s="1" t="s">
        <v>237</v>
      </c>
      <c r="B225">
        <f>HYPERLINK("https://www.suredividend.com/sure-analysis-MSEX/","Middlesex Water Co.")</f>
        <v>0</v>
      </c>
      <c r="C225">
        <v>-0.141941189476011</v>
      </c>
      <c r="D225">
        <v>-0.01861868240518</v>
      </c>
      <c r="E225">
        <v>-0.127459290051776</v>
      </c>
      <c r="F225">
        <v>-0.013346892080843</v>
      </c>
      <c r="G225">
        <v>-0.335607321843557</v>
      </c>
      <c r="H225">
        <v>0.123393859397749</v>
      </c>
      <c r="I225">
        <v>1.234234856596779</v>
      </c>
    </row>
    <row r="226" spans="1:9">
      <c r="A226" s="1" t="s">
        <v>238</v>
      </c>
      <c r="B226">
        <f>HYPERLINK("https://www.suredividend.com/sure-analysis-MSFT/","Microsoft Corporation")</f>
        <v>0</v>
      </c>
      <c r="C226">
        <v>-0.111470823341326</v>
      </c>
      <c r="D226">
        <v>-0.105391274114214</v>
      </c>
      <c r="E226">
        <v>-0.150048498199812</v>
      </c>
      <c r="F226">
        <v>-0.07301309315319801</v>
      </c>
      <c r="G226">
        <v>-0.290748238116659</v>
      </c>
      <c r="H226">
        <v>0.038430475699344</v>
      </c>
      <c r="I226">
        <v>1.676827638356744</v>
      </c>
    </row>
    <row r="227" spans="1:9">
      <c r="A227" s="1" t="s">
        <v>239</v>
      </c>
      <c r="B227">
        <f>HYPERLINK("https://www.suredividend.com/sure-analysis-research-database/","Motorola Solutions Inc")</f>
        <v>0</v>
      </c>
      <c r="C227">
        <v>-0.04573242804092301</v>
      </c>
      <c r="D227">
        <v>0.08065154240218701</v>
      </c>
      <c r="E227">
        <v>0.20994935779538</v>
      </c>
      <c r="F227">
        <v>-0.010050056264793</v>
      </c>
      <c r="G227">
        <v>-0.001527140599475</v>
      </c>
      <c r="H227">
        <v>0.573574410788532</v>
      </c>
      <c r="I227">
        <v>1.999650793240204</v>
      </c>
    </row>
    <row r="228" spans="1:9">
      <c r="A228" s="1" t="s">
        <v>240</v>
      </c>
      <c r="B228">
        <f>HYPERLINK("https://www.suredividend.com/sure-analysis-NDSN/","Nordson Corp.")</f>
        <v>0</v>
      </c>
      <c r="C228">
        <v>-0.033429847302615</v>
      </c>
      <c r="D228">
        <v>0.03199526721418301</v>
      </c>
      <c r="E228">
        <v>0.150046704691193</v>
      </c>
      <c r="F228">
        <v>-0.033568904593639</v>
      </c>
      <c r="G228">
        <v>-0.04462611546575401</v>
      </c>
      <c r="H228">
        <v>0.1742187080732</v>
      </c>
      <c r="I228">
        <v>0.613276987313718</v>
      </c>
    </row>
    <row r="229" spans="1:9">
      <c r="A229" s="1" t="s">
        <v>241</v>
      </c>
      <c r="B229">
        <f>HYPERLINK("https://www.suredividend.com/sure-analysis-NEE/","NextEra Energy Inc")</f>
        <v>0</v>
      </c>
      <c r="C229">
        <v>-0.029594832648267</v>
      </c>
      <c r="D229">
        <v>0.015649583071113</v>
      </c>
      <c r="E229">
        <v>0.05489056611481601</v>
      </c>
      <c r="F229">
        <v>-0.011602870813397</v>
      </c>
      <c r="G229">
        <v>-0.05948263007948201</v>
      </c>
      <c r="H229">
        <v>0.1448578383898</v>
      </c>
      <c r="I229">
        <v>1.423152943384496</v>
      </c>
    </row>
    <row r="230" spans="1:9">
      <c r="A230" s="1" t="s">
        <v>242</v>
      </c>
      <c r="B230">
        <f>HYPERLINK("https://www.suredividend.com/sure-analysis-NFG/","National Fuel Gas Co.")</f>
        <v>0</v>
      </c>
      <c r="C230">
        <v>-0.035884734948298</v>
      </c>
      <c r="D230">
        <v>-0.06843148349117101</v>
      </c>
      <c r="E230">
        <v>-0.050799401433409</v>
      </c>
      <c r="F230">
        <v>-0.048025276461295</v>
      </c>
      <c r="G230">
        <v>-0.040578773322804</v>
      </c>
      <c r="H230">
        <v>0.518852064413845</v>
      </c>
      <c r="I230">
        <v>0.276473155087463</v>
      </c>
    </row>
    <row r="231" spans="1:9">
      <c r="A231" s="1" t="s">
        <v>243</v>
      </c>
      <c r="B231">
        <f>HYPERLINK("https://www.suredividend.com/sure-analysis-NHC/","National Healthcare Corp.")</f>
        <v>0</v>
      </c>
      <c r="C231">
        <v>-0.05674595984142401</v>
      </c>
      <c r="D231">
        <v>-0.113552775439205</v>
      </c>
      <c r="E231">
        <v>-0.189594215128544</v>
      </c>
      <c r="F231">
        <v>-0.063865546218487</v>
      </c>
      <c r="G231">
        <v>-0.175818484748942</v>
      </c>
      <c r="H231">
        <v>-0.140641633675739</v>
      </c>
      <c r="I231">
        <v>0.027868713300289</v>
      </c>
    </row>
    <row r="232" spans="1:9">
      <c r="A232" s="1" t="s">
        <v>244</v>
      </c>
      <c r="B232">
        <f>HYPERLINK("https://www.suredividend.com/sure-analysis-research-database/","NiSource Inc")</f>
        <v>0</v>
      </c>
      <c r="C232">
        <v>-0.013813158851326</v>
      </c>
      <c r="D232">
        <v>0.04677498389131701</v>
      </c>
      <c r="E232">
        <v>-0.033101914550871</v>
      </c>
      <c r="F232">
        <v>-0.010576221735959</v>
      </c>
      <c r="G232">
        <v>0.009961879802251002</v>
      </c>
      <c r="H232">
        <v>0.290915060358486</v>
      </c>
      <c r="I232">
        <v>0.286971371646782</v>
      </c>
    </row>
    <row r="233" spans="1:9">
      <c r="A233" s="1" t="s">
        <v>245</v>
      </c>
      <c r="B233">
        <f>HYPERLINK("https://www.suredividend.com/sure-analysis-NJR/","New Jersey Resources Corporation")</f>
        <v>0</v>
      </c>
      <c r="C233">
        <v>0.019954369918068</v>
      </c>
      <c r="D233">
        <v>0.227572712086774</v>
      </c>
      <c r="E233">
        <v>0.162694735452168</v>
      </c>
      <c r="F233">
        <v>-0.006247480854494</v>
      </c>
      <c r="G233">
        <v>0.292167072406952</v>
      </c>
      <c r="H233">
        <v>0.567666208861081</v>
      </c>
      <c r="I233">
        <v>0.470000775096738</v>
      </c>
    </row>
    <row r="234" spans="1:9">
      <c r="A234" s="1" t="s">
        <v>246</v>
      </c>
      <c r="B234">
        <f>HYPERLINK("https://www.suredividend.com/sure-analysis-NKE/","Nike, Inc.")</f>
        <v>0</v>
      </c>
      <c r="C234">
        <v>0.10034665207079</v>
      </c>
      <c r="D234">
        <v>0.328104010957794</v>
      </c>
      <c r="E234">
        <v>0.16313044283236</v>
      </c>
      <c r="F234">
        <v>0.03085206392616</v>
      </c>
      <c r="G234">
        <v>-0.248591966499984</v>
      </c>
      <c r="H234">
        <v>-0.130264864705063</v>
      </c>
      <c r="I234">
        <v>0.9756540197729191</v>
      </c>
    </row>
    <row r="235" spans="1:9">
      <c r="A235" s="1" t="s">
        <v>247</v>
      </c>
      <c r="B235">
        <f>HYPERLINK("https://www.suredividend.com/sure-analysis-NNN/","National Retail Properties Inc")</f>
        <v>0</v>
      </c>
      <c r="C235">
        <v>0.009398907103825</v>
      </c>
      <c r="D235">
        <v>0.172873056428959</v>
      </c>
      <c r="E235">
        <v>0.07345670259577501</v>
      </c>
      <c r="F235">
        <v>0.009178321678321002</v>
      </c>
      <c r="G235">
        <v>0.019513821278211</v>
      </c>
      <c r="H235">
        <v>0.299823518980857</v>
      </c>
      <c r="I235">
        <v>0.412504549806231</v>
      </c>
    </row>
    <row r="236" spans="1:9">
      <c r="A236" s="1" t="s">
        <v>248</v>
      </c>
      <c r="B236">
        <f>HYPERLINK("https://www.suredividend.com/sure-analysis-NOC/","Northrop Grumman Corp.")</f>
        <v>0</v>
      </c>
      <c r="C236">
        <v>-0.023844264263154</v>
      </c>
      <c r="D236">
        <v>0.09096914026215201</v>
      </c>
      <c r="E236">
        <v>0.142164615026211</v>
      </c>
      <c r="F236">
        <v>-0.031322739685856</v>
      </c>
      <c r="G236">
        <v>0.35311650493888</v>
      </c>
      <c r="H236">
        <v>0.826263123285891</v>
      </c>
      <c r="I236">
        <v>0.8284479123097801</v>
      </c>
    </row>
    <row r="237" spans="1:9">
      <c r="A237" s="1" t="s">
        <v>249</v>
      </c>
      <c r="B237">
        <f>HYPERLINK("https://www.suredividend.com/sure-analysis-research-database/","Neenah Inc")</f>
        <v>0</v>
      </c>
      <c r="C237">
        <v>-0.160765801206399</v>
      </c>
      <c r="D237">
        <v>-0.207023786808345</v>
      </c>
      <c r="E237">
        <v>-0.308257674016428</v>
      </c>
      <c r="F237">
        <v>-0.292861436198423</v>
      </c>
      <c r="G237">
        <v>-0.331461425324241</v>
      </c>
      <c r="H237">
        <v>-0.299431663937369</v>
      </c>
      <c r="I237">
        <v>-0.528915740691669</v>
      </c>
    </row>
    <row r="238" spans="1:9">
      <c r="A238" s="1" t="s">
        <v>250</v>
      </c>
      <c r="B238">
        <f>HYPERLINK("https://www.suredividend.com/sure-analysis-NSP/","Insperity Inc")</f>
        <v>0</v>
      </c>
      <c r="C238">
        <v>-0.06666101982043</v>
      </c>
      <c r="D238">
        <v>0.032219022656547</v>
      </c>
      <c r="E238">
        <v>0.107766732615933</v>
      </c>
      <c r="F238">
        <v>-0.030017605633802</v>
      </c>
      <c r="G238">
        <v>-0.004227447138837001</v>
      </c>
      <c r="H238">
        <v>0.4416849619397261</v>
      </c>
      <c r="I238">
        <v>1.079794342144005</v>
      </c>
    </row>
    <row r="239" spans="1:9">
      <c r="A239" s="1" t="s">
        <v>251</v>
      </c>
      <c r="B239">
        <f>HYPERLINK("https://www.suredividend.com/sure-analysis-NUE/","Nucor Corp.")</f>
        <v>0</v>
      </c>
      <c r="C239">
        <v>-0.0889819664296</v>
      </c>
      <c r="D239">
        <v>0.167355609482283</v>
      </c>
      <c r="E239">
        <v>0.321407084014686</v>
      </c>
      <c r="F239">
        <v>0.039754191639481</v>
      </c>
      <c r="G239">
        <v>0.135309321051062</v>
      </c>
      <c r="H239">
        <v>1.622841012391751</v>
      </c>
      <c r="I239">
        <v>1.295487244594592</v>
      </c>
    </row>
    <row r="240" spans="1:9">
      <c r="A240" s="1" t="s">
        <v>252</v>
      </c>
      <c r="B240">
        <f>HYPERLINK("https://www.suredividend.com/sure-analysis-NUS/","Nu Skin Enterprises, Inc.")</f>
        <v>0</v>
      </c>
      <c r="C240">
        <v>0.031715521383949</v>
      </c>
      <c r="D240">
        <v>0.202888725789553</v>
      </c>
      <c r="E240">
        <v>-0.033383607590662</v>
      </c>
      <c r="F240">
        <v>0.018500948766603</v>
      </c>
      <c r="G240">
        <v>-0.165101474974431</v>
      </c>
      <c r="H240">
        <v>-0.197077016282844</v>
      </c>
      <c r="I240">
        <v>-0.269927791880114</v>
      </c>
    </row>
    <row r="241" spans="1:9">
      <c r="A241" s="1" t="s">
        <v>253</v>
      </c>
      <c r="B241">
        <f>HYPERLINK("https://www.suredividend.com/sure-analysis-NWBI/","Northwest Bancshares Inc")</f>
        <v>0</v>
      </c>
      <c r="C241">
        <v>-0.03424178895877</v>
      </c>
      <c r="D241">
        <v>0.008332238906156001</v>
      </c>
      <c r="E241">
        <v>0.09104114693529501</v>
      </c>
      <c r="F241">
        <v>-0.011444921316165</v>
      </c>
      <c r="G241">
        <v>0.020370493425181</v>
      </c>
      <c r="H241">
        <v>0.223626076870634</v>
      </c>
      <c r="I241">
        <v>0.09135993556080201</v>
      </c>
    </row>
    <row r="242" spans="1:9">
      <c r="A242" s="1" t="s">
        <v>254</v>
      </c>
      <c r="B242">
        <f>HYPERLINK("https://www.suredividend.com/sure-analysis-NWE/","Northwestern Corp.")</f>
        <v>0</v>
      </c>
      <c r="C242">
        <v>0.014532016282526</v>
      </c>
      <c r="D242">
        <v>0.169885754908734</v>
      </c>
      <c r="E242">
        <v>0.038409786150151</v>
      </c>
      <c r="F242">
        <v>-0.015503875968992</v>
      </c>
      <c r="G242">
        <v>0.07109724213544701</v>
      </c>
      <c r="H242">
        <v>0.120502979632623</v>
      </c>
      <c r="I242">
        <v>0.240055358856143</v>
      </c>
    </row>
    <row r="243" spans="1:9">
      <c r="A243" s="1" t="s">
        <v>255</v>
      </c>
      <c r="B243">
        <f>HYPERLINK("https://www.suredividend.com/sure-analysis-NWN/","Northwest Natural Holding Co")</f>
        <v>0</v>
      </c>
      <c r="C243">
        <v>0.017747728713289</v>
      </c>
      <c r="D243">
        <v>0.101821883184464</v>
      </c>
      <c r="E243">
        <v>-0.052780405119744</v>
      </c>
      <c r="F243">
        <v>0.012187434334944</v>
      </c>
      <c r="G243">
        <v>0.010915028153259</v>
      </c>
      <c r="H243">
        <v>0.185025917060486</v>
      </c>
      <c r="I243">
        <v>-0.180638785365463</v>
      </c>
    </row>
    <row r="244" spans="1:9">
      <c r="A244" s="1" t="s">
        <v>256</v>
      </c>
      <c r="B244">
        <f>HYPERLINK("https://www.suredividend.com/sure-analysis-O/","Realty Income Corp.")</f>
        <v>0</v>
      </c>
      <c r="C244">
        <v>0.022445740535239</v>
      </c>
      <c r="D244">
        <v>0.077731306742833</v>
      </c>
      <c r="E244">
        <v>-0.06375172804934201</v>
      </c>
      <c r="F244">
        <v>-0.0006306164275570001</v>
      </c>
      <c r="G244">
        <v>-0.071015507988475</v>
      </c>
      <c r="H244">
        <v>0.1448582517749</v>
      </c>
      <c r="I244">
        <v>0.4179621966223011</v>
      </c>
    </row>
    <row r="245" spans="1:9">
      <c r="A245" s="1" t="s">
        <v>257</v>
      </c>
      <c r="B245">
        <f>HYPERLINK("https://www.suredividend.com/sure-analysis-OGE/","Oge Energy Corp.")</f>
        <v>0</v>
      </c>
      <c r="C245">
        <v>-0.019747886257088</v>
      </c>
      <c r="D245">
        <v>0.045415345316005</v>
      </c>
      <c r="E245">
        <v>0.022030298664361</v>
      </c>
      <c r="F245">
        <v>-0.020985508727988</v>
      </c>
      <c r="G245">
        <v>0.07025729716439401</v>
      </c>
      <c r="H245">
        <v>0.328575937403537</v>
      </c>
      <c r="I245">
        <v>0.475789984666476</v>
      </c>
    </row>
    <row r="246" spans="1:9">
      <c r="A246" s="1" t="s">
        <v>258</v>
      </c>
      <c r="B246">
        <f>HYPERLINK("https://www.suredividend.com/sure-analysis-ORCL/","Oracle Corp.")</f>
        <v>0</v>
      </c>
      <c r="C246">
        <v>0.061437743925468</v>
      </c>
      <c r="D246">
        <v>0.2716593865386</v>
      </c>
      <c r="E246">
        <v>0.182420350364431</v>
      </c>
      <c r="F246">
        <v>0.031441154881331</v>
      </c>
      <c r="G246">
        <v>-0.007947247409554001</v>
      </c>
      <c r="H246">
        <v>0.38333079014424</v>
      </c>
      <c r="I246">
        <v>0.889570717144867</v>
      </c>
    </row>
    <row r="247" spans="1:9">
      <c r="A247" s="1" t="s">
        <v>259</v>
      </c>
      <c r="B247">
        <f>HYPERLINK("https://www.suredividend.com/sure-analysis-ORI/","Old Republic International Corp.")</f>
        <v>0</v>
      </c>
      <c r="C247">
        <v>0.014303744215397</v>
      </c>
      <c r="D247">
        <v>0.09685637596105701</v>
      </c>
      <c r="E247">
        <v>0.100878054126123</v>
      </c>
      <c r="F247">
        <v>-0.001656314699792</v>
      </c>
      <c r="G247">
        <v>0.022849724666332</v>
      </c>
      <c r="H247">
        <v>0.513525050691475</v>
      </c>
      <c r="I247">
        <v>0.651279381951673</v>
      </c>
    </row>
    <row r="248" spans="1:9">
      <c r="A248" s="1" t="s">
        <v>260</v>
      </c>
      <c r="B248">
        <f>HYPERLINK("https://www.suredividend.com/sure-analysis-OZK/","Bank OZK")</f>
        <v>0</v>
      </c>
      <c r="C248">
        <v>-0.08311810284104201</v>
      </c>
      <c r="D248">
        <v>-0.07420358986152101</v>
      </c>
      <c r="E248">
        <v>0.034387764292033</v>
      </c>
      <c r="F248">
        <v>-0.025212181727409</v>
      </c>
      <c r="G248">
        <v>-0.185035541215705</v>
      </c>
      <c r="H248">
        <v>0.295654828263523</v>
      </c>
      <c r="I248">
        <v>-0.21374625245893</v>
      </c>
    </row>
    <row r="249" spans="1:9">
      <c r="A249" s="1" t="s">
        <v>261</v>
      </c>
      <c r="B249">
        <f>HYPERLINK("https://www.suredividend.com/sure-analysis-PAYX/","Paychex Inc.")</f>
        <v>0</v>
      </c>
      <c r="C249">
        <v>-0.07167789593311101</v>
      </c>
      <c r="D249">
        <v>0.004873230971465001</v>
      </c>
      <c r="E249">
        <v>0.002401696965447</v>
      </c>
      <c r="F249">
        <v>-0.010384215991692</v>
      </c>
      <c r="G249">
        <v>-0.109209123206597</v>
      </c>
      <c r="H249">
        <v>0.335811210955614</v>
      </c>
      <c r="I249">
        <v>0.9271374863292211</v>
      </c>
    </row>
    <row r="250" spans="1:9">
      <c r="A250" s="1" t="s">
        <v>262</v>
      </c>
      <c r="B250">
        <f>HYPERLINK("https://www.suredividend.com/sure-analysis-PB/","Prosperity Bancshares Inc.")</f>
        <v>0</v>
      </c>
      <c r="C250">
        <v>0.009197573690648001</v>
      </c>
      <c r="D250">
        <v>0.026361799618585</v>
      </c>
      <c r="E250">
        <v>0.05841906323191801</v>
      </c>
      <c r="F250">
        <v>-0.003302146395157</v>
      </c>
      <c r="G250">
        <v>0.008677635316527</v>
      </c>
      <c r="H250">
        <v>0.117377032996865</v>
      </c>
      <c r="I250">
        <v>0.19020626517743</v>
      </c>
    </row>
    <row r="251" spans="1:9">
      <c r="A251" s="1" t="s">
        <v>263</v>
      </c>
      <c r="B251">
        <f>HYPERLINK("https://www.suredividend.com/sure-analysis-PEG/","Public Service Enterprise Group Inc.")</f>
        <v>0</v>
      </c>
      <c r="C251">
        <v>0.023321072009188</v>
      </c>
      <c r="D251">
        <v>0.05482428512010801</v>
      </c>
      <c r="E251">
        <v>-0.006154621657438001</v>
      </c>
      <c r="F251">
        <v>-0.002448180186061</v>
      </c>
      <c r="G251">
        <v>-0.040295950620463</v>
      </c>
      <c r="H251">
        <v>0.162573944800562</v>
      </c>
      <c r="I251">
        <v>0.421200346929142</v>
      </c>
    </row>
    <row r="252" spans="1:9">
      <c r="A252" s="1" t="s">
        <v>264</v>
      </c>
      <c r="B252">
        <f>HYPERLINK("https://www.suredividend.com/sure-analysis-PEP/","PepsiCo Inc")</f>
        <v>0</v>
      </c>
      <c r="C252">
        <v>-0.032874617737003</v>
      </c>
      <c r="D252">
        <v>0.07352266369402101</v>
      </c>
      <c r="E252">
        <v>0.061489681792844</v>
      </c>
      <c r="F252">
        <v>-0.019705524189084</v>
      </c>
      <c r="G252">
        <v>0.04613014544221501</v>
      </c>
      <c r="H252">
        <v>0.293367238883687</v>
      </c>
      <c r="I252">
        <v>0.713022745189075</v>
      </c>
    </row>
    <row r="253" spans="1:9">
      <c r="A253" s="1" t="s">
        <v>265</v>
      </c>
      <c r="B253">
        <f>HYPERLINK("https://www.suredividend.com/sure-analysis-PETS/","Petmed Express, Inc.")</f>
        <v>0</v>
      </c>
      <c r="C253">
        <v>-0.07139188495120601</v>
      </c>
      <c r="D253">
        <v>-0.071859053994394</v>
      </c>
      <c r="E253">
        <v>-0.115009593922543</v>
      </c>
      <c r="F253">
        <v>0.021468926553672</v>
      </c>
      <c r="G253">
        <v>-0.240875176870205</v>
      </c>
      <c r="H253">
        <v>-0.414752256991088</v>
      </c>
      <c r="I253">
        <v>-0.536881687103128</v>
      </c>
    </row>
    <row r="254" spans="1:9">
      <c r="A254" s="1" t="s">
        <v>266</v>
      </c>
      <c r="B254">
        <f>HYPERLINK("https://www.suredividend.com/sure-analysis-research-database/","Premier Financial Corp")</f>
        <v>0</v>
      </c>
      <c r="C254">
        <v>-0.021715526601519</v>
      </c>
      <c r="D254">
        <v>0.031317247378783</v>
      </c>
      <c r="E254">
        <v>0.073462482426668</v>
      </c>
      <c r="F254">
        <v>0.00222469410456</v>
      </c>
      <c r="G254">
        <v>-0.09290736110878001</v>
      </c>
      <c r="H254">
        <v>0.270033689017944</v>
      </c>
      <c r="I254">
        <v>0.118124958633926</v>
      </c>
    </row>
    <row r="255" spans="1:9">
      <c r="A255" s="1" t="s">
        <v>267</v>
      </c>
      <c r="B255">
        <f>HYPERLINK("https://www.suredividend.com/sure-analysis-PFE/","Pfizer Inc.")</f>
        <v>0</v>
      </c>
      <c r="C255">
        <v>-0.021092055982653</v>
      </c>
      <c r="D255">
        <v>0.135212858125824</v>
      </c>
      <c r="E255">
        <v>-0.022573705539995</v>
      </c>
      <c r="F255">
        <v>-0.030835284933645</v>
      </c>
      <c r="G255">
        <v>-0.07832561868738401</v>
      </c>
      <c r="H255">
        <v>0.432614333643935</v>
      </c>
      <c r="I255">
        <v>0.616089298208503</v>
      </c>
    </row>
    <row r="256" spans="1:9">
      <c r="A256" s="1" t="s">
        <v>268</v>
      </c>
      <c r="B256">
        <f>HYPERLINK("https://www.suredividend.com/sure-analysis-PFG/","Principal Financial Group Inc")</f>
        <v>0</v>
      </c>
      <c r="C256">
        <v>-0.061499110320284</v>
      </c>
      <c r="D256">
        <v>0.082331032466083</v>
      </c>
      <c r="E256">
        <v>0.287858208932446</v>
      </c>
      <c r="F256">
        <v>0.005600571973307</v>
      </c>
      <c r="G256">
        <v>0.17694969338501</v>
      </c>
      <c r="H256">
        <v>0.857828460725607</v>
      </c>
      <c r="I256">
        <v>0.432823353034159</v>
      </c>
    </row>
    <row r="257" spans="1:9">
      <c r="A257" s="1" t="s">
        <v>269</v>
      </c>
      <c r="B257">
        <f>HYPERLINK("https://www.suredividend.com/sure-analysis-PG/","Procter &amp; Gamble Co.")</f>
        <v>0</v>
      </c>
      <c r="C257">
        <v>0.008384197464618</v>
      </c>
      <c r="D257">
        <v>0.171883525659213</v>
      </c>
      <c r="E257">
        <v>0.053148482447642</v>
      </c>
      <c r="F257">
        <v>-0.008049617313275</v>
      </c>
      <c r="G257">
        <v>-0.06173197013818701</v>
      </c>
      <c r="H257">
        <v>0.138768578652596</v>
      </c>
      <c r="I257">
        <v>0.888029336414326</v>
      </c>
    </row>
    <row r="258" spans="1:9">
      <c r="A258" s="1" t="s">
        <v>270</v>
      </c>
      <c r="B258">
        <f>HYPERLINK("https://www.suredividend.com/sure-analysis-PII/","Polaris Inc")</f>
        <v>0</v>
      </c>
      <c r="C258">
        <v>-0.080878366166636</v>
      </c>
      <c r="D258">
        <v>0.014069958962619</v>
      </c>
      <c r="E258">
        <v>-0.046267870170154</v>
      </c>
      <c r="F258">
        <v>0.007029702970297</v>
      </c>
      <c r="G258">
        <v>-0.09135577472841601</v>
      </c>
      <c r="H258">
        <v>0.07428074100127401</v>
      </c>
      <c r="I258">
        <v>-0.09510998181501101</v>
      </c>
    </row>
    <row r="259" spans="1:9">
      <c r="A259" s="1" t="s">
        <v>271</v>
      </c>
      <c r="B259">
        <f>HYPERLINK("https://www.suredividend.com/sure-analysis-PKG/","Packaging Corp Of America")</f>
        <v>0</v>
      </c>
      <c r="C259">
        <v>-0.032944515675561</v>
      </c>
      <c r="D259">
        <v>0.116904314116009</v>
      </c>
      <c r="E259">
        <v>-0.033507264322517</v>
      </c>
      <c r="F259">
        <v>0.015401454147447</v>
      </c>
      <c r="G259">
        <v>-0.03132385987758</v>
      </c>
      <c r="H259">
        <v>0.009700525995823</v>
      </c>
      <c r="I259">
        <v>0.179771657684548</v>
      </c>
    </row>
    <row r="260" spans="1:9">
      <c r="A260" s="1" t="s">
        <v>272</v>
      </c>
      <c r="B260">
        <f>HYPERLINK("https://www.suredividend.com/sure-analysis-research-database/","Douglas Dynamics Inc")</f>
        <v>0</v>
      </c>
      <c r="C260">
        <v>-0.041162531582003</v>
      </c>
      <c r="D260">
        <v>0.256395932649501</v>
      </c>
      <c r="E260">
        <v>0.270103035636333</v>
      </c>
      <c r="F260">
        <v>0.013827433628318</v>
      </c>
      <c r="G260">
        <v>-0.04352159381759</v>
      </c>
      <c r="H260">
        <v>-0.062255395996296</v>
      </c>
      <c r="I260">
        <v>0.06018410070881301</v>
      </c>
    </row>
    <row r="261" spans="1:9">
      <c r="A261" s="1" t="s">
        <v>273</v>
      </c>
      <c r="B261">
        <f>HYPERLINK("https://www.suredividend.com/sure-analysis-PM/","Philip Morris International Inc")</f>
        <v>0</v>
      </c>
      <c r="C261">
        <v>-0.013288600850674</v>
      </c>
      <c r="D261">
        <v>0.174025187626272</v>
      </c>
      <c r="E261">
        <v>0.055642693951571</v>
      </c>
      <c r="F261">
        <v>-0.003853374172512</v>
      </c>
      <c r="G261">
        <v>0.107398547047413</v>
      </c>
      <c r="H261">
        <v>0.357408187802175</v>
      </c>
      <c r="I261">
        <v>0.277863754526453</v>
      </c>
    </row>
    <row r="262" spans="1:9">
      <c r="A262" s="1" t="s">
        <v>274</v>
      </c>
      <c r="B262">
        <f>HYPERLINK("https://www.suredividend.com/sure-analysis-PNC/","PNC Financial Services Group Inc")</f>
        <v>0</v>
      </c>
      <c r="C262">
        <v>0.04088563777676101</v>
      </c>
      <c r="D262">
        <v>0.010790988186614</v>
      </c>
      <c r="E262">
        <v>0.008562369871596</v>
      </c>
      <c r="F262">
        <v>0.009054071166265</v>
      </c>
      <c r="G262">
        <v>-0.22447386656493</v>
      </c>
      <c r="H262">
        <v>0.139993032859295</v>
      </c>
      <c r="I262">
        <v>0.280290103759973</v>
      </c>
    </row>
    <row r="263" spans="1:9">
      <c r="A263" s="1" t="s">
        <v>275</v>
      </c>
      <c r="B263">
        <f>HYPERLINK("https://www.suredividend.com/sure-analysis-PNW/","Pinnacle West Capital Corp.")</f>
        <v>0</v>
      </c>
      <c r="C263">
        <v>-0.054071410223477</v>
      </c>
      <c r="D263">
        <v>0.142514089455828</v>
      </c>
      <c r="E263">
        <v>0.053101179215943</v>
      </c>
      <c r="F263">
        <v>-0.031430825881115</v>
      </c>
      <c r="G263">
        <v>0.106128235781784</v>
      </c>
      <c r="H263">
        <v>0.03826276717820901</v>
      </c>
      <c r="I263">
        <v>0.08791345142573501</v>
      </c>
    </row>
    <row r="264" spans="1:9">
      <c r="A264" s="1" t="s">
        <v>276</v>
      </c>
      <c r="B264">
        <f>HYPERLINK("https://www.suredividend.com/sure-analysis-POOL/","Pool Corporation")</f>
        <v>0</v>
      </c>
      <c r="C264">
        <v>-0.05345037643310101</v>
      </c>
      <c r="D264">
        <v>-0.081219582455236</v>
      </c>
      <c r="E264">
        <v>-0.161314859009554</v>
      </c>
      <c r="F264">
        <v>0.002216121456686</v>
      </c>
      <c r="G264">
        <v>-0.4217217347889911</v>
      </c>
      <c r="H264">
        <v>-0.136330144215763</v>
      </c>
      <c r="I264">
        <v>1.406327927698978</v>
      </c>
    </row>
    <row r="265" spans="1:9">
      <c r="A265" s="1" t="s">
        <v>277</v>
      </c>
      <c r="B265">
        <f>HYPERLINK("https://www.suredividend.com/sure-analysis-POR/","Portland General Electric Co")</f>
        <v>0</v>
      </c>
      <c r="C265">
        <v>0.002320263004834</v>
      </c>
      <c r="D265">
        <v>0.077538872528585</v>
      </c>
      <c r="E265">
        <v>0.023242153831092</v>
      </c>
      <c r="F265">
        <v>-0.018775510204081</v>
      </c>
      <c r="G265">
        <v>-0.056438999213045</v>
      </c>
      <c r="H265">
        <v>0.250718616925802</v>
      </c>
      <c r="I265">
        <v>0.301753359974874</v>
      </c>
    </row>
    <row r="266" spans="1:9">
      <c r="A266" s="1" t="s">
        <v>278</v>
      </c>
      <c r="B266">
        <f>HYPERLINK("https://www.suredividend.com/sure-analysis-PPG/","PPG Industries, Inc.")</f>
        <v>0</v>
      </c>
      <c r="C266">
        <v>-0.08529608440448701</v>
      </c>
      <c r="D266">
        <v>0.029434759958826</v>
      </c>
      <c r="E266">
        <v>0.047237550496823</v>
      </c>
      <c r="F266">
        <v>-0.020916176236678</v>
      </c>
      <c r="G266">
        <v>-0.275385350670876</v>
      </c>
      <c r="H266">
        <v>-0.118575917669792</v>
      </c>
      <c r="I266">
        <v>0.127514147733569</v>
      </c>
    </row>
    <row r="267" spans="1:9">
      <c r="A267" s="1" t="s">
        <v>279</v>
      </c>
      <c r="B267">
        <f>HYPERLINK("https://www.suredividend.com/sure-analysis-PRGO/","Perrigo Company plc")</f>
        <v>0</v>
      </c>
      <c r="C267">
        <v>0.116315624017604</v>
      </c>
      <c r="D267">
        <v>-0.078064636729946</v>
      </c>
      <c r="E267">
        <v>-0.116440281962791</v>
      </c>
      <c r="F267">
        <v>0.041654444118509</v>
      </c>
      <c r="G267">
        <v>-0.085846975263034</v>
      </c>
      <c r="H267">
        <v>-0.154596272700435</v>
      </c>
      <c r="I267">
        <v>-0.5708699098959741</v>
      </c>
    </row>
    <row r="268" spans="1:9">
      <c r="A268" s="1" t="s">
        <v>280</v>
      </c>
      <c r="B268">
        <f>HYPERLINK("https://www.suredividend.com/sure-analysis-PRI/","Primerica Inc")</f>
        <v>0</v>
      </c>
      <c r="C268">
        <v>0.012499112278957</v>
      </c>
      <c r="D268">
        <v>0.091351401831957</v>
      </c>
      <c r="E268">
        <v>0.187190961460635</v>
      </c>
      <c r="F268">
        <v>0.005288393738541001</v>
      </c>
      <c r="G268">
        <v>-0.050805886241845</v>
      </c>
      <c r="H268">
        <v>0.116142376458688</v>
      </c>
      <c r="I268">
        <v>0.459261556538836</v>
      </c>
    </row>
    <row r="269" spans="1:9">
      <c r="A269" s="1" t="s">
        <v>281</v>
      </c>
      <c r="B269">
        <f>HYPERLINK("https://www.suredividend.com/sure-analysis-PRU/","Prudential Financial Inc.")</f>
        <v>0</v>
      </c>
      <c r="C269">
        <v>-0.050601489402329</v>
      </c>
      <c r="D269">
        <v>0.07268683024493501</v>
      </c>
      <c r="E269">
        <v>0.06729404895556701</v>
      </c>
      <c r="F269">
        <v>-0.000201085863663</v>
      </c>
      <c r="G269">
        <v>-0.06607711062440601</v>
      </c>
      <c r="H269">
        <v>0.413596340343505</v>
      </c>
      <c r="I269">
        <v>0.03759616598617</v>
      </c>
    </row>
    <row r="270" spans="1:9">
      <c r="A270" s="1" t="s">
        <v>282</v>
      </c>
      <c r="B270">
        <f>HYPERLINK("https://www.suredividend.com/sure-analysis-QCOM/","Qualcomm, Inc.")</f>
        <v>0</v>
      </c>
      <c r="C270">
        <v>-0.112733171127331</v>
      </c>
      <c r="D270">
        <v>-0.118444336286893</v>
      </c>
      <c r="E270">
        <v>-0.120119740925933</v>
      </c>
      <c r="F270">
        <v>-0.004911770056394001</v>
      </c>
      <c r="G270">
        <v>-0.400737738951718</v>
      </c>
      <c r="H270">
        <v>-0.253281058457035</v>
      </c>
      <c r="I270">
        <v>0.836769300768454</v>
      </c>
    </row>
    <row r="271" spans="1:9">
      <c r="A271" s="1" t="s">
        <v>283</v>
      </c>
      <c r="B271">
        <f>HYPERLINK("https://www.suredividend.com/sure-analysis-R/","Ryder System, Inc.")</f>
        <v>0</v>
      </c>
      <c r="C271">
        <v>-0.06143266475644601</v>
      </c>
      <c r="D271">
        <v>0.022879576508619</v>
      </c>
      <c r="E271">
        <v>0.165264336707178</v>
      </c>
      <c r="F271">
        <v>-0.020102907742012</v>
      </c>
      <c r="G271">
        <v>0.053514523937254</v>
      </c>
      <c r="H271">
        <v>0.388886533278833</v>
      </c>
      <c r="I271">
        <v>0.132826657739437</v>
      </c>
    </row>
    <row r="272" spans="1:9">
      <c r="A272" s="1" t="s">
        <v>284</v>
      </c>
      <c r="B272">
        <f>HYPERLINK("https://www.suredividend.com/sure-analysis-RBCAA/","Republic Bancorp, Inc. (KY)")</f>
        <v>0</v>
      </c>
      <c r="C272">
        <v>-0.07093332106842601</v>
      </c>
      <c r="D272">
        <v>0.024403107694179</v>
      </c>
      <c r="E272">
        <v>-0.163391329917871</v>
      </c>
      <c r="F272">
        <v>-0.012707722385141</v>
      </c>
      <c r="G272">
        <v>-0.186474535042005</v>
      </c>
      <c r="H272">
        <v>0.181694268782796</v>
      </c>
      <c r="I272">
        <v>0.167110592395292</v>
      </c>
    </row>
    <row r="273" spans="1:9">
      <c r="A273" s="1" t="s">
        <v>285</v>
      </c>
      <c r="B273">
        <f>HYPERLINK("https://www.suredividend.com/sure-analysis-RGA/","Reinsurance Group Of America, Inc.")</f>
        <v>0</v>
      </c>
      <c r="C273">
        <v>0.042878689937513</v>
      </c>
      <c r="D273">
        <v>0.079051683008503</v>
      </c>
      <c r="E273">
        <v>0.264845822959913</v>
      </c>
      <c r="F273">
        <v>0.021887536068688</v>
      </c>
      <c r="G273">
        <v>0.331975672179871</v>
      </c>
      <c r="H273">
        <v>0.351988036954339</v>
      </c>
      <c r="I273">
        <v>0.029055218167502</v>
      </c>
    </row>
    <row r="274" spans="1:9">
      <c r="A274" s="1" t="s">
        <v>286</v>
      </c>
      <c r="B274">
        <f>HYPERLINK("https://www.suredividend.com/sure-analysis-RGLD/","Royal Gold, Inc.")</f>
        <v>0</v>
      </c>
      <c r="C274">
        <v>0.094508388385661</v>
      </c>
      <c r="D274">
        <v>0.244701010486964</v>
      </c>
      <c r="E274">
        <v>0.126703422643251</v>
      </c>
      <c r="F274">
        <v>0.072661157260153</v>
      </c>
      <c r="G274">
        <v>0.205037301868192</v>
      </c>
      <c r="H274">
        <v>0.119355857278181</v>
      </c>
      <c r="I274">
        <v>0.529527766392012</v>
      </c>
    </row>
    <row r="275" spans="1:9">
      <c r="A275" s="1" t="s">
        <v>287</v>
      </c>
      <c r="B275">
        <f>HYPERLINK("https://www.suredividend.com/sure-analysis-RHI/","Robert Half International Inc.")</f>
        <v>0</v>
      </c>
      <c r="C275">
        <v>-0.017866596082583</v>
      </c>
      <c r="D275">
        <v>-0.06319075637783901</v>
      </c>
      <c r="E275">
        <v>-0.028525049418109</v>
      </c>
      <c r="F275">
        <v>0.005146959230664</v>
      </c>
      <c r="G275">
        <v>-0.324235724354468</v>
      </c>
      <c r="H275">
        <v>0.238674829913805</v>
      </c>
      <c r="I275">
        <v>0.454282500401735</v>
      </c>
    </row>
    <row r="276" spans="1:9">
      <c r="A276" s="1" t="s">
        <v>288</v>
      </c>
      <c r="B276">
        <f>HYPERLINK("https://www.suredividend.com/sure-analysis-RJF/","Raymond James Financial, Inc.")</f>
        <v>0</v>
      </c>
      <c r="C276">
        <v>-0.073179499853955</v>
      </c>
      <c r="D276">
        <v>-0.004357618033520001</v>
      </c>
      <c r="E276">
        <v>0.191338386755649</v>
      </c>
      <c r="F276">
        <v>0.003743565746373</v>
      </c>
      <c r="G276">
        <v>0.035777542990804</v>
      </c>
      <c r="H276">
        <v>0.7501032112150201</v>
      </c>
      <c r="I276">
        <v>0.9114648682559591</v>
      </c>
    </row>
    <row r="277" spans="1:9">
      <c r="A277" s="1" t="s">
        <v>289</v>
      </c>
      <c r="B277">
        <f>HYPERLINK("https://www.suredividend.com/sure-analysis-RLI/","RLI Corp.")</f>
        <v>0</v>
      </c>
      <c r="C277">
        <v>0.027526482641305</v>
      </c>
      <c r="D277">
        <v>0.267154114317535</v>
      </c>
      <c r="E277">
        <v>0.146583975261602</v>
      </c>
      <c r="F277">
        <v>0.012340976613087</v>
      </c>
      <c r="G277">
        <v>0.21040829078217</v>
      </c>
      <c r="H277">
        <v>0.352209385385271</v>
      </c>
      <c r="I277">
        <v>1.426580819986743</v>
      </c>
    </row>
    <row r="278" spans="1:9">
      <c r="A278" s="1" t="s">
        <v>290</v>
      </c>
      <c r="B278">
        <f>HYPERLINK("https://www.suredividend.com/sure-analysis-RNR/","RenaissanceRe Holdings Ltd")</f>
        <v>0</v>
      </c>
      <c r="C278">
        <v>0.001675731674339</v>
      </c>
      <c r="D278">
        <v>0.349297216893444</v>
      </c>
      <c r="E278">
        <v>0.238674129381347</v>
      </c>
      <c r="F278">
        <v>0.011344515008413</v>
      </c>
      <c r="G278">
        <v>0.155072443103444</v>
      </c>
      <c r="H278">
        <v>0.199242813843813</v>
      </c>
      <c r="I278">
        <v>0.5723007725640601</v>
      </c>
    </row>
    <row r="279" spans="1:9">
      <c r="A279" s="1" t="s">
        <v>291</v>
      </c>
      <c r="B279">
        <f>HYPERLINK("https://www.suredividend.com/sure-analysis-ROK/","Rockwell Automation Inc")</f>
        <v>0</v>
      </c>
      <c r="C279">
        <v>-0.015570868389995</v>
      </c>
      <c r="D279">
        <v>0.111793794025344</v>
      </c>
      <c r="E279">
        <v>0.313044065531349</v>
      </c>
      <c r="F279">
        <v>0.003921264122374001</v>
      </c>
      <c r="G279">
        <v>-0.215595626167521</v>
      </c>
      <c r="H279">
        <v>0.087462555129069</v>
      </c>
      <c r="I279">
        <v>0.430863896943269</v>
      </c>
    </row>
    <row r="280" spans="1:9">
      <c r="A280" s="1" t="s">
        <v>292</v>
      </c>
      <c r="B280">
        <f>HYPERLINK("https://www.suredividend.com/sure-analysis-ROP/","Roper Technologies Inc")</f>
        <v>0</v>
      </c>
      <c r="C280">
        <v>-0.002060366018772</v>
      </c>
      <c r="D280">
        <v>0.145801166394588</v>
      </c>
      <c r="E280">
        <v>0.08892732386641901</v>
      </c>
      <c r="F280">
        <v>0.008863885807931</v>
      </c>
      <c r="G280">
        <v>-0.06019319657501</v>
      </c>
      <c r="H280">
        <v>0.05139354410121601</v>
      </c>
      <c r="I280">
        <v>0.677170558019629</v>
      </c>
    </row>
    <row r="281" spans="1:9">
      <c r="A281" s="1" t="s">
        <v>293</v>
      </c>
      <c r="B281">
        <f>HYPERLINK("https://www.suredividend.com/sure-analysis-RPM/","RPM International, Inc.")</f>
        <v>0</v>
      </c>
      <c r="C281">
        <v>-0.17318706921658</v>
      </c>
      <c r="D281">
        <v>-0.078714375495554</v>
      </c>
      <c r="E281">
        <v>0.05217903721356001</v>
      </c>
      <c r="F281">
        <v>-0.126013340174448</v>
      </c>
      <c r="G281">
        <v>-0.10956240277011</v>
      </c>
      <c r="H281">
        <v>-0.008657514857915001</v>
      </c>
      <c r="I281">
        <v>0.7210337114070771</v>
      </c>
    </row>
    <row r="282" spans="1:9">
      <c r="A282" s="1" t="s">
        <v>294</v>
      </c>
      <c r="B282">
        <f>HYPERLINK("https://www.suredividend.com/sure-analysis-research-database/","Regal Rexnord Corp")</f>
        <v>0</v>
      </c>
      <c r="C282">
        <v>0.003240552108755</v>
      </c>
      <c r="D282">
        <v>-0.215962104727414</v>
      </c>
      <c r="E282">
        <v>0.07213861580271701</v>
      </c>
      <c r="F282">
        <v>0.011751958659776</v>
      </c>
      <c r="G282">
        <v>-0.280386181090856</v>
      </c>
      <c r="H282">
        <v>0.020605485828053</v>
      </c>
      <c r="I282">
        <v>0.68983302127778</v>
      </c>
    </row>
    <row r="283" spans="1:9">
      <c r="A283" s="1" t="s">
        <v>295</v>
      </c>
      <c r="B283">
        <f>HYPERLINK("https://www.suredividend.com/sure-analysis-RS/","Reliance Steel &amp; Aluminum Co.")</f>
        <v>0</v>
      </c>
      <c r="C283">
        <v>-0.008384036793944</v>
      </c>
      <c r="D283">
        <v>0.105907559635282</v>
      </c>
      <c r="E283">
        <v>0.230207057315951</v>
      </c>
      <c r="F283">
        <v>0.02242639794507</v>
      </c>
      <c r="G283">
        <v>0.264007719131109</v>
      </c>
      <c r="H283">
        <v>0.741707576907606</v>
      </c>
      <c r="I283">
        <v>1.600630242598167</v>
      </c>
    </row>
    <row r="284" spans="1:9">
      <c r="A284" s="1" t="s">
        <v>296</v>
      </c>
      <c r="B284">
        <f>HYPERLINK("https://www.suredividend.com/sure-analysis-RSG/","Republic Services, Inc.")</f>
        <v>0</v>
      </c>
      <c r="C284">
        <v>-0.09426381514669101</v>
      </c>
      <c r="D284">
        <v>-0.107480609461615</v>
      </c>
      <c r="E284">
        <v>-0.023985904092152</v>
      </c>
      <c r="F284">
        <v>-0.026901310179083</v>
      </c>
      <c r="G284">
        <v>-0.050867656077146</v>
      </c>
      <c r="H284">
        <v>0.380683411889584</v>
      </c>
      <c r="I284">
        <v>1.007526625477611</v>
      </c>
    </row>
    <row r="285" spans="1:9">
      <c r="A285" s="1" t="s">
        <v>297</v>
      </c>
      <c r="B285">
        <f>HYPERLINK("https://www.suredividend.com/sure-analysis-RTX/","Raytheon Technologies Corporation")</f>
        <v>0</v>
      </c>
      <c r="C285">
        <v>0.001986491855383</v>
      </c>
      <c r="D285">
        <v>0.190840163232928</v>
      </c>
      <c r="E285">
        <v>0.09839019636664501</v>
      </c>
      <c r="F285">
        <v>-0.0003963535473640001</v>
      </c>
      <c r="G285">
        <v>0.152652139684803</v>
      </c>
      <c r="H285">
        <v>0.5233033091982571</v>
      </c>
      <c r="I285">
        <v>0.012969381976214</v>
      </c>
    </row>
    <row r="286" spans="1:9">
      <c r="A286" s="1" t="s">
        <v>298</v>
      </c>
      <c r="B286">
        <f>HYPERLINK("https://www.suredividend.com/sure-analysis-research-database/","Sandy Spring Bancorp")</f>
        <v>0</v>
      </c>
      <c r="C286">
        <v>-0.012949640287769</v>
      </c>
      <c r="D286">
        <v>-0.069371187949035</v>
      </c>
      <c r="E286">
        <v>-0.117675808882921</v>
      </c>
      <c r="F286">
        <v>-0.026397956287255</v>
      </c>
      <c r="G286">
        <v>-0.276374361289614</v>
      </c>
      <c r="H286">
        <v>0.127288263713149</v>
      </c>
      <c r="I286">
        <v>0.023080456478813</v>
      </c>
    </row>
    <row r="287" spans="1:9">
      <c r="A287" s="1" t="s">
        <v>299</v>
      </c>
      <c r="B287">
        <f>HYPERLINK("https://www.suredividend.com/sure-analysis-SBSI/","Southside Bancshares Inc")</f>
        <v>0</v>
      </c>
      <c r="C287">
        <v>0.015859284890426</v>
      </c>
      <c r="D287">
        <v>-0.023195976332673</v>
      </c>
      <c r="E287">
        <v>-0.05513120346729</v>
      </c>
      <c r="F287">
        <v>-0.021116976938038</v>
      </c>
      <c r="G287">
        <v>-0.152958034997283</v>
      </c>
      <c r="H287">
        <v>0.188287792982254</v>
      </c>
      <c r="I287">
        <v>0.219444655973305</v>
      </c>
    </row>
    <row r="288" spans="1:9">
      <c r="A288" s="1" t="s">
        <v>300</v>
      </c>
      <c r="B288">
        <f>HYPERLINK("https://www.suredividend.com/sure-analysis-SBUX/","Starbucks Corp.")</f>
        <v>0</v>
      </c>
      <c r="C288">
        <v>0.008498309995171</v>
      </c>
      <c r="D288">
        <v>0.172228851220215</v>
      </c>
      <c r="E288">
        <v>0.336055852584794</v>
      </c>
      <c r="F288">
        <v>0.052721774193548</v>
      </c>
      <c r="G288">
        <v>-0.026313679346437</v>
      </c>
      <c r="H288">
        <v>0.056762398971065</v>
      </c>
      <c r="I288">
        <v>0.9509452080130171</v>
      </c>
    </row>
    <row r="289" spans="1:9">
      <c r="A289" s="1" t="s">
        <v>301</v>
      </c>
      <c r="B289">
        <f>HYPERLINK("https://www.suredividend.com/sure-analysis-SCI/","Service Corp. International")</f>
        <v>0</v>
      </c>
      <c r="C289">
        <v>-0.015497020583088</v>
      </c>
      <c r="D289">
        <v>0.102616972715011</v>
      </c>
      <c r="E289">
        <v>-0.019299697514079</v>
      </c>
      <c r="F289">
        <v>-0.016199016488284</v>
      </c>
      <c r="G289">
        <v>0.028287739157777</v>
      </c>
      <c r="H289">
        <v>0.4362331081081081</v>
      </c>
      <c r="I289">
        <v>0.938979997320433</v>
      </c>
    </row>
    <row r="290" spans="1:9">
      <c r="A290" s="1" t="s">
        <v>302</v>
      </c>
      <c r="B290">
        <f>HYPERLINK("https://www.suredividend.com/sure-analysis-SCL/","Stepan Co.")</f>
        <v>0</v>
      </c>
      <c r="C290">
        <v>-0.067726578640079</v>
      </c>
      <c r="D290">
        <v>0.07316972294457301</v>
      </c>
      <c r="E290">
        <v>0.036117877251128</v>
      </c>
      <c r="F290">
        <v>-0.025079842194251</v>
      </c>
      <c r="G290">
        <v>-0.138986594106716</v>
      </c>
      <c r="H290">
        <v>-0.116068493407347</v>
      </c>
      <c r="I290">
        <v>0.384403815347021</v>
      </c>
    </row>
    <row r="291" spans="1:9">
      <c r="A291" s="1" t="s">
        <v>303</v>
      </c>
      <c r="B291">
        <f>HYPERLINK("https://www.suredividend.com/sure-analysis-SEIC/","SEI Investments Co.")</f>
        <v>0</v>
      </c>
      <c r="C291">
        <v>-0.038610409865855</v>
      </c>
      <c r="D291">
        <v>0.164710017019495</v>
      </c>
      <c r="E291">
        <v>0.08954030227863301</v>
      </c>
      <c r="F291">
        <v>0.011835334476844</v>
      </c>
      <c r="G291">
        <v>-0.040294923438343</v>
      </c>
      <c r="H291">
        <v>0.05972471229884201</v>
      </c>
      <c r="I291">
        <v>-0.145830075353454</v>
      </c>
    </row>
    <row r="292" spans="1:9">
      <c r="A292" s="1" t="s">
        <v>304</v>
      </c>
      <c r="B292">
        <f>HYPERLINK("https://www.suredividend.com/sure-analysis-research-database/","Simmons First National Corp.")</f>
        <v>0</v>
      </c>
      <c r="C292">
        <v>0.021557271557271</v>
      </c>
      <c r="D292">
        <v>-0.05794160896068101</v>
      </c>
      <c r="E292">
        <v>0.030032680518117</v>
      </c>
      <c r="F292">
        <v>0.000463392029657</v>
      </c>
      <c r="G292">
        <v>-0.271472004481172</v>
      </c>
      <c r="H292">
        <v>0.010469758451393</v>
      </c>
      <c r="I292">
        <v>-0.124922483290842</v>
      </c>
    </row>
    <row r="293" spans="1:9">
      <c r="A293" s="1" t="s">
        <v>305</v>
      </c>
      <c r="B293">
        <f>HYPERLINK("https://www.suredividend.com/sure-analysis-SHW/","Sherwin-Williams Co.")</f>
        <v>0</v>
      </c>
      <c r="C293">
        <v>-0.101896762490634</v>
      </c>
      <c r="D293">
        <v>0.050369785507802</v>
      </c>
      <c r="E293">
        <v>-0.055174882876947</v>
      </c>
      <c r="F293">
        <v>-0.040365735473812</v>
      </c>
      <c r="G293">
        <v>-0.316403142954735</v>
      </c>
      <c r="H293">
        <v>-0.034189070794471</v>
      </c>
      <c r="I293">
        <v>0.693212874216772</v>
      </c>
    </row>
    <row r="294" spans="1:9">
      <c r="A294" s="1" t="s">
        <v>306</v>
      </c>
      <c r="B294">
        <f>HYPERLINK("https://www.suredividend.com/sure-analysis-SJM/","J.M. Smucker Co.")</f>
        <v>0</v>
      </c>
      <c r="C294">
        <v>0.034865601869886</v>
      </c>
      <c r="D294">
        <v>0.143985410041147</v>
      </c>
      <c r="E294">
        <v>0.23850099342714</v>
      </c>
      <c r="F294">
        <v>0.00586898901931</v>
      </c>
      <c r="G294">
        <v>0.17126014629178</v>
      </c>
      <c r="H294">
        <v>0.45270307219494</v>
      </c>
      <c r="I294">
        <v>0.483629255579084</v>
      </c>
    </row>
    <row r="295" spans="1:9">
      <c r="A295" s="1" t="s">
        <v>307</v>
      </c>
      <c r="B295">
        <f>HYPERLINK("https://www.suredividend.com/sure-analysis-SJW/","SJW Group")</f>
        <v>0</v>
      </c>
      <c r="C295">
        <v>0.011058054787635</v>
      </c>
      <c r="D295">
        <v>0.326997959860208</v>
      </c>
      <c r="E295">
        <v>0.29114460306049</v>
      </c>
      <c r="F295">
        <v>-0.008991255080674001</v>
      </c>
      <c r="G295">
        <v>0.152918620796382</v>
      </c>
      <c r="H295">
        <v>0.220474113085739</v>
      </c>
      <c r="I295">
        <v>0.461713143791443</v>
      </c>
    </row>
    <row r="296" spans="1:9">
      <c r="A296" s="1" t="s">
        <v>308</v>
      </c>
      <c r="B296">
        <f>HYPERLINK("https://www.suredividend.com/sure-analysis-SLGN/","Silgan Holdings Inc.")</f>
        <v>0</v>
      </c>
      <c r="C296">
        <v>-0.017883755588673</v>
      </c>
      <c r="D296">
        <v>0.205425328565287</v>
      </c>
      <c r="E296">
        <v>0.285204786851516</v>
      </c>
      <c r="F296">
        <v>0.016975308641975</v>
      </c>
      <c r="G296">
        <v>0.24172107439963</v>
      </c>
      <c r="H296">
        <v>0.461193289375583</v>
      </c>
      <c r="I296">
        <v>0.894719439922083</v>
      </c>
    </row>
    <row r="297" spans="1:9">
      <c r="A297" s="1" t="s">
        <v>309</v>
      </c>
      <c r="B297">
        <f>HYPERLINK("https://www.suredividend.com/sure-analysis-research-database/","Southern Missouri Bancorp, Inc.")</f>
        <v>0</v>
      </c>
      <c r="C297">
        <v>-0.09557063048683101</v>
      </c>
      <c r="D297">
        <v>-0.132094690326484</v>
      </c>
      <c r="E297">
        <v>-0.0017309496439</v>
      </c>
      <c r="F297">
        <v>-0.010909884355225</v>
      </c>
      <c r="G297">
        <v>-0.17581668330306</v>
      </c>
      <c r="H297">
        <v>0.5570096347055491</v>
      </c>
      <c r="I297">
        <v>0.305380772055118</v>
      </c>
    </row>
    <row r="298" spans="1:9">
      <c r="A298" s="1" t="s">
        <v>310</v>
      </c>
      <c r="B298">
        <f>HYPERLINK("https://www.suredividend.com/sure-analysis-SMG/","Scotts Miracle-Gro Company")</f>
        <v>0</v>
      </c>
      <c r="C298">
        <v>-0.007264802034144001</v>
      </c>
      <c r="D298">
        <v>0.253094910591471</v>
      </c>
      <c r="E298">
        <v>-0.32683319724674</v>
      </c>
      <c r="F298">
        <v>0.12492282362626</v>
      </c>
      <c r="G298">
        <v>-0.654705817695284</v>
      </c>
      <c r="H298">
        <v>-0.7223516097358781</v>
      </c>
      <c r="I298">
        <v>-0.4482182172784621</v>
      </c>
    </row>
    <row r="299" spans="1:9">
      <c r="A299" s="1" t="s">
        <v>311</v>
      </c>
      <c r="B299">
        <f>HYPERLINK("https://www.suredividend.com/sure-analysis-SNA/","Snap-on, Inc.")</f>
        <v>0</v>
      </c>
      <c r="C299">
        <v>-0.040178571428571</v>
      </c>
      <c r="D299">
        <v>0.08248227938159401</v>
      </c>
      <c r="E299">
        <v>0.173026658630631</v>
      </c>
      <c r="F299">
        <v>0.006827432272747001</v>
      </c>
      <c r="G299">
        <v>0.070688228433346</v>
      </c>
      <c r="H299">
        <v>0.440622614487384</v>
      </c>
      <c r="I299">
        <v>0.4512208738614331</v>
      </c>
    </row>
    <row r="300" spans="1:9">
      <c r="A300" s="1" t="s">
        <v>312</v>
      </c>
      <c r="B300">
        <f>HYPERLINK("https://www.suredividend.com/sure-analysis-SO/","Southern Company")</f>
        <v>0</v>
      </c>
      <c r="C300">
        <v>0.04297569650266701</v>
      </c>
      <c r="D300">
        <v>0.034846294888553</v>
      </c>
      <c r="E300">
        <v>0.013150223489019</v>
      </c>
      <c r="F300">
        <v>-0.014423750175045</v>
      </c>
      <c r="G300">
        <v>0.07196056988457901</v>
      </c>
      <c r="H300">
        <v>0.275966220797633</v>
      </c>
      <c r="I300">
        <v>0.8739166668885471</v>
      </c>
    </row>
    <row r="301" spans="1:9">
      <c r="A301" s="1" t="s">
        <v>313</v>
      </c>
      <c r="B301">
        <f>HYPERLINK("https://www.suredividend.com/sure-analysis-SON/","Sonoco Products Co.")</f>
        <v>0</v>
      </c>
      <c r="C301">
        <v>-0.032867707477403</v>
      </c>
      <c r="D301">
        <v>0.007276007318797</v>
      </c>
      <c r="E301">
        <v>0.040773196332092</v>
      </c>
      <c r="F301">
        <v>-0.030637456761653</v>
      </c>
      <c r="G301">
        <v>0.03180085629828</v>
      </c>
      <c r="H301">
        <v>0.05351535787299101</v>
      </c>
      <c r="I301">
        <v>0.259871850587975</v>
      </c>
    </row>
    <row r="302" spans="1:9">
      <c r="A302" s="1" t="s">
        <v>314</v>
      </c>
      <c r="B302">
        <f>HYPERLINK("https://www.suredividend.com/sure-analysis-SPGI/","S&amp;P Global Inc")</f>
        <v>0</v>
      </c>
      <c r="C302">
        <v>-0.04062116411178601</v>
      </c>
      <c r="D302">
        <v>0.044862428105083</v>
      </c>
      <c r="E302">
        <v>-0.021717931775246</v>
      </c>
      <c r="F302">
        <v>0.003403594673672</v>
      </c>
      <c r="G302">
        <v>-0.257681061722821</v>
      </c>
      <c r="H302">
        <v>0.038102257149617</v>
      </c>
      <c r="I302">
        <v>0.9873842964235001</v>
      </c>
    </row>
    <row r="303" spans="1:9">
      <c r="A303" s="1" t="s">
        <v>315</v>
      </c>
      <c r="B303">
        <f>HYPERLINK("https://www.suredividend.com/sure-analysis-SPTN/","SpartanNash Co")</f>
        <v>0</v>
      </c>
      <c r="C303">
        <v>-0.06999185790537001</v>
      </c>
      <c r="D303">
        <v>0.029980996783814</v>
      </c>
      <c r="E303">
        <v>0.036851253534338</v>
      </c>
      <c r="F303">
        <v>0.019841269841269</v>
      </c>
      <c r="G303">
        <v>0.226106039884227</v>
      </c>
      <c r="H303">
        <v>0.844894833815893</v>
      </c>
      <c r="I303">
        <v>0.5068305743936521</v>
      </c>
    </row>
    <row r="304" spans="1:9">
      <c r="A304" s="1" t="s">
        <v>316</v>
      </c>
      <c r="B304">
        <f>HYPERLINK("https://www.suredividend.com/sure-analysis-SR/","Spire Inc.")</f>
        <v>0</v>
      </c>
      <c r="C304">
        <v>0.08753500857273601</v>
      </c>
      <c r="D304">
        <v>0.100203433250034</v>
      </c>
      <c r="E304">
        <v>-0.0113966543485</v>
      </c>
      <c r="F304">
        <v>0.017862329363926</v>
      </c>
      <c r="G304">
        <v>0.110933237810087</v>
      </c>
      <c r="H304">
        <v>0.214550344316098</v>
      </c>
      <c r="I304">
        <v>0.166399571316122</v>
      </c>
    </row>
    <row r="305" spans="1:9">
      <c r="A305" s="1" t="s">
        <v>317</v>
      </c>
      <c r="B305">
        <f>HYPERLINK("https://www.suredividend.com/sure-analysis-SRCE/","1st Source Corp.")</f>
        <v>0</v>
      </c>
      <c r="C305">
        <v>-0.046494600036609</v>
      </c>
      <c r="D305">
        <v>0.08527842423156501</v>
      </c>
      <c r="E305">
        <v>0.155245065424706</v>
      </c>
      <c r="F305">
        <v>-0.018835938971557</v>
      </c>
      <c r="G305">
        <v>0.046595500583674</v>
      </c>
      <c r="H305">
        <v>0.370425229083848</v>
      </c>
      <c r="I305">
        <v>0.171857424388312</v>
      </c>
    </row>
    <row r="306" spans="1:9">
      <c r="A306" s="1" t="s">
        <v>318</v>
      </c>
      <c r="B306">
        <f>HYPERLINK("https://www.suredividend.com/sure-analysis-SRE/","Sempra Energy")</f>
        <v>0</v>
      </c>
      <c r="C306">
        <v>-0.061618806025628</v>
      </c>
      <c r="D306">
        <v>0.000479637076798</v>
      </c>
      <c r="E306">
        <v>0.06050099769719301</v>
      </c>
      <c r="F306">
        <v>-0.013329882231137</v>
      </c>
      <c r="G306">
        <v>0.161408161695314</v>
      </c>
      <c r="H306">
        <v>0.305217961470047</v>
      </c>
      <c r="I306">
        <v>0.6357601543072799</v>
      </c>
    </row>
    <row r="307" spans="1:9">
      <c r="A307" s="1" t="s">
        <v>319</v>
      </c>
      <c r="B307">
        <f>HYPERLINK("https://www.suredividend.com/sure-analysis-research-database/","SouthState Corporation")</f>
        <v>0</v>
      </c>
      <c r="C307">
        <v>-0.06935855462592401</v>
      </c>
      <c r="D307">
        <v>-0.07131119968442701</v>
      </c>
      <c r="E307">
        <v>0.007723031756077</v>
      </c>
      <c r="F307">
        <v>0.005107386066003</v>
      </c>
      <c r="G307">
        <v>-0.075924677326141</v>
      </c>
      <c r="H307">
        <v>0.102132896405251</v>
      </c>
      <c r="I307">
        <v>-0.020603690952292</v>
      </c>
    </row>
    <row r="308" spans="1:9">
      <c r="A308" s="1" t="s">
        <v>320</v>
      </c>
      <c r="B308">
        <f>HYPERLINK("https://www.suredividend.com/sure-analysis-STAG/","STAG Industrial Inc")</f>
        <v>0</v>
      </c>
      <c r="C308">
        <v>0.009373642063442001</v>
      </c>
      <c r="D308">
        <v>0.145978327900625</v>
      </c>
      <c r="E308">
        <v>0.067461463722066</v>
      </c>
      <c r="F308">
        <v>0.006499535747446001</v>
      </c>
      <c r="G308">
        <v>-0.251248494783836</v>
      </c>
      <c r="H308">
        <v>0.161665053242981</v>
      </c>
      <c r="I308">
        <v>0.550424555063433</v>
      </c>
    </row>
    <row r="309" spans="1:9">
      <c r="A309" s="1" t="s">
        <v>321</v>
      </c>
      <c r="B309">
        <f>HYPERLINK("https://www.suredividend.com/sure-analysis-research-database/","Steris Plc")</f>
        <v>0</v>
      </c>
      <c r="C309">
        <v>0.009812907747883001</v>
      </c>
      <c r="D309">
        <v>0.08542388558453401</v>
      </c>
      <c r="E309">
        <v>-0.100169069626994</v>
      </c>
      <c r="F309">
        <v>0.014077643619037</v>
      </c>
      <c r="G309">
        <v>-0.210796775429144</v>
      </c>
      <c r="H309">
        <v>-0.008994136191477001</v>
      </c>
      <c r="I309">
        <v>1.256043942806894</v>
      </c>
    </row>
    <row r="310" spans="1:9">
      <c r="A310" s="1" t="s">
        <v>322</v>
      </c>
      <c r="B310">
        <f>HYPERLINK("https://www.suredividend.com/sure-analysis-STT/","State Street Corp.")</f>
        <v>0</v>
      </c>
      <c r="C310">
        <v>0.040767240228013</v>
      </c>
      <c r="D310">
        <v>0.212717899414209</v>
      </c>
      <c r="E310">
        <v>0.271070114753198</v>
      </c>
      <c r="F310">
        <v>0.014696403248678</v>
      </c>
      <c r="G310">
        <v>-0.162228211121471</v>
      </c>
      <c r="H310">
        <v>0.148331920592796</v>
      </c>
      <c r="I310">
        <v>-0.07627670623580701</v>
      </c>
    </row>
    <row r="311" spans="1:9">
      <c r="A311" s="1" t="s">
        <v>323</v>
      </c>
      <c r="B311">
        <f>HYPERLINK("https://www.suredividend.com/sure-analysis-SWK/","Stanley Black &amp; Decker Inc")</f>
        <v>0</v>
      </c>
      <c r="C311">
        <v>0.000254388196387</v>
      </c>
      <c r="D311">
        <v>-0.034881237865447</v>
      </c>
      <c r="E311">
        <v>-0.27370994391201</v>
      </c>
      <c r="F311">
        <v>0.046858359957401</v>
      </c>
      <c r="G311">
        <v>-0.576119303227239</v>
      </c>
      <c r="H311">
        <v>-0.515787697781083</v>
      </c>
      <c r="I311">
        <v>-0.489080260007731</v>
      </c>
    </row>
    <row r="312" spans="1:9">
      <c r="A312" s="1" t="s">
        <v>324</v>
      </c>
      <c r="B312">
        <f>HYPERLINK("https://www.suredividend.com/sure-analysis-SWX/","Southwest Gas Holdings Inc")</f>
        <v>0</v>
      </c>
      <c r="C312">
        <v>-0.08923656381283501</v>
      </c>
      <c r="D312">
        <v>-0.09197130473339001</v>
      </c>
      <c r="E312">
        <v>-0.25405187347239</v>
      </c>
      <c r="F312">
        <v>0.015998707175177</v>
      </c>
      <c r="G312">
        <v>-0.04848100518666301</v>
      </c>
      <c r="H312">
        <v>0.141841112091855</v>
      </c>
      <c r="I312">
        <v>-0.07101758077433401</v>
      </c>
    </row>
    <row r="313" spans="1:9">
      <c r="A313" s="1" t="s">
        <v>325</v>
      </c>
      <c r="B313">
        <f>HYPERLINK("https://www.suredividend.com/sure-analysis-SXI/","Standex International Corp.")</f>
        <v>0</v>
      </c>
      <c r="C313">
        <v>-0.024003060151094</v>
      </c>
      <c r="D313">
        <v>0.179738460097999</v>
      </c>
      <c r="E313">
        <v>0.220293750508156</v>
      </c>
      <c r="F313">
        <v>-0.003417634996582</v>
      </c>
      <c r="G313">
        <v>-0.046896858289643</v>
      </c>
      <c r="H313">
        <v>0.317377481699863</v>
      </c>
      <c r="I313">
        <v>0.052644607130259</v>
      </c>
    </row>
    <row r="314" spans="1:9">
      <c r="A314" s="1" t="s">
        <v>326</v>
      </c>
      <c r="B314">
        <f>HYPERLINK("https://www.suredividend.com/sure-analysis-SXT/","Sensient Technologies Corp.")</f>
        <v>0</v>
      </c>
      <c r="C314">
        <v>-0.038440932226091</v>
      </c>
      <c r="D314">
        <v>-0.000545739058767</v>
      </c>
      <c r="E314">
        <v>-0.09099542268902701</v>
      </c>
      <c r="F314">
        <v>-0.01549643444871</v>
      </c>
      <c r="G314">
        <v>-0.247021755501807</v>
      </c>
      <c r="H314">
        <v>-0.005572616470177</v>
      </c>
      <c r="I314">
        <v>0.07744097637554201</v>
      </c>
    </row>
    <row r="315" spans="1:9">
      <c r="A315" s="1" t="s">
        <v>327</v>
      </c>
      <c r="B315">
        <f>HYPERLINK("https://www.suredividend.com/sure-analysis-research-database/","Stock Yards Bancorp Inc")</f>
        <v>0</v>
      </c>
      <c r="C315">
        <v>-0.13409762519564</v>
      </c>
      <c r="D315">
        <v>-0.122372486305861</v>
      </c>
      <c r="E315">
        <v>-0.002473475232701</v>
      </c>
      <c r="F315">
        <v>-0.056632810095414</v>
      </c>
      <c r="G315">
        <v>-0.04045432061661301</v>
      </c>
      <c r="H315">
        <v>0.5776158698376831</v>
      </c>
      <c r="I315">
        <v>0.836913266529222</v>
      </c>
    </row>
    <row r="316" spans="1:9">
      <c r="A316" s="1" t="s">
        <v>328</v>
      </c>
      <c r="B316">
        <f>HYPERLINK("https://www.suredividend.com/sure-analysis-SYK/","Stryker Corp.")</f>
        <v>0</v>
      </c>
      <c r="C316">
        <v>0.053374132501158</v>
      </c>
      <c r="D316">
        <v>0.159530339620504</v>
      </c>
      <c r="E316">
        <v>0.244662777199284</v>
      </c>
      <c r="F316">
        <v>0.021800482637326</v>
      </c>
      <c r="G316">
        <v>-0.070789531336769</v>
      </c>
      <c r="H316">
        <v>0.06612474197195001</v>
      </c>
      <c r="I316">
        <v>0.6420898752032721</v>
      </c>
    </row>
    <row r="317" spans="1:9">
      <c r="A317" s="1" t="s">
        <v>329</v>
      </c>
      <c r="B317">
        <f>HYPERLINK("https://www.suredividend.com/sure-analysis-SYY/","Sysco Corp.")</f>
        <v>0</v>
      </c>
      <c r="C317">
        <v>-0.098314141820159</v>
      </c>
      <c r="D317">
        <v>0.02333669212821</v>
      </c>
      <c r="E317">
        <v>-0.09316922315979401</v>
      </c>
      <c r="F317">
        <v>0.004061267879122</v>
      </c>
      <c r="G317">
        <v>-0.019805657547573</v>
      </c>
      <c r="H317">
        <v>0.105934519744273</v>
      </c>
      <c r="I317">
        <v>0.397777337937</v>
      </c>
    </row>
    <row r="318" spans="1:9">
      <c r="A318" s="1" t="s">
        <v>330</v>
      </c>
      <c r="B318">
        <f>HYPERLINK("https://www.suredividend.com/sure-analysis-TDS/","Telephone And Data Systems, Inc.")</f>
        <v>0</v>
      </c>
      <c r="C318">
        <v>0.17315441570558</v>
      </c>
      <c r="D318">
        <v>-0.161452347507768</v>
      </c>
      <c r="E318">
        <v>-0.235920773646377</v>
      </c>
      <c r="F318">
        <v>0.126787416587226</v>
      </c>
      <c r="G318">
        <v>-0.399948218881832</v>
      </c>
      <c r="H318">
        <v>-0.319653495265778</v>
      </c>
      <c r="I318">
        <v>-0.5053006491359501</v>
      </c>
    </row>
    <row r="319" spans="1:9">
      <c r="A319" s="1" t="s">
        <v>331</v>
      </c>
      <c r="B319">
        <f>HYPERLINK("https://www.suredividend.com/sure-analysis-TEL/","TE Connectivity Ltd")</f>
        <v>0</v>
      </c>
      <c r="C319">
        <v>-0.062041145623235</v>
      </c>
      <c r="D319">
        <v>-0.012180781282924</v>
      </c>
      <c r="E319">
        <v>0.051968663531089</v>
      </c>
      <c r="F319">
        <v>0.012717770034843</v>
      </c>
      <c r="G319">
        <v>-0.264486782461811</v>
      </c>
      <c r="H319">
        <v>-0.022546339929562</v>
      </c>
      <c r="I319">
        <v>0.283296613050638</v>
      </c>
    </row>
    <row r="320" spans="1:9">
      <c r="A320" s="1" t="s">
        <v>332</v>
      </c>
      <c r="B320">
        <f>HYPERLINK("https://www.suredividend.com/sure-analysis-TFC/","Truist Financial Corporation")</f>
        <v>0</v>
      </c>
      <c r="C320">
        <v>0.043437426625968</v>
      </c>
      <c r="D320">
        <v>-0.019504015532609</v>
      </c>
      <c r="E320">
        <v>-0.066001967196576</v>
      </c>
      <c r="F320">
        <v>0.032767836393214</v>
      </c>
      <c r="G320">
        <v>-0.250222284459996</v>
      </c>
      <c r="H320">
        <v>0.004722921202502</v>
      </c>
      <c r="I320">
        <v>-0.07918129188129601</v>
      </c>
    </row>
    <row r="321" spans="1:9">
      <c r="A321" s="1" t="s">
        <v>333</v>
      </c>
      <c r="B321">
        <f>HYPERLINK("https://www.suredividend.com/sure-analysis-TGT/","Target Corp")</f>
        <v>0</v>
      </c>
      <c r="C321">
        <v>-0.004324533660362001</v>
      </c>
      <c r="D321">
        <v>-0.007559429986811</v>
      </c>
      <c r="E321">
        <v>0.079042334189749</v>
      </c>
      <c r="F321">
        <v>0.03502415458937101</v>
      </c>
      <c r="G321">
        <v>-0.307176779059186</v>
      </c>
      <c r="H321">
        <v>-0.112014741038838</v>
      </c>
      <c r="I321">
        <v>1.559376166576797</v>
      </c>
    </row>
    <row r="322" spans="1:9">
      <c r="A322" s="1" t="s">
        <v>334</v>
      </c>
      <c r="B322">
        <f>HYPERLINK("https://www.suredividend.com/sure-analysis-THFF/","First Financial Corp. - Indiana")</f>
        <v>0</v>
      </c>
      <c r="C322">
        <v>-0.040297253441482</v>
      </c>
      <c r="D322">
        <v>-0.033509593854421</v>
      </c>
      <c r="E322">
        <v>0.005503502126811</v>
      </c>
      <c r="F322">
        <v>-0.021554570837574</v>
      </c>
      <c r="G322">
        <v>0.016761041902604</v>
      </c>
      <c r="H322">
        <v>0.220059086844615</v>
      </c>
      <c r="I322">
        <v>0.10717580146308</v>
      </c>
    </row>
    <row r="323" spans="1:9">
      <c r="A323" s="1" t="s">
        <v>335</v>
      </c>
      <c r="B323">
        <f>HYPERLINK("https://www.suredividend.com/sure-analysis-THG/","Hanover Insurance Group Inc")</f>
        <v>0</v>
      </c>
      <c r="C323">
        <v>-0.042214728367379</v>
      </c>
      <c r="D323">
        <v>0.02070614019243</v>
      </c>
      <c r="E323">
        <v>-0.061925245914339</v>
      </c>
      <c r="F323">
        <v>0.003626137793236</v>
      </c>
      <c r="G323">
        <v>0.049005139057767</v>
      </c>
      <c r="H323">
        <v>0.232177625464156</v>
      </c>
      <c r="I323">
        <v>0.4622244312882821</v>
      </c>
    </row>
    <row r="324" spans="1:9">
      <c r="A324" s="1" t="s">
        <v>336</v>
      </c>
      <c r="B324">
        <f>HYPERLINK("https://www.suredividend.com/sure-analysis-THO/","Thor Industries, Inc.")</f>
        <v>0</v>
      </c>
      <c r="C324">
        <v>-0.074002879250117</v>
      </c>
      <c r="D324">
        <v>0.09504724734386601</v>
      </c>
      <c r="E324">
        <v>-0.011915581137029</v>
      </c>
      <c r="F324">
        <v>0.036958537554643</v>
      </c>
      <c r="G324">
        <v>-0.225430574713098</v>
      </c>
      <c r="H324">
        <v>-0.151410557718825</v>
      </c>
      <c r="I324">
        <v>-0.438522197309095</v>
      </c>
    </row>
    <row r="325" spans="1:9">
      <c r="A325" s="1" t="s">
        <v>337</v>
      </c>
      <c r="B325">
        <f>HYPERLINK("https://www.suredividend.com/sure-analysis-TMP/","Tompkins Financial Corp")</f>
        <v>0</v>
      </c>
      <c r="C325">
        <v>-0.06037689065211901</v>
      </c>
      <c r="D325">
        <v>0.010144091143546</v>
      </c>
      <c r="E325">
        <v>0.047892807713951</v>
      </c>
      <c r="F325">
        <v>-0.023072956947666</v>
      </c>
      <c r="G325">
        <v>-0.07678327368582601</v>
      </c>
      <c r="H325">
        <v>0.128156426576799</v>
      </c>
      <c r="I325">
        <v>0.07892878699875801</v>
      </c>
    </row>
    <row r="326" spans="1:9">
      <c r="A326" s="1" t="s">
        <v>338</v>
      </c>
      <c r="B326">
        <f>HYPERLINK("https://www.suredividend.com/sure-analysis-TNC/","Tennant Co.")</f>
        <v>0</v>
      </c>
      <c r="C326">
        <v>-0.014676034348165</v>
      </c>
      <c r="D326">
        <v>0.069865923473478</v>
      </c>
      <c r="E326">
        <v>0.07197939951488201</v>
      </c>
      <c r="F326">
        <v>0.025012181257105</v>
      </c>
      <c r="G326">
        <v>-0.215918677187345</v>
      </c>
      <c r="H326">
        <v>-0.07174112888398501</v>
      </c>
      <c r="I326">
        <v>-0.08708891155134101</v>
      </c>
    </row>
    <row r="327" spans="1:9">
      <c r="A327" s="1" t="s">
        <v>339</v>
      </c>
      <c r="B327">
        <f>HYPERLINK("https://www.suredividend.com/sure-analysis-research-database/","Townebank Portsmouth VA")</f>
        <v>0</v>
      </c>
      <c r="C327">
        <v>-0.058953952361905</v>
      </c>
      <c r="D327">
        <v>0.08405016815838401</v>
      </c>
      <c r="E327">
        <v>0.091937641151577</v>
      </c>
      <c r="F327">
        <v>-0.03112840466926</v>
      </c>
      <c r="G327">
        <v>-0.049007313859413</v>
      </c>
      <c r="H327">
        <v>0.348576277153186</v>
      </c>
      <c r="I327">
        <v>0.09547657630573601</v>
      </c>
    </row>
    <row r="328" spans="1:9">
      <c r="A328" s="1" t="s">
        <v>340</v>
      </c>
      <c r="B328">
        <f>HYPERLINK("https://www.suredividend.com/sure-analysis-TR/","Tootsie Roll Industries, Inc.")</f>
        <v>0</v>
      </c>
      <c r="C328">
        <v>-0.012834684352738</v>
      </c>
      <c r="D328">
        <v>0.335251713192322</v>
      </c>
      <c r="E328">
        <v>0.276817855592779</v>
      </c>
      <c r="F328">
        <v>0.057317359642941</v>
      </c>
      <c r="G328">
        <v>0.315108998314112</v>
      </c>
      <c r="H328">
        <v>0.5872400149520051</v>
      </c>
      <c r="I328">
        <v>0.4313016545351051</v>
      </c>
    </row>
    <row r="329" spans="1:9">
      <c r="A329" s="1" t="s">
        <v>341</v>
      </c>
      <c r="B329">
        <f>HYPERLINK("https://www.suredividend.com/sure-analysis-TRN/","Trinity Industries, Inc.")</f>
        <v>0</v>
      </c>
      <c r="C329">
        <v>-0.032152230971128</v>
      </c>
      <c r="D329">
        <v>0.258108402031738</v>
      </c>
      <c r="E329">
        <v>0.301175910161522</v>
      </c>
      <c r="F329">
        <v>-0.002367264119039</v>
      </c>
      <c r="G329">
        <v>-0.012499414194567</v>
      </c>
      <c r="H329">
        <v>0.179103881050401</v>
      </c>
      <c r="I329">
        <v>0.324788819680523</v>
      </c>
    </row>
    <row r="330" spans="1:9">
      <c r="A330" s="1" t="s">
        <v>342</v>
      </c>
      <c r="B330">
        <f>HYPERLINK("https://www.suredividend.com/sure-analysis-research-database/","Terreno Realty Corp")</f>
        <v>0</v>
      </c>
      <c r="C330">
        <v>-0.008721570932294</v>
      </c>
      <c r="D330">
        <v>0.052125415874524</v>
      </c>
      <c r="E330">
        <v>0.027041623548558</v>
      </c>
      <c r="F330">
        <v>-0.003516792685071</v>
      </c>
      <c r="G330">
        <v>-0.280547225910964</v>
      </c>
      <c r="H330">
        <v>0.05117109029090301</v>
      </c>
      <c r="I330">
        <v>0.8263442177046131</v>
      </c>
    </row>
    <row r="331" spans="1:9">
      <c r="A331" s="1" t="s">
        <v>343</v>
      </c>
      <c r="B331">
        <f>HYPERLINK("https://www.suredividend.com/sure-analysis-TROW/","T. Rowe Price Group Inc.")</f>
        <v>0</v>
      </c>
      <c r="C331">
        <v>-0.115778945553522</v>
      </c>
      <c r="D331">
        <v>-0.019936383265465</v>
      </c>
      <c r="E331">
        <v>-0.056566760914086</v>
      </c>
      <c r="F331">
        <v>-0.00779387493123</v>
      </c>
      <c r="G331">
        <v>-0.398915481550854</v>
      </c>
      <c r="H331">
        <v>-0.214943995565786</v>
      </c>
      <c r="I331">
        <v>0.186224405901195</v>
      </c>
    </row>
    <row r="332" spans="1:9">
      <c r="A332" s="1" t="s">
        <v>344</v>
      </c>
      <c r="B332">
        <f>HYPERLINK("https://www.suredividend.com/sure-analysis-TRV/","Travelers Companies Inc.")</f>
        <v>0</v>
      </c>
      <c r="C332">
        <v>0.006794993885686</v>
      </c>
      <c r="D332">
        <v>0.17405057150065</v>
      </c>
      <c r="E332">
        <v>0.133713514735555</v>
      </c>
      <c r="F332">
        <v>0.000320017067577</v>
      </c>
      <c r="G332">
        <v>0.199003973238973</v>
      </c>
      <c r="H332">
        <v>0.456177632707822</v>
      </c>
      <c r="I332">
        <v>0.5946556292066421</v>
      </c>
    </row>
    <row r="333" spans="1:9">
      <c r="A333" s="1" t="s">
        <v>345</v>
      </c>
      <c r="B333">
        <f>HYPERLINK("https://www.suredividend.com/sure-analysis-TSCO/","Tractor Supply Co.")</f>
        <v>0</v>
      </c>
      <c r="C333">
        <v>-0.005974202308214001</v>
      </c>
      <c r="D333">
        <v>0.09417322740499601</v>
      </c>
      <c r="E333">
        <v>0.118859530479408</v>
      </c>
      <c r="F333">
        <v>-0.023736498199759</v>
      </c>
      <c r="G333">
        <v>-0.026405368756225</v>
      </c>
      <c r="H333">
        <v>0.6071718663331771</v>
      </c>
      <c r="I333">
        <v>1.956430906905338</v>
      </c>
    </row>
    <row r="334" spans="1:9">
      <c r="A334" s="1" t="s">
        <v>346</v>
      </c>
      <c r="B334">
        <f>HYPERLINK("https://www.suredividend.com/sure-analysis-TSN/","Tyson Foods, Inc.")</f>
        <v>0</v>
      </c>
      <c r="C334">
        <v>-0.006330091091554001</v>
      </c>
      <c r="D334">
        <v>-0.027186185922918</v>
      </c>
      <c r="E334">
        <v>-0.239780864117326</v>
      </c>
      <c r="F334">
        <v>0.033895582329317</v>
      </c>
      <c r="G334">
        <v>-0.269481440787815</v>
      </c>
      <c r="H334">
        <v>0.05752467584962601</v>
      </c>
      <c r="I334">
        <v>-0.113535253364186</v>
      </c>
    </row>
    <row r="335" spans="1:9">
      <c r="A335" s="1" t="s">
        <v>347</v>
      </c>
      <c r="B335">
        <f>HYPERLINK("https://www.suredividend.com/sure-analysis-TT/","Trane Technologies plc")</f>
        <v>0</v>
      </c>
      <c r="C335">
        <v>-0.023066871200499</v>
      </c>
      <c r="D335">
        <v>0.122881577297613</v>
      </c>
      <c r="E335">
        <v>0.316064404877895</v>
      </c>
      <c r="F335">
        <v>0.022963888393122</v>
      </c>
      <c r="G335">
        <v>-0.091901472233943</v>
      </c>
      <c r="H335">
        <v>0.215452039301618</v>
      </c>
      <c r="I335">
        <v>0.9779896171362111</v>
      </c>
    </row>
    <row r="336" spans="1:9">
      <c r="A336" s="1" t="s">
        <v>348</v>
      </c>
      <c r="B336">
        <f>HYPERLINK("https://www.suredividend.com/sure-analysis-TTC/","Toro Co.")</f>
        <v>0</v>
      </c>
      <c r="C336">
        <v>0.025001573487331</v>
      </c>
      <c r="D336">
        <v>0.208548569412761</v>
      </c>
      <c r="E336">
        <v>0.434088345049032</v>
      </c>
      <c r="F336">
        <v>-0.007332155477031001</v>
      </c>
      <c r="G336">
        <v>0.147536630896992</v>
      </c>
      <c r="H336">
        <v>0.22105734416496</v>
      </c>
      <c r="I336">
        <v>0.7910224144773651</v>
      </c>
    </row>
    <row r="337" spans="1:9">
      <c r="A337" s="1" t="s">
        <v>349</v>
      </c>
      <c r="B337">
        <f>HYPERLINK("https://www.suredividend.com/sure-analysis-TXN/","Texas Instruments Inc.")</f>
        <v>0</v>
      </c>
      <c r="C337">
        <v>-0.05896611984892</v>
      </c>
      <c r="D337">
        <v>0.002746996955056</v>
      </c>
      <c r="E337">
        <v>0.135943742442296</v>
      </c>
      <c r="F337">
        <v>0.010349836581527</v>
      </c>
      <c r="G337">
        <v>-0.08120086216196501</v>
      </c>
      <c r="H337">
        <v>0.07513584917569401</v>
      </c>
      <c r="I337">
        <v>0.748110045166229</v>
      </c>
    </row>
    <row r="338" spans="1:9">
      <c r="A338" s="1" t="s">
        <v>350</v>
      </c>
      <c r="B338">
        <f>HYPERLINK("https://www.suredividend.com/sure-analysis-UBSI/","United Bankshares, Inc.")</f>
        <v>0</v>
      </c>
      <c r="C338">
        <v>-0.033961784125073</v>
      </c>
      <c r="D338">
        <v>0.05283644643038</v>
      </c>
      <c r="E338">
        <v>0.129447431643976</v>
      </c>
      <c r="F338">
        <v>-0.024697456162015</v>
      </c>
      <c r="G338">
        <v>0.09804859330771501</v>
      </c>
      <c r="H338">
        <v>0.298829441888154</v>
      </c>
      <c r="I338">
        <v>0.390385251846687</v>
      </c>
    </row>
    <row r="339" spans="1:9">
      <c r="A339" s="1" t="s">
        <v>351</v>
      </c>
      <c r="B339">
        <f>HYPERLINK("https://www.suredividend.com/sure-analysis-UDR/","UDR Inc")</f>
        <v>0</v>
      </c>
      <c r="C339">
        <v>-0.06509217312736</v>
      </c>
      <c r="D339">
        <v>-0.075149962261152</v>
      </c>
      <c r="E339">
        <v>-0.163680613555334</v>
      </c>
      <c r="F339">
        <v>-0.028401962497619</v>
      </c>
      <c r="G339">
        <v>-0.344754252061165</v>
      </c>
      <c r="H339">
        <v>0.08845246896084101</v>
      </c>
      <c r="I339">
        <v>0.194074824414903</v>
      </c>
    </row>
    <row r="340" spans="1:9">
      <c r="A340" s="1" t="s">
        <v>352</v>
      </c>
      <c r="B340">
        <f>HYPERLINK("https://www.suredividend.com/sure-analysis-UGI/","UGI Corp.")</f>
        <v>0</v>
      </c>
      <c r="C340">
        <v>-0.003252763803328</v>
      </c>
      <c r="D340">
        <v>0.158866912708015</v>
      </c>
      <c r="E340">
        <v>0.008737807556536002</v>
      </c>
      <c r="F340">
        <v>0.028324790936066</v>
      </c>
      <c r="G340">
        <v>-0.13994409185361</v>
      </c>
      <c r="H340">
        <v>0.170722119338719</v>
      </c>
      <c r="I340">
        <v>-0.06431715034008101</v>
      </c>
    </row>
    <row r="341" spans="1:9">
      <c r="A341" s="1" t="s">
        <v>353</v>
      </c>
      <c r="B341">
        <f>HYPERLINK("https://www.suredividend.com/sure-analysis-UHT/","Universal Health Realty Income Trust")</f>
        <v>0</v>
      </c>
      <c r="C341">
        <v>-0.09318478836533201</v>
      </c>
      <c r="D341">
        <v>0.133892180193571</v>
      </c>
      <c r="E341">
        <v>-0.083023018819218</v>
      </c>
      <c r="F341">
        <v>-0.002723653886444</v>
      </c>
      <c r="G341">
        <v>-0.162847304051748</v>
      </c>
      <c r="H341">
        <v>-0.183037384621193</v>
      </c>
      <c r="I341">
        <v>-0.169823430512825</v>
      </c>
    </row>
    <row r="342" spans="1:9">
      <c r="A342" s="1" t="s">
        <v>354</v>
      </c>
      <c r="B342">
        <f>HYPERLINK("https://www.suredividend.com/sure-analysis-UMBF/","UMB Financial Corp.")</f>
        <v>0</v>
      </c>
      <c r="C342">
        <v>0.007881455817833</v>
      </c>
      <c r="D342">
        <v>-0.083784711775804</v>
      </c>
      <c r="E342">
        <v>-0.058942459018276</v>
      </c>
      <c r="F342">
        <v>-0.019157088122605</v>
      </c>
      <c r="G342">
        <v>-0.216540632869142</v>
      </c>
      <c r="H342">
        <v>0.215747732345538</v>
      </c>
      <c r="I342">
        <v>0.241770918125277</v>
      </c>
    </row>
    <row r="343" spans="1:9">
      <c r="A343" s="1" t="s">
        <v>355</v>
      </c>
      <c r="B343">
        <f>HYPERLINK("https://www.suredividend.com/sure-analysis-UNH/","Unitedhealth Group Inc")</f>
        <v>0</v>
      </c>
      <c r="C343">
        <v>-0.084255382775119</v>
      </c>
      <c r="D343">
        <v>-0.067542461683333</v>
      </c>
      <c r="E343">
        <v>-0.024201383038598</v>
      </c>
      <c r="F343">
        <v>-0.07586102833000101</v>
      </c>
      <c r="G343">
        <v>0.013365101820483</v>
      </c>
      <c r="H343">
        <v>0.459431347212764</v>
      </c>
      <c r="I343">
        <v>1.304716917673964</v>
      </c>
    </row>
    <row r="344" spans="1:9">
      <c r="A344" s="1" t="s">
        <v>356</v>
      </c>
      <c r="B344">
        <f>HYPERLINK("https://www.suredividend.com/sure-analysis-UNM/","Unum Group")</f>
        <v>0</v>
      </c>
      <c r="C344">
        <v>-0.016830968982928</v>
      </c>
      <c r="D344">
        <v>0.003556255844261</v>
      </c>
      <c r="E344">
        <v>0.30321708811137</v>
      </c>
      <c r="F344">
        <v>-0.003412137460394</v>
      </c>
      <c r="G344">
        <v>0.6195855381982951</v>
      </c>
      <c r="H344">
        <v>0.993272886809008</v>
      </c>
      <c r="I344">
        <v>-0.10646192575046</v>
      </c>
    </row>
    <row r="345" spans="1:9">
      <c r="A345" s="1" t="s">
        <v>357</v>
      </c>
      <c r="B345">
        <f>HYPERLINK("https://www.suredividend.com/sure-analysis-UNP/","Union Pacific Corp.")</f>
        <v>0</v>
      </c>
      <c r="C345">
        <v>-0.031881457440778</v>
      </c>
      <c r="D345">
        <v>0.018498271742641</v>
      </c>
      <c r="E345">
        <v>-0.022312816570035</v>
      </c>
      <c r="F345">
        <v>-0.019268846283865</v>
      </c>
      <c r="G345">
        <v>-0.178341024079689</v>
      </c>
      <c r="H345">
        <v>0.030130871461905</v>
      </c>
      <c r="I345">
        <v>0.633485651500002</v>
      </c>
    </row>
    <row r="346" spans="1:9">
      <c r="A346" s="1" t="s">
        <v>358</v>
      </c>
      <c r="B346">
        <f>HYPERLINK("https://www.suredividend.com/sure-analysis-UPS/","United Parcel Service, Inc.")</f>
        <v>0</v>
      </c>
      <c r="C346">
        <v>-0.040406270699933</v>
      </c>
      <c r="D346">
        <v>0.054175679371472</v>
      </c>
      <c r="E346">
        <v>-0.03399306391016</v>
      </c>
      <c r="F346">
        <v>0</v>
      </c>
      <c r="G346">
        <v>-0.155521270332292</v>
      </c>
      <c r="H346">
        <v>0.14592706118884</v>
      </c>
      <c r="I346">
        <v>0.6017336758424211</v>
      </c>
    </row>
    <row r="347" spans="1:9">
      <c r="A347" s="1" t="s">
        <v>359</v>
      </c>
      <c r="B347">
        <f>HYPERLINK("https://www.suredividend.com/sure-analysis-USB/","U.S. Bancorp.")</f>
        <v>0</v>
      </c>
      <c r="C347">
        <v>0.05172739373339</v>
      </c>
      <c r="D347">
        <v>0.09434568096480601</v>
      </c>
      <c r="E347">
        <v>0.005656958014317001</v>
      </c>
      <c r="F347">
        <v>0.04723687227700001</v>
      </c>
      <c r="G347">
        <v>-0.186273374373045</v>
      </c>
      <c r="H347">
        <v>0.06016992432332</v>
      </c>
      <c r="I347">
        <v>-0.019009773386317</v>
      </c>
    </row>
    <row r="348" spans="1:9">
      <c r="A348" s="1" t="s">
        <v>360</v>
      </c>
      <c r="B348">
        <f>HYPERLINK("https://www.suredividend.com/sure-analysis-UVV/","Universal Corp.")</f>
        <v>0</v>
      </c>
      <c r="C348">
        <v>-0.05585257649869101</v>
      </c>
      <c r="D348">
        <v>0.147923902019239</v>
      </c>
      <c r="E348">
        <v>-0.093339714113314</v>
      </c>
      <c r="F348">
        <v>0.005113024757803001</v>
      </c>
      <c r="G348">
        <v>-0.007163837903215</v>
      </c>
      <c r="H348">
        <v>0.184892115674837</v>
      </c>
      <c r="I348">
        <v>0.31400067848572</v>
      </c>
    </row>
    <row r="349" spans="1:9">
      <c r="A349" s="1" t="s">
        <v>361</v>
      </c>
      <c r="B349">
        <f>HYPERLINK("https://www.suredividend.com/sure-analysis-V/","Visa Inc")</f>
        <v>0</v>
      </c>
      <c r="C349">
        <v>-0.012027330587794</v>
      </c>
      <c r="D349">
        <v>0.130036345728707</v>
      </c>
      <c r="E349">
        <v>0.059387631695818</v>
      </c>
      <c r="F349">
        <v>0.016124374278013</v>
      </c>
      <c r="G349">
        <v>-0.030901797038858</v>
      </c>
      <c r="H349">
        <v>6.157965067000001E-06</v>
      </c>
      <c r="I349">
        <v>0.8396760371542921</v>
      </c>
    </row>
    <row r="350" spans="1:9">
      <c r="A350" s="1" t="s">
        <v>362</v>
      </c>
      <c r="B350">
        <f>HYPERLINK("https://www.suredividend.com/sure-analysis-VFC/","VF Corp.")</f>
        <v>0</v>
      </c>
      <c r="C350">
        <v>0.016039275351818</v>
      </c>
      <c r="D350">
        <v>-0.06008138514322101</v>
      </c>
      <c r="E350">
        <v>-0.32265528328879</v>
      </c>
      <c r="F350">
        <v>0.066642520825787</v>
      </c>
      <c r="G350">
        <v>-0.582912587259077</v>
      </c>
      <c r="H350">
        <v>-0.6279602113236531</v>
      </c>
      <c r="I350">
        <v>-0.5227987166607251</v>
      </c>
    </row>
    <row r="351" spans="1:9">
      <c r="A351" s="1" t="s">
        <v>363</v>
      </c>
      <c r="B351">
        <f>HYPERLINK("https://www.suredividend.com/sure-analysis-VZ/","Verizon Communications Inc")</f>
        <v>0</v>
      </c>
      <c r="C351">
        <v>0.124898840032371</v>
      </c>
      <c r="D351">
        <v>0.07619846441705901</v>
      </c>
      <c r="E351">
        <v>-0.164999669604185</v>
      </c>
      <c r="F351">
        <v>0.05837563451776601</v>
      </c>
      <c r="G351">
        <v>-0.185818798799619</v>
      </c>
      <c r="H351">
        <v>-0.207165550297455</v>
      </c>
      <c r="I351">
        <v>0.008452134798853001</v>
      </c>
    </row>
    <row r="352" spans="1:9">
      <c r="A352" s="1" t="s">
        <v>364</v>
      </c>
      <c r="B352">
        <f>HYPERLINK("https://www.suredividend.com/sure-analysis-WABC/","Westamerica Bancorporation")</f>
        <v>0</v>
      </c>
      <c r="C352">
        <v>-0.048999999999999</v>
      </c>
      <c r="D352">
        <v>0.071388336024634</v>
      </c>
      <c r="E352">
        <v>0.029367460370435</v>
      </c>
      <c r="F352">
        <v>-0.033045246568378</v>
      </c>
      <c r="G352">
        <v>-0.001143101217849</v>
      </c>
      <c r="H352">
        <v>0.05960609245648101</v>
      </c>
      <c r="I352">
        <v>0.118727011787218</v>
      </c>
    </row>
    <row r="353" spans="1:9">
      <c r="A353" s="1" t="s">
        <v>365</v>
      </c>
      <c r="B353">
        <f>HYPERLINK("https://www.suredividend.com/sure-analysis-WAFD/","Washington Federal Inc.")</f>
        <v>0</v>
      </c>
      <c r="C353">
        <v>-0.032074340527577</v>
      </c>
      <c r="D353">
        <v>0.029192869277525</v>
      </c>
      <c r="E353">
        <v>0.067685084151704</v>
      </c>
      <c r="F353">
        <v>-0.037555886736214</v>
      </c>
      <c r="G353">
        <v>-0.03727467337702201</v>
      </c>
      <c r="H353">
        <v>0.309508842935992</v>
      </c>
      <c r="I353">
        <v>0.078328240578403</v>
      </c>
    </row>
    <row r="354" spans="1:9">
      <c r="A354" s="1" t="s">
        <v>366</v>
      </c>
      <c r="B354">
        <f>HYPERLINK("https://www.suredividend.com/sure-analysis-WASH/","Washington Trust Bancorp, Inc.")</f>
        <v>0</v>
      </c>
      <c r="C354">
        <v>-0.031160314144563</v>
      </c>
      <c r="D354">
        <v>-0.020357509965653</v>
      </c>
      <c r="E354">
        <v>-0.021024281270225</v>
      </c>
      <c r="F354">
        <v>-0.006146672318779</v>
      </c>
      <c r="G354">
        <v>-0.150360313183458</v>
      </c>
      <c r="H354">
        <v>0.14270535309571</v>
      </c>
      <c r="I354">
        <v>0.07103455679635201</v>
      </c>
    </row>
    <row r="355" spans="1:9">
      <c r="A355" s="1" t="s">
        <v>367</v>
      </c>
      <c r="B355">
        <f>HYPERLINK("https://www.suredividend.com/sure-analysis-WBA/","Walgreens Boots Alliance Inc")</f>
        <v>0</v>
      </c>
      <c r="C355">
        <v>-0.14608104828925</v>
      </c>
      <c r="D355">
        <v>0.073710418560941</v>
      </c>
      <c r="E355">
        <v>-0.06446896185032501</v>
      </c>
      <c r="F355">
        <v>-0.05808351177730101</v>
      </c>
      <c r="G355">
        <v>-0.318198991345254</v>
      </c>
      <c r="H355">
        <v>-0.07138389923763201</v>
      </c>
      <c r="I355">
        <v>-0.426929897844025</v>
      </c>
    </row>
    <row r="356" spans="1:9">
      <c r="A356" s="1" t="s">
        <v>368</v>
      </c>
      <c r="B356">
        <f>HYPERLINK("https://www.suredividend.com/sure-analysis-WDFC/","WD-40 Co.")</f>
        <v>0</v>
      </c>
      <c r="C356">
        <v>-0.057449275362318</v>
      </c>
      <c r="D356">
        <v>-0.123706228428157</v>
      </c>
      <c r="E356">
        <v>-0.17066144073027</v>
      </c>
      <c r="F356">
        <v>0.008560263010979001</v>
      </c>
      <c r="G356">
        <v>-0.289656305321526</v>
      </c>
      <c r="H356">
        <v>-0.35834950713002</v>
      </c>
      <c r="I356">
        <v>0.468176712165486</v>
      </c>
    </row>
    <row r="357" spans="1:9">
      <c r="A357" s="1" t="s">
        <v>369</v>
      </c>
      <c r="B357">
        <f>HYPERLINK("https://www.suredividend.com/sure-analysis-WEC/","WEC Energy Group Inc")</f>
        <v>0</v>
      </c>
      <c r="C357">
        <v>-0.019522546419098</v>
      </c>
      <c r="D357">
        <v>0.03672224796296</v>
      </c>
      <c r="E357">
        <v>-0.043702416666752</v>
      </c>
      <c r="F357">
        <v>-0.014398464163822</v>
      </c>
      <c r="G357">
        <v>-0.010114167332589</v>
      </c>
      <c r="H357">
        <v>0.09748899363786501</v>
      </c>
      <c r="I357">
        <v>0.6669192028514941</v>
      </c>
    </row>
    <row r="358" spans="1:9">
      <c r="A358" s="1" t="s">
        <v>370</v>
      </c>
      <c r="B358">
        <f>HYPERLINK("https://www.suredividend.com/sure-analysis-WHR/","Whirlpool Corp.")</f>
        <v>0</v>
      </c>
      <c r="C358">
        <v>0.058673830057966</v>
      </c>
      <c r="D358">
        <v>0.049127408453545</v>
      </c>
      <c r="E358">
        <v>-0.04722702729870101</v>
      </c>
      <c r="F358">
        <v>0.058673830057966</v>
      </c>
      <c r="G358">
        <v>-0.337471482208481</v>
      </c>
      <c r="H358">
        <v>-0.104706746025103</v>
      </c>
      <c r="I358">
        <v>0.050412211041953</v>
      </c>
    </row>
    <row r="359" spans="1:9">
      <c r="A359" s="1" t="s">
        <v>371</v>
      </c>
      <c r="B359">
        <f>HYPERLINK("https://www.suredividend.com/sure-analysis-research-database/","Westlake Corporation")</f>
        <v>0</v>
      </c>
      <c r="C359">
        <v>-0.050111773472429</v>
      </c>
      <c r="D359">
        <v>0.125659246896655</v>
      </c>
      <c r="E359">
        <v>0.08612532936287301</v>
      </c>
      <c r="F359">
        <v>-0.005461283401599001</v>
      </c>
      <c r="G359">
        <v>0.016513611494039</v>
      </c>
      <c r="H359">
        <v>0.234242171917662</v>
      </c>
      <c r="I359">
        <v>-0.019818919282597</v>
      </c>
    </row>
    <row r="360" spans="1:9">
      <c r="A360" s="1" t="s">
        <v>372</v>
      </c>
      <c r="B360">
        <f>HYPERLINK("https://www.suredividend.com/sure-analysis-WM/","Waste Management, Inc.")</f>
        <v>0</v>
      </c>
      <c r="C360">
        <v>-0.082901245604624</v>
      </c>
      <c r="D360">
        <v>-0.07292380841068001</v>
      </c>
      <c r="E360">
        <v>0.022141302333428</v>
      </c>
      <c r="F360">
        <v>-0.019122896481387</v>
      </c>
      <c r="G360">
        <v>-0.03390923342443</v>
      </c>
      <c r="H360">
        <v>0.379138513437817</v>
      </c>
      <c r="I360">
        <v>0.9147210041957621</v>
      </c>
    </row>
    <row r="361" spans="1:9">
      <c r="A361" s="1" t="s">
        <v>373</v>
      </c>
      <c r="B361">
        <f>HYPERLINK("https://www.suredividend.com/sure-analysis-WMT/","Walmart Inc")</f>
        <v>0</v>
      </c>
      <c r="C361">
        <v>-0.051697604919231</v>
      </c>
      <c r="D361">
        <v>0.08192972705194301</v>
      </c>
      <c r="E361">
        <v>0.162466145110696</v>
      </c>
      <c r="F361">
        <v>0.010437971648212</v>
      </c>
      <c r="G361">
        <v>0.011131836714241</v>
      </c>
      <c r="H361">
        <v>0.014313810724667</v>
      </c>
      <c r="I361">
        <v>0.5593317740378391</v>
      </c>
    </row>
    <row r="362" spans="1:9">
      <c r="A362" s="1" t="s">
        <v>374</v>
      </c>
      <c r="B362">
        <f>HYPERLINK("https://www.suredividend.com/sure-analysis-WOR/","Worthington Industries, Inc.")</f>
        <v>0</v>
      </c>
      <c r="C362">
        <v>-0.09444053891477801</v>
      </c>
      <c r="D362">
        <v>0.139802552811079</v>
      </c>
      <c r="E362">
        <v>0.141463347790042</v>
      </c>
      <c r="F362">
        <v>0.005431502715751001</v>
      </c>
      <c r="G362">
        <v>-0.09782253566380801</v>
      </c>
      <c r="H362">
        <v>-0.028571428571428</v>
      </c>
      <c r="I362">
        <v>0.226548216498766</v>
      </c>
    </row>
    <row r="363" spans="1:9">
      <c r="A363" s="1" t="s">
        <v>375</v>
      </c>
      <c r="B363">
        <f>HYPERLINK("https://www.suredividend.com/sure-analysis-WPC/","W. P. Carey Inc")</f>
        <v>0</v>
      </c>
      <c r="C363">
        <v>-0.007110411610578</v>
      </c>
      <c r="D363">
        <v>0.076451486633256</v>
      </c>
      <c r="E363">
        <v>-0.020949916761939</v>
      </c>
      <c r="F363">
        <v>-0.000639795265515</v>
      </c>
      <c r="G363">
        <v>0.023400625309575</v>
      </c>
      <c r="H363">
        <v>0.279883057035915</v>
      </c>
      <c r="I363">
        <v>0.537637668775914</v>
      </c>
    </row>
    <row r="364" spans="1:9">
      <c r="A364" s="1" t="s">
        <v>376</v>
      </c>
      <c r="B364">
        <f>HYPERLINK("https://www.suredividend.com/sure-analysis-WRB/","W.R. Berkley Corp.")</f>
        <v>0</v>
      </c>
      <c r="C364">
        <v>-0.031616612867589</v>
      </c>
      <c r="D364">
        <v>0.05884016639758601</v>
      </c>
      <c r="E364">
        <v>0.063143758097818</v>
      </c>
      <c r="F364">
        <v>-0.009508061182306</v>
      </c>
      <c r="G364">
        <v>0.329988010124783</v>
      </c>
      <c r="H364">
        <v>0.6962631709360351</v>
      </c>
      <c r="I364">
        <v>1.45995051351638</v>
      </c>
    </row>
    <row r="365" spans="1:9">
      <c r="A365" s="1" t="s">
        <v>377</v>
      </c>
      <c r="B365">
        <f>HYPERLINK("https://www.suredividend.com/sure-analysis-WSBC/","Wesbanco, Inc.")</f>
        <v>0</v>
      </c>
      <c r="C365">
        <v>-0.05434124602326101</v>
      </c>
      <c r="D365">
        <v>0.049333840230276</v>
      </c>
      <c r="E365">
        <v>0.169071048692716</v>
      </c>
      <c r="F365">
        <v>-0.007301243915629</v>
      </c>
      <c r="G365">
        <v>0.050859781354753</v>
      </c>
      <c r="H365">
        <v>0.316950672645739</v>
      </c>
      <c r="I365">
        <v>0.08575738306147501</v>
      </c>
    </row>
    <row r="366" spans="1:9">
      <c r="A366" s="1" t="s">
        <v>378</v>
      </c>
      <c r="B366">
        <f>HYPERLINK("https://www.suredividend.com/sure-analysis-WSM/","Williams-Sonoma, Inc.")</f>
        <v>0</v>
      </c>
      <c r="C366">
        <v>0.029888908481749</v>
      </c>
      <c r="D366">
        <v>-0.075316467219687</v>
      </c>
      <c r="E366">
        <v>-0.041167180517659</v>
      </c>
      <c r="F366">
        <v>0.016446223459798</v>
      </c>
      <c r="G366">
        <v>-0.224433048009327</v>
      </c>
      <c r="H366">
        <v>0.164647983377269</v>
      </c>
      <c r="I366">
        <v>1.483913359673036</v>
      </c>
    </row>
    <row r="367" spans="1:9">
      <c r="A367" s="1" t="s">
        <v>379</v>
      </c>
      <c r="B367">
        <f>HYPERLINK("https://www.suredividend.com/sure-analysis-WST/","West Pharmaceutical Services, Inc.")</f>
        <v>0</v>
      </c>
      <c r="C367">
        <v>-0.023972602739726</v>
      </c>
      <c r="D367">
        <v>-0.09925396490135301</v>
      </c>
      <c r="E367">
        <v>-0.235310150938716</v>
      </c>
      <c r="F367">
        <v>-0.007010834926704001</v>
      </c>
      <c r="G367">
        <v>-0.420367497423648</v>
      </c>
      <c r="H367">
        <v>-0.194249902513547</v>
      </c>
      <c r="I367">
        <v>1.352252001980843</v>
      </c>
    </row>
    <row r="368" spans="1:9">
      <c r="A368" s="1" t="s">
        <v>380</v>
      </c>
      <c r="B368">
        <f>HYPERLINK("https://www.suredividend.com/sure-analysis-WTRG/","Essential Utilities Inc")</f>
        <v>0</v>
      </c>
      <c r="C368">
        <v>-0.003122398001665</v>
      </c>
      <c r="D368">
        <v>0.136768245498264</v>
      </c>
      <c r="E368">
        <v>0.058789455880824</v>
      </c>
      <c r="F368">
        <v>0.003352189398701</v>
      </c>
      <c r="G368">
        <v>-0.06783999314845801</v>
      </c>
      <c r="H368">
        <v>0.07818835538565101</v>
      </c>
      <c r="I368">
        <v>0.331524232406447</v>
      </c>
    </row>
    <row r="369" spans="1:9">
      <c r="A369" s="1" t="s">
        <v>381</v>
      </c>
      <c r="B369">
        <f>HYPERLINK("https://www.suredividend.com/sure-analysis-XEL/","Xcel Energy, Inc.")</f>
        <v>0</v>
      </c>
      <c r="C369">
        <v>0.01506768583919</v>
      </c>
      <c r="D369">
        <v>0.08370714238759801</v>
      </c>
      <c r="E369">
        <v>0.004013734861491001</v>
      </c>
      <c r="F369">
        <v>-0.012409071459135</v>
      </c>
      <c r="G369">
        <v>0.03081272526697</v>
      </c>
      <c r="H369">
        <v>0.125295585116324</v>
      </c>
      <c r="I369">
        <v>0.7043650354091431</v>
      </c>
    </row>
    <row r="370" spans="1:9">
      <c r="A370" s="1" t="s">
        <v>382</v>
      </c>
      <c r="B370">
        <f>HYPERLINK("https://www.suredividend.com/sure-analysis-XOM/","Exxon Mobil Corp.")</f>
        <v>0</v>
      </c>
      <c r="C370">
        <v>0.022087037903603</v>
      </c>
      <c r="D370">
        <v>0.110665891034533</v>
      </c>
      <c r="E370">
        <v>0.310680951620859</v>
      </c>
      <c r="F370">
        <v>-0.009882139619220002</v>
      </c>
      <c r="G370">
        <v>0.701008206768831</v>
      </c>
      <c r="H370">
        <v>1.770674135638972</v>
      </c>
      <c r="I370">
        <v>0.6372920589611041</v>
      </c>
    </row>
    <row r="371" spans="1:9">
      <c r="A371" s="1" t="s">
        <v>383</v>
      </c>
      <c r="B371">
        <f>HYPERLINK("https://www.suredividend.com/sure-analysis-XYL/","Xylem Inc")</f>
        <v>0</v>
      </c>
      <c r="C371">
        <v>-0.040967511602998</v>
      </c>
      <c r="D371">
        <v>0.162712686066492</v>
      </c>
      <c r="E371">
        <v>0.371725476178318</v>
      </c>
      <c r="F371">
        <v>-0.0282174188297</v>
      </c>
      <c r="G371">
        <v>-0.06584469113756501</v>
      </c>
      <c r="H371">
        <v>0.103611052338587</v>
      </c>
      <c r="I371">
        <v>0.6479783316539131</v>
      </c>
    </row>
    <row r="372" spans="1:9">
      <c r="A372" s="1" t="s">
        <v>384</v>
      </c>
      <c r="B372">
        <f>HYPERLINK("https://www.suredividend.com/sure-analysis-YORW/","York Water Co.")</f>
        <v>0</v>
      </c>
      <c r="C372">
        <v>-0.032767945421103</v>
      </c>
      <c r="D372">
        <v>0.142229885414563</v>
      </c>
      <c r="E372">
        <v>0.08751112283305</v>
      </c>
      <c r="F372">
        <v>-0.019119608714984</v>
      </c>
      <c r="G372">
        <v>-0.052157137394248</v>
      </c>
      <c r="H372">
        <v>-0.004642894206083</v>
      </c>
      <c r="I372">
        <v>0.475116601748608</v>
      </c>
    </row>
  </sheetData>
  <autoFilter ref="A1:I372"/>
  <conditionalFormatting sqref="A1:I1">
    <cfRule type="cellIs" dxfId="8" priority="10" operator="notEqual">
      <formula>-13.345</formula>
    </cfRule>
  </conditionalFormatting>
  <conditionalFormatting sqref="A2:A372">
    <cfRule type="cellIs" dxfId="0" priority="1" operator="notEqual">
      <formula>"None"</formula>
    </cfRule>
  </conditionalFormatting>
  <conditionalFormatting sqref="B2:B372">
    <cfRule type="cellIs" dxfId="0" priority="2" operator="notEqual">
      <formula>"None"</formula>
    </cfRule>
  </conditionalFormatting>
  <conditionalFormatting sqref="C2:C372">
    <cfRule type="cellIs" dxfId="3" priority="3" operator="notEqual">
      <formula>"None"</formula>
    </cfRule>
  </conditionalFormatting>
  <conditionalFormatting sqref="D2:D372">
    <cfRule type="cellIs" dxfId="3" priority="4" operator="notEqual">
      <formula>"None"</formula>
    </cfRule>
  </conditionalFormatting>
  <conditionalFormatting sqref="E2:E372">
    <cfRule type="cellIs" dxfId="3" priority="5" operator="notEqual">
      <formula>"None"</formula>
    </cfRule>
  </conditionalFormatting>
  <conditionalFormatting sqref="F2:F372">
    <cfRule type="cellIs" dxfId="3" priority="6" operator="notEqual">
      <formula>"None"</formula>
    </cfRule>
  </conditionalFormatting>
  <conditionalFormatting sqref="G2:G372">
    <cfRule type="cellIs" dxfId="3" priority="7" operator="notEqual">
      <formula>"None"</formula>
    </cfRule>
  </conditionalFormatting>
  <conditionalFormatting sqref="H2:H372">
    <cfRule type="cellIs" dxfId="3" priority="8" operator="notEqual">
      <formula>"None"</formula>
    </cfRule>
  </conditionalFormatting>
  <conditionalFormatting sqref="I2:I37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404</v>
      </c>
      <c r="B1" s="1"/>
    </row>
    <row r="2" spans="1:2">
      <c r="A2" s="1" t="s">
        <v>405</v>
      </c>
    </row>
    <row r="3" spans="1:2">
      <c r="A3" s="1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2023-01-06T13:13:03Z</dcterms:created>
  <dcterms:modified xsi:type="dcterms:W3CDTF">2023-01-06T13:13:03Z</dcterms:modified>
</cp:coreProperties>
</file>