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Characteristics!$A$1:$O$372</definedName>
    <definedName name="_xlnm._FilterDatabase" localSheetId="1" hidden="1">Performance!$A$1:$I$372</definedName>
  </definedNames>
  <calcPr calcId="124519" fullCalcOnLoad="1"/>
</workbook>
</file>

<file path=xl/sharedStrings.xml><?xml version="1.0" encoding="utf-8"?>
<sst xmlns="http://schemas.openxmlformats.org/spreadsheetml/2006/main" count="1254" uniqueCount="407">
  <si>
    <t>Name</t>
  </si>
  <si>
    <t>Sector</t>
  </si>
  <si>
    <t>Price</t>
  </si>
  <si>
    <t>Dividend Yield</t>
  </si>
  <si>
    <t>1-Year Dividend Growth</t>
  </si>
  <si>
    <t>5-Year Dividend Growth (Annualized)</t>
  </si>
  <si>
    <t>Dividends Per Share (TTM)</t>
  </si>
  <si>
    <t>Market Cap ($M)</t>
  </si>
  <si>
    <t>Trailing P/E Ratio</t>
  </si>
  <si>
    <t>Payout Ratio</t>
  </si>
  <si>
    <t>Beta</t>
  </si>
  <si>
    <t>52-Week High</t>
  </si>
  <si>
    <t>52-Week Low</t>
  </si>
  <si>
    <t>Ticker</t>
  </si>
  <si>
    <t>ABC</t>
  </si>
  <si>
    <t>ABM</t>
  </si>
  <si>
    <t>ABT</t>
  </si>
  <si>
    <t>ACN</t>
  </si>
  <si>
    <t>ADI</t>
  </si>
  <si>
    <t>ADM</t>
  </si>
  <si>
    <t>ADP</t>
  </si>
  <si>
    <t>AEL</t>
  </si>
  <si>
    <t>AEP</t>
  </si>
  <si>
    <t>AFG</t>
  </si>
  <si>
    <t>AFL</t>
  </si>
  <si>
    <t>AGM</t>
  </si>
  <si>
    <t>AGO</t>
  </si>
  <si>
    <t>AIT</t>
  </si>
  <si>
    <t>AIZ</t>
  </si>
  <si>
    <t>AJG</t>
  </si>
  <si>
    <t>ALB</t>
  </si>
  <si>
    <t>ALE</t>
  </si>
  <si>
    <t>ALL</t>
  </si>
  <si>
    <t>AMGN</t>
  </si>
  <si>
    <t>AMP</t>
  </si>
  <si>
    <t>ANDE</t>
  </si>
  <si>
    <t>ANTM</t>
  </si>
  <si>
    <t>AON</t>
  </si>
  <si>
    <t>AOS</t>
  </si>
  <si>
    <t>APD</t>
  </si>
  <si>
    <t>APH</t>
  </si>
  <si>
    <t>APOG</t>
  </si>
  <si>
    <t>ARE</t>
  </si>
  <si>
    <t>ASB</t>
  </si>
  <si>
    <t>ASH</t>
  </si>
  <si>
    <t>ATO</t>
  </si>
  <si>
    <t>ATR</t>
  </si>
  <si>
    <t>ATRI</t>
  </si>
  <si>
    <t>AUB</t>
  </si>
  <si>
    <t>AVA</t>
  </si>
  <si>
    <t>AVGO</t>
  </si>
  <si>
    <t>AVNT</t>
  </si>
  <si>
    <t>AVY</t>
  </si>
  <si>
    <t>AWK</t>
  </si>
  <si>
    <t>AWR</t>
  </si>
  <si>
    <t>AXS</t>
  </si>
  <si>
    <t>BANF</t>
  </si>
  <si>
    <t>BBY</t>
  </si>
  <si>
    <t>BCPC</t>
  </si>
  <si>
    <t>BDX</t>
  </si>
  <si>
    <t>BEN</t>
  </si>
  <si>
    <t>BIP</t>
  </si>
  <si>
    <t>BK</t>
  </si>
  <si>
    <t>BKH</t>
  </si>
  <si>
    <t>BLK</t>
  </si>
  <si>
    <t>BMI</t>
  </si>
  <si>
    <t>BMRC</t>
  </si>
  <si>
    <t>BMY</t>
  </si>
  <si>
    <t>BOKF</t>
  </si>
  <si>
    <t>BR</t>
  </si>
  <si>
    <t>BRC</t>
  </si>
  <si>
    <t>BRO</t>
  </si>
  <si>
    <t>CAH</t>
  </si>
  <si>
    <t>CASS</t>
  </si>
  <si>
    <t>CASY</t>
  </si>
  <si>
    <t>CAT</t>
  </si>
  <si>
    <t>CB</t>
  </si>
  <si>
    <t>CBOE</t>
  </si>
  <si>
    <t>CBSH</t>
  </si>
  <si>
    <t>CBT</t>
  </si>
  <si>
    <t>CBU</t>
  </si>
  <si>
    <t>CE</t>
  </si>
  <si>
    <t>CFR</t>
  </si>
  <si>
    <t>CHCO</t>
  </si>
  <si>
    <t>CHD</t>
  </si>
  <si>
    <t>CHDN</t>
  </si>
  <si>
    <t>CHE</t>
  </si>
  <si>
    <t>CHRW</t>
  </si>
  <si>
    <t>CINF</t>
  </si>
  <si>
    <t>CL</t>
  </si>
  <si>
    <t>CLX</t>
  </si>
  <si>
    <t>CMCSA</t>
  </si>
  <si>
    <t>CME</t>
  </si>
  <si>
    <t>CMI</t>
  </si>
  <si>
    <t>CMS</t>
  </si>
  <si>
    <t>CNS</t>
  </si>
  <si>
    <t>COST</t>
  </si>
  <si>
    <t>CPK</t>
  </si>
  <si>
    <t>CSCO</t>
  </si>
  <si>
    <t>CSL</t>
  </si>
  <si>
    <t>CSX</t>
  </si>
  <si>
    <t>CTAS</t>
  </si>
  <si>
    <t>CTBI</t>
  </si>
  <si>
    <t>CUBE</t>
  </si>
  <si>
    <t>CVX</t>
  </si>
  <si>
    <t>CWT</t>
  </si>
  <si>
    <t>DCI</t>
  </si>
  <si>
    <t>DDS</t>
  </si>
  <si>
    <t>DFS</t>
  </si>
  <si>
    <t>DGX</t>
  </si>
  <si>
    <t>DLR</t>
  </si>
  <si>
    <t>DOV</t>
  </si>
  <si>
    <t>DTE</t>
  </si>
  <si>
    <t>DUK</t>
  </si>
  <si>
    <t>ECL</t>
  </si>
  <si>
    <t>ED</t>
  </si>
  <si>
    <t>EGP</t>
  </si>
  <si>
    <t>EIX</t>
  </si>
  <si>
    <t>ELS</t>
  </si>
  <si>
    <t>EMN</t>
  </si>
  <si>
    <t>EMR</t>
  </si>
  <si>
    <t>ENSG</t>
  </si>
  <si>
    <t>EPD</t>
  </si>
  <si>
    <t>ERIE</t>
  </si>
  <si>
    <t>ES</t>
  </si>
  <si>
    <t>ESS</t>
  </si>
  <si>
    <t>ETN</t>
  </si>
  <si>
    <t>EVR</t>
  </si>
  <si>
    <t>EVRG</t>
  </si>
  <si>
    <t>EXPD</t>
  </si>
  <si>
    <t>EXR</t>
  </si>
  <si>
    <t>FAF</t>
  </si>
  <si>
    <t>FAST</t>
  </si>
  <si>
    <t>FCBC</t>
  </si>
  <si>
    <t>FDS</t>
  </si>
  <si>
    <t>FELE</t>
  </si>
  <si>
    <t>FFIN</t>
  </si>
  <si>
    <t>FISI</t>
  </si>
  <si>
    <t>FITB</t>
  </si>
  <si>
    <t>FLIC</t>
  </si>
  <si>
    <t>FLO</t>
  </si>
  <si>
    <t>FNF</t>
  </si>
  <si>
    <t>FRME</t>
  </si>
  <si>
    <t>FRT</t>
  </si>
  <si>
    <t>FUL</t>
  </si>
  <si>
    <t>GATX</t>
  </si>
  <si>
    <t>GD</t>
  </si>
  <si>
    <t>GFF</t>
  </si>
  <si>
    <t>GGG</t>
  </si>
  <si>
    <t>GL</t>
  </si>
  <si>
    <t>GLW</t>
  </si>
  <si>
    <t>GNTX</t>
  </si>
  <si>
    <t>GPC</t>
  </si>
  <si>
    <t>GRC</t>
  </si>
  <si>
    <t>GS</t>
  </si>
  <si>
    <t>GWW</t>
  </si>
  <si>
    <t>HBAN</t>
  </si>
  <si>
    <t>HBNC</t>
  </si>
  <si>
    <t>HCSG</t>
  </si>
  <si>
    <t>HD</t>
  </si>
  <si>
    <t>HEI</t>
  </si>
  <si>
    <t>HFWA</t>
  </si>
  <si>
    <t>HI</t>
  </si>
  <si>
    <t>HIFS</t>
  </si>
  <si>
    <t>HMN</t>
  </si>
  <si>
    <t>HNI</t>
  </si>
  <si>
    <t>HOMB</t>
  </si>
  <si>
    <t>HON</t>
  </si>
  <si>
    <t>HPQ</t>
  </si>
  <si>
    <t>HRL</t>
  </si>
  <si>
    <t>HSY</t>
  </si>
  <si>
    <t>HUBB</t>
  </si>
  <si>
    <t>HUM</t>
  </si>
  <si>
    <t>HWKN</t>
  </si>
  <si>
    <t>IBM</t>
  </si>
  <si>
    <t>IBOC</t>
  </si>
  <si>
    <t>IDA</t>
  </si>
  <si>
    <t>IEX</t>
  </si>
  <si>
    <t>IFF</t>
  </si>
  <si>
    <t>INDB</t>
  </si>
  <si>
    <t>INGR</t>
  </si>
  <si>
    <t>INTU</t>
  </si>
  <si>
    <t>ITT</t>
  </si>
  <si>
    <t>ITW</t>
  </si>
  <si>
    <t>JBHT</t>
  </si>
  <si>
    <t>JJSF</t>
  </si>
  <si>
    <t>JKHY</t>
  </si>
  <si>
    <t>JNJ</t>
  </si>
  <si>
    <t>JPM</t>
  </si>
  <si>
    <t>K</t>
  </si>
  <si>
    <t>KALU</t>
  </si>
  <si>
    <t>KEY</t>
  </si>
  <si>
    <t>KLAC</t>
  </si>
  <si>
    <t>KMB</t>
  </si>
  <si>
    <t>KO</t>
  </si>
  <si>
    <t>KR</t>
  </si>
  <si>
    <t>KW</t>
  </si>
  <si>
    <t>KWR</t>
  </si>
  <si>
    <t>LAD</t>
  </si>
  <si>
    <t>LANC</t>
  </si>
  <si>
    <t>LBAI</t>
  </si>
  <si>
    <t>LECO</t>
  </si>
  <si>
    <t>LEG</t>
  </si>
  <si>
    <t>LFUS</t>
  </si>
  <si>
    <t>LHX</t>
  </si>
  <si>
    <t>LII</t>
  </si>
  <si>
    <t>LKFN</t>
  </si>
  <si>
    <t>LMAT</t>
  </si>
  <si>
    <t>LMT</t>
  </si>
  <si>
    <t>LNC</t>
  </si>
  <si>
    <t>LNN</t>
  </si>
  <si>
    <t>LNT</t>
  </si>
  <si>
    <t>LOW</t>
  </si>
  <si>
    <t>LYB</t>
  </si>
  <si>
    <t>MA</t>
  </si>
  <si>
    <t>MAA</t>
  </si>
  <si>
    <t>MAN</t>
  </si>
  <si>
    <t>MATW</t>
  </si>
  <si>
    <t>MCD</t>
  </si>
  <si>
    <t>MCHP</t>
  </si>
  <si>
    <t>MCK</t>
  </si>
  <si>
    <t>MCO</t>
  </si>
  <si>
    <t>MCY</t>
  </si>
  <si>
    <t>MDT</t>
  </si>
  <si>
    <t>MDU</t>
  </si>
  <si>
    <t>MGEE</t>
  </si>
  <si>
    <t>MGRC</t>
  </si>
  <si>
    <t>MKC</t>
  </si>
  <si>
    <t>MKTX</t>
  </si>
  <si>
    <t>MMC</t>
  </si>
  <si>
    <t>MMM</t>
  </si>
  <si>
    <t>MMP</t>
  </si>
  <si>
    <t>MNRO</t>
  </si>
  <si>
    <t>MO</t>
  </si>
  <si>
    <t>MORN</t>
  </si>
  <si>
    <t>MRK</t>
  </si>
  <si>
    <t>MSA</t>
  </si>
  <si>
    <t>MSEX</t>
  </si>
  <si>
    <t>MSFT</t>
  </si>
  <si>
    <t>MSI</t>
  </si>
  <si>
    <t>NDSN</t>
  </si>
  <si>
    <t>NEE</t>
  </si>
  <si>
    <t>NFG</t>
  </si>
  <si>
    <t>NHC</t>
  </si>
  <si>
    <t>NI</t>
  </si>
  <si>
    <t>NJR</t>
  </si>
  <si>
    <t>NKE</t>
  </si>
  <si>
    <t>NNN</t>
  </si>
  <si>
    <t>NOC</t>
  </si>
  <si>
    <t>NP</t>
  </si>
  <si>
    <t>NSP</t>
  </si>
  <si>
    <t>NUE</t>
  </si>
  <si>
    <t>NUS</t>
  </si>
  <si>
    <t>NWBI</t>
  </si>
  <si>
    <t>NWE</t>
  </si>
  <si>
    <t>NWN</t>
  </si>
  <si>
    <t>O</t>
  </si>
  <si>
    <t>OGE</t>
  </si>
  <si>
    <t>ORCL</t>
  </si>
  <si>
    <t>ORI</t>
  </si>
  <si>
    <t>OZK</t>
  </si>
  <si>
    <t>PAYX</t>
  </si>
  <si>
    <t>PB</t>
  </si>
  <si>
    <t>PEG</t>
  </si>
  <si>
    <t>PEP</t>
  </si>
  <si>
    <t>PETS</t>
  </si>
  <si>
    <t>PFC</t>
  </si>
  <si>
    <t>PFE</t>
  </si>
  <si>
    <t>PFG</t>
  </si>
  <si>
    <t>PG</t>
  </si>
  <si>
    <t>PII</t>
  </si>
  <si>
    <t>PKG</t>
  </si>
  <si>
    <t>PLOW</t>
  </si>
  <si>
    <t>PM</t>
  </si>
  <si>
    <t>PNC</t>
  </si>
  <si>
    <t>PNW</t>
  </si>
  <si>
    <t>POOL</t>
  </si>
  <si>
    <t>POR</t>
  </si>
  <si>
    <t>PPG</t>
  </si>
  <si>
    <t>PRGO</t>
  </si>
  <si>
    <t>PRI</t>
  </si>
  <si>
    <t>PRU</t>
  </si>
  <si>
    <t>QCOM</t>
  </si>
  <si>
    <t>R</t>
  </si>
  <si>
    <t>RBCAA</t>
  </si>
  <si>
    <t>RGA</t>
  </si>
  <si>
    <t>RGLD</t>
  </si>
  <si>
    <t>RHI</t>
  </si>
  <si>
    <t>RJF</t>
  </si>
  <si>
    <t>RLI</t>
  </si>
  <si>
    <t>RNR</t>
  </si>
  <si>
    <t>ROK</t>
  </si>
  <si>
    <t>ROP</t>
  </si>
  <si>
    <t>RPM</t>
  </si>
  <si>
    <t>RRX</t>
  </si>
  <si>
    <t>RS</t>
  </si>
  <si>
    <t>RSG</t>
  </si>
  <si>
    <t>RTX</t>
  </si>
  <si>
    <t>SASR</t>
  </si>
  <si>
    <t>SBSI</t>
  </si>
  <si>
    <t>SBUX</t>
  </si>
  <si>
    <t>SCI</t>
  </si>
  <si>
    <t>SCL</t>
  </si>
  <si>
    <t>SEIC</t>
  </si>
  <si>
    <t>SFNC</t>
  </si>
  <si>
    <t>SHW</t>
  </si>
  <si>
    <t>SJM</t>
  </si>
  <si>
    <t>SJW</t>
  </si>
  <si>
    <t>SLGN</t>
  </si>
  <si>
    <t>SMBC</t>
  </si>
  <si>
    <t>SMG</t>
  </si>
  <si>
    <t>SNA</t>
  </si>
  <si>
    <t>SO</t>
  </si>
  <si>
    <t>SON</t>
  </si>
  <si>
    <t>SPGI</t>
  </si>
  <si>
    <t>SPTN</t>
  </si>
  <si>
    <t>SR</t>
  </si>
  <si>
    <t>SRCE</t>
  </si>
  <si>
    <t>SRE</t>
  </si>
  <si>
    <t>SSB</t>
  </si>
  <si>
    <t>STAG</t>
  </si>
  <si>
    <t>STE</t>
  </si>
  <si>
    <t>STT</t>
  </si>
  <si>
    <t>SWK</t>
  </si>
  <si>
    <t>SWX</t>
  </si>
  <si>
    <t>SXI</t>
  </si>
  <si>
    <t>SXT</t>
  </si>
  <si>
    <t>SYBT</t>
  </si>
  <si>
    <t>SYK</t>
  </si>
  <si>
    <t>SYY</t>
  </si>
  <si>
    <t>TDS</t>
  </si>
  <si>
    <t>TEL</t>
  </si>
  <si>
    <t>TFC</t>
  </si>
  <si>
    <t>TGT</t>
  </si>
  <si>
    <t>THFF</t>
  </si>
  <si>
    <t>THG</t>
  </si>
  <si>
    <t>THO</t>
  </si>
  <si>
    <t>TMP</t>
  </si>
  <si>
    <t>TNC</t>
  </si>
  <si>
    <t>TOWN</t>
  </si>
  <si>
    <t>TR</t>
  </si>
  <si>
    <t>TRN</t>
  </si>
  <si>
    <t>TRNO</t>
  </si>
  <si>
    <t>TROW</t>
  </si>
  <si>
    <t>TRV</t>
  </si>
  <si>
    <t>TSCO</t>
  </si>
  <si>
    <t>TSN</t>
  </si>
  <si>
    <t>TT</t>
  </si>
  <si>
    <t>TTC</t>
  </si>
  <si>
    <t>TXN</t>
  </si>
  <si>
    <t>UBSI</t>
  </si>
  <si>
    <t>UDR</t>
  </si>
  <si>
    <t>UGI</t>
  </si>
  <si>
    <t>UHT</t>
  </si>
  <si>
    <t>UMBF</t>
  </si>
  <si>
    <t>UNH</t>
  </si>
  <si>
    <t>UNM</t>
  </si>
  <si>
    <t>UNP</t>
  </si>
  <si>
    <t>UPS</t>
  </si>
  <si>
    <t>USB</t>
  </si>
  <si>
    <t>UVV</t>
  </si>
  <si>
    <t>V</t>
  </si>
  <si>
    <t>VFC</t>
  </si>
  <si>
    <t>VZ</t>
  </si>
  <si>
    <t>WABC</t>
  </si>
  <si>
    <t>WAFD</t>
  </si>
  <si>
    <t>WASH</t>
  </si>
  <si>
    <t>WBA</t>
  </si>
  <si>
    <t>WDFC</t>
  </si>
  <si>
    <t>WEC</t>
  </si>
  <si>
    <t>WHR</t>
  </si>
  <si>
    <t>WLK</t>
  </si>
  <si>
    <t>WM</t>
  </si>
  <si>
    <t>WMT</t>
  </si>
  <si>
    <t>WOR</t>
  </si>
  <si>
    <t>WPC</t>
  </si>
  <si>
    <t>WRB</t>
  </si>
  <si>
    <t>WSBC</t>
  </si>
  <si>
    <t>WSM</t>
  </si>
  <si>
    <t>WST</t>
  </si>
  <si>
    <t>WTRG</t>
  </si>
  <si>
    <t>XEL</t>
  </si>
  <si>
    <t>XOM</t>
  </si>
  <si>
    <t>XYL</t>
  </si>
  <si>
    <t>YORW</t>
  </si>
  <si>
    <t>Healthcare</t>
  </si>
  <si>
    <t>Industrials</t>
  </si>
  <si>
    <t>Technology</t>
  </si>
  <si>
    <t>Consumer Defensive</t>
  </si>
  <si>
    <t>Financial Services</t>
  </si>
  <si>
    <t>Utilities</t>
  </si>
  <si>
    <t>Basic Materials</t>
  </si>
  <si>
    <t>Real Estate</t>
  </si>
  <si>
    <t>Consumer Cyclical</t>
  </si>
  <si>
    <t>N/A</t>
  </si>
  <si>
    <t>Communication Services</t>
  </si>
  <si>
    <t>Energy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</si>
  <si>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</si>
  <si>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</si>
  <si>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</si>
  <si>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</si>
  <si>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</si>
  <si>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</si>
  <si>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</si>
  <si>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</si>
  <si>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</si>
  <si>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2023-01-13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</si>
</sst>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9"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/>
      </font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$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8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9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7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10.7109375" customWidth="1"/>
    <col min="5" max="5" width="18.7109375" customWidth="1"/>
    <col min="6" max="6" width="25.7109375" customWidth="1"/>
    <col min="7" max="7" width="34.7109375" customWidth="1"/>
    <col min="8" max="8" width="22.7109375" customWidth="1"/>
    <col min="9" max="9" width="22.7109375" customWidth="1"/>
    <col min="10" max="10" width="22.7109375" customWidth="1"/>
    <col min="11" max="11" width="20.7109375" customWidth="1"/>
    <col min="12" max="12" width="15.7109375" customWidth="1"/>
    <col min="13" max="13" width="15.7109375" customWidth="1"/>
    <col min="14" max="14" width="15.7109375" customWidth="1"/>
    <col min="15" max="15" width="15.710937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14</v>
      </c>
      <c r="B2">
        <f>HYPERLINK("https://www.suredividend.com/sure-analysis-ABC/","Amerisource Bergen Corp.")</f>
        <v>0</v>
      </c>
      <c r="C2" t="s">
        <v>385</v>
      </c>
      <c r="D2">
        <v>165.19</v>
      </c>
      <c r="E2">
        <v>0.0117440523034082</v>
      </c>
      <c r="F2">
        <v>0.05434782608695654</v>
      </c>
      <c r="G2">
        <v>0.05000563166277994</v>
      </c>
      <c r="H2">
        <v>1.850726577230833</v>
      </c>
      <c r="I2">
        <v>33914.756757</v>
      </c>
      <c r="J2">
        <v>19.96371408224532</v>
      </c>
      <c r="K2">
        <v>0.2301898727899047</v>
      </c>
      <c r="L2">
        <v>0.488535679281861</v>
      </c>
      <c r="M2">
        <v>174.63</v>
      </c>
      <c r="N2">
        <v>125.96</v>
      </c>
    </row>
    <row r="3" spans="1:14">
      <c r="A3" s="1" t="s">
        <v>15</v>
      </c>
      <c r="B3">
        <f>HYPERLINK("https://www.suredividend.com/sure-analysis-ABM/","ABM Industries Inc.")</f>
        <v>0</v>
      </c>
      <c r="C3" t="s">
        <v>386</v>
      </c>
      <c r="D3">
        <v>46.4</v>
      </c>
      <c r="E3">
        <v>0.01896551724137931</v>
      </c>
      <c r="F3">
        <v>0.1282051282051282</v>
      </c>
      <c r="G3">
        <v>0.04683184708394994</v>
      </c>
      <c r="H3">
        <v>0.7994499334318951</v>
      </c>
      <c r="I3">
        <v>3015.663443</v>
      </c>
      <c r="J3">
        <v>13.08881702899306</v>
      </c>
      <c r="K3">
        <v>0.2344427957278284</v>
      </c>
      <c r="L3">
        <v>0.8526068762530301</v>
      </c>
      <c r="M3">
        <v>53.24</v>
      </c>
      <c r="N3">
        <v>37.32</v>
      </c>
    </row>
    <row r="4" spans="1:14">
      <c r="A4" s="1" t="s">
        <v>16</v>
      </c>
      <c r="B4">
        <f>HYPERLINK("https://www.suredividend.com/sure-analysis-ABT/","Abbott Laboratories")</f>
        <v>0</v>
      </c>
      <c r="C4" t="s">
        <v>385</v>
      </c>
      <c r="D4">
        <v>113.04</v>
      </c>
      <c r="E4">
        <v>0.01804670912951168</v>
      </c>
      <c r="F4">
        <v>0.08510638297872331</v>
      </c>
      <c r="G4">
        <v>0.127411418189695</v>
      </c>
      <c r="H4">
        <v>1.907188983280342</v>
      </c>
      <c r="I4">
        <v>194164.375807</v>
      </c>
      <c r="J4">
        <v>24.6120390172037</v>
      </c>
      <c r="K4">
        <v>0.4285817939955825</v>
      </c>
      <c r="L4">
        <v>0.830346693163134</v>
      </c>
      <c r="M4">
        <v>128.65</v>
      </c>
      <c r="N4">
        <v>92.83</v>
      </c>
    </row>
    <row r="5" spans="1:14">
      <c r="A5" s="1" t="s">
        <v>17</v>
      </c>
      <c r="B5">
        <f>HYPERLINK("https://www.suredividend.com/sure-analysis-ACN/","Accenture plc")</f>
        <v>0</v>
      </c>
      <c r="C5" t="s">
        <v>387</v>
      </c>
      <c r="D5">
        <v>281.13</v>
      </c>
      <c r="E5">
        <v>0.01593568811581831</v>
      </c>
      <c r="F5" t="s">
        <v>394</v>
      </c>
      <c r="G5" t="s">
        <v>394</v>
      </c>
      <c r="H5">
        <v>4.155571743896671</v>
      </c>
      <c r="I5">
        <v>186876.99553</v>
      </c>
      <c r="J5">
        <v>26.5032587888718</v>
      </c>
      <c r="K5">
        <v>0.3781229976248108</v>
      </c>
      <c r="L5">
        <v>1.202539514643855</v>
      </c>
      <c r="M5">
        <v>354.72</v>
      </c>
      <c r="N5">
        <v>241.96</v>
      </c>
    </row>
    <row r="6" spans="1:14">
      <c r="A6" s="1" t="s">
        <v>18</v>
      </c>
      <c r="B6">
        <f>HYPERLINK("https://www.suredividend.com/sure-analysis-ADI/","Analog Devices Inc.")</f>
        <v>0</v>
      </c>
      <c r="C6" t="s">
        <v>387</v>
      </c>
      <c r="D6">
        <v>168.97</v>
      </c>
      <c r="E6">
        <v>0.01799135941291354</v>
      </c>
      <c r="F6">
        <v>0.1014492753623188</v>
      </c>
      <c r="G6">
        <v>0.09626227935295417</v>
      </c>
      <c r="H6">
        <v>3.019157209894298</v>
      </c>
      <c r="I6">
        <v>85902.946368</v>
      </c>
      <c r="J6">
        <v>31.25378929864391</v>
      </c>
      <c r="K6">
        <v>0.57507756378939</v>
      </c>
      <c r="L6">
        <v>1.291943855052897</v>
      </c>
      <c r="M6">
        <v>179.95</v>
      </c>
      <c r="N6">
        <v>132.89</v>
      </c>
    </row>
    <row r="7" spans="1:14">
      <c r="A7" s="1" t="s">
        <v>19</v>
      </c>
      <c r="B7">
        <f>HYPERLINK("https://www.suredividend.com/sure-analysis-ADM/","Archer Daniels Midland Co.")</f>
        <v>0</v>
      </c>
      <c r="C7" t="s">
        <v>388</v>
      </c>
      <c r="D7">
        <v>87.88500000000001</v>
      </c>
      <c r="E7">
        <v>0.01820560960345907</v>
      </c>
      <c r="F7">
        <v>0.08108108108108114</v>
      </c>
      <c r="G7">
        <v>0.03610325209611243</v>
      </c>
      <c r="H7">
        <v>1.58939059316575</v>
      </c>
      <c r="I7">
        <v>48006.318098</v>
      </c>
      <c r="J7">
        <v>11.70029687972947</v>
      </c>
      <c r="K7">
        <v>0.2195290874538329</v>
      </c>
      <c r="L7">
        <v>0.567762403089349</v>
      </c>
      <c r="M7">
        <v>98.12</v>
      </c>
      <c r="N7">
        <v>64.42</v>
      </c>
    </row>
    <row r="8" spans="1:14">
      <c r="A8" s="1" t="s">
        <v>20</v>
      </c>
      <c r="B8">
        <f>HYPERLINK("https://www.suredividend.com/sure-analysis-ADP/","Automatic Data Processing Inc.")</f>
        <v>0</v>
      </c>
      <c r="C8" t="s">
        <v>386</v>
      </c>
      <c r="D8">
        <v>245.345</v>
      </c>
      <c r="E8">
        <v>0.02037946565041064</v>
      </c>
      <c r="F8">
        <v>0.2019230769230769</v>
      </c>
      <c r="G8">
        <v>0.1468692082056793</v>
      </c>
      <c r="H8">
        <v>4.341176810880759</v>
      </c>
      <c r="I8">
        <v>101325.830856</v>
      </c>
      <c r="J8">
        <v>33.46958804781</v>
      </c>
      <c r="K8">
        <v>0.6012710264377783</v>
      </c>
      <c r="L8">
        <v>0.938060583573572</v>
      </c>
      <c r="M8">
        <v>274.92</v>
      </c>
      <c r="N8">
        <v>188.67</v>
      </c>
    </row>
    <row r="9" spans="1:14">
      <c r="A9" s="1" t="s">
        <v>21</v>
      </c>
      <c r="B9">
        <f>HYPERLINK("https://www.suredividend.com/sure-analysis-AEL/","American Equity Investment Life Holding Co")</f>
        <v>0</v>
      </c>
      <c r="C9" t="s">
        <v>389</v>
      </c>
      <c r="D9">
        <v>46.38</v>
      </c>
      <c r="E9">
        <v>0.007761966364812418</v>
      </c>
      <c r="F9" t="s">
        <v>394</v>
      </c>
      <c r="G9" t="s">
        <v>394</v>
      </c>
      <c r="H9">
        <v>0.360000014305114</v>
      </c>
      <c r="I9">
        <v>3980.012954</v>
      </c>
      <c r="J9">
        <v>3.087998319761961</v>
      </c>
      <c r="K9">
        <v>0.02606806765424432</v>
      </c>
      <c r="L9">
        <v>0.8870340148410921</v>
      </c>
      <c r="M9">
        <v>47.3</v>
      </c>
      <c r="N9">
        <v>28.05</v>
      </c>
    </row>
    <row r="10" spans="1:14">
      <c r="A10" s="1" t="s">
        <v>22</v>
      </c>
      <c r="B10">
        <f>HYPERLINK("https://www.suredividend.com/sure-analysis-AEP/","American Electric Power Company Inc.")</f>
        <v>0</v>
      </c>
      <c r="C10" t="s">
        <v>390</v>
      </c>
      <c r="D10">
        <v>95.11</v>
      </c>
      <c r="E10">
        <v>0.03490694984754494</v>
      </c>
      <c r="F10">
        <v>0.0641025641025641</v>
      </c>
      <c r="G10">
        <v>0.06007667938522787</v>
      </c>
      <c r="H10">
        <v>3.13019224349284</v>
      </c>
      <c r="I10">
        <v>49541.597196</v>
      </c>
      <c r="J10">
        <v>20.12413567145179</v>
      </c>
      <c r="K10">
        <v>0.6494174779030788</v>
      </c>
      <c r="L10">
        <v>0.5223989543824741</v>
      </c>
      <c r="M10">
        <v>104.62</v>
      </c>
      <c r="N10">
        <v>79.55</v>
      </c>
    </row>
    <row r="11" spans="1:14">
      <c r="A11" s="1" t="s">
        <v>23</v>
      </c>
      <c r="B11">
        <f>HYPERLINK("https://www.suredividend.com/sure-analysis-AFG/","American Financial Group Inc")</f>
        <v>0</v>
      </c>
      <c r="C11" t="s">
        <v>389</v>
      </c>
      <c r="D11">
        <v>141.295</v>
      </c>
      <c r="E11">
        <v>0.01783502600941293</v>
      </c>
      <c r="F11">
        <v>0.125</v>
      </c>
      <c r="G11">
        <v>0.04730724775551032</v>
      </c>
      <c r="H11">
        <v>2.309248032617917</v>
      </c>
      <c r="I11">
        <v>12023.965494</v>
      </c>
      <c r="J11">
        <v>12.30702711735926</v>
      </c>
      <c r="K11">
        <v>0.201505063928265</v>
      </c>
      <c r="L11">
        <v>0.676980221369414</v>
      </c>
      <c r="M11">
        <v>148.18</v>
      </c>
      <c r="N11">
        <v>110.56</v>
      </c>
    </row>
    <row r="12" spans="1:14">
      <c r="A12" s="1" t="s">
        <v>24</v>
      </c>
      <c r="B12">
        <f>HYPERLINK("https://www.suredividend.com/sure-analysis-AFL/","Aflac Inc.")</f>
        <v>0</v>
      </c>
      <c r="C12" t="s">
        <v>389</v>
      </c>
      <c r="D12">
        <v>72.2</v>
      </c>
      <c r="E12">
        <v>0.02326869806094183</v>
      </c>
      <c r="F12">
        <v>0.2121212121212122</v>
      </c>
      <c r="G12" t="s">
        <v>394</v>
      </c>
      <c r="H12">
        <v>1.585087414106384</v>
      </c>
      <c r="I12">
        <v>44644.418608</v>
      </c>
      <c r="J12">
        <v>8.831734640553908</v>
      </c>
      <c r="K12">
        <v>0.2029561349688072</v>
      </c>
      <c r="L12">
        <v>0.68406298576624</v>
      </c>
      <c r="M12">
        <v>74.02</v>
      </c>
      <c r="N12">
        <v>51.43</v>
      </c>
    </row>
    <row r="13" spans="1:14">
      <c r="A13" s="1" t="s">
        <v>25</v>
      </c>
      <c r="B13">
        <f>HYPERLINK("https://www.suredividend.com/sure-analysis-AGM/","Federal Agricultural Mortgage Corp.")</f>
        <v>0</v>
      </c>
      <c r="C13" t="s">
        <v>389</v>
      </c>
      <c r="D13">
        <v>123.92</v>
      </c>
      <c r="E13">
        <v>0.03066494512588767</v>
      </c>
      <c r="F13">
        <v>0.07954545454545459</v>
      </c>
      <c r="G13">
        <v>0.1037205338828775</v>
      </c>
      <c r="H13">
        <v>3.750781193328897</v>
      </c>
      <c r="I13">
        <v>1264.32843</v>
      </c>
      <c r="J13">
        <v>8.739456482867789</v>
      </c>
      <c r="K13">
        <v>0.2820136235585636</v>
      </c>
      <c r="L13">
        <v>0.8000325675034151</v>
      </c>
      <c r="M13">
        <v>126.88</v>
      </c>
      <c r="N13">
        <v>88.53</v>
      </c>
    </row>
    <row r="14" spans="1:14">
      <c r="A14" s="1" t="s">
        <v>26</v>
      </c>
      <c r="B14">
        <f>HYPERLINK("https://www.suredividend.com/sure-analysis-AGO/","Assured Guaranty Ltd")</f>
        <v>0</v>
      </c>
      <c r="C14" t="s">
        <v>389</v>
      </c>
      <c r="D14">
        <v>62.28</v>
      </c>
      <c r="E14">
        <v>0.01605651894669236</v>
      </c>
      <c r="F14">
        <v>0.1363636363636365</v>
      </c>
      <c r="G14">
        <v>0.09336207394327811</v>
      </c>
      <c r="H14">
        <v>0.9935037213176721</v>
      </c>
      <c r="I14">
        <v>3722.656119</v>
      </c>
      <c r="J14">
        <v>12.70531098600683</v>
      </c>
      <c r="K14">
        <v>0.2237620993958721</v>
      </c>
      <c r="L14">
        <v>0.8761953093362831</v>
      </c>
      <c r="M14">
        <v>67.13</v>
      </c>
      <c r="N14">
        <v>45.72</v>
      </c>
    </row>
    <row r="15" spans="1:14">
      <c r="A15" s="1" t="s">
        <v>27</v>
      </c>
      <c r="B15">
        <f>HYPERLINK("https://www.suredividend.com/sure-analysis-AIT/","Applied Industrial Technologies Inc.")</f>
        <v>0</v>
      </c>
      <c r="C15" t="s">
        <v>386</v>
      </c>
      <c r="D15">
        <v>123.93</v>
      </c>
      <c r="E15">
        <v>0.01097393689986283</v>
      </c>
      <c r="F15">
        <v>0</v>
      </c>
      <c r="G15">
        <v>0.02534857565773274</v>
      </c>
      <c r="H15">
        <v>1.354220775836013</v>
      </c>
      <c r="I15">
        <v>4809.923661</v>
      </c>
      <c r="J15">
        <v>17.09739149169111</v>
      </c>
      <c r="K15">
        <v>0.1883478130509058</v>
      </c>
      <c r="L15">
        <v>0.8138026853118091</v>
      </c>
      <c r="M15">
        <v>133.74</v>
      </c>
      <c r="N15">
        <v>87.59999999999999</v>
      </c>
    </row>
    <row r="16" spans="1:14">
      <c r="A16" s="1" t="s">
        <v>28</v>
      </c>
      <c r="B16">
        <f>HYPERLINK("https://www.suredividend.com/sure-analysis-AIZ/","Assurant Inc")</f>
        <v>0</v>
      </c>
      <c r="C16" t="s">
        <v>389</v>
      </c>
      <c r="D16">
        <v>127.085</v>
      </c>
      <c r="E16">
        <v>0.02203249793445332</v>
      </c>
      <c r="F16">
        <v>0.02941176470588247</v>
      </c>
      <c r="G16">
        <v>0.04563955259127317</v>
      </c>
      <c r="H16">
        <v>2.731863226704393</v>
      </c>
      <c r="I16">
        <v>6656.760054</v>
      </c>
      <c r="J16">
        <v>20.25794295191722</v>
      </c>
      <c r="K16">
        <v>0.4638137906119513</v>
      </c>
      <c r="L16">
        <v>0.5867326923534201</v>
      </c>
      <c r="M16">
        <v>192.59</v>
      </c>
      <c r="N16">
        <v>119.01</v>
      </c>
    </row>
    <row r="17" spans="1:14">
      <c r="A17" s="1" t="s">
        <v>29</v>
      </c>
      <c r="B17">
        <f>HYPERLINK("https://www.suredividend.com/sure-analysis-AJG/","Arthur J. Gallagher &amp; Co.")</f>
        <v>0</v>
      </c>
      <c r="C17" t="s">
        <v>389</v>
      </c>
      <c r="D17">
        <v>195.655</v>
      </c>
      <c r="E17">
        <v>0.01042651606143467</v>
      </c>
      <c r="F17">
        <v>0.0625</v>
      </c>
      <c r="G17">
        <v>0.04461742008699598</v>
      </c>
      <c r="H17">
        <v>2.031611749289178</v>
      </c>
      <c r="I17">
        <v>41111.6916</v>
      </c>
      <c r="J17">
        <v>37.78300854700855</v>
      </c>
      <c r="K17">
        <v>0.399137868229701</v>
      </c>
      <c r="L17">
        <v>0.8317917436536431</v>
      </c>
      <c r="M17">
        <v>201.51</v>
      </c>
      <c r="N17">
        <v>145.6</v>
      </c>
    </row>
    <row r="18" spans="1:14">
      <c r="A18" s="1" t="s">
        <v>30</v>
      </c>
      <c r="B18">
        <f>HYPERLINK("https://www.suredividend.com/sure-analysis-ALB/","Albemarle Corp.")</f>
        <v>0</v>
      </c>
      <c r="C18" t="s">
        <v>391</v>
      </c>
      <c r="D18">
        <v>235.58</v>
      </c>
      <c r="E18">
        <v>0.006706851175821377</v>
      </c>
      <c r="F18">
        <v>0.01282051282051277</v>
      </c>
      <c r="G18">
        <v>0.03349994468245687</v>
      </c>
      <c r="H18">
        <v>1.576483568438062</v>
      </c>
      <c r="I18">
        <v>28492.731029</v>
      </c>
      <c r="J18">
        <v>18.34043709571709</v>
      </c>
      <c r="K18">
        <v>0.1196118033716284</v>
      </c>
      <c r="L18">
        <v>1.374944366886166</v>
      </c>
      <c r="M18">
        <v>334.02</v>
      </c>
      <c r="N18">
        <v>168.83</v>
      </c>
    </row>
    <row r="19" spans="1:14">
      <c r="A19" s="1" t="s">
        <v>31</v>
      </c>
      <c r="B19">
        <f>HYPERLINK("https://www.suredividend.com/sure-analysis-ALE/","Allete, Inc.")</f>
        <v>0</v>
      </c>
      <c r="C19" t="s">
        <v>390</v>
      </c>
      <c r="D19">
        <v>65.5</v>
      </c>
      <c r="E19">
        <v>0.03969465648854962</v>
      </c>
      <c r="F19">
        <v>0.03174603174603186</v>
      </c>
      <c r="G19">
        <v>0.03025579475561258</v>
      </c>
      <c r="H19">
        <v>2.558628204099811</v>
      </c>
      <c r="I19">
        <v>3772.683948</v>
      </c>
      <c r="J19">
        <v>18.91069648120301</v>
      </c>
      <c r="K19">
        <v>0.7048562545729506</v>
      </c>
      <c r="L19">
        <v>0.5251557876849681</v>
      </c>
      <c r="M19">
        <v>67.45</v>
      </c>
      <c r="N19">
        <v>47.26</v>
      </c>
    </row>
    <row r="20" spans="1:14">
      <c r="A20" s="1" t="s">
        <v>32</v>
      </c>
      <c r="B20">
        <f>HYPERLINK("https://www.suredividend.com/sure-analysis-ALL/","Allstate Corp (The)")</f>
        <v>0</v>
      </c>
      <c r="C20" t="s">
        <v>389</v>
      </c>
      <c r="D20">
        <v>137.83</v>
      </c>
      <c r="E20">
        <v>0.02466806936080679</v>
      </c>
      <c r="F20">
        <v>0.04938271604938271</v>
      </c>
      <c r="G20">
        <v>0.1306604963400571</v>
      </c>
      <c r="H20">
        <v>3.366805953593399</v>
      </c>
      <c r="I20">
        <v>36352.276308</v>
      </c>
      <c r="J20" t="s">
        <v>394</v>
      </c>
      <c r="K20" t="s">
        <v>394</v>
      </c>
      <c r="L20">
        <v>0.5934582274915681</v>
      </c>
      <c r="M20">
        <v>142.15</v>
      </c>
      <c r="N20">
        <v>110.37</v>
      </c>
    </row>
    <row r="21" spans="1:14">
      <c r="A21" s="1" t="s">
        <v>33</v>
      </c>
      <c r="B21">
        <f>HYPERLINK("https://www.suredividend.com/sure-analysis-AMGN/","AMGEN Inc.")</f>
        <v>0</v>
      </c>
      <c r="C21" t="s">
        <v>385</v>
      </c>
      <c r="D21">
        <v>271.63</v>
      </c>
      <c r="E21">
        <v>0.03136619666458049</v>
      </c>
      <c r="F21">
        <v>0.1022727272727273</v>
      </c>
      <c r="G21">
        <v>0.08005422401318252</v>
      </c>
      <c r="H21">
        <v>7.675417928450783</v>
      </c>
      <c r="I21">
        <v>144557.27849</v>
      </c>
      <c r="J21">
        <v>21.14956525084419</v>
      </c>
      <c r="K21">
        <v>0.6150174622156076</v>
      </c>
      <c r="L21">
        <v>0.347770760556964</v>
      </c>
      <c r="M21">
        <v>294.64</v>
      </c>
      <c r="N21">
        <v>209.61</v>
      </c>
    </row>
    <row r="22" spans="1:14">
      <c r="A22" s="1" t="s">
        <v>34</v>
      </c>
      <c r="B22">
        <f>HYPERLINK("https://www.suredividend.com/sure-analysis-AMP/","Ameriprise Financial Inc")</f>
        <v>0</v>
      </c>
      <c r="C22" t="s">
        <v>389</v>
      </c>
      <c r="D22">
        <v>329.91</v>
      </c>
      <c r="E22">
        <v>0.01515564851019975</v>
      </c>
      <c r="F22">
        <v>0.1061946902654869</v>
      </c>
      <c r="G22">
        <v>0.08534143692781315</v>
      </c>
      <c r="H22">
        <v>4.849137154860002</v>
      </c>
      <c r="I22">
        <v>35242.183793</v>
      </c>
      <c r="J22">
        <v>12.74120889111714</v>
      </c>
      <c r="K22">
        <v>0.2018791488284764</v>
      </c>
      <c r="L22">
        <v>1.239759456450707</v>
      </c>
      <c r="M22">
        <v>339.41</v>
      </c>
      <c r="N22">
        <v>218.08</v>
      </c>
    </row>
    <row r="23" spans="1:14">
      <c r="A23" s="1" t="s">
        <v>35</v>
      </c>
      <c r="B23">
        <f>HYPERLINK("https://www.suredividend.com/sure-analysis-ANDE/","Andersons Inc.")</f>
        <v>0</v>
      </c>
      <c r="C23" t="s">
        <v>388</v>
      </c>
      <c r="D23">
        <v>35.735</v>
      </c>
      <c r="E23">
        <v>0.02070798936616762</v>
      </c>
      <c r="F23">
        <v>0.0277777777777779</v>
      </c>
      <c r="G23">
        <v>0.02314587308046168</v>
      </c>
      <c r="H23">
        <v>0.719106123364027</v>
      </c>
      <c r="I23">
        <v>1185.668126</v>
      </c>
      <c r="J23">
        <v>7.815977313214413</v>
      </c>
      <c r="K23">
        <v>0.1630626130077159</v>
      </c>
      <c r="L23">
        <v>0.5650312140448921</v>
      </c>
      <c r="M23">
        <v>58.03</v>
      </c>
      <c r="N23">
        <v>29.03</v>
      </c>
    </row>
    <row r="24" spans="1:14">
      <c r="A24" s="1" t="s">
        <v>36</v>
      </c>
      <c r="B24">
        <f>HYPERLINK("https://www.suredividend.com/sure-analysis-ANTM/","Anthem Inc")</f>
        <v>0</v>
      </c>
      <c r="C24" t="s">
        <v>385</v>
      </c>
      <c r="D24">
        <v>482.58</v>
      </c>
      <c r="E24">
        <v>0.009949524828726001</v>
      </c>
      <c r="F24" t="s">
        <v>394</v>
      </c>
      <c r="G24" t="s">
        <v>394</v>
      </c>
      <c r="H24">
        <v>4.801441691846593</v>
      </c>
      <c r="I24">
        <v>116342.693132</v>
      </c>
      <c r="J24">
        <v>18.63271831076233</v>
      </c>
      <c r="K24">
        <v>0.1890331374742753</v>
      </c>
      <c r="L24">
        <v>0.6881875553722741</v>
      </c>
      <c r="M24">
        <v>532.3099999999999</v>
      </c>
      <c r="N24">
        <v>352.54</v>
      </c>
    </row>
    <row r="25" spans="1:14">
      <c r="A25" s="1" t="s">
        <v>37</v>
      </c>
      <c r="B25">
        <f>HYPERLINK("https://www.suredividend.com/sure-analysis-AON/","Aon plc.")</f>
        <v>0</v>
      </c>
      <c r="C25" t="s">
        <v>389</v>
      </c>
      <c r="D25">
        <v>315.95</v>
      </c>
      <c r="E25">
        <v>0.007089729387561324</v>
      </c>
      <c r="F25" t="s">
        <v>394</v>
      </c>
      <c r="G25" t="s">
        <v>394</v>
      </c>
      <c r="H25">
        <v>2.183906126728811</v>
      </c>
      <c r="I25">
        <v>65338.636894</v>
      </c>
      <c r="J25">
        <v>0</v>
      </c>
      <c r="K25" t="s">
        <v>394</v>
      </c>
      <c r="L25">
        <v>0.8502627680671241</v>
      </c>
      <c r="M25">
        <v>340.07</v>
      </c>
      <c r="N25">
        <v>245.26</v>
      </c>
    </row>
    <row r="26" spans="1:14">
      <c r="A26" s="1" t="s">
        <v>38</v>
      </c>
      <c r="B26">
        <f>HYPERLINK("https://www.suredividend.com/sure-analysis-AOS/","A.O. Smith Corp.")</f>
        <v>0</v>
      </c>
      <c r="C26" t="s">
        <v>386</v>
      </c>
      <c r="D26">
        <v>61.27</v>
      </c>
      <c r="E26">
        <v>0.01958544148849355</v>
      </c>
      <c r="F26">
        <v>0.0714285714285714</v>
      </c>
      <c r="G26">
        <v>0.1075663432482901</v>
      </c>
      <c r="H26">
        <v>1.13133600435586</v>
      </c>
      <c r="I26">
        <v>9380.417358000001</v>
      </c>
      <c r="J26">
        <v>15.72425630076706</v>
      </c>
      <c r="K26">
        <v>0.3602980905591911</v>
      </c>
      <c r="L26">
        <v>0.93593886119067</v>
      </c>
      <c r="M26">
        <v>80.48999999999999</v>
      </c>
      <c r="N26">
        <v>46.31</v>
      </c>
    </row>
    <row r="27" spans="1:14">
      <c r="A27" s="1" t="s">
        <v>39</v>
      </c>
      <c r="B27">
        <f>HYPERLINK("https://www.suredividend.com/sure-analysis-APD/","Air Products &amp; Chemicals Inc.")</f>
        <v>0</v>
      </c>
      <c r="C27" t="s">
        <v>391</v>
      </c>
      <c r="D27">
        <v>307.77</v>
      </c>
      <c r="E27">
        <v>0.02105468369236768</v>
      </c>
      <c r="F27">
        <v>0.08000000000000007</v>
      </c>
      <c r="G27">
        <v>0.08049924032577382</v>
      </c>
      <c r="H27">
        <v>6.421524823091209</v>
      </c>
      <c r="I27">
        <v>68825.042864</v>
      </c>
      <c r="J27">
        <v>30.50620223567661</v>
      </c>
      <c r="K27">
        <v>0.6332864717052474</v>
      </c>
      <c r="L27">
        <v>0.83318757286372</v>
      </c>
      <c r="M27">
        <v>326.85</v>
      </c>
      <c r="N27">
        <v>210.83</v>
      </c>
    </row>
    <row r="28" spans="1:14">
      <c r="A28" s="1" t="s">
        <v>40</v>
      </c>
      <c r="B28">
        <f>HYPERLINK("https://www.suredividend.com/sure-analysis-APH/","Amphenol Corp.")</f>
        <v>0</v>
      </c>
      <c r="C28" t="s">
        <v>387</v>
      </c>
      <c r="D28">
        <v>80.08</v>
      </c>
      <c r="E28">
        <v>0.01048951048951049</v>
      </c>
      <c r="F28" t="s">
        <v>394</v>
      </c>
      <c r="G28" t="s">
        <v>394</v>
      </c>
      <c r="H28">
        <v>0.806644015314628</v>
      </c>
      <c r="I28">
        <v>48143.148286</v>
      </c>
      <c r="J28">
        <v>25.88758847448513</v>
      </c>
      <c r="K28">
        <v>0.2706859111794054</v>
      </c>
      <c r="L28">
        <v>1.087253606253356</v>
      </c>
      <c r="M28">
        <v>82.64</v>
      </c>
      <c r="N28">
        <v>61.33</v>
      </c>
    </row>
    <row r="29" spans="1:14">
      <c r="A29" s="1" t="s">
        <v>41</v>
      </c>
      <c r="B29">
        <f>HYPERLINK("https://www.suredividend.com/sure-analysis-APOG/","Apogee Enterprises Inc.")</f>
        <v>0</v>
      </c>
      <c r="C29" t="s">
        <v>386</v>
      </c>
      <c r="D29">
        <v>46.3</v>
      </c>
      <c r="E29">
        <v>0.02073434125269978</v>
      </c>
      <c r="F29">
        <v>0.09999999999999987</v>
      </c>
      <c r="G29">
        <v>0.06912485106932209</v>
      </c>
      <c r="H29">
        <v>0.8729597945515981</v>
      </c>
      <c r="I29">
        <v>1034.278718</v>
      </c>
      <c r="J29">
        <v>15.2970393030926</v>
      </c>
      <c r="K29">
        <v>0.2969251001876184</v>
      </c>
      <c r="L29">
        <v>1.014834282966008</v>
      </c>
      <c r="M29">
        <v>49.65</v>
      </c>
      <c r="N29">
        <v>35.57</v>
      </c>
    </row>
    <row r="30" spans="1:14">
      <c r="A30" s="1" t="s">
        <v>42</v>
      </c>
      <c r="B30">
        <f>HYPERLINK("https://www.suredividend.com/sure-analysis-ARE/","Alexandria Real Estate Equities Inc.")</f>
        <v>0</v>
      </c>
      <c r="C30" t="s">
        <v>392</v>
      </c>
      <c r="D30">
        <v>155.91</v>
      </c>
      <c r="E30">
        <v>0.03027387595407607</v>
      </c>
      <c r="F30">
        <v>0.0521739130434784</v>
      </c>
      <c r="G30">
        <v>0.06098335879266292</v>
      </c>
      <c r="H30">
        <v>4.661855391292267</v>
      </c>
      <c r="I30">
        <v>25577.924583</v>
      </c>
      <c r="J30">
        <v>47.85088428964293</v>
      </c>
      <c r="K30">
        <v>1.387456961694127</v>
      </c>
      <c r="L30">
        <v>0.9231913204921051</v>
      </c>
      <c r="M30">
        <v>204.32</v>
      </c>
      <c r="N30">
        <v>125.67</v>
      </c>
    </row>
    <row r="31" spans="1:14">
      <c r="A31" s="1" t="s">
        <v>43</v>
      </c>
      <c r="B31">
        <f>HYPERLINK("https://www.suredividend.com/sure-analysis-ASB/","Associated Banc-Corp.")</f>
        <v>0</v>
      </c>
      <c r="C31" t="s">
        <v>389</v>
      </c>
      <c r="D31">
        <v>22.97</v>
      </c>
      <c r="E31">
        <v>0.0348280365694384</v>
      </c>
      <c r="F31">
        <v>0.04999999999999982</v>
      </c>
      <c r="G31">
        <v>0.06961037572506878</v>
      </c>
      <c r="H31">
        <v>0.8009674270449001</v>
      </c>
      <c r="I31">
        <v>3518.405233</v>
      </c>
      <c r="J31">
        <v>10.98238660914948</v>
      </c>
      <c r="K31">
        <v>0.376041045560986</v>
      </c>
      <c r="L31">
        <v>0.825056573077326</v>
      </c>
      <c r="M31">
        <v>25.28</v>
      </c>
      <c r="N31">
        <v>17.13</v>
      </c>
    </row>
    <row r="32" spans="1:14">
      <c r="A32" s="1" t="s">
        <v>44</v>
      </c>
      <c r="B32">
        <f>HYPERLINK("https://www.suredividend.com/sure-analysis-research-database/","Ashland Inc")</f>
        <v>0</v>
      </c>
      <c r="C32" t="s">
        <v>391</v>
      </c>
      <c r="D32">
        <v>111.545</v>
      </c>
      <c r="E32">
        <v>0.01163512824784</v>
      </c>
      <c r="F32">
        <v>0.1166666666666665</v>
      </c>
      <c r="G32">
        <v>0.08286036471404024</v>
      </c>
      <c r="H32">
        <v>1.299992879131267</v>
      </c>
      <c r="I32">
        <v>6049.903303</v>
      </c>
      <c r="J32">
        <v>6.526325030679612</v>
      </c>
      <c r="K32">
        <v>0.0785494186786264</v>
      </c>
      <c r="L32">
        <v>0.870765994990333</v>
      </c>
      <c r="M32">
        <v>114.36</v>
      </c>
      <c r="N32">
        <v>82.77</v>
      </c>
    </row>
    <row r="33" spans="1:14">
      <c r="A33" s="1" t="s">
        <v>45</v>
      </c>
      <c r="B33">
        <f>HYPERLINK("https://www.suredividend.com/sure-analysis-ATO/","Atmos Energy Corp.")</f>
        <v>0</v>
      </c>
      <c r="C33" t="s">
        <v>390</v>
      </c>
      <c r="D33">
        <v>114.76</v>
      </c>
      <c r="E33">
        <v>0.02579295921924015</v>
      </c>
      <c r="F33">
        <v>0.08823529411764697</v>
      </c>
      <c r="G33">
        <v>0.08817312612555162</v>
      </c>
      <c r="H33">
        <v>2.768039950700219</v>
      </c>
      <c r="I33">
        <v>16411.439054</v>
      </c>
      <c r="J33">
        <v>21.85327637792067</v>
      </c>
      <c r="K33">
        <v>0.5005497198372909</v>
      </c>
      <c r="L33">
        <v>0.542134903832393</v>
      </c>
      <c r="M33">
        <v>121.5</v>
      </c>
      <c r="N33">
        <v>97.70999999999999</v>
      </c>
    </row>
    <row r="34" spans="1:14">
      <c r="A34" s="1" t="s">
        <v>46</v>
      </c>
      <c r="B34">
        <f>HYPERLINK("https://www.suredividend.com/sure-analysis-ATR/","Aptargroup Inc.")</f>
        <v>0</v>
      </c>
      <c r="C34" t="s">
        <v>393</v>
      </c>
      <c r="D34">
        <v>113.48</v>
      </c>
      <c r="E34">
        <v>0.01339443073669369</v>
      </c>
      <c r="F34">
        <v>0</v>
      </c>
      <c r="G34">
        <v>0.03496752704080697</v>
      </c>
      <c r="H34">
        <v>1.511564517176058</v>
      </c>
      <c r="I34">
        <v>7409.734908</v>
      </c>
      <c r="J34">
        <v>31.14629576168238</v>
      </c>
      <c r="K34">
        <v>0.4257928217397347</v>
      </c>
      <c r="L34">
        <v>0.750640836020362</v>
      </c>
      <c r="M34">
        <v>121.61</v>
      </c>
      <c r="N34">
        <v>89.88</v>
      </c>
    </row>
    <row r="35" spans="1:14">
      <c r="A35" s="1" t="s">
        <v>47</v>
      </c>
      <c r="B35">
        <f>HYPERLINK("https://www.suredividend.com/sure-analysis-ATRI/","Atrion Corp.")</f>
        <v>0</v>
      </c>
      <c r="C35" t="s">
        <v>385</v>
      </c>
      <c r="D35">
        <v>614.28</v>
      </c>
      <c r="E35">
        <v>0.01400013023376962</v>
      </c>
      <c r="F35">
        <v>0.1025641025641024</v>
      </c>
      <c r="G35">
        <v>0.1237027476042598</v>
      </c>
      <c r="H35">
        <v>8.157522700227936</v>
      </c>
      <c r="I35">
        <v>1088.886242</v>
      </c>
      <c r="J35">
        <v>31.27725174240248</v>
      </c>
      <c r="K35">
        <v>0.4215774005285755</v>
      </c>
      <c r="L35">
        <v>0.5922699425994931</v>
      </c>
      <c r="M35">
        <v>775.63</v>
      </c>
      <c r="N35">
        <v>534.99</v>
      </c>
    </row>
    <row r="36" spans="1:14">
      <c r="A36" s="1" t="s">
        <v>48</v>
      </c>
      <c r="B36">
        <f>HYPERLINK("https://www.suredividend.com/sure-analysis-research-database/","Atlantic Union Bankshares Corp")</f>
        <v>0</v>
      </c>
      <c r="C36" t="s">
        <v>389</v>
      </c>
      <c r="D36">
        <v>36.33</v>
      </c>
      <c r="E36">
        <v>0.03082980711131</v>
      </c>
      <c r="F36">
        <v>0.0714285714285714</v>
      </c>
      <c r="G36">
        <v>0.07394092378577932</v>
      </c>
      <c r="H36">
        <v>1.135153497838463</v>
      </c>
      <c r="I36">
        <v>2750.877688</v>
      </c>
      <c r="J36">
        <v>13.7614755986333</v>
      </c>
      <c r="K36">
        <v>0.4267494352776177</v>
      </c>
      <c r="L36">
        <v>0.7787568841923631</v>
      </c>
      <c r="M36">
        <v>40.93</v>
      </c>
      <c r="N36">
        <v>29.73</v>
      </c>
    </row>
    <row r="37" spans="1:14">
      <c r="A37" s="1" t="s">
        <v>49</v>
      </c>
      <c r="B37">
        <f>HYPERLINK("https://www.suredividend.com/sure-analysis-AVA/","Avista Corp.")</f>
        <v>0</v>
      </c>
      <c r="C37" t="s">
        <v>390</v>
      </c>
      <c r="D37">
        <v>42.53</v>
      </c>
      <c r="E37">
        <v>0.04138255349165295</v>
      </c>
      <c r="F37">
        <v>0.04142011834319526</v>
      </c>
      <c r="G37">
        <v>0.03386844400085565</v>
      </c>
      <c r="H37">
        <v>1.732137593939738</v>
      </c>
      <c r="I37">
        <v>3160.553558</v>
      </c>
      <c r="J37">
        <v>24.67312707089159</v>
      </c>
      <c r="K37">
        <v>0.9786088101354452</v>
      </c>
      <c r="L37">
        <v>0.404047046506758</v>
      </c>
      <c r="M37">
        <v>45.45</v>
      </c>
      <c r="N37">
        <v>35.31</v>
      </c>
    </row>
    <row r="38" spans="1:14">
      <c r="A38" s="1" t="s">
        <v>50</v>
      </c>
      <c r="B38">
        <f>HYPERLINK("https://www.suredividend.com/sure-analysis-AVGO/","Broadcom Inc")</f>
        <v>0</v>
      </c>
      <c r="C38" t="s">
        <v>387</v>
      </c>
      <c r="D38">
        <v>579.74</v>
      </c>
      <c r="E38">
        <v>0.03173836547417808</v>
      </c>
      <c r="F38">
        <v>0.1219512195121952</v>
      </c>
      <c r="G38">
        <v>0.2132322791678671</v>
      </c>
      <c r="H38">
        <v>16.73059780726953</v>
      </c>
      <c r="I38">
        <v>243184.660312</v>
      </c>
      <c r="J38">
        <v>21.66841845421011</v>
      </c>
      <c r="K38">
        <v>0.6306293934138535</v>
      </c>
      <c r="L38">
        <v>1.287139448762368</v>
      </c>
      <c r="M38">
        <v>634.65</v>
      </c>
      <c r="N38">
        <v>411.63</v>
      </c>
    </row>
    <row r="39" spans="1:14">
      <c r="A39" s="1" t="s">
        <v>51</v>
      </c>
      <c r="B39">
        <f>HYPERLINK("https://www.suredividend.com/sure-analysis-AVNT/","Avient Corp")</f>
        <v>0</v>
      </c>
      <c r="C39" t="s">
        <v>394</v>
      </c>
      <c r="D39">
        <v>37.95</v>
      </c>
      <c r="E39">
        <v>0.02608695652173913</v>
      </c>
      <c r="F39">
        <v>0.04210526315789487</v>
      </c>
      <c r="G39">
        <v>0.07178439849804441</v>
      </c>
      <c r="H39">
        <v>0.95078422234125</v>
      </c>
      <c r="I39">
        <v>3467.676837</v>
      </c>
      <c r="J39">
        <v>18.40592800971337</v>
      </c>
      <c r="K39">
        <v>0.4637971816298781</v>
      </c>
      <c r="L39">
        <v>1.412013470211146</v>
      </c>
      <c r="M39">
        <v>54.15</v>
      </c>
      <c r="N39">
        <v>27.45</v>
      </c>
    </row>
    <row r="40" spans="1:14">
      <c r="A40" s="1" t="s">
        <v>52</v>
      </c>
      <c r="B40">
        <f>HYPERLINK("https://www.suredividend.com/sure-analysis-AVY/","Avery Dennison Corp.")</f>
        <v>0</v>
      </c>
      <c r="C40" t="s">
        <v>386</v>
      </c>
      <c r="D40">
        <v>192.755</v>
      </c>
      <c r="E40">
        <v>0.01556379860444606</v>
      </c>
      <c r="F40" t="s">
        <v>394</v>
      </c>
      <c r="G40" t="s">
        <v>394</v>
      </c>
      <c r="H40">
        <v>2.921455983936021</v>
      </c>
      <c r="I40">
        <v>15625.400322</v>
      </c>
      <c r="J40">
        <v>19.12767820017138</v>
      </c>
      <c r="K40">
        <v>0.2956939254995972</v>
      </c>
      <c r="L40">
        <v>0.9740866133830941</v>
      </c>
      <c r="M40">
        <v>209.71</v>
      </c>
      <c r="N40">
        <v>151.03</v>
      </c>
    </row>
    <row r="41" spans="1:14">
      <c r="A41" s="1" t="s">
        <v>53</v>
      </c>
      <c r="B41">
        <f>HYPERLINK("https://www.suredividend.com/sure-analysis-AWK/","American Water Works Co. Inc.")</f>
        <v>0</v>
      </c>
      <c r="C41" t="s">
        <v>390</v>
      </c>
      <c r="D41">
        <v>159.535</v>
      </c>
      <c r="E41">
        <v>0.01642272855486257</v>
      </c>
      <c r="F41">
        <v>0.08713692946058083</v>
      </c>
      <c r="G41">
        <v>0.09556623924914787</v>
      </c>
      <c r="H41">
        <v>2.550597975747086</v>
      </c>
      <c r="I41">
        <v>28986.999673</v>
      </c>
      <c r="J41">
        <v>21.99317122388467</v>
      </c>
      <c r="K41">
        <v>0.3522925380866141</v>
      </c>
      <c r="L41">
        <v>0.715756055813855</v>
      </c>
      <c r="M41">
        <v>171.57</v>
      </c>
      <c r="N41">
        <v>122.19</v>
      </c>
    </row>
    <row r="42" spans="1:14">
      <c r="A42" s="1" t="s">
        <v>54</v>
      </c>
      <c r="B42">
        <f>HYPERLINK("https://www.suredividend.com/sure-analysis-AWR/","American States Water Co.")</f>
        <v>0</v>
      </c>
      <c r="C42" t="s">
        <v>390</v>
      </c>
      <c r="D42">
        <v>94.90000000000001</v>
      </c>
      <c r="E42">
        <v>0.01675447839831401</v>
      </c>
      <c r="F42">
        <v>0.08904109589041109</v>
      </c>
      <c r="G42">
        <v>0.09284706567232748</v>
      </c>
      <c r="H42">
        <v>1.515144145558338</v>
      </c>
      <c r="I42">
        <v>3520.895048</v>
      </c>
      <c r="J42">
        <v>44.0502827286717</v>
      </c>
      <c r="K42">
        <v>0.701455622943675</v>
      </c>
      <c r="L42">
        <v>0.5231491483387191</v>
      </c>
      <c r="M42">
        <v>100.51</v>
      </c>
      <c r="N42">
        <v>70.59</v>
      </c>
    </row>
    <row r="43" spans="1:14">
      <c r="A43" s="1" t="s">
        <v>55</v>
      </c>
      <c r="B43">
        <f>HYPERLINK("https://www.suredividend.com/sure-analysis-AXS/","Axis Capital Holdings Ltd")</f>
        <v>0</v>
      </c>
      <c r="C43" t="s">
        <v>389</v>
      </c>
      <c r="D43">
        <v>56.71</v>
      </c>
      <c r="E43">
        <v>0.03032974783988714</v>
      </c>
      <c r="F43">
        <v>0.02325581395348841</v>
      </c>
      <c r="G43">
        <v>0.02441897433224605</v>
      </c>
      <c r="H43">
        <v>1.709024972380181</v>
      </c>
      <c r="I43">
        <v>4769.286252</v>
      </c>
      <c r="J43">
        <v>13.65649840701883</v>
      </c>
      <c r="K43">
        <v>0.4178545164743719</v>
      </c>
      <c r="L43">
        <v>0.690426545803935</v>
      </c>
      <c r="M43">
        <v>59.92</v>
      </c>
      <c r="N43">
        <v>47.78</v>
      </c>
    </row>
    <row r="44" spans="1:14">
      <c r="A44" s="1" t="s">
        <v>56</v>
      </c>
      <c r="B44">
        <f>HYPERLINK("https://www.suredividend.com/sure-analysis-BANF/","Bancfirst Corp.")</f>
        <v>0</v>
      </c>
      <c r="C44" t="s">
        <v>389</v>
      </c>
      <c r="D44">
        <v>88.55500000000001</v>
      </c>
      <c r="E44">
        <v>0.01716447405567162</v>
      </c>
      <c r="F44">
        <v>0.1111111111111112</v>
      </c>
      <c r="G44">
        <v>0.137543830351883</v>
      </c>
      <c r="H44">
        <v>1.510451822488914</v>
      </c>
      <c r="I44">
        <v>2942.244363</v>
      </c>
      <c r="J44">
        <v>16.89566194634264</v>
      </c>
      <c r="K44">
        <v>0.2893585866837</v>
      </c>
      <c r="L44">
        <v>0.5023409451098401</v>
      </c>
      <c r="M44">
        <v>117.02</v>
      </c>
      <c r="N44">
        <v>71.64</v>
      </c>
    </row>
    <row r="45" spans="1:14">
      <c r="A45" s="1" t="s">
        <v>57</v>
      </c>
      <c r="B45">
        <f>HYPERLINK("https://www.suredividend.com/sure-analysis-BBY/","Best Buy Co. Inc.")</f>
        <v>0</v>
      </c>
      <c r="C45" t="s">
        <v>393</v>
      </c>
      <c r="D45">
        <v>85.33</v>
      </c>
      <c r="E45">
        <v>0.04125161139106996</v>
      </c>
      <c r="F45">
        <v>0.2571428571428571</v>
      </c>
      <c r="G45">
        <v>0.1435470336492659</v>
      </c>
      <c r="H45">
        <v>3.460082091614306</v>
      </c>
      <c r="I45">
        <v>19117.248826</v>
      </c>
      <c r="J45">
        <v>12.33370891974194</v>
      </c>
      <c r="K45">
        <v>0.5133652954917368</v>
      </c>
      <c r="L45">
        <v>1.194185237972808</v>
      </c>
      <c r="M45">
        <v>108.09</v>
      </c>
      <c r="N45">
        <v>60.13</v>
      </c>
    </row>
    <row r="46" spans="1:14">
      <c r="A46" s="1" t="s">
        <v>58</v>
      </c>
      <c r="B46">
        <f>HYPERLINK("https://www.suredividend.com/sure-analysis-research-database/","Balchem Corp.")</f>
        <v>0</v>
      </c>
      <c r="C46" t="s">
        <v>391</v>
      </c>
      <c r="D46">
        <v>126.76</v>
      </c>
      <c r="E46">
        <v>0.005561212332907001</v>
      </c>
      <c r="F46" t="s">
        <v>394</v>
      </c>
      <c r="G46" t="s">
        <v>394</v>
      </c>
      <c r="H46">
        <v>0.7099999785423271</v>
      </c>
      <c r="I46">
        <v>4102.691026</v>
      </c>
      <c r="J46">
        <v>37.67047126746856</v>
      </c>
      <c r="K46">
        <v>0.2119402921021872</v>
      </c>
      <c r="L46">
        <v>0.814599168637913</v>
      </c>
      <c r="M46">
        <v>156.08</v>
      </c>
      <c r="N46">
        <v>109.5</v>
      </c>
    </row>
    <row r="47" spans="1:14">
      <c r="A47" s="1" t="s">
        <v>59</v>
      </c>
      <c r="B47">
        <f>HYPERLINK("https://www.suredividend.com/sure-analysis-BDX/","Becton, Dickinson And Co.")</f>
        <v>0</v>
      </c>
      <c r="C47" t="s">
        <v>385</v>
      </c>
      <c r="D47">
        <v>255.585</v>
      </c>
      <c r="E47">
        <v>0.01424183735352231</v>
      </c>
      <c r="F47">
        <v>0.04597701149425282</v>
      </c>
      <c r="G47">
        <v>0.03943186329943948</v>
      </c>
      <c r="H47">
        <v>3.48091099720736</v>
      </c>
      <c r="I47">
        <v>72374.62618000001</v>
      </c>
      <c r="J47">
        <v>42.79989720898876</v>
      </c>
      <c r="K47">
        <v>0.5919916661917279</v>
      </c>
      <c r="L47">
        <v>0.541837042957527</v>
      </c>
      <c r="M47">
        <v>274.41</v>
      </c>
      <c r="N47">
        <v>215.1</v>
      </c>
    </row>
    <row r="48" spans="1:14">
      <c r="A48" s="1" t="s">
        <v>60</v>
      </c>
      <c r="B48">
        <f>HYPERLINK("https://www.suredividend.com/sure-analysis-BEN/","Franklin Resources, Inc.")</f>
        <v>0</v>
      </c>
      <c r="C48" t="s">
        <v>389</v>
      </c>
      <c r="D48">
        <v>29.935</v>
      </c>
      <c r="E48">
        <v>0.04008685485217972</v>
      </c>
      <c r="F48">
        <v>0.03448275862068995</v>
      </c>
      <c r="G48">
        <v>0.05457794330579446</v>
      </c>
      <c r="H48">
        <v>1.1494802436171</v>
      </c>
      <c r="I48">
        <v>14922.697691</v>
      </c>
      <c r="J48">
        <v>9.03037681764599</v>
      </c>
      <c r="K48">
        <v>0.3410920604205044</v>
      </c>
      <c r="L48">
        <v>1.270452708136462</v>
      </c>
      <c r="M48">
        <v>33.81</v>
      </c>
      <c r="N48">
        <v>20.01</v>
      </c>
    </row>
    <row r="49" spans="1:14">
      <c r="A49" s="1" t="s">
        <v>61</v>
      </c>
      <c r="B49">
        <f>HYPERLINK("https://www.suredividend.com/sure-analysis-BIP/","Brookfield Infrastructure Partners L.P")</f>
        <v>0</v>
      </c>
      <c r="C49" t="s">
        <v>390</v>
      </c>
      <c r="D49">
        <v>34.52</v>
      </c>
      <c r="E49">
        <v>0.04171494785631517</v>
      </c>
      <c r="F49" t="s">
        <v>394</v>
      </c>
      <c r="G49" t="s">
        <v>394</v>
      </c>
      <c r="H49">
        <v>1.514063641060947</v>
      </c>
      <c r="I49">
        <v>15682.253381</v>
      </c>
      <c r="J49">
        <v>0</v>
      </c>
      <c r="K49" t="s">
        <v>394</v>
      </c>
      <c r="L49">
        <v>0.569624374272053</v>
      </c>
      <c r="M49">
        <v>44.78</v>
      </c>
      <c r="N49">
        <v>30.03</v>
      </c>
    </row>
    <row r="50" spans="1:14">
      <c r="A50" s="1" t="s">
        <v>62</v>
      </c>
      <c r="B50">
        <f>HYPERLINK("https://www.suredividend.com/sure-analysis-BK/","Bank Of New York Mellon Corp")</f>
        <v>0</v>
      </c>
      <c r="C50" t="s">
        <v>389</v>
      </c>
      <c r="D50">
        <v>49.23</v>
      </c>
      <c r="E50">
        <v>0.03006296973390209</v>
      </c>
      <c r="F50">
        <v>0.08823529411764697</v>
      </c>
      <c r="G50">
        <v>0.0904307661344419</v>
      </c>
      <c r="H50">
        <v>1.402300183689071</v>
      </c>
      <c r="I50">
        <v>38926.762344</v>
      </c>
      <c r="J50">
        <v>14.55206068928598</v>
      </c>
      <c r="K50">
        <v>0.4275305438076435</v>
      </c>
      <c r="L50">
        <v>0.952455893274273</v>
      </c>
      <c r="M50">
        <v>63.01</v>
      </c>
      <c r="N50">
        <v>35.9</v>
      </c>
    </row>
    <row r="51" spans="1:14">
      <c r="A51" s="1" t="s">
        <v>63</v>
      </c>
      <c r="B51">
        <f>HYPERLINK("https://www.suredividend.com/sure-analysis-BKH/","Black Hills Corporation")</f>
        <v>0</v>
      </c>
      <c r="C51" t="s">
        <v>390</v>
      </c>
      <c r="D51">
        <v>72.37</v>
      </c>
      <c r="E51">
        <v>0.0345447008428907</v>
      </c>
      <c r="F51">
        <v>0.05042016806722693</v>
      </c>
      <c r="G51">
        <v>0.05642162229904302</v>
      </c>
      <c r="H51">
        <v>2.380004449066032</v>
      </c>
      <c r="I51">
        <v>4760.474646</v>
      </c>
      <c r="J51">
        <v>18.51827581641505</v>
      </c>
      <c r="K51">
        <v>0.5994973423340131</v>
      </c>
      <c r="L51">
        <v>0.478920242025939</v>
      </c>
      <c r="M51">
        <v>79.04000000000001</v>
      </c>
      <c r="N51">
        <v>58.53</v>
      </c>
    </row>
    <row r="52" spans="1:14">
      <c r="A52" s="1" t="s">
        <v>64</v>
      </c>
      <c r="B52">
        <f>HYPERLINK("https://www.suredividend.com/sure-analysis-BLK/","Blackrock Inc.")</f>
        <v>0</v>
      </c>
      <c r="C52" t="s">
        <v>389</v>
      </c>
      <c r="D52">
        <v>750.3</v>
      </c>
      <c r="E52">
        <v>0.02601626016260163</v>
      </c>
      <c r="F52">
        <v>0.1815980629539951</v>
      </c>
      <c r="G52">
        <v>0.1112338617639914</v>
      </c>
      <c r="H52">
        <v>19.38531306616028</v>
      </c>
      <c r="I52">
        <v>113241.457235</v>
      </c>
      <c r="J52">
        <v>20.35984488222222</v>
      </c>
      <c r="K52">
        <v>0.5337365932312851</v>
      </c>
      <c r="L52">
        <v>1.289191492289975</v>
      </c>
      <c r="M52">
        <v>841.2</v>
      </c>
      <c r="N52">
        <v>499.68</v>
      </c>
    </row>
    <row r="53" spans="1:14">
      <c r="A53" s="1" t="s">
        <v>65</v>
      </c>
      <c r="B53">
        <f>HYPERLINK("https://www.suredividend.com/sure-analysis-BMI/","Badger Meter Inc.")</f>
        <v>0</v>
      </c>
      <c r="C53" t="s">
        <v>386</v>
      </c>
      <c r="D53">
        <v>115.51</v>
      </c>
      <c r="E53">
        <v>0.007791533200588694</v>
      </c>
      <c r="F53">
        <v>0.125</v>
      </c>
      <c r="G53">
        <v>0.1159579570439235</v>
      </c>
      <c r="H53">
        <v>0.8473662711212251</v>
      </c>
      <c r="I53">
        <v>3345.171039</v>
      </c>
      <c r="J53">
        <v>50.50610781951595</v>
      </c>
      <c r="K53">
        <v>0.3749408279297456</v>
      </c>
      <c r="L53">
        <v>0.9796792488333911</v>
      </c>
      <c r="M53">
        <v>120.54</v>
      </c>
      <c r="N53">
        <v>72.89</v>
      </c>
    </row>
    <row r="54" spans="1:14">
      <c r="A54" s="1" t="s">
        <v>66</v>
      </c>
      <c r="B54">
        <f>HYPERLINK("https://www.suredividend.com/sure-analysis-BMRC/","Bank of Marin Bancorp")</f>
        <v>0</v>
      </c>
      <c r="C54" t="s">
        <v>389</v>
      </c>
      <c r="D54">
        <v>32.9</v>
      </c>
      <c r="E54">
        <v>0.0303951367781155</v>
      </c>
      <c r="F54">
        <v>0.04166666666666674</v>
      </c>
      <c r="G54" t="s">
        <v>394</v>
      </c>
      <c r="H54">
        <v>0.9694063616188391</v>
      </c>
      <c r="I54">
        <v>526.219693</v>
      </c>
      <c r="J54">
        <v>12.11957191759368</v>
      </c>
      <c r="K54">
        <v>0.356399397653985</v>
      </c>
      <c r="L54">
        <v>0.492940320845886</v>
      </c>
      <c r="M54">
        <v>38.48</v>
      </c>
      <c r="N54">
        <v>29.39</v>
      </c>
    </row>
    <row r="55" spans="1:14">
      <c r="A55" s="1" t="s">
        <v>67</v>
      </c>
      <c r="B55">
        <f>HYPERLINK("https://www.suredividend.com/sure-analysis-BMY/","Bristol-Myers Squibb Co.")</f>
        <v>0</v>
      </c>
      <c r="C55" t="s">
        <v>385</v>
      </c>
      <c r="D55">
        <v>72.17</v>
      </c>
      <c r="E55">
        <v>0.03159207426908688</v>
      </c>
      <c r="F55">
        <v>0.05555555555555558</v>
      </c>
      <c r="G55">
        <v>0.07340341554655661</v>
      </c>
      <c r="H55">
        <v>2.165518037152859</v>
      </c>
      <c r="I55">
        <v>152233.080845</v>
      </c>
      <c r="J55">
        <v>22.79962271157705</v>
      </c>
      <c r="K55">
        <v>0.7030902718028763</v>
      </c>
      <c r="L55">
        <v>0.288440525491046</v>
      </c>
      <c r="M55">
        <v>80.8</v>
      </c>
      <c r="N55">
        <v>59.4</v>
      </c>
    </row>
    <row r="56" spans="1:14">
      <c r="A56" s="1" t="s">
        <v>68</v>
      </c>
      <c r="B56">
        <f>HYPERLINK("https://www.suredividend.com/sure-analysis-BOKF/","BOK Financial Corp.")</f>
        <v>0</v>
      </c>
      <c r="C56" t="s">
        <v>389</v>
      </c>
      <c r="D56">
        <v>101.9</v>
      </c>
      <c r="E56">
        <v>0.02080471050049068</v>
      </c>
      <c r="F56">
        <v>0.01886792452830188</v>
      </c>
      <c r="G56">
        <v>0.03713728933664817</v>
      </c>
      <c r="H56">
        <v>2.112617792814062</v>
      </c>
      <c r="I56">
        <v>6924.511274</v>
      </c>
      <c r="J56">
        <v>14.86712313998626</v>
      </c>
      <c r="K56">
        <v>0.3066208697843341</v>
      </c>
      <c r="L56">
        <v>0.7326809842220211</v>
      </c>
      <c r="M56">
        <v>117.57</v>
      </c>
      <c r="N56">
        <v>69.45999999999999</v>
      </c>
    </row>
    <row r="57" spans="1:14">
      <c r="A57" s="1" t="s">
        <v>69</v>
      </c>
      <c r="B57">
        <f>HYPERLINK("https://www.suredividend.com/sure-analysis-BR/","Broadridge Financial Solutions, Inc.")</f>
        <v>0</v>
      </c>
      <c r="C57" t="s">
        <v>387</v>
      </c>
      <c r="D57">
        <v>144.39</v>
      </c>
      <c r="E57">
        <v>0.02008449338596856</v>
      </c>
      <c r="F57">
        <v>0.1328125</v>
      </c>
      <c r="G57">
        <v>0.1471204666826835</v>
      </c>
      <c r="H57">
        <v>2.711506079509004</v>
      </c>
      <c r="I57">
        <v>17058.845282</v>
      </c>
      <c r="J57">
        <v>32.66726404015703</v>
      </c>
      <c r="K57">
        <v>0.6162513817065918</v>
      </c>
      <c r="L57">
        <v>0.9543249752121381</v>
      </c>
      <c r="M57">
        <v>181.63</v>
      </c>
      <c r="N57">
        <v>130.69</v>
      </c>
    </row>
    <row r="58" spans="1:14">
      <c r="A58" s="1" t="s">
        <v>70</v>
      </c>
      <c r="B58">
        <f>HYPERLINK("https://www.suredividend.com/sure-analysis-BRC/","Brady Corp.")</f>
        <v>0</v>
      </c>
      <c r="C58" t="s">
        <v>386</v>
      </c>
      <c r="D58">
        <v>50.495</v>
      </c>
      <c r="E58">
        <v>0.0182196257055154</v>
      </c>
      <c r="F58">
        <v>0.02222222222222214</v>
      </c>
      <c r="G58">
        <v>0.02080302181960847</v>
      </c>
      <c r="H58">
        <v>0.9032600256029931</v>
      </c>
      <c r="I58">
        <v>2322.725925</v>
      </c>
      <c r="J58">
        <v>15.57120779791913</v>
      </c>
      <c r="K58">
        <v>0.3125467216619353</v>
      </c>
      <c r="L58">
        <v>0.7095646919783071</v>
      </c>
      <c r="M58">
        <v>53.14</v>
      </c>
      <c r="N58">
        <v>40.32</v>
      </c>
    </row>
    <row r="59" spans="1:14">
      <c r="A59" s="1" t="s">
        <v>71</v>
      </c>
      <c r="B59">
        <f>HYPERLINK("https://www.suredividend.com/sure-analysis-BRO/","Brown &amp; Brown, Inc.")</f>
        <v>0</v>
      </c>
      <c r="C59" t="s">
        <v>389</v>
      </c>
      <c r="D59">
        <v>61.115</v>
      </c>
      <c r="E59">
        <v>0.007526793749488669</v>
      </c>
      <c r="F59" t="s">
        <v>394</v>
      </c>
      <c r="G59" t="s">
        <v>394</v>
      </c>
      <c r="H59">
        <v>0.421399650828604</v>
      </c>
      <c r="I59">
        <v>17463.491149</v>
      </c>
      <c r="J59">
        <v>28.33055299920996</v>
      </c>
      <c r="K59">
        <v>0.1906785750355674</v>
      </c>
      <c r="L59">
        <v>0.942585756639818</v>
      </c>
      <c r="M59">
        <v>73.61</v>
      </c>
      <c r="N59">
        <v>52.72</v>
      </c>
    </row>
    <row r="60" spans="1:14">
      <c r="A60" s="1" t="s">
        <v>72</v>
      </c>
      <c r="B60">
        <f>HYPERLINK("https://www.suredividend.com/sure-analysis-CAH/","Cardinal Health, Inc.")</f>
        <v>0</v>
      </c>
      <c r="C60" t="s">
        <v>385</v>
      </c>
      <c r="D60">
        <v>77.11</v>
      </c>
      <c r="E60">
        <v>0.02567760342368046</v>
      </c>
      <c r="F60">
        <v>0.009983700081499514</v>
      </c>
      <c r="G60">
        <v>0.01400528535156087</v>
      </c>
      <c r="H60">
        <v>1.956809231659648</v>
      </c>
      <c r="I60">
        <v>20058.497736</v>
      </c>
      <c r="J60" t="s">
        <v>394</v>
      </c>
      <c r="K60" t="s">
        <v>394</v>
      </c>
      <c r="L60">
        <v>0.4988170405643531</v>
      </c>
      <c r="M60">
        <v>81.05</v>
      </c>
      <c r="N60">
        <v>47.56</v>
      </c>
    </row>
    <row r="61" spans="1:14">
      <c r="A61" s="1" t="s">
        <v>73</v>
      </c>
      <c r="B61">
        <f>HYPERLINK("https://www.suredividend.com/sure-analysis-CASS/","Cass Information Systems Inc")</f>
        <v>0</v>
      </c>
      <c r="C61" t="s">
        <v>386</v>
      </c>
      <c r="D61">
        <v>48.47</v>
      </c>
      <c r="E61">
        <v>0.02393232927584072</v>
      </c>
      <c r="F61">
        <v>0.03571428571428559</v>
      </c>
      <c r="G61">
        <v>0.03857377308425858</v>
      </c>
      <c r="H61">
        <v>1.117907878554478</v>
      </c>
      <c r="I61">
        <v>665.5811179999999</v>
      </c>
      <c r="J61">
        <v>19.97482422976501</v>
      </c>
      <c r="K61">
        <v>0.4638621902715676</v>
      </c>
      <c r="L61">
        <v>0.597597265227088</v>
      </c>
      <c r="M61">
        <v>49.51</v>
      </c>
      <c r="N61">
        <v>31.14</v>
      </c>
    </row>
    <row r="62" spans="1:14">
      <c r="A62" s="1" t="s">
        <v>74</v>
      </c>
      <c r="B62">
        <f>HYPERLINK("https://www.suredividend.com/sure-analysis-CASY/","Casey`s General Stores, Inc.")</f>
        <v>0</v>
      </c>
      <c r="C62" t="s">
        <v>388</v>
      </c>
      <c r="D62">
        <v>220.09</v>
      </c>
      <c r="E62">
        <v>0.006906265618610568</v>
      </c>
      <c r="F62">
        <v>0.08571428571428563</v>
      </c>
      <c r="G62">
        <v>0.07885244396237145</v>
      </c>
      <c r="H62">
        <v>1.456326514807166</v>
      </c>
      <c r="I62">
        <v>8237.136151999999</v>
      </c>
      <c r="J62">
        <v>19.88268073041153</v>
      </c>
      <c r="K62">
        <v>0.131556144065688</v>
      </c>
      <c r="L62">
        <v>0.6278741915472531</v>
      </c>
      <c r="M62">
        <v>249.9</v>
      </c>
      <c r="N62">
        <v>169.93</v>
      </c>
    </row>
    <row r="63" spans="1:14">
      <c r="A63" s="1" t="s">
        <v>75</v>
      </c>
      <c r="B63">
        <f>HYPERLINK("https://www.suredividend.com/sure-analysis-CAT/","Caterpillar Inc.")</f>
        <v>0</v>
      </c>
      <c r="C63" t="s">
        <v>386</v>
      </c>
      <c r="D63">
        <v>257.54</v>
      </c>
      <c r="E63">
        <v>0.01863788149413683</v>
      </c>
      <c r="F63">
        <v>0.08108108108108092</v>
      </c>
      <c r="G63">
        <v>0.08997698704834534</v>
      </c>
      <c r="H63">
        <v>4.576788950494725</v>
      </c>
      <c r="I63">
        <v>132740.81418</v>
      </c>
      <c r="J63">
        <v>18.00852179892145</v>
      </c>
      <c r="K63">
        <v>0.3326154760533958</v>
      </c>
      <c r="L63">
        <v>0.8016076232142211</v>
      </c>
      <c r="M63">
        <v>257.38</v>
      </c>
      <c r="N63">
        <v>159.53</v>
      </c>
    </row>
    <row r="64" spans="1:14">
      <c r="A64" s="1" t="s">
        <v>76</v>
      </c>
      <c r="B64">
        <f>HYPERLINK("https://www.suredividend.com/sure-analysis-CB/","Chubb Limited")</f>
        <v>0</v>
      </c>
      <c r="C64" t="s">
        <v>389</v>
      </c>
      <c r="D64">
        <v>225.92</v>
      </c>
      <c r="E64">
        <v>0.01469546742209632</v>
      </c>
      <c r="F64">
        <v>0.03750000000000009</v>
      </c>
      <c r="G64">
        <v>0.03172498707259508</v>
      </c>
      <c r="H64">
        <v>3.270304337105089</v>
      </c>
      <c r="I64">
        <v>93635.341814</v>
      </c>
      <c r="J64">
        <v>15.24508984278736</v>
      </c>
      <c r="K64">
        <v>0.2272622888884704</v>
      </c>
      <c r="L64">
        <v>0.613142727945132</v>
      </c>
      <c r="M64">
        <v>230.27</v>
      </c>
      <c r="N64">
        <v>173.11</v>
      </c>
    </row>
    <row r="65" spans="1:14">
      <c r="A65" s="1" t="s">
        <v>77</v>
      </c>
      <c r="B65">
        <f>HYPERLINK("https://www.suredividend.com/sure-analysis-CBOE/","Cboe Global Markets Inc.")</f>
        <v>0</v>
      </c>
      <c r="C65" t="s">
        <v>389</v>
      </c>
      <c r="D65">
        <v>122.91</v>
      </c>
      <c r="E65">
        <v>0.01627206899357253</v>
      </c>
      <c r="F65">
        <v>0.04166666666666674</v>
      </c>
      <c r="G65">
        <v>0.1311527300905295</v>
      </c>
      <c r="H65">
        <v>1.948082468773084</v>
      </c>
      <c r="I65">
        <v>13129.7908</v>
      </c>
      <c r="J65">
        <v>54.79879298727045</v>
      </c>
      <c r="K65">
        <v>0.8696796735594126</v>
      </c>
      <c r="L65">
        <v>0.515185854854418</v>
      </c>
      <c r="M65">
        <v>130.52</v>
      </c>
      <c r="N65">
        <v>102.52</v>
      </c>
    </row>
    <row r="66" spans="1:14">
      <c r="A66" s="1" t="s">
        <v>78</v>
      </c>
      <c r="B66">
        <f>HYPERLINK("https://www.suredividend.com/sure-analysis-CBSH/","Commerce Bancshares, Inc.")</f>
        <v>0</v>
      </c>
      <c r="C66" t="s">
        <v>389</v>
      </c>
      <c r="D66">
        <v>69.23</v>
      </c>
      <c r="E66">
        <v>0.01531128123645818</v>
      </c>
      <c r="F66" t="s">
        <v>394</v>
      </c>
      <c r="G66" t="s">
        <v>394</v>
      </c>
      <c r="H66">
        <v>1.021166613638765</v>
      </c>
      <c r="I66">
        <v>8296.197141000001</v>
      </c>
      <c r="J66">
        <v>17.75035654068835</v>
      </c>
      <c r="K66">
        <v>0.2625106975935128</v>
      </c>
      <c r="L66">
        <v>0.6608439845638271</v>
      </c>
      <c r="M66">
        <v>72.59999999999999</v>
      </c>
      <c r="N66">
        <v>59.81</v>
      </c>
    </row>
    <row r="67" spans="1:14">
      <c r="A67" s="1" t="s">
        <v>79</v>
      </c>
      <c r="B67">
        <f>HYPERLINK("https://www.suredividend.com/sure-analysis-research-database/","Cabot Corp.")</f>
        <v>0</v>
      </c>
      <c r="C67" t="s">
        <v>391</v>
      </c>
      <c r="D67">
        <v>72.01000000000001</v>
      </c>
      <c r="E67">
        <v>0.020174046193497</v>
      </c>
      <c r="F67">
        <v>0</v>
      </c>
      <c r="G67">
        <v>0.03270964718488734</v>
      </c>
      <c r="H67">
        <v>1.468872303348539</v>
      </c>
      <c r="I67">
        <v>4101.30284</v>
      </c>
      <c r="J67">
        <v>19.90923708932039</v>
      </c>
      <c r="K67">
        <v>0.4057658296542925</v>
      </c>
      <c r="L67">
        <v>1.206199879139686</v>
      </c>
      <c r="M67">
        <v>77.84</v>
      </c>
      <c r="N67">
        <v>52.24</v>
      </c>
    </row>
    <row r="68" spans="1:14">
      <c r="A68" s="1" t="s">
        <v>80</v>
      </c>
      <c r="B68">
        <f>HYPERLINK("https://www.suredividend.com/sure-analysis-CBU/","Community Bank System, Inc.")</f>
        <v>0</v>
      </c>
      <c r="C68" t="s">
        <v>389</v>
      </c>
      <c r="D68">
        <v>64.06999999999999</v>
      </c>
      <c r="E68">
        <v>0.0274699547370064</v>
      </c>
      <c r="F68">
        <v>0.02325581395348841</v>
      </c>
      <c r="G68">
        <v>0.05291848906511043</v>
      </c>
      <c r="H68">
        <v>1.72188143733727</v>
      </c>
      <c r="I68">
        <v>3459.957823</v>
      </c>
      <c r="J68">
        <v>19.36713381302092</v>
      </c>
      <c r="K68">
        <v>0.5233682180356444</v>
      </c>
      <c r="L68">
        <v>0.5962169934839631</v>
      </c>
      <c r="M68">
        <v>75.92</v>
      </c>
      <c r="N68">
        <v>58.28</v>
      </c>
    </row>
    <row r="69" spans="1:14">
      <c r="A69" s="1" t="s">
        <v>81</v>
      </c>
      <c r="B69">
        <f>HYPERLINK("https://www.suredividend.com/sure-analysis-CE/","Celanese Corp")</f>
        <v>0</v>
      </c>
      <c r="C69" t="s">
        <v>391</v>
      </c>
      <c r="D69">
        <v>120.27</v>
      </c>
      <c r="E69">
        <v>0.02328095119314875</v>
      </c>
      <c r="F69">
        <v>0.02941176470588247</v>
      </c>
      <c r="G69">
        <v>0.08759710191515802</v>
      </c>
      <c r="H69">
        <v>2.713853205191416</v>
      </c>
      <c r="I69">
        <v>13189.190556</v>
      </c>
      <c r="J69">
        <v>7.98860724193822</v>
      </c>
      <c r="K69">
        <v>0.1798444801319693</v>
      </c>
      <c r="L69">
        <v>1.196401418782843</v>
      </c>
      <c r="M69">
        <v>170.06</v>
      </c>
      <c r="N69">
        <v>86.06999999999999</v>
      </c>
    </row>
    <row r="70" spans="1:14">
      <c r="A70" s="1" t="s">
        <v>82</v>
      </c>
      <c r="B70">
        <f>HYPERLINK("https://www.suredividend.com/sure-analysis-CFR/","Cullen Frost Bankers Inc.")</f>
        <v>0</v>
      </c>
      <c r="C70" t="s">
        <v>389</v>
      </c>
      <c r="D70">
        <v>135.26</v>
      </c>
      <c r="E70">
        <v>0.02572822711814284</v>
      </c>
      <c r="F70">
        <v>0.1599999999999999</v>
      </c>
      <c r="G70">
        <v>0.08825051007784368</v>
      </c>
      <c r="H70">
        <v>3.211520668190036</v>
      </c>
      <c r="I70">
        <v>8678.398238</v>
      </c>
      <c r="J70">
        <v>18.14471247114709</v>
      </c>
      <c r="K70">
        <v>0.4328194970606518</v>
      </c>
      <c r="L70">
        <v>0.7634085405147001</v>
      </c>
      <c r="M70">
        <v>159.65</v>
      </c>
      <c r="N70">
        <v>111.26</v>
      </c>
    </row>
    <row r="71" spans="1:14">
      <c r="A71" s="1" t="s">
        <v>83</v>
      </c>
      <c r="B71">
        <f>HYPERLINK("https://www.suredividend.com/sure-analysis-research-database/","City Holding Co.")</f>
        <v>0</v>
      </c>
      <c r="C71" t="s">
        <v>389</v>
      </c>
      <c r="D71">
        <v>92.36</v>
      </c>
      <c r="E71">
        <v>0.026667771242008</v>
      </c>
      <c r="F71">
        <v>0.08333333333333326</v>
      </c>
      <c r="G71">
        <v>0.07159605222536181</v>
      </c>
      <c r="H71">
        <v>2.473969138121132</v>
      </c>
      <c r="I71">
        <v>1378.166443</v>
      </c>
      <c r="J71">
        <v>14.67867847330358</v>
      </c>
      <c r="K71">
        <v>0.3939441302740656</v>
      </c>
      <c r="L71">
        <v>0.407099175381009</v>
      </c>
      <c r="M71">
        <v>102.27</v>
      </c>
      <c r="N71">
        <v>71.58</v>
      </c>
    </row>
    <row r="72" spans="1:14">
      <c r="A72" s="1" t="s">
        <v>84</v>
      </c>
      <c r="B72">
        <f>HYPERLINK("https://www.suredividend.com/sure-analysis-CHD/","Church &amp; Dwight Co., Inc.")</f>
        <v>0</v>
      </c>
      <c r="C72" t="s">
        <v>388</v>
      </c>
      <c r="D72">
        <v>81.38</v>
      </c>
      <c r="E72">
        <v>0.01290243303022856</v>
      </c>
      <c r="F72">
        <v>0.03960396039603964</v>
      </c>
      <c r="G72">
        <v>0.0383266700886169</v>
      </c>
      <c r="H72">
        <v>1.044955469520638</v>
      </c>
      <c r="I72">
        <v>19848.444762</v>
      </c>
      <c r="J72">
        <v>26.94237106329578</v>
      </c>
      <c r="K72">
        <v>0.3506561978257174</v>
      </c>
      <c r="L72">
        <v>0.395333177305174</v>
      </c>
      <c r="M72">
        <v>104.31</v>
      </c>
      <c r="N72">
        <v>69.91</v>
      </c>
    </row>
    <row r="73" spans="1:14">
      <c r="A73" s="1" t="s">
        <v>85</v>
      </c>
      <c r="B73">
        <f>HYPERLINK("https://www.suredividend.com/sure-analysis-research-database/","Churchill Downs, Inc.")</f>
        <v>0</v>
      </c>
      <c r="C73" t="s">
        <v>393</v>
      </c>
      <c r="D73">
        <v>224.03</v>
      </c>
      <c r="E73">
        <v>0.003198781356787</v>
      </c>
      <c r="F73" t="s">
        <v>394</v>
      </c>
      <c r="G73" t="s">
        <v>394</v>
      </c>
      <c r="H73">
        <v>0.713999986648559</v>
      </c>
      <c r="I73">
        <v>8348.783673</v>
      </c>
      <c r="J73">
        <v>17.33191545254308</v>
      </c>
      <c r="K73">
        <v>0.05725741673204162</v>
      </c>
      <c r="L73">
        <v>1.216090312457765</v>
      </c>
      <c r="M73">
        <v>248.53</v>
      </c>
      <c r="N73">
        <v>172.19</v>
      </c>
    </row>
    <row r="74" spans="1:14">
      <c r="A74" s="1" t="s">
        <v>86</v>
      </c>
      <c r="B74">
        <f>HYPERLINK("https://www.suredividend.com/sure-analysis-research-database/","Chemed Corp.")</f>
        <v>0</v>
      </c>
      <c r="C74" t="s">
        <v>385</v>
      </c>
      <c r="D74">
        <v>495.37</v>
      </c>
      <c r="E74">
        <v>0.003014683789862</v>
      </c>
      <c r="F74">
        <v>0.05555555555555558</v>
      </c>
      <c r="G74">
        <v>0.06298004826234438</v>
      </c>
      <c r="H74">
        <v>1.477195057032449</v>
      </c>
      <c r="I74">
        <v>7286.44945</v>
      </c>
      <c r="J74">
        <v>27.79782563910836</v>
      </c>
      <c r="K74">
        <v>0.08573389768035107</v>
      </c>
      <c r="L74">
        <v>0.480207752749514</v>
      </c>
      <c r="M74">
        <v>527.49</v>
      </c>
      <c r="N74">
        <v>429.5</v>
      </c>
    </row>
    <row r="75" spans="1:14">
      <c r="A75" s="1" t="s">
        <v>87</v>
      </c>
      <c r="B75">
        <f>HYPERLINK("https://www.suredividend.com/sure-analysis-CHRW/","C.H. Robinson Worldwide, Inc.")</f>
        <v>0</v>
      </c>
      <c r="C75" t="s">
        <v>386</v>
      </c>
      <c r="D75">
        <v>93.19</v>
      </c>
      <c r="E75">
        <v>0.02425152913402726</v>
      </c>
      <c r="F75">
        <v>0.1090909090909089</v>
      </c>
      <c r="G75">
        <v>0.05806999970214632</v>
      </c>
      <c r="H75">
        <v>2.241942877390161</v>
      </c>
      <c r="I75">
        <v>11005.835258</v>
      </c>
      <c r="J75">
        <v>10.24342721389687</v>
      </c>
      <c r="K75">
        <v>0.271750651804868</v>
      </c>
      <c r="L75">
        <v>0.680419510712575</v>
      </c>
      <c r="M75">
        <v>119.91</v>
      </c>
      <c r="N75">
        <v>84.73999999999999</v>
      </c>
    </row>
    <row r="76" spans="1:14">
      <c r="A76" s="1" t="s">
        <v>88</v>
      </c>
      <c r="B76">
        <f>HYPERLINK("https://www.suredividend.com/sure-analysis-CINF/","Cincinnati Financial Corp.")</f>
        <v>0</v>
      </c>
      <c r="C76" t="s">
        <v>389</v>
      </c>
      <c r="D76">
        <v>108.31</v>
      </c>
      <c r="E76">
        <v>0.02548241159634382</v>
      </c>
      <c r="F76">
        <v>0.09523809523809534</v>
      </c>
      <c r="G76">
        <v>0.05417968868186729</v>
      </c>
      <c r="H76">
        <v>2.733139092982854</v>
      </c>
      <c r="I76">
        <v>16964.902362</v>
      </c>
      <c r="J76" t="s">
        <v>394</v>
      </c>
      <c r="K76" t="s">
        <v>394</v>
      </c>
      <c r="L76">
        <v>0.7631531211887891</v>
      </c>
      <c r="M76">
        <v>140.48</v>
      </c>
      <c r="N76">
        <v>88.09</v>
      </c>
    </row>
    <row r="77" spans="1:14">
      <c r="A77" s="1" t="s">
        <v>89</v>
      </c>
      <c r="B77">
        <f>HYPERLINK("https://www.suredividend.com/sure-analysis-CL/","Colgate-Palmolive Co.")</f>
        <v>0</v>
      </c>
      <c r="C77" t="s">
        <v>388</v>
      </c>
      <c r="D77">
        <v>77.09</v>
      </c>
      <c r="E77">
        <v>0.02438708003632118</v>
      </c>
      <c r="F77">
        <v>0.04444444444444451</v>
      </c>
      <c r="G77">
        <v>0.03277941543624618</v>
      </c>
      <c r="H77">
        <v>1.842763046157808</v>
      </c>
      <c r="I77">
        <v>64177.859896</v>
      </c>
      <c r="J77">
        <v>33.28727173049793</v>
      </c>
      <c r="K77">
        <v>0.804700020156248</v>
      </c>
      <c r="L77">
        <v>0.393742837190834</v>
      </c>
      <c r="M77">
        <v>83.26000000000001</v>
      </c>
      <c r="N77">
        <v>67.40000000000001</v>
      </c>
    </row>
    <row r="78" spans="1:14">
      <c r="A78" s="1" t="s">
        <v>90</v>
      </c>
      <c r="B78">
        <f>HYPERLINK("https://www.suredividend.com/sure-analysis-CLX/","Clorox Co.")</f>
        <v>0</v>
      </c>
      <c r="C78" t="s">
        <v>388</v>
      </c>
      <c r="D78">
        <v>143.43</v>
      </c>
      <c r="E78">
        <v>0.03290803876455414</v>
      </c>
      <c r="F78">
        <v>0.01724137931034475</v>
      </c>
      <c r="G78">
        <v>0.07033701387905711</v>
      </c>
      <c r="H78">
        <v>4.623132285030756</v>
      </c>
      <c r="I78">
        <v>17621.816708</v>
      </c>
      <c r="J78">
        <v>43.5106585371358</v>
      </c>
      <c r="K78">
        <v>1.413801922027754</v>
      </c>
      <c r="L78">
        <v>0.453455470072309</v>
      </c>
      <c r="M78">
        <v>181.19</v>
      </c>
      <c r="N78">
        <v>118.52</v>
      </c>
    </row>
    <row r="79" spans="1:14">
      <c r="A79" s="1" t="s">
        <v>91</v>
      </c>
      <c r="B79">
        <f>HYPERLINK("https://www.suredividend.com/sure-analysis-CMCSA/","Comcast Corp")</f>
        <v>0</v>
      </c>
      <c r="C79" t="s">
        <v>395</v>
      </c>
      <c r="D79">
        <v>38.835</v>
      </c>
      <c r="E79">
        <v>0.02780996523754345</v>
      </c>
      <c r="F79">
        <v>0.08000000000000007</v>
      </c>
      <c r="G79">
        <v>0.07280807218764251</v>
      </c>
      <c r="H79">
        <v>1.075239806190308</v>
      </c>
      <c r="I79">
        <v>166907.279502</v>
      </c>
      <c r="J79">
        <v>30.89159346698316</v>
      </c>
      <c r="K79">
        <v>0.8960331718252568</v>
      </c>
      <c r="L79">
        <v>0.7691135711757341</v>
      </c>
      <c r="M79">
        <v>51.35</v>
      </c>
      <c r="N79">
        <v>28.39</v>
      </c>
    </row>
    <row r="80" spans="1:14">
      <c r="A80" s="1" t="s">
        <v>92</v>
      </c>
      <c r="B80">
        <f>HYPERLINK("https://www.suredividend.com/sure-analysis-CME/","CME Group Inc")</f>
        <v>0</v>
      </c>
      <c r="C80" t="s">
        <v>389</v>
      </c>
      <c r="D80">
        <v>175.66</v>
      </c>
      <c r="E80">
        <v>0.02277126266651486</v>
      </c>
      <c r="F80">
        <v>3.5</v>
      </c>
      <c r="G80">
        <v>0.4309690811052556</v>
      </c>
      <c r="H80">
        <v>8.365051555486657</v>
      </c>
      <c r="I80">
        <v>63565.202414</v>
      </c>
      <c r="J80">
        <v>24.14082352139873</v>
      </c>
      <c r="K80">
        <v>1.141207579193268</v>
      </c>
      <c r="L80">
        <v>0.5147330198677841</v>
      </c>
      <c r="M80">
        <v>245.26</v>
      </c>
      <c r="N80">
        <v>161.33</v>
      </c>
    </row>
    <row r="81" spans="1:14">
      <c r="A81" s="1" t="s">
        <v>93</v>
      </c>
      <c r="B81">
        <f>HYPERLINK("https://www.suredividend.com/sure-analysis-CMI/","Cummins Inc.")</f>
        <v>0</v>
      </c>
      <c r="C81" t="s">
        <v>386</v>
      </c>
      <c r="D81">
        <v>248.62</v>
      </c>
      <c r="E81">
        <v>0.02525943206499879</v>
      </c>
      <c r="F81">
        <v>0.08275862068965534</v>
      </c>
      <c r="G81">
        <v>0.07769329136442726</v>
      </c>
      <c r="H81">
        <v>5.982113926905507</v>
      </c>
      <c r="I81">
        <v>35271.127971</v>
      </c>
      <c r="J81">
        <v>18.4279665469279</v>
      </c>
      <c r="K81">
        <v>0.4464264124556349</v>
      </c>
      <c r="L81">
        <v>0.8026499897015831</v>
      </c>
      <c r="M81">
        <v>253.53</v>
      </c>
      <c r="N81">
        <v>181.87</v>
      </c>
    </row>
    <row r="82" spans="1:14">
      <c r="A82" s="1" t="s">
        <v>94</v>
      </c>
      <c r="B82">
        <f>HYPERLINK("https://www.suredividend.com/sure-analysis-CMS/","CMS Energy Corporation")</f>
        <v>0</v>
      </c>
      <c r="C82" t="s">
        <v>390</v>
      </c>
      <c r="D82">
        <v>63.71</v>
      </c>
      <c r="E82">
        <v>0.02888086642599278</v>
      </c>
      <c r="F82">
        <v>0</v>
      </c>
      <c r="G82">
        <v>0.05171085667727882</v>
      </c>
      <c r="H82">
        <v>1.819788573941402</v>
      </c>
      <c r="I82">
        <v>18674.788073</v>
      </c>
      <c r="J82">
        <v>14.40955869805556</v>
      </c>
      <c r="K82">
        <v>0.4071115377944971</v>
      </c>
      <c r="L82">
        <v>0.446653895934806</v>
      </c>
      <c r="M82">
        <v>72.19</v>
      </c>
      <c r="N82">
        <v>51.99</v>
      </c>
    </row>
    <row r="83" spans="1:14">
      <c r="A83" s="1" t="s">
        <v>95</v>
      </c>
      <c r="B83">
        <f>HYPERLINK("https://www.suredividend.com/sure-analysis-research-database/","Cohen &amp; Steers Inc.")</f>
        <v>0</v>
      </c>
      <c r="C83" t="s">
        <v>389</v>
      </c>
      <c r="D83">
        <v>72.63</v>
      </c>
      <c r="E83">
        <v>0.029710613227653</v>
      </c>
      <c r="F83">
        <v>0</v>
      </c>
      <c r="G83">
        <v>0.08845890735664219</v>
      </c>
      <c r="H83">
        <v>2.154019459004892</v>
      </c>
      <c r="I83">
        <v>3531.20965</v>
      </c>
      <c r="J83">
        <v>17.39289376730074</v>
      </c>
      <c r="K83">
        <v>0.5228202570400222</v>
      </c>
      <c r="L83">
        <v>1.047584003037071</v>
      </c>
      <c r="M83">
        <v>85.62</v>
      </c>
      <c r="N83">
        <v>51.41</v>
      </c>
    </row>
    <row r="84" spans="1:14">
      <c r="A84" s="1" t="s">
        <v>96</v>
      </c>
      <c r="B84">
        <f>HYPERLINK("https://www.suredividend.com/sure-analysis-COST/","Costco Wholesale Corp")</f>
        <v>0</v>
      </c>
      <c r="C84" t="s">
        <v>388</v>
      </c>
      <c r="D84">
        <v>482.06</v>
      </c>
      <c r="E84">
        <v>0.007467950047711903</v>
      </c>
      <c r="F84">
        <v>0.139240506329114</v>
      </c>
      <c r="G84">
        <v>0.09565425774785385</v>
      </c>
      <c r="H84">
        <v>3.481147228633501</v>
      </c>
      <c r="I84">
        <v>214068.198837</v>
      </c>
      <c r="J84">
        <v>36.38140700840925</v>
      </c>
      <c r="K84">
        <v>0.2631252629352608</v>
      </c>
      <c r="L84">
        <v>0.928361118265809</v>
      </c>
      <c r="M84">
        <v>609.12</v>
      </c>
      <c r="N84">
        <v>405.08</v>
      </c>
    </row>
    <row r="85" spans="1:14">
      <c r="A85" s="1" t="s">
        <v>97</v>
      </c>
      <c r="B85">
        <f>HYPERLINK("https://www.suredividend.com/sure-analysis-CPK/","Chesapeake Utilities Corp")</f>
        <v>0</v>
      </c>
      <c r="C85" t="s">
        <v>390</v>
      </c>
      <c r="D85">
        <v>123</v>
      </c>
      <c r="E85">
        <v>0.01739837398373984</v>
      </c>
      <c r="F85">
        <v>0.1145833333333335</v>
      </c>
      <c r="G85">
        <v>0.1048265042492955</v>
      </c>
      <c r="H85">
        <v>2.07176049228358</v>
      </c>
      <c r="I85">
        <v>2178.421565</v>
      </c>
      <c r="J85">
        <v>25.22547493990134</v>
      </c>
      <c r="K85">
        <v>0.4262881671365391</v>
      </c>
      <c r="L85">
        <v>0.4478701374387331</v>
      </c>
      <c r="M85">
        <v>140.55</v>
      </c>
      <c r="N85">
        <v>105.32</v>
      </c>
    </row>
    <row r="86" spans="1:14">
      <c r="A86" s="1" t="s">
        <v>98</v>
      </c>
      <c r="B86">
        <f>HYPERLINK("https://www.suredividend.com/sure-analysis-CSCO/","Cisco Systems, Inc.")</f>
        <v>0</v>
      </c>
      <c r="C86" t="s">
        <v>387</v>
      </c>
      <c r="D86">
        <v>48.64</v>
      </c>
      <c r="E86">
        <v>0.03125</v>
      </c>
      <c r="F86">
        <v>0.02702702702702697</v>
      </c>
      <c r="G86">
        <v>0.02861755351046824</v>
      </c>
      <c r="H86">
        <v>1.504024367613984</v>
      </c>
      <c r="I86">
        <v>201333.364183</v>
      </c>
      <c r="J86">
        <v>17.5042048498522</v>
      </c>
      <c r="K86">
        <v>0.5449363650775304</v>
      </c>
      <c r="L86">
        <v>0.8477029595227511</v>
      </c>
      <c r="M86">
        <v>60.04</v>
      </c>
      <c r="N86">
        <v>38.3</v>
      </c>
    </row>
    <row r="87" spans="1:14">
      <c r="A87" s="1" t="s">
        <v>99</v>
      </c>
      <c r="B87">
        <f>HYPERLINK("https://www.suredividend.com/sure-analysis-CSL/","Carlisle Companies Inc.")</f>
        <v>0</v>
      </c>
      <c r="C87" t="s">
        <v>386</v>
      </c>
      <c r="D87">
        <v>239.09</v>
      </c>
      <c r="E87">
        <v>0.01254757622652558</v>
      </c>
      <c r="F87">
        <v>0.3888888888888888</v>
      </c>
      <c r="G87">
        <v>0.1517862983700349</v>
      </c>
      <c r="H87">
        <v>2.570590799855462</v>
      </c>
      <c r="I87">
        <v>12511.643412</v>
      </c>
      <c r="J87">
        <v>14.25178655023351</v>
      </c>
      <c r="K87">
        <v>0.154575514122397</v>
      </c>
      <c r="L87">
        <v>0.8175355580118601</v>
      </c>
      <c r="M87">
        <v>316.97</v>
      </c>
      <c r="N87">
        <v>208.97</v>
      </c>
    </row>
    <row r="88" spans="1:14">
      <c r="A88" s="1" t="s">
        <v>100</v>
      </c>
      <c r="B88">
        <f>HYPERLINK("https://www.suredividend.com/sure-analysis-CSX/","CSX Corp.")</f>
        <v>0</v>
      </c>
      <c r="C88" t="s">
        <v>386</v>
      </c>
      <c r="D88">
        <v>32.2</v>
      </c>
      <c r="E88">
        <v>0.0124223602484472</v>
      </c>
      <c r="F88">
        <v>0.07143239797284995</v>
      </c>
      <c r="G88" t="s">
        <v>394</v>
      </c>
      <c r="H88">
        <v>0.398129883742208</v>
      </c>
      <c r="I88">
        <v>68307.259605</v>
      </c>
      <c r="J88">
        <v>16.73377256374571</v>
      </c>
      <c r="K88">
        <v>0.2117712147564937</v>
      </c>
      <c r="L88">
        <v>0.8508695876547101</v>
      </c>
      <c r="M88">
        <v>38.27</v>
      </c>
      <c r="N88">
        <v>25.72</v>
      </c>
    </row>
    <row r="89" spans="1:14">
      <c r="A89" s="1" t="s">
        <v>101</v>
      </c>
      <c r="B89">
        <f>HYPERLINK("https://www.suredividend.com/sure-analysis-CTAS/","Cintas Corporation")</f>
        <v>0</v>
      </c>
      <c r="C89" t="s">
        <v>386</v>
      </c>
      <c r="D89">
        <v>445.19</v>
      </c>
      <c r="E89">
        <v>0.01033266695118938</v>
      </c>
      <c r="F89" t="s">
        <v>394</v>
      </c>
      <c r="G89" t="s">
        <v>394</v>
      </c>
      <c r="H89">
        <v>4.184580000328121</v>
      </c>
      <c r="I89">
        <v>45346.106344</v>
      </c>
      <c r="J89">
        <v>35.4231309426096</v>
      </c>
      <c r="K89">
        <v>0.3404865744774712</v>
      </c>
      <c r="L89">
        <v>0.9365294141271001</v>
      </c>
      <c r="M89">
        <v>470.23</v>
      </c>
      <c r="N89">
        <v>342.05</v>
      </c>
    </row>
    <row r="90" spans="1:14">
      <c r="A90" s="1" t="s">
        <v>102</v>
      </c>
      <c r="B90">
        <f>HYPERLINK("https://www.suredividend.com/sure-analysis-CTBI/","Community Trust Bancorp, Inc.")</f>
        <v>0</v>
      </c>
      <c r="C90" t="s">
        <v>389</v>
      </c>
      <c r="D90">
        <v>46.66</v>
      </c>
      <c r="E90">
        <v>0.03771967423917703</v>
      </c>
      <c r="F90">
        <v>0.09999999999999987</v>
      </c>
      <c r="G90">
        <v>0.05922384104881218</v>
      </c>
      <c r="H90">
        <v>1.656213850640909</v>
      </c>
      <c r="I90">
        <v>836.783676</v>
      </c>
      <c r="J90">
        <v>10.64352988463349</v>
      </c>
      <c r="K90">
        <v>0.3755586962904555</v>
      </c>
      <c r="L90">
        <v>0.4527535388837121</v>
      </c>
      <c r="M90">
        <v>47.6</v>
      </c>
      <c r="N90">
        <v>38.33</v>
      </c>
    </row>
    <row r="91" spans="1:14">
      <c r="A91" s="1" t="s">
        <v>103</v>
      </c>
      <c r="B91">
        <f>HYPERLINK("https://www.suredividend.com/sure-analysis-CUBE/","CubeSmart")</f>
        <v>0</v>
      </c>
      <c r="C91" t="s">
        <v>392</v>
      </c>
      <c r="D91">
        <v>42.12</v>
      </c>
      <c r="E91">
        <v>0.04653371320037987</v>
      </c>
      <c r="F91">
        <v>0.1395348837209303</v>
      </c>
      <c r="G91">
        <v>0.1031002044005829</v>
      </c>
      <c r="H91">
        <v>1.751213120229793</v>
      </c>
      <c r="I91">
        <v>9530.949674</v>
      </c>
      <c r="J91">
        <v>37.41309945805479</v>
      </c>
      <c r="K91">
        <v>1.536151859850696</v>
      </c>
      <c r="L91">
        <v>0.8610782328648171</v>
      </c>
      <c r="M91">
        <v>53.17</v>
      </c>
      <c r="N91">
        <v>36.38</v>
      </c>
    </row>
    <row r="92" spans="1:14">
      <c r="A92" s="1" t="s">
        <v>104</v>
      </c>
      <c r="B92">
        <f>HYPERLINK("https://www.suredividend.com/sure-analysis-CVX/","Chevron Corp.")</f>
        <v>0</v>
      </c>
      <c r="C92" t="s">
        <v>396</v>
      </c>
      <c r="D92">
        <v>177.5</v>
      </c>
      <c r="E92">
        <v>0.032</v>
      </c>
      <c r="F92">
        <v>0.05970149253731338</v>
      </c>
      <c r="G92">
        <v>0.04861016738492974</v>
      </c>
      <c r="H92">
        <v>5.610529513098271</v>
      </c>
      <c r="I92">
        <v>342408.713726</v>
      </c>
      <c r="J92">
        <v>10.02162067859865</v>
      </c>
      <c r="K92">
        <v>0.3185990637761653</v>
      </c>
      <c r="L92">
        <v>0.5457611091987631</v>
      </c>
      <c r="M92">
        <v>188.22</v>
      </c>
      <c r="N92">
        <v>118.57</v>
      </c>
    </row>
    <row r="93" spans="1:14">
      <c r="A93" s="1" t="s">
        <v>105</v>
      </c>
      <c r="B93">
        <f>HYPERLINK("https://www.suredividend.com/sure-analysis-CWT/","California Water Service Group")</f>
        <v>0</v>
      </c>
      <c r="C93" t="s">
        <v>390</v>
      </c>
      <c r="D93">
        <v>62.23</v>
      </c>
      <c r="E93">
        <v>0.01606941989394183</v>
      </c>
      <c r="F93">
        <v>0.08695652173913038</v>
      </c>
      <c r="G93">
        <v>0.05922384104881218</v>
      </c>
      <c r="H93">
        <v>0.9935553213534981</v>
      </c>
      <c r="I93">
        <v>3414.43872</v>
      </c>
      <c r="J93">
        <v>42.66768369489153</v>
      </c>
      <c r="K93">
        <v>0.6668156519150994</v>
      </c>
      <c r="L93">
        <v>0.540698927244049</v>
      </c>
      <c r="M93">
        <v>66.12</v>
      </c>
      <c r="N93">
        <v>48.06</v>
      </c>
    </row>
    <row r="94" spans="1:14">
      <c r="A94" s="1" t="s">
        <v>106</v>
      </c>
      <c r="B94">
        <f>HYPERLINK("https://www.suredividend.com/sure-analysis-DCI/","Donaldson Co. Inc.")</f>
        <v>0</v>
      </c>
      <c r="C94" t="s">
        <v>386</v>
      </c>
      <c r="D94">
        <v>61.35</v>
      </c>
      <c r="E94">
        <v>0.0149959250203749</v>
      </c>
      <c r="F94">
        <v>0.04545454545454541</v>
      </c>
      <c r="G94">
        <v>0.05024607263868264</v>
      </c>
      <c r="H94">
        <v>0.9046837776789831</v>
      </c>
      <c r="I94">
        <v>7455.757588</v>
      </c>
      <c r="J94">
        <v>21.74324172761738</v>
      </c>
      <c r="K94">
        <v>0.3289759191559938</v>
      </c>
      <c r="L94">
        <v>0.8479749329240091</v>
      </c>
      <c r="M94">
        <v>61.71</v>
      </c>
      <c r="N94">
        <v>45.64</v>
      </c>
    </row>
    <row r="95" spans="1:14">
      <c r="A95" s="1" t="s">
        <v>107</v>
      </c>
      <c r="B95">
        <f>HYPERLINK("https://www.suredividend.com/sure-analysis-DDS/","Dillard`s Inc.")</f>
        <v>0</v>
      </c>
      <c r="C95" t="s">
        <v>393</v>
      </c>
      <c r="D95">
        <v>370.65</v>
      </c>
      <c r="E95">
        <v>0.002158370430325105</v>
      </c>
      <c r="F95">
        <v>0</v>
      </c>
      <c r="G95">
        <v>0.1486983549970351</v>
      </c>
      <c r="H95">
        <v>0.7716368075744</v>
      </c>
      <c r="I95">
        <v>4802.056519</v>
      </c>
      <c r="J95">
        <v>5.198769413894906</v>
      </c>
      <c r="K95">
        <v>0.01512420242207762</v>
      </c>
      <c r="L95">
        <v>1.452581240310766</v>
      </c>
      <c r="M95">
        <v>372.61</v>
      </c>
      <c r="N95">
        <v>183.88</v>
      </c>
    </row>
    <row r="96" spans="1:14">
      <c r="A96" s="1" t="s">
        <v>108</v>
      </c>
      <c r="B96">
        <f>HYPERLINK("https://www.suredividend.com/sure-analysis-DFS/","Discover Financial Services")</f>
        <v>0</v>
      </c>
      <c r="C96" t="s">
        <v>389</v>
      </c>
      <c r="D96">
        <v>106.39</v>
      </c>
      <c r="E96">
        <v>0.02255851113826488</v>
      </c>
      <c r="F96" t="s">
        <v>394</v>
      </c>
      <c r="G96" t="s">
        <v>394</v>
      </c>
      <c r="H96">
        <v>2.281455405247978</v>
      </c>
      <c r="I96">
        <v>28978.324636</v>
      </c>
      <c r="J96">
        <v>6.678572167757548</v>
      </c>
      <c r="K96">
        <v>0.1484356151755353</v>
      </c>
      <c r="L96">
        <v>1.211290941376765</v>
      </c>
      <c r="M96">
        <v>126.43</v>
      </c>
      <c r="N96">
        <v>87.03</v>
      </c>
    </row>
    <row r="97" spans="1:14">
      <c r="A97" s="1" t="s">
        <v>109</v>
      </c>
      <c r="B97">
        <f>HYPERLINK("https://www.suredividend.com/sure-analysis-DGX/","Quest Diagnostics, Inc.")</f>
        <v>0</v>
      </c>
      <c r="C97" t="s">
        <v>385</v>
      </c>
      <c r="D97">
        <v>147.74</v>
      </c>
      <c r="E97">
        <v>0.01766617029917422</v>
      </c>
      <c r="F97" t="s">
        <v>394</v>
      </c>
      <c r="G97" t="s">
        <v>394</v>
      </c>
      <c r="H97">
        <v>2.586538676179237</v>
      </c>
      <c r="I97">
        <v>16869.011464</v>
      </c>
      <c r="J97">
        <v>13.73698001947883</v>
      </c>
      <c r="K97">
        <v>0.2543302533116261</v>
      </c>
      <c r="L97">
        <v>0.549630110827224</v>
      </c>
      <c r="M97">
        <v>158.34</v>
      </c>
      <c r="N97">
        <v>119.75</v>
      </c>
    </row>
    <row r="98" spans="1:14">
      <c r="A98" s="1" t="s">
        <v>110</v>
      </c>
      <c r="B98">
        <f>HYPERLINK("https://www.suredividend.com/sure-analysis-DLR/","Digital Realty Trust Inc")</f>
        <v>0</v>
      </c>
      <c r="C98" t="s">
        <v>392</v>
      </c>
      <c r="D98">
        <v>105.765</v>
      </c>
      <c r="E98">
        <v>0.04614002741927859</v>
      </c>
      <c r="F98">
        <v>0.05172413793103448</v>
      </c>
      <c r="G98">
        <v>0.03850284678617966</v>
      </c>
      <c r="H98">
        <v>4.80384910607919</v>
      </c>
      <c r="I98">
        <v>30845.389662</v>
      </c>
      <c r="J98">
        <v>22.01875383208565</v>
      </c>
      <c r="K98">
        <v>0.9864166542257065</v>
      </c>
      <c r="L98">
        <v>0.916387236933858</v>
      </c>
      <c r="M98">
        <v>151.82</v>
      </c>
      <c r="N98">
        <v>84.81999999999999</v>
      </c>
    </row>
    <row r="99" spans="1:14">
      <c r="A99" s="1" t="s">
        <v>111</v>
      </c>
      <c r="B99">
        <f>HYPERLINK("https://www.suredividend.com/sure-analysis-DOV/","Dover Corp.")</f>
        <v>0</v>
      </c>
      <c r="C99" t="s">
        <v>386</v>
      </c>
      <c r="D99">
        <v>143.31</v>
      </c>
      <c r="E99">
        <v>0.01409531784243947</v>
      </c>
      <c r="F99">
        <v>0.01000000000000001</v>
      </c>
      <c r="G99">
        <v>0.01446882147577422</v>
      </c>
      <c r="H99">
        <v>1.998731728542657</v>
      </c>
      <c r="I99">
        <v>20056.579455</v>
      </c>
      <c r="J99">
        <v>17.22212729975219</v>
      </c>
      <c r="K99">
        <v>0.2482896557195847</v>
      </c>
      <c r="L99">
        <v>0.9454942029262771</v>
      </c>
      <c r="M99">
        <v>177.39</v>
      </c>
      <c r="N99">
        <v>114.08</v>
      </c>
    </row>
    <row r="100" spans="1:14">
      <c r="A100" s="1" t="s">
        <v>112</v>
      </c>
      <c r="B100">
        <f>HYPERLINK("https://www.suredividend.com/sure-analysis-DTE/","DTE Energy Co.")</f>
        <v>0</v>
      </c>
      <c r="C100" t="s">
        <v>390</v>
      </c>
      <c r="D100">
        <v>117.77</v>
      </c>
      <c r="E100">
        <v>0.03005858877473041</v>
      </c>
      <c r="F100">
        <v>0.07627118644067798</v>
      </c>
      <c r="G100">
        <v>0.01538338830106301</v>
      </c>
      <c r="H100">
        <v>3.567896330738384</v>
      </c>
      <c r="I100">
        <v>23130.856305</v>
      </c>
      <c r="J100">
        <v>20.63412694512935</v>
      </c>
      <c r="K100">
        <v>0.5636487094373435</v>
      </c>
      <c r="L100">
        <v>0.477156404132373</v>
      </c>
      <c r="M100">
        <v>137.14</v>
      </c>
      <c r="N100">
        <v>99.84</v>
      </c>
    </row>
    <row r="101" spans="1:14">
      <c r="A101" s="1" t="s">
        <v>113</v>
      </c>
      <c r="B101">
        <f>HYPERLINK("https://www.suredividend.com/sure-analysis-DUK/","Duke Energy Corp.")</f>
        <v>0</v>
      </c>
      <c r="C101" t="s">
        <v>390</v>
      </c>
      <c r="D101">
        <v>104.86</v>
      </c>
      <c r="E101">
        <v>0.03833683005912645</v>
      </c>
      <c r="F101">
        <v>0.02030456852791862</v>
      </c>
      <c r="G101">
        <v>0.02460202771658837</v>
      </c>
      <c r="H101">
        <v>3.923011034682526</v>
      </c>
      <c r="I101">
        <v>80918.19608199999</v>
      </c>
      <c r="J101">
        <v>21.27187068395373</v>
      </c>
      <c r="K101">
        <v>0.7941317883972724</v>
      </c>
      <c r="L101">
        <v>0.428442609214622</v>
      </c>
      <c r="M101">
        <v>113.06</v>
      </c>
      <c r="N101">
        <v>82.90000000000001</v>
      </c>
    </row>
    <row r="102" spans="1:14">
      <c r="A102" s="1" t="s">
        <v>114</v>
      </c>
      <c r="B102">
        <f>HYPERLINK("https://www.suredividend.com/sure-analysis-ECL/","Ecolab, Inc.")</f>
        <v>0</v>
      </c>
      <c r="C102" t="s">
        <v>391</v>
      </c>
      <c r="D102">
        <v>152.95</v>
      </c>
      <c r="E102">
        <v>0.01386073880353057</v>
      </c>
      <c r="F102">
        <v>0.03921568627450989</v>
      </c>
      <c r="G102">
        <v>0.05268492238527456</v>
      </c>
      <c r="H102">
        <v>2.049309122848232</v>
      </c>
      <c r="I102">
        <v>43686.927843</v>
      </c>
      <c r="J102">
        <v>38.71924828751219</v>
      </c>
      <c r="K102">
        <v>0.5227829395021</v>
      </c>
      <c r="L102">
        <v>1.13370857359283</v>
      </c>
      <c r="M102">
        <v>218.57</v>
      </c>
      <c r="N102">
        <v>130.56</v>
      </c>
    </row>
    <row r="103" spans="1:14">
      <c r="A103" s="1" t="s">
        <v>115</v>
      </c>
      <c r="B103">
        <f>HYPERLINK("https://www.suredividend.com/sure-analysis-ED/","Consolidated Edison, Inc.")</f>
        <v>0</v>
      </c>
      <c r="C103" t="s">
        <v>390</v>
      </c>
      <c r="D103">
        <v>96.56999999999999</v>
      </c>
      <c r="E103">
        <v>0.03272237754996376</v>
      </c>
      <c r="F103">
        <v>0.01935483870967736</v>
      </c>
      <c r="G103">
        <v>0.02015041341157797</v>
      </c>
      <c r="H103">
        <v>3.120247278972694</v>
      </c>
      <c r="I103">
        <v>34609.773565</v>
      </c>
      <c r="J103">
        <v>20.43079903508855</v>
      </c>
      <c r="K103">
        <v>0.6541398907699568</v>
      </c>
      <c r="L103">
        <v>0.4297782981434281</v>
      </c>
      <c r="M103">
        <v>101.31</v>
      </c>
      <c r="N103">
        <v>77.38</v>
      </c>
    </row>
    <row r="104" spans="1:14">
      <c r="A104" s="1" t="s">
        <v>116</v>
      </c>
      <c r="B104">
        <f>HYPERLINK("https://www.suredividend.com/sure-analysis-EGP/","Eastgroup Properties, Inc.")</f>
        <v>0</v>
      </c>
      <c r="C104" t="s">
        <v>392</v>
      </c>
      <c r="D104">
        <v>160.39</v>
      </c>
      <c r="E104">
        <v>0.03117401334247771</v>
      </c>
      <c r="F104">
        <v>0.1363636363636362</v>
      </c>
      <c r="G104">
        <v>0.1432626298183159</v>
      </c>
      <c r="H104">
        <v>4.644047232519034</v>
      </c>
      <c r="I104">
        <v>6957.270557</v>
      </c>
      <c r="J104">
        <v>31.71044009453054</v>
      </c>
      <c r="K104">
        <v>0.889664220789087</v>
      </c>
      <c r="L104">
        <v>0.938688355381577</v>
      </c>
      <c r="M104">
        <v>212.25</v>
      </c>
      <c r="N104">
        <v>136.29</v>
      </c>
    </row>
    <row r="105" spans="1:14">
      <c r="A105" s="1" t="s">
        <v>117</v>
      </c>
      <c r="B105">
        <f>HYPERLINK("https://www.suredividend.com/sure-analysis-EIX/","Edison International")</f>
        <v>0</v>
      </c>
      <c r="C105" t="s">
        <v>390</v>
      </c>
      <c r="D105">
        <v>68.005</v>
      </c>
      <c r="E105">
        <v>0.04337916329681642</v>
      </c>
      <c r="F105">
        <v>0.0535714285714286</v>
      </c>
      <c r="G105">
        <v>0.04040236321329971</v>
      </c>
      <c r="H105">
        <v>2.790304675978272</v>
      </c>
      <c r="I105">
        <v>26139.321435</v>
      </c>
      <c r="J105">
        <v>36.30461310458333</v>
      </c>
      <c r="K105">
        <v>1.48420461488206</v>
      </c>
      <c r="L105">
        <v>0.6605494737953801</v>
      </c>
      <c r="M105">
        <v>70.93000000000001</v>
      </c>
      <c r="N105">
        <v>53.83</v>
      </c>
    </row>
    <row r="106" spans="1:14">
      <c r="A106" s="1" t="s">
        <v>118</v>
      </c>
      <c r="B106">
        <f>HYPERLINK("https://www.suredividend.com/sure-analysis-ELS/","Equity Lifestyle Properties Inc.")</f>
        <v>0</v>
      </c>
      <c r="C106" t="s">
        <v>392</v>
      </c>
      <c r="D106">
        <v>68.13500000000001</v>
      </c>
      <c r="E106">
        <v>0.0240698613047626</v>
      </c>
      <c r="F106">
        <v>0.1310344827586207</v>
      </c>
      <c r="G106" t="s">
        <v>394</v>
      </c>
      <c r="H106">
        <v>1.624637017910494</v>
      </c>
      <c r="I106">
        <v>12735.576072</v>
      </c>
      <c r="J106">
        <v>45.95623645786724</v>
      </c>
      <c r="K106">
        <v>1.144110575993306</v>
      </c>
      <c r="L106">
        <v>0.7374505534485181</v>
      </c>
      <c r="M106">
        <v>82.26000000000001</v>
      </c>
      <c r="N106">
        <v>56.55</v>
      </c>
    </row>
    <row r="107" spans="1:14">
      <c r="A107" s="1" t="s">
        <v>119</v>
      </c>
      <c r="B107">
        <f>HYPERLINK("https://www.suredividend.com/sure-analysis-EMN/","Eastman Chemical Co")</f>
        <v>0</v>
      </c>
      <c r="C107" t="s">
        <v>391</v>
      </c>
      <c r="D107">
        <v>90.285</v>
      </c>
      <c r="E107">
        <v>0.03500027690092485</v>
      </c>
      <c r="F107">
        <v>0.03947368421052633</v>
      </c>
      <c r="G107">
        <v>0.07124254564338495</v>
      </c>
      <c r="H107">
        <v>3.030143630418541</v>
      </c>
      <c r="I107">
        <v>10950.320619</v>
      </c>
      <c r="J107">
        <v>9.359248392</v>
      </c>
      <c r="K107">
        <v>0.3348225005987338</v>
      </c>
      <c r="L107">
        <v>1.12399472488341</v>
      </c>
      <c r="M107">
        <v>125.26</v>
      </c>
      <c r="N107">
        <v>69.28</v>
      </c>
    </row>
    <row r="108" spans="1:14">
      <c r="A108" s="1" t="s">
        <v>120</v>
      </c>
      <c r="B108">
        <f>HYPERLINK("https://www.suredividend.com/sure-analysis-EMR/","Emerson Electric Co.")</f>
        <v>0</v>
      </c>
      <c r="C108" t="s">
        <v>386</v>
      </c>
      <c r="D108">
        <v>97.36</v>
      </c>
      <c r="E108">
        <v>0.02136400986031224</v>
      </c>
      <c r="F108">
        <v>0.009708737864077666</v>
      </c>
      <c r="G108">
        <v>0.01403354261880141</v>
      </c>
      <c r="H108">
        <v>2.035206169322121</v>
      </c>
      <c r="I108">
        <v>57986.77</v>
      </c>
      <c r="J108">
        <v>18.34443846883897</v>
      </c>
      <c r="K108">
        <v>0.3847270641440682</v>
      </c>
      <c r="L108">
        <v>0.8761287814049581</v>
      </c>
      <c r="M108">
        <v>99.65000000000001</v>
      </c>
      <c r="N108">
        <v>71.58</v>
      </c>
    </row>
    <row r="109" spans="1:14">
      <c r="A109" s="1" t="s">
        <v>121</v>
      </c>
      <c r="B109">
        <f>HYPERLINK("https://www.suredividend.com/sure-analysis-research-database/","Ensign Group Inc")</f>
        <v>0</v>
      </c>
      <c r="C109" t="s">
        <v>385</v>
      </c>
      <c r="D109">
        <v>98.69</v>
      </c>
      <c r="E109">
        <v>0.002273994511407</v>
      </c>
      <c r="F109">
        <v>0.04545454545454541</v>
      </c>
      <c r="G109">
        <v>0.05024607263868264</v>
      </c>
      <c r="H109">
        <v>0.222282963490107</v>
      </c>
      <c r="I109">
        <v>5423.586611</v>
      </c>
      <c r="J109">
        <v>25.46882653439775</v>
      </c>
      <c r="K109">
        <v>0.05927545693069521</v>
      </c>
      <c r="L109">
        <v>0.6786185591222591</v>
      </c>
      <c r="M109">
        <v>98.09999999999999</v>
      </c>
      <c r="N109">
        <v>70.15000000000001</v>
      </c>
    </row>
    <row r="110" spans="1:14">
      <c r="A110" s="1" t="s">
        <v>122</v>
      </c>
      <c r="B110">
        <f>HYPERLINK("https://www.suredividend.com/sure-analysis-EPD/","Enterprise Products Partners L P")</f>
        <v>0</v>
      </c>
      <c r="C110" t="s">
        <v>396</v>
      </c>
      <c r="D110">
        <v>25.68</v>
      </c>
      <c r="E110">
        <v>0.0763239875389408</v>
      </c>
      <c r="F110">
        <v>0.021505376344086</v>
      </c>
      <c r="G110">
        <v>0.02129568760013512</v>
      </c>
      <c r="H110">
        <v>1.829157068206644</v>
      </c>
      <c r="I110">
        <v>55825.118245</v>
      </c>
      <c r="J110">
        <v>11.04704124854553</v>
      </c>
      <c r="K110">
        <v>0.7884297707787259</v>
      </c>
      <c r="L110">
        <v>0.417097053382264</v>
      </c>
      <c r="M110">
        <v>27.61</v>
      </c>
      <c r="N110">
        <v>21.46</v>
      </c>
    </row>
    <row r="111" spans="1:14">
      <c r="A111" s="1" t="s">
        <v>123</v>
      </c>
      <c r="B111">
        <f>HYPERLINK("https://www.suredividend.com/sure-analysis-ERIE/","Erie Indemnity Co.")</f>
        <v>0</v>
      </c>
      <c r="C111" t="s">
        <v>389</v>
      </c>
      <c r="D111">
        <v>247.65</v>
      </c>
      <c r="E111">
        <v>0.01792852816474864</v>
      </c>
      <c r="F111">
        <v>0.072072072072072</v>
      </c>
      <c r="G111">
        <v>0.07214502590085092</v>
      </c>
      <c r="H111">
        <v>4.493101621293572</v>
      </c>
      <c r="I111">
        <v>11444.727269</v>
      </c>
      <c r="J111">
        <v>39.72194761589749</v>
      </c>
      <c r="K111">
        <v>0.8214079746423351</v>
      </c>
      <c r="L111">
        <v>0.61410464068973</v>
      </c>
      <c r="M111">
        <v>285.1</v>
      </c>
      <c r="N111">
        <v>156.92</v>
      </c>
    </row>
    <row r="112" spans="1:14">
      <c r="A112" s="1" t="s">
        <v>124</v>
      </c>
      <c r="B112">
        <f>HYPERLINK("https://www.suredividend.com/sure-analysis-ES/","Eversource Energy")</f>
        <v>0</v>
      </c>
      <c r="C112" t="s">
        <v>390</v>
      </c>
      <c r="D112">
        <v>83.34</v>
      </c>
      <c r="E112">
        <v>0.03059755219582433</v>
      </c>
      <c r="F112">
        <v>0.05809128630705396</v>
      </c>
      <c r="G112">
        <v>0.04770197405165311</v>
      </c>
      <c r="H112">
        <v>2.522182230359133</v>
      </c>
      <c r="I112">
        <v>29651.410324</v>
      </c>
      <c r="J112">
        <v>21.31025633910803</v>
      </c>
      <c r="K112">
        <v>0.6274085150147097</v>
      </c>
      <c r="L112">
        <v>0.5108195905264831</v>
      </c>
      <c r="M112">
        <v>93.03</v>
      </c>
      <c r="N112">
        <v>70.02</v>
      </c>
    </row>
    <row r="113" spans="1:14">
      <c r="A113" s="1" t="s">
        <v>125</v>
      </c>
      <c r="B113">
        <f>HYPERLINK("https://www.suredividend.com/sure-analysis-ESS/","Essex Property Trust, Inc.")</f>
        <v>0</v>
      </c>
      <c r="C113" t="s">
        <v>392</v>
      </c>
      <c r="D113">
        <v>220.24</v>
      </c>
      <c r="E113">
        <v>0.03995641118779513</v>
      </c>
      <c r="F113">
        <v>0.05263157894736858</v>
      </c>
      <c r="G113">
        <v>0.03414621632574555</v>
      </c>
      <c r="H113">
        <v>8.675102264251006</v>
      </c>
      <c r="I113">
        <v>14278.215546</v>
      </c>
      <c r="J113">
        <v>39.65906591227252</v>
      </c>
      <c r="K113">
        <v>1.571576497146921</v>
      </c>
      <c r="L113">
        <v>0.719598649267282</v>
      </c>
      <c r="M113">
        <v>353.43</v>
      </c>
      <c r="N113">
        <v>203.13</v>
      </c>
    </row>
    <row r="114" spans="1:14">
      <c r="A114" s="1" t="s">
        <v>126</v>
      </c>
      <c r="B114">
        <f>HYPERLINK("https://www.suredividend.com/sure-analysis-ETN/","Eaton Corporation plc")</f>
        <v>0</v>
      </c>
      <c r="C114" t="s">
        <v>386</v>
      </c>
      <c r="D114">
        <v>163.85</v>
      </c>
      <c r="E114">
        <v>0.01977418370460788</v>
      </c>
      <c r="F114">
        <v>0.06578947368421062</v>
      </c>
      <c r="G114">
        <v>0.04180926810264429</v>
      </c>
      <c r="H114">
        <v>3.214205550388891</v>
      </c>
      <c r="I114">
        <v>65505.167</v>
      </c>
      <c r="J114">
        <v>28.59239065910084</v>
      </c>
      <c r="K114">
        <v>0.5629081524323802</v>
      </c>
      <c r="L114">
        <v>0.9085203492379491</v>
      </c>
      <c r="M114">
        <v>168.01</v>
      </c>
      <c r="N114">
        <v>121.21</v>
      </c>
    </row>
    <row r="115" spans="1:14">
      <c r="A115" s="1" t="s">
        <v>127</v>
      </c>
      <c r="B115">
        <f>HYPERLINK("https://www.suredividend.com/sure-analysis-research-database/","Evercore Inc")</f>
        <v>0</v>
      </c>
      <c r="C115" t="s">
        <v>389</v>
      </c>
      <c r="D115">
        <v>126.86</v>
      </c>
      <c r="E115">
        <v>0.021939902724993</v>
      </c>
      <c r="F115" t="s">
        <v>394</v>
      </c>
      <c r="G115" t="s">
        <v>394</v>
      </c>
      <c r="H115">
        <v>2.811817933235139</v>
      </c>
      <c r="I115">
        <v>4977.442452</v>
      </c>
      <c r="J115">
        <v>7.876435381657465</v>
      </c>
      <c r="K115">
        <v>0.1845024890574238</v>
      </c>
      <c r="L115">
        <v>1.262140614635512</v>
      </c>
      <c r="M115">
        <v>131.85</v>
      </c>
      <c r="N115">
        <v>78.16</v>
      </c>
    </row>
    <row r="116" spans="1:14">
      <c r="A116" s="1" t="s">
        <v>128</v>
      </c>
      <c r="B116">
        <f>HYPERLINK("https://www.suredividend.com/sure-analysis-EVRG/","Evergy Inc")</f>
        <v>0</v>
      </c>
      <c r="C116" t="s">
        <v>390</v>
      </c>
      <c r="D116">
        <v>62.99</v>
      </c>
      <c r="E116">
        <v>0.03889506270836641</v>
      </c>
      <c r="F116" t="s">
        <v>394</v>
      </c>
      <c r="G116" t="s">
        <v>394</v>
      </c>
      <c r="H116">
        <v>2.298385755040615</v>
      </c>
      <c r="I116">
        <v>14671.965729</v>
      </c>
      <c r="J116">
        <v>18.37210835111445</v>
      </c>
      <c r="K116">
        <v>0.6642733396071142</v>
      </c>
      <c r="L116">
        <v>0.5105920028490391</v>
      </c>
      <c r="M116">
        <v>71.18000000000001</v>
      </c>
      <c r="N116">
        <v>53.56</v>
      </c>
    </row>
    <row r="117" spans="1:14">
      <c r="A117" s="1" t="s">
        <v>129</v>
      </c>
      <c r="B117">
        <f>HYPERLINK("https://www.suredividend.com/sure-analysis-EXPD/","Expeditors International Of Washington, Inc.")</f>
        <v>0</v>
      </c>
      <c r="C117" t="s">
        <v>386</v>
      </c>
      <c r="D117">
        <v>109.13</v>
      </c>
      <c r="E117">
        <v>0.01227893338220471</v>
      </c>
      <c r="F117" t="s">
        <v>394</v>
      </c>
      <c r="G117" t="s">
        <v>394</v>
      </c>
      <c r="H117">
        <v>1.336046762423824</v>
      </c>
      <c r="I117">
        <v>17554.334519</v>
      </c>
      <c r="J117">
        <v>11.0338347213089</v>
      </c>
      <c r="K117">
        <v>0.1404886185514011</v>
      </c>
      <c r="L117">
        <v>0.8755533159118311</v>
      </c>
      <c r="M117">
        <v>123.06</v>
      </c>
      <c r="N117">
        <v>85.56999999999999</v>
      </c>
    </row>
    <row r="118" spans="1:14">
      <c r="A118" s="1" t="s">
        <v>130</v>
      </c>
      <c r="B118">
        <f>HYPERLINK("https://www.suredividend.com/sure-analysis-EXR/","Extra Space Storage Inc.")</f>
        <v>0</v>
      </c>
      <c r="C118" t="s">
        <v>392</v>
      </c>
      <c r="D118">
        <v>153.285</v>
      </c>
      <c r="E118">
        <v>0.03914277326548586</v>
      </c>
      <c r="F118">
        <v>0.2</v>
      </c>
      <c r="G118">
        <v>0.1397230490720158</v>
      </c>
      <c r="H118">
        <v>5.920659057210023</v>
      </c>
      <c r="I118">
        <v>20638.64668</v>
      </c>
      <c r="J118">
        <v>22.34674227241426</v>
      </c>
      <c r="K118">
        <v>0.9066859199402791</v>
      </c>
      <c r="L118">
        <v>0.905433544593063</v>
      </c>
      <c r="M118">
        <v>216.5</v>
      </c>
      <c r="N118">
        <v>139.97</v>
      </c>
    </row>
    <row r="119" spans="1:14">
      <c r="A119" s="1" t="s">
        <v>131</v>
      </c>
      <c r="B119">
        <f>HYPERLINK("https://www.suredividend.com/sure-analysis-FAF/","First American Financial Corp")</f>
        <v>0</v>
      </c>
      <c r="C119" t="s">
        <v>389</v>
      </c>
      <c r="D119">
        <v>58.655</v>
      </c>
      <c r="E119">
        <v>0.03546159747677095</v>
      </c>
      <c r="F119">
        <v>0.01960784313725483</v>
      </c>
      <c r="G119">
        <v>0.06474093044470108</v>
      </c>
      <c r="H119">
        <v>2.0301647074653</v>
      </c>
      <c r="I119">
        <v>6075.827778</v>
      </c>
      <c r="J119">
        <v>12.9594159512835</v>
      </c>
      <c r="K119">
        <v>0.4721313273175117</v>
      </c>
      <c r="L119">
        <v>1.004323280677299</v>
      </c>
      <c r="M119">
        <v>78.41</v>
      </c>
      <c r="N119">
        <v>43.1</v>
      </c>
    </row>
    <row r="120" spans="1:14">
      <c r="A120" s="1" t="s">
        <v>132</v>
      </c>
      <c r="B120">
        <f>HYPERLINK("https://www.suredividend.com/sure-analysis-FAST/","Fastenal Co.")</f>
        <v>0</v>
      </c>
      <c r="C120" t="s">
        <v>386</v>
      </c>
      <c r="D120">
        <v>48.345</v>
      </c>
      <c r="E120">
        <v>0.0256489812803806</v>
      </c>
      <c r="F120">
        <v>0.107142857142857</v>
      </c>
      <c r="G120" t="s">
        <v>394</v>
      </c>
      <c r="H120">
        <v>1.228273462981949</v>
      </c>
      <c r="I120">
        <v>28076.689318</v>
      </c>
      <c r="J120">
        <v>26.17873129846154</v>
      </c>
      <c r="K120">
        <v>0.6603620768720156</v>
      </c>
      <c r="L120">
        <v>0.890210082579009</v>
      </c>
      <c r="M120">
        <v>59.7</v>
      </c>
      <c r="N120">
        <v>43.44</v>
      </c>
    </row>
    <row r="121" spans="1:14">
      <c r="A121" s="1" t="s">
        <v>133</v>
      </c>
      <c r="B121">
        <f>HYPERLINK("https://www.suredividend.com/sure-analysis-research-database/","First Community Bankshares Inc.")</f>
        <v>0</v>
      </c>
      <c r="C121" t="s">
        <v>389</v>
      </c>
      <c r="D121">
        <v>33.3</v>
      </c>
      <c r="E121">
        <v>0.032850168031173</v>
      </c>
      <c r="F121">
        <v>0.07407407407407396</v>
      </c>
      <c r="G121" t="s">
        <v>394</v>
      </c>
      <c r="H121">
        <v>1.106065157609606</v>
      </c>
      <c r="I121">
        <v>552.606989</v>
      </c>
      <c r="J121">
        <v>12.38085292557243</v>
      </c>
      <c r="K121">
        <v>0.4158139690261677</v>
      </c>
      <c r="L121">
        <v>0.5743622391116381</v>
      </c>
      <c r="M121">
        <v>39.39</v>
      </c>
      <c r="N121">
        <v>25.81</v>
      </c>
    </row>
    <row r="122" spans="1:14">
      <c r="A122" s="1" t="s">
        <v>134</v>
      </c>
      <c r="B122">
        <f>HYPERLINK("https://www.suredividend.com/sure-analysis-FDS/","Factset Research Systems Inc.")</f>
        <v>0</v>
      </c>
      <c r="C122" t="s">
        <v>389</v>
      </c>
      <c r="D122">
        <v>411.88</v>
      </c>
      <c r="E122">
        <v>0.008643294163348548</v>
      </c>
      <c r="F122">
        <v>0.08536585365853644</v>
      </c>
      <c r="G122">
        <v>0.09708530000960369</v>
      </c>
      <c r="H122">
        <v>3.479524371765849</v>
      </c>
      <c r="I122">
        <v>15831.666573</v>
      </c>
      <c r="J122">
        <v>37.15760529455392</v>
      </c>
      <c r="K122">
        <v>0.3168965730205691</v>
      </c>
      <c r="L122">
        <v>0.8026997222889111</v>
      </c>
      <c r="M122">
        <v>474.13</v>
      </c>
      <c r="N122">
        <v>344.54</v>
      </c>
    </row>
    <row r="123" spans="1:14">
      <c r="A123" s="1" t="s">
        <v>135</v>
      </c>
      <c r="B123">
        <f>HYPERLINK("https://www.suredividend.com/sure-analysis-FELE/","Franklin Electric Co., Inc.")</f>
        <v>0</v>
      </c>
      <c r="C123" t="s">
        <v>386</v>
      </c>
      <c r="D123">
        <v>85.55500000000001</v>
      </c>
      <c r="E123">
        <v>0.009116942317807257</v>
      </c>
      <c r="F123">
        <v>0.1142857142857143</v>
      </c>
      <c r="G123">
        <v>0.1264845234709517</v>
      </c>
      <c r="H123">
        <v>0.777226482753491</v>
      </c>
      <c r="I123">
        <v>3941.707329</v>
      </c>
      <c r="J123">
        <v>20.91989256131677</v>
      </c>
      <c r="K123">
        <v>0.1938220655245614</v>
      </c>
      <c r="L123">
        <v>0.9207246067594781</v>
      </c>
      <c r="M123">
        <v>95.95999999999999</v>
      </c>
      <c r="N123">
        <v>67.77</v>
      </c>
    </row>
    <row r="124" spans="1:14">
      <c r="A124" s="1" t="s">
        <v>136</v>
      </c>
      <c r="B124">
        <f>HYPERLINK("https://www.suredividend.com/sure-analysis-research-database/","First Financial Bankshares, Inc.")</f>
        <v>0</v>
      </c>
      <c r="C124" t="s">
        <v>389</v>
      </c>
      <c r="D124">
        <v>34.66</v>
      </c>
      <c r="E124">
        <v>0.018676813568483</v>
      </c>
      <c r="F124">
        <v>0.1333333333333335</v>
      </c>
      <c r="G124" t="s">
        <v>394</v>
      </c>
      <c r="H124">
        <v>0.65574292438944</v>
      </c>
      <c r="I124">
        <v>5008.148893</v>
      </c>
      <c r="J124">
        <v>21.66679166779151</v>
      </c>
      <c r="K124">
        <v>0.4072937418567951</v>
      </c>
      <c r="L124">
        <v>0.694061216784832</v>
      </c>
      <c r="M124">
        <v>52.2</v>
      </c>
      <c r="N124">
        <v>32.53</v>
      </c>
    </row>
    <row r="125" spans="1:14">
      <c r="A125" s="1" t="s">
        <v>137</v>
      </c>
      <c r="B125">
        <f>HYPERLINK("https://www.suredividend.com/sure-analysis-research-database/","Financial Institutions Inc.")</f>
        <v>0</v>
      </c>
      <c r="C125" t="s">
        <v>389</v>
      </c>
      <c r="D125">
        <v>24.51</v>
      </c>
      <c r="E125">
        <v>0.046243182179607</v>
      </c>
      <c r="F125">
        <v>0.07407407407407396</v>
      </c>
      <c r="G125">
        <v>0.03857377308425858</v>
      </c>
      <c r="H125">
        <v>1.139894440727334</v>
      </c>
      <c r="I125">
        <v>378.008563</v>
      </c>
      <c r="J125">
        <v>6.034908495777256</v>
      </c>
      <c r="K125">
        <v>0.2842629527998339</v>
      </c>
      <c r="L125">
        <v>0.56019792559722</v>
      </c>
      <c r="M125">
        <v>32.97</v>
      </c>
      <c r="N125">
        <v>22.64</v>
      </c>
    </row>
    <row r="126" spans="1:14">
      <c r="A126" s="1" t="s">
        <v>138</v>
      </c>
      <c r="B126">
        <f>HYPERLINK("https://www.suredividend.com/sure-analysis-FITB/","Fifth Third Bancorp")</f>
        <v>0</v>
      </c>
      <c r="C126" t="s">
        <v>389</v>
      </c>
      <c r="D126">
        <v>34.175</v>
      </c>
      <c r="E126">
        <v>0.03862472567666423</v>
      </c>
      <c r="F126">
        <v>0.09999999999999987</v>
      </c>
      <c r="G126">
        <v>0.1557896243650145</v>
      </c>
      <c r="H126">
        <v>1.242066112586541</v>
      </c>
      <c r="I126">
        <v>23955.226193</v>
      </c>
      <c r="J126">
        <v>10.63259040985353</v>
      </c>
      <c r="K126">
        <v>0.3833537384526361</v>
      </c>
      <c r="L126">
        <v>1.08840667496289</v>
      </c>
      <c r="M126">
        <v>48.87</v>
      </c>
      <c r="N126">
        <v>30.61</v>
      </c>
    </row>
    <row r="127" spans="1:14">
      <c r="A127" s="1" t="s">
        <v>139</v>
      </c>
      <c r="B127">
        <f>HYPERLINK("https://www.suredividend.com/sure-analysis-FLIC/","First Of Long Island Corp.")</f>
        <v>0</v>
      </c>
      <c r="C127" t="s">
        <v>389</v>
      </c>
      <c r="D127">
        <v>18.495</v>
      </c>
      <c r="E127">
        <v>0.0454176804541768</v>
      </c>
      <c r="F127">
        <v>0.04999999999999982</v>
      </c>
      <c r="G127">
        <v>0.06961037572506878</v>
      </c>
      <c r="H127">
        <v>0.806108411746954</v>
      </c>
      <c r="I127">
        <v>424.168655</v>
      </c>
      <c r="J127">
        <v>9.213046373588185</v>
      </c>
      <c r="K127">
        <v>0.4071254604782596</v>
      </c>
      <c r="L127">
        <v>0.4747270859019521</v>
      </c>
      <c r="M127">
        <v>21.96</v>
      </c>
      <c r="N127">
        <v>15.94</v>
      </c>
    </row>
    <row r="128" spans="1:14">
      <c r="A128" s="1" t="s">
        <v>140</v>
      </c>
      <c r="B128">
        <f>HYPERLINK("https://www.suredividend.com/sure-analysis-FLO/","Flowers Foods, Inc.")</f>
        <v>0</v>
      </c>
      <c r="C128" t="s">
        <v>388</v>
      </c>
      <c r="D128">
        <v>27.835</v>
      </c>
      <c r="E128">
        <v>0.03161487336087659</v>
      </c>
      <c r="F128">
        <v>0.04761904761904767</v>
      </c>
      <c r="G128">
        <v>0.05291848906511043</v>
      </c>
      <c r="H128">
        <v>0.8600590768882951</v>
      </c>
      <c r="I128">
        <v>5877.945894</v>
      </c>
      <c r="J128">
        <v>26.82535925118314</v>
      </c>
      <c r="K128">
        <v>0.8350088125129078</v>
      </c>
      <c r="L128">
        <v>0.370166842891396</v>
      </c>
      <c r="M128">
        <v>30.16</v>
      </c>
      <c r="N128">
        <v>23.72</v>
      </c>
    </row>
    <row r="129" spans="1:14">
      <c r="A129" s="1" t="s">
        <v>141</v>
      </c>
      <c r="B129">
        <f>HYPERLINK("https://www.suredividend.com/sure-analysis-FNF/","Fidelity National Financial Inc")</f>
        <v>0</v>
      </c>
      <c r="C129" t="s">
        <v>389</v>
      </c>
      <c r="D129">
        <v>41.33</v>
      </c>
      <c r="E129">
        <v>0.04258407936123881</v>
      </c>
      <c r="F129">
        <v>0.02272727272727271</v>
      </c>
      <c r="G129">
        <v>0.08447177119769855</v>
      </c>
      <c r="H129">
        <v>1.739631992638533</v>
      </c>
      <c r="I129">
        <v>11209.119016</v>
      </c>
      <c r="J129">
        <v>7.001323557732666</v>
      </c>
      <c r="K129">
        <v>0.3046640967843315</v>
      </c>
      <c r="L129">
        <v>0.9580368370296291</v>
      </c>
      <c r="M129">
        <v>53.83</v>
      </c>
      <c r="N129">
        <v>33.8</v>
      </c>
    </row>
    <row r="130" spans="1:14">
      <c r="A130" s="1" t="s">
        <v>142</v>
      </c>
      <c r="B130">
        <f>HYPERLINK("https://www.suredividend.com/sure-analysis-research-database/","First Merchants Corp.")</f>
        <v>0</v>
      </c>
      <c r="C130" t="s">
        <v>389</v>
      </c>
      <c r="D130">
        <v>41.71</v>
      </c>
      <c r="E130">
        <v>0.02908590220533</v>
      </c>
      <c r="F130">
        <v>0.1034482758620692</v>
      </c>
      <c r="G130">
        <v>0.1219551454461996</v>
      </c>
      <c r="H130">
        <v>1.236150843726556</v>
      </c>
      <c r="I130">
        <v>2531.411775</v>
      </c>
      <c r="J130">
        <v>12.77690625567826</v>
      </c>
      <c r="K130">
        <v>0.3521797275574234</v>
      </c>
      <c r="L130">
        <v>0.6219797573102011</v>
      </c>
      <c r="M130">
        <v>44.71</v>
      </c>
      <c r="N130">
        <v>33.55</v>
      </c>
    </row>
    <row r="131" spans="1:14">
      <c r="A131" s="1" t="s">
        <v>143</v>
      </c>
      <c r="B131">
        <f>HYPERLINK("https://www.suredividend.com/sure-analysis-FRT/","Federal Realty Investment Trust.")</f>
        <v>0</v>
      </c>
      <c r="C131" t="s">
        <v>392</v>
      </c>
      <c r="D131">
        <v>108.255</v>
      </c>
      <c r="E131">
        <v>0.03990577802410974</v>
      </c>
      <c r="F131">
        <v>0.009345794392523477</v>
      </c>
      <c r="G131">
        <v>0.01551127839748156</v>
      </c>
      <c r="H131">
        <v>4.242230857101854</v>
      </c>
      <c r="I131">
        <v>8899.746804</v>
      </c>
      <c r="J131">
        <v>0</v>
      </c>
      <c r="K131" t="s">
        <v>394</v>
      </c>
      <c r="L131">
        <v>0.862729433359505</v>
      </c>
      <c r="M131">
        <v>131.33</v>
      </c>
      <c r="N131">
        <v>85.52</v>
      </c>
    </row>
    <row r="132" spans="1:14">
      <c r="A132" s="1" t="s">
        <v>144</v>
      </c>
      <c r="B132">
        <f>HYPERLINK("https://www.suredividend.com/sure-analysis-FUL/","H.B. Fuller Company")</f>
        <v>0</v>
      </c>
      <c r="C132" t="s">
        <v>391</v>
      </c>
      <c r="D132">
        <v>74.015</v>
      </c>
      <c r="E132">
        <v>0.0102681888806323</v>
      </c>
      <c r="F132" t="s">
        <v>394</v>
      </c>
      <c r="G132" t="s">
        <v>394</v>
      </c>
      <c r="H132">
        <v>0.7343764528335981</v>
      </c>
      <c r="I132">
        <v>3984.60936</v>
      </c>
      <c r="J132">
        <v>21.78691759975942</v>
      </c>
      <c r="K132">
        <v>0.2211977267571079</v>
      </c>
      <c r="L132">
        <v>0.985280406411121</v>
      </c>
      <c r="M132">
        <v>81.41</v>
      </c>
      <c r="N132">
        <v>57.05</v>
      </c>
    </row>
    <row r="133" spans="1:14">
      <c r="A133" s="1" t="s">
        <v>145</v>
      </c>
      <c r="B133">
        <f>HYPERLINK("https://www.suredividend.com/sure-analysis-GATX/","GATX Corp.")</f>
        <v>0</v>
      </c>
      <c r="C133" t="s">
        <v>386</v>
      </c>
      <c r="D133">
        <v>112.35</v>
      </c>
      <c r="E133">
        <v>0.01851357365376057</v>
      </c>
      <c r="F133">
        <v>0.04000000000000004</v>
      </c>
      <c r="G133">
        <v>0.03397522653195018</v>
      </c>
      <c r="H133">
        <v>2.064429916299857</v>
      </c>
      <c r="I133">
        <v>3952.256</v>
      </c>
      <c r="J133">
        <v>23.45552522255193</v>
      </c>
      <c r="K133">
        <v>0.4401769544349375</v>
      </c>
      <c r="L133">
        <v>0.7531461825683351</v>
      </c>
      <c r="M133">
        <v>125.63</v>
      </c>
      <c r="N133">
        <v>84.56999999999999</v>
      </c>
    </row>
    <row r="134" spans="1:14">
      <c r="A134" s="1" t="s">
        <v>146</v>
      </c>
      <c r="B134">
        <f>HYPERLINK("https://www.suredividend.com/sure-analysis-GD/","General Dynamics Corp.")</f>
        <v>0</v>
      </c>
      <c r="C134" t="s">
        <v>386</v>
      </c>
      <c r="D134">
        <v>242.89</v>
      </c>
      <c r="E134">
        <v>0.02075013380542633</v>
      </c>
      <c r="F134">
        <v>0.05882352941176472</v>
      </c>
      <c r="G134">
        <v>0.08447177119769855</v>
      </c>
      <c r="H134">
        <v>3.758792982315057</v>
      </c>
      <c r="I134">
        <v>68005.77764</v>
      </c>
      <c r="J134">
        <v>20.30023213125373</v>
      </c>
      <c r="K134">
        <v>0.3129719385774402</v>
      </c>
      <c r="L134">
        <v>0.5893045366092611</v>
      </c>
      <c r="M134">
        <v>256.86</v>
      </c>
      <c r="N134">
        <v>197.35</v>
      </c>
    </row>
    <row r="135" spans="1:14">
      <c r="A135" s="1" t="s">
        <v>147</v>
      </c>
      <c r="B135">
        <f>HYPERLINK("https://www.suredividend.com/sure-analysis-research-database/","Griffon Corp.")</f>
        <v>0</v>
      </c>
      <c r="C135" t="s">
        <v>386</v>
      </c>
      <c r="D135">
        <v>39.27</v>
      </c>
      <c r="E135">
        <v>0.009291606530362</v>
      </c>
      <c r="F135">
        <v>0.1111111111111112</v>
      </c>
      <c r="G135">
        <v>0.07394092378577932</v>
      </c>
      <c r="H135">
        <v>0.355868530112897</v>
      </c>
      <c r="I135">
        <v>2185.563877</v>
      </c>
      <c r="J135" t="s">
        <v>394</v>
      </c>
      <c r="K135" t="s">
        <v>394</v>
      </c>
      <c r="L135">
        <v>1.158655916639791</v>
      </c>
      <c r="M135">
        <v>39.77</v>
      </c>
      <c r="N135">
        <v>16.18</v>
      </c>
    </row>
    <row r="136" spans="1:14">
      <c r="A136" s="1" t="s">
        <v>148</v>
      </c>
      <c r="B136">
        <f>HYPERLINK("https://www.suredividend.com/sure-analysis-GGG/","Graco Inc.")</f>
        <v>0</v>
      </c>
      <c r="C136" t="s">
        <v>386</v>
      </c>
      <c r="D136">
        <v>70.28</v>
      </c>
      <c r="E136">
        <v>0.01337507114399545</v>
      </c>
      <c r="F136">
        <v>0</v>
      </c>
      <c r="G136">
        <v>0.09647992127587668</v>
      </c>
      <c r="H136">
        <v>0.8356591961446571</v>
      </c>
      <c r="I136">
        <v>11802.08692</v>
      </c>
      <c r="J136">
        <v>25.95662254186965</v>
      </c>
      <c r="K136">
        <v>0.318953891658266</v>
      </c>
      <c r="L136">
        <v>0.904101231120721</v>
      </c>
      <c r="M136">
        <v>75.65000000000001</v>
      </c>
      <c r="N136">
        <v>56.08</v>
      </c>
    </row>
    <row r="137" spans="1:14">
      <c r="A137" s="1" t="s">
        <v>149</v>
      </c>
      <c r="B137">
        <f>HYPERLINK("https://www.suredividend.com/sure-analysis-GL/","Globe Life Inc")</f>
        <v>0</v>
      </c>
      <c r="C137" t="s">
        <v>389</v>
      </c>
      <c r="D137">
        <v>121.37</v>
      </c>
      <c r="E137">
        <v>0.00675620004943561</v>
      </c>
      <c r="F137">
        <v>0.05063291139240511</v>
      </c>
      <c r="G137">
        <v>0.05336679400581579</v>
      </c>
      <c r="H137">
        <v>0.8276765243109501</v>
      </c>
      <c r="I137">
        <v>11806.660396</v>
      </c>
      <c r="J137">
        <v>16.72101764491281</v>
      </c>
      <c r="K137">
        <v>0.116738578887299</v>
      </c>
      <c r="L137">
        <v>0.6851594948272181</v>
      </c>
      <c r="M137">
        <v>123.85</v>
      </c>
      <c r="N137">
        <v>87.36</v>
      </c>
    </row>
    <row r="138" spans="1:14">
      <c r="A138" s="1" t="s">
        <v>150</v>
      </c>
      <c r="B138">
        <f>HYPERLINK("https://www.suredividend.com/sure-analysis-GLW/","Corning, Inc.")</f>
        <v>0</v>
      </c>
      <c r="C138" t="s">
        <v>387</v>
      </c>
      <c r="D138">
        <v>36.3</v>
      </c>
      <c r="E138">
        <v>0.02975206611570248</v>
      </c>
      <c r="F138">
        <v>0.1250000000000002</v>
      </c>
      <c r="G138">
        <v>0.08447177119769855</v>
      </c>
      <c r="H138">
        <v>1.067221339197267</v>
      </c>
      <c r="I138">
        <v>30905.947679</v>
      </c>
      <c r="J138">
        <v>16.80584430616639</v>
      </c>
      <c r="K138">
        <v>0.4851006087260304</v>
      </c>
      <c r="L138">
        <v>0.9986311342590971</v>
      </c>
      <c r="M138">
        <v>42.17</v>
      </c>
      <c r="N138">
        <v>28.75</v>
      </c>
    </row>
    <row r="139" spans="1:14">
      <c r="A139" s="1" t="s">
        <v>151</v>
      </c>
      <c r="B139">
        <f>HYPERLINK("https://www.suredividend.com/sure-analysis-GNTX/","Gentex Corp.")</f>
        <v>0</v>
      </c>
      <c r="C139" t="s">
        <v>393</v>
      </c>
      <c r="D139">
        <v>28.385</v>
      </c>
      <c r="E139">
        <v>0.01691033996829311</v>
      </c>
      <c r="F139">
        <v>0</v>
      </c>
      <c r="G139">
        <v>0.01755457717558762</v>
      </c>
      <c r="H139">
        <v>0.476806287301167</v>
      </c>
      <c r="I139">
        <v>6669.170411</v>
      </c>
      <c r="J139">
        <v>21.38501755784042</v>
      </c>
      <c r="K139">
        <v>0.3531898424453089</v>
      </c>
      <c r="L139">
        <v>0.9518350208385961</v>
      </c>
      <c r="M139">
        <v>35.02</v>
      </c>
      <c r="N139">
        <v>23.18</v>
      </c>
    </row>
    <row r="140" spans="1:14">
      <c r="A140" s="1" t="s">
        <v>152</v>
      </c>
      <c r="B140">
        <f>HYPERLINK("https://www.suredividend.com/sure-analysis-GPC/","Genuine Parts Co.")</f>
        <v>0</v>
      </c>
      <c r="C140" t="s">
        <v>393</v>
      </c>
      <c r="D140">
        <v>169.49</v>
      </c>
      <c r="E140">
        <v>0.0211221900997109</v>
      </c>
      <c r="F140">
        <v>0.09815950920245387</v>
      </c>
      <c r="G140">
        <v>0.04447514040041911</v>
      </c>
      <c r="H140">
        <v>3.550837884532817</v>
      </c>
      <c r="I140">
        <v>23849.209914</v>
      </c>
      <c r="J140">
        <v>20.09667784046669</v>
      </c>
      <c r="K140">
        <v>0.4267833995832713</v>
      </c>
      <c r="L140">
        <v>0.723469657546263</v>
      </c>
      <c r="M140">
        <v>187.73</v>
      </c>
      <c r="N140">
        <v>112.84</v>
      </c>
    </row>
    <row r="141" spans="1:14">
      <c r="A141" s="1" t="s">
        <v>153</v>
      </c>
      <c r="B141">
        <f>HYPERLINK("https://www.suredividend.com/sure-analysis-GRC/","Gorman-Rupp Co.")</f>
        <v>0</v>
      </c>
      <c r="C141" t="s">
        <v>386</v>
      </c>
      <c r="D141">
        <v>27.52</v>
      </c>
      <c r="E141">
        <v>0.02543604651162791</v>
      </c>
      <c r="F141">
        <v>0.02941176470588247</v>
      </c>
      <c r="G141">
        <v>0.06961037572506878</v>
      </c>
      <c r="H141">
        <v>0.678803056868847</v>
      </c>
      <c r="I141">
        <v>719.696377</v>
      </c>
      <c r="J141">
        <v>47.00518429233883</v>
      </c>
      <c r="K141">
        <v>1.15698492733739</v>
      </c>
      <c r="L141">
        <v>0.7307986412873461</v>
      </c>
      <c r="M141">
        <v>40.93</v>
      </c>
      <c r="N141">
        <v>22.53</v>
      </c>
    </row>
    <row r="142" spans="1:14">
      <c r="A142" s="1" t="s">
        <v>154</v>
      </c>
      <c r="B142">
        <f>HYPERLINK("https://www.suredividend.com/sure-analysis-GS/","Goldman Sachs Group, Inc.")</f>
        <v>0</v>
      </c>
      <c r="C142" t="s">
        <v>389</v>
      </c>
      <c r="D142">
        <v>370.84</v>
      </c>
      <c r="E142">
        <v>0.02696580735627225</v>
      </c>
      <c r="F142">
        <v>0.25</v>
      </c>
      <c r="G142">
        <v>0.2722596365393921</v>
      </c>
      <c r="H142">
        <v>8.927871933409001</v>
      </c>
      <c r="I142">
        <v>125274.479485</v>
      </c>
      <c r="J142">
        <v>9.357221353803403</v>
      </c>
      <c r="K142">
        <v>0.2380765848909067</v>
      </c>
      <c r="L142">
        <v>0.9586687670207321</v>
      </c>
      <c r="M142">
        <v>387.04</v>
      </c>
      <c r="N142">
        <v>273.96</v>
      </c>
    </row>
    <row r="143" spans="1:14">
      <c r="A143" s="1" t="s">
        <v>155</v>
      </c>
      <c r="B143">
        <f>HYPERLINK("https://www.suredividend.com/sure-analysis-GWW/","W.W. Grainger Inc.")</f>
        <v>0</v>
      </c>
      <c r="C143" t="s">
        <v>386</v>
      </c>
      <c r="D143">
        <v>565.3</v>
      </c>
      <c r="E143">
        <v>0.01217052892269591</v>
      </c>
      <c r="F143">
        <v>0.06172839506172823</v>
      </c>
      <c r="G143">
        <v>0.04808838399458915</v>
      </c>
      <c r="H143">
        <v>6.72991875965413</v>
      </c>
      <c r="I143">
        <v>28930.024238</v>
      </c>
      <c r="J143">
        <v>20.00693239143845</v>
      </c>
      <c r="K143">
        <v>0.2389885923172632</v>
      </c>
      <c r="L143">
        <v>0.7427308460326331</v>
      </c>
      <c r="M143">
        <v>611.02</v>
      </c>
      <c r="N143">
        <v>436.57</v>
      </c>
    </row>
    <row r="144" spans="1:14">
      <c r="A144" s="1" t="s">
        <v>156</v>
      </c>
      <c r="B144">
        <f>HYPERLINK("https://www.suredividend.com/sure-analysis-HBAN/","Huntington Bancshares, Inc.")</f>
        <v>0</v>
      </c>
      <c r="C144" t="s">
        <v>389</v>
      </c>
      <c r="D144">
        <v>14.365</v>
      </c>
      <c r="E144">
        <v>0.04316045945005221</v>
      </c>
      <c r="F144">
        <v>0</v>
      </c>
      <c r="G144">
        <v>0.07099588603959828</v>
      </c>
      <c r="H144">
        <v>0.6095490815492071</v>
      </c>
      <c r="I144">
        <v>21136.056836</v>
      </c>
      <c r="J144">
        <v>11.21276224708223</v>
      </c>
      <c r="K144">
        <v>0.476210219960318</v>
      </c>
      <c r="L144">
        <v>0.9517908496749181</v>
      </c>
      <c r="M144">
        <v>17.01</v>
      </c>
      <c r="N144">
        <v>11.41</v>
      </c>
    </row>
    <row r="145" spans="1:14">
      <c r="A145" s="1" t="s">
        <v>157</v>
      </c>
      <c r="B145">
        <f>HYPERLINK("https://www.suredividend.com/sure-analysis-research-database/","Horizon Bancorp Inc (IN)")</f>
        <v>0</v>
      </c>
      <c r="C145" t="s">
        <v>389</v>
      </c>
      <c r="D145">
        <v>15.61</v>
      </c>
      <c r="E145">
        <v>0.039264810651433</v>
      </c>
      <c r="F145">
        <v>0.06666666666666665</v>
      </c>
      <c r="G145">
        <v>0.01299136822423641</v>
      </c>
      <c r="H145">
        <v>0.6211693045056711</v>
      </c>
      <c r="I145">
        <v>695.049944</v>
      </c>
      <c r="J145">
        <v>7.420356407524448</v>
      </c>
      <c r="K145">
        <v>0.2902660301428369</v>
      </c>
      <c r="L145">
        <v>0.7126396524477171</v>
      </c>
      <c r="M145">
        <v>22.95</v>
      </c>
      <c r="N145">
        <v>14.35</v>
      </c>
    </row>
    <row r="146" spans="1:14">
      <c r="A146" s="1" t="s">
        <v>158</v>
      </c>
      <c r="B146">
        <f>HYPERLINK("https://www.suredividend.com/sure-analysis-HCSG/","Healthcare Services Group, Inc.")</f>
        <v>0</v>
      </c>
      <c r="C146" t="s">
        <v>385</v>
      </c>
      <c r="D146">
        <v>13.605</v>
      </c>
      <c r="E146">
        <v>0.06321205439176773</v>
      </c>
      <c r="F146">
        <v>0.02380952380952372</v>
      </c>
      <c r="G146">
        <v>0.02368750698537969</v>
      </c>
      <c r="H146">
        <v>0.8341254575570801</v>
      </c>
      <c r="I146">
        <v>999.07668</v>
      </c>
      <c r="J146">
        <v>48.55543740279938</v>
      </c>
      <c r="K146">
        <v>3.01345902296633</v>
      </c>
      <c r="L146">
        <v>0.8066222650514531</v>
      </c>
      <c r="M146">
        <v>19.69</v>
      </c>
      <c r="N146">
        <v>11.55</v>
      </c>
    </row>
    <row r="147" spans="1:14">
      <c r="A147" s="1" t="s">
        <v>159</v>
      </c>
      <c r="B147">
        <f>HYPERLINK("https://www.suredividend.com/sure-analysis-HD/","Home Depot, Inc.")</f>
        <v>0</v>
      </c>
      <c r="C147" t="s">
        <v>393</v>
      </c>
      <c r="D147">
        <v>332</v>
      </c>
      <c r="E147">
        <v>0.02289156626506024</v>
      </c>
      <c r="F147">
        <v>0.1515151515151516</v>
      </c>
      <c r="G147">
        <v>0.1302727969130595</v>
      </c>
      <c r="H147">
        <v>7.529462513236031</v>
      </c>
      <c r="I147">
        <v>337696.641752</v>
      </c>
      <c r="J147">
        <v>19.75411768074935</v>
      </c>
      <c r="K147">
        <v>0.4541292227524748</v>
      </c>
      <c r="L147">
        <v>0.9364063604900891</v>
      </c>
      <c r="M147">
        <v>372.63</v>
      </c>
      <c r="N147">
        <v>261.21</v>
      </c>
    </row>
    <row r="148" spans="1:14">
      <c r="A148" s="1" t="s">
        <v>160</v>
      </c>
      <c r="B148">
        <f>HYPERLINK("https://www.suredividend.com/sure-analysis-research-database/","Heico Corp.")</f>
        <v>0</v>
      </c>
      <c r="C148" t="s">
        <v>386</v>
      </c>
      <c r="D148">
        <v>163.64</v>
      </c>
      <c r="E148">
        <v>0.001160652843806</v>
      </c>
      <c r="F148" t="s">
        <v>394</v>
      </c>
      <c r="G148" t="s">
        <v>394</v>
      </c>
      <c r="H148">
        <v>0.189940837888936</v>
      </c>
      <c r="I148">
        <v>19415.989437</v>
      </c>
      <c r="J148">
        <v>55.21003607612142</v>
      </c>
      <c r="K148">
        <v>0.07448660309370041</v>
      </c>
      <c r="L148">
        <v>0.8727862692548861</v>
      </c>
      <c r="M148">
        <v>165.68</v>
      </c>
      <c r="N148">
        <v>126.78</v>
      </c>
    </row>
    <row r="149" spans="1:14">
      <c r="A149" s="1" t="s">
        <v>161</v>
      </c>
      <c r="B149">
        <f>HYPERLINK("https://www.suredividend.com/sure-analysis-research-database/","Heritage Financial Corp.")</f>
        <v>0</v>
      </c>
      <c r="C149" t="s">
        <v>389</v>
      </c>
      <c r="D149">
        <v>29.78</v>
      </c>
      <c r="E149">
        <v>0.027462111187405</v>
      </c>
      <c r="F149">
        <v>0</v>
      </c>
      <c r="G149">
        <v>0.06961037572506878</v>
      </c>
      <c r="H149">
        <v>0.831003484530891</v>
      </c>
      <c r="I149">
        <v>1062.254544</v>
      </c>
      <c r="J149">
        <v>13.4927159902449</v>
      </c>
      <c r="K149">
        <v>0.3743258939328338</v>
      </c>
      <c r="L149">
        <v>0.506845993111511</v>
      </c>
      <c r="M149">
        <v>34.34</v>
      </c>
      <c r="N149">
        <v>22.6</v>
      </c>
    </row>
    <row r="150" spans="1:14">
      <c r="A150" s="1" t="s">
        <v>162</v>
      </c>
      <c r="B150">
        <f>HYPERLINK("https://www.suredividend.com/sure-analysis-HI/","Hillenbrand Inc")</f>
        <v>0</v>
      </c>
      <c r="C150" t="s">
        <v>386</v>
      </c>
      <c r="D150">
        <v>46.375</v>
      </c>
      <c r="E150">
        <v>0.01897574123989218</v>
      </c>
      <c r="F150">
        <v>0.01149425287356332</v>
      </c>
      <c r="G150">
        <v>0.01176794512623491</v>
      </c>
      <c r="H150">
        <v>0.8660312042655921</v>
      </c>
      <c r="I150">
        <v>3180.190108</v>
      </c>
      <c r="J150">
        <v>15.35581896605505</v>
      </c>
      <c r="K150">
        <v>0.3060180933800679</v>
      </c>
      <c r="L150">
        <v>1.028130125815212</v>
      </c>
      <c r="M150">
        <v>53.3</v>
      </c>
      <c r="N150">
        <v>35.85</v>
      </c>
    </row>
    <row r="151" spans="1:14">
      <c r="A151" s="1" t="s">
        <v>163</v>
      </c>
      <c r="B151">
        <f>HYPERLINK("https://www.suredividend.com/sure-analysis-research-database/","Hingham Institution For Savings")</f>
        <v>0</v>
      </c>
      <c r="C151" t="s">
        <v>389</v>
      </c>
      <c r="D151">
        <v>292.64</v>
      </c>
      <c r="E151">
        <v>0.008163296412850001</v>
      </c>
      <c r="F151">
        <v>0.1052631578947367</v>
      </c>
      <c r="G151">
        <v>0.106398021719422</v>
      </c>
      <c r="H151">
        <v>2.391845848965101</v>
      </c>
      <c r="I151">
        <v>617.058</v>
      </c>
      <c r="J151">
        <v>0</v>
      </c>
      <c r="K151" t="s">
        <v>394</v>
      </c>
      <c r="L151">
        <v>0.7050940612596071</v>
      </c>
      <c r="M151">
        <v>406.58</v>
      </c>
      <c r="N151">
        <v>241.82</v>
      </c>
    </row>
    <row r="152" spans="1:14">
      <c r="A152" s="1" t="s">
        <v>164</v>
      </c>
      <c r="B152">
        <f>HYPERLINK("https://www.suredividend.com/sure-analysis-research-database/","Horace Mann Educators Corp.")</f>
        <v>0</v>
      </c>
      <c r="C152" t="s">
        <v>389</v>
      </c>
      <c r="D152">
        <v>37.7</v>
      </c>
      <c r="E152">
        <v>0.033589368515498</v>
      </c>
      <c r="F152">
        <v>0.032258064516129</v>
      </c>
      <c r="G152">
        <v>0.0234367875071011</v>
      </c>
      <c r="H152">
        <v>1.263296149867886</v>
      </c>
      <c r="I152">
        <v>1538.184875</v>
      </c>
      <c r="J152">
        <v>27.27278147074468</v>
      </c>
      <c r="K152">
        <v>0.9427583207969299</v>
      </c>
      <c r="L152">
        <v>0.431836876531857</v>
      </c>
      <c r="M152">
        <v>41.51</v>
      </c>
      <c r="N152">
        <v>32.03</v>
      </c>
    </row>
    <row r="153" spans="1:14">
      <c r="A153" s="1" t="s">
        <v>165</v>
      </c>
      <c r="B153">
        <f>HYPERLINK("https://www.suredividend.com/sure-analysis-HNI/","HNI Corp.")</f>
        <v>0</v>
      </c>
      <c r="C153" t="s">
        <v>386</v>
      </c>
      <c r="D153">
        <v>30.4</v>
      </c>
      <c r="E153">
        <v>0.04210526315789474</v>
      </c>
      <c r="F153">
        <v>0.032258064516129</v>
      </c>
      <c r="G153">
        <v>0.0234367875071011</v>
      </c>
      <c r="H153">
        <v>1.251330234291562</v>
      </c>
      <c r="I153">
        <v>1282.690663</v>
      </c>
      <c r="J153">
        <v>11.07668036329566</v>
      </c>
      <c r="K153">
        <v>0.4617454739083255</v>
      </c>
      <c r="L153">
        <v>0.928517257069649</v>
      </c>
      <c r="M153">
        <v>42.91</v>
      </c>
      <c r="N153">
        <v>26.22</v>
      </c>
    </row>
    <row r="154" spans="1:14">
      <c r="A154" s="1" t="s">
        <v>166</v>
      </c>
      <c r="B154">
        <f>HYPERLINK("https://www.suredividend.com/sure-analysis-research-database/","Home Bancshares Inc")</f>
        <v>0</v>
      </c>
      <c r="C154" t="s">
        <v>389</v>
      </c>
      <c r="D154">
        <v>23.13</v>
      </c>
      <c r="E154">
        <v>0.027981563570566</v>
      </c>
      <c r="F154">
        <v>0.1785714285714286</v>
      </c>
      <c r="G154">
        <v>0.08447177119769855</v>
      </c>
      <c r="H154">
        <v>0.6533695093727251</v>
      </c>
      <c r="I154">
        <v>4762.728454</v>
      </c>
      <c r="J154">
        <v>18.11391711164864</v>
      </c>
      <c r="K154">
        <v>0.4601193727976938</v>
      </c>
      <c r="L154">
        <v>0.8411589900481831</v>
      </c>
      <c r="M154">
        <v>26.07</v>
      </c>
      <c r="N154">
        <v>19.42</v>
      </c>
    </row>
    <row r="155" spans="1:14">
      <c r="A155" s="1" t="s">
        <v>167</v>
      </c>
      <c r="B155">
        <f>HYPERLINK("https://www.suredividend.com/sure-analysis-HON/","Honeywell International Inc")</f>
        <v>0</v>
      </c>
      <c r="C155" t="s">
        <v>386</v>
      </c>
      <c r="D155">
        <v>213.51</v>
      </c>
      <c r="E155">
        <v>0.0192965200693176</v>
      </c>
      <c r="F155">
        <v>0.05102040816326525</v>
      </c>
      <c r="G155">
        <v>0.06693064751987632</v>
      </c>
      <c r="H155">
        <v>3.921572380263705</v>
      </c>
      <c r="I155">
        <v>145208.155667</v>
      </c>
      <c r="J155">
        <v>27.01547082183442</v>
      </c>
      <c r="K155">
        <v>0.5021219436957369</v>
      </c>
      <c r="L155">
        <v>0.79847073606624</v>
      </c>
      <c r="M155">
        <v>220.96</v>
      </c>
      <c r="N155">
        <v>164.89</v>
      </c>
    </row>
    <row r="156" spans="1:14">
      <c r="A156" s="1" t="s">
        <v>168</v>
      </c>
      <c r="B156">
        <f>HYPERLINK("https://www.suredividend.com/sure-analysis-HPQ/","HP Inc")</f>
        <v>0</v>
      </c>
      <c r="C156" t="s">
        <v>387</v>
      </c>
      <c r="D156">
        <v>27.825</v>
      </c>
      <c r="E156">
        <v>0.03773584905660378</v>
      </c>
      <c r="F156">
        <v>0.05000000000000004</v>
      </c>
      <c r="G156">
        <v>0.1351039586341305</v>
      </c>
      <c r="H156">
        <v>0.999817004118383</v>
      </c>
      <c r="I156">
        <v>28040.262476</v>
      </c>
      <c r="J156">
        <v>8.754374797315018</v>
      </c>
      <c r="K156">
        <v>0.3278088538093059</v>
      </c>
      <c r="L156">
        <v>1.244152053441368</v>
      </c>
      <c r="M156">
        <v>40.48</v>
      </c>
      <c r="N156">
        <v>23.86</v>
      </c>
    </row>
    <row r="157" spans="1:14">
      <c r="A157" s="1" t="s">
        <v>169</v>
      </c>
      <c r="B157">
        <f>HYPERLINK("https://www.suredividend.com/sure-analysis-HRL/","Hormel Foods Corp.")</f>
        <v>0</v>
      </c>
      <c r="C157" t="s">
        <v>388</v>
      </c>
      <c r="D157">
        <v>46.175</v>
      </c>
      <c r="E157">
        <v>0.02382241472658365</v>
      </c>
      <c r="F157">
        <v>0.05769230769230771</v>
      </c>
      <c r="G157">
        <v>0.0796084730466029</v>
      </c>
      <c r="H157">
        <v>1.031545109122373</v>
      </c>
      <c r="I157">
        <v>25425.117747</v>
      </c>
      <c r="J157">
        <v>25.42544827764761</v>
      </c>
      <c r="K157">
        <v>0.5667830269903149</v>
      </c>
      <c r="L157">
        <v>0.252184911214499</v>
      </c>
      <c r="M157">
        <v>54.5</v>
      </c>
      <c r="N157">
        <v>43.72</v>
      </c>
    </row>
    <row r="158" spans="1:14">
      <c r="A158" s="1" t="s">
        <v>170</v>
      </c>
      <c r="B158">
        <f>HYPERLINK("https://www.suredividend.com/sure-analysis-HSY/","Hershey Company")</f>
        <v>0</v>
      </c>
      <c r="C158" t="s">
        <v>388</v>
      </c>
      <c r="D158">
        <v>225.64</v>
      </c>
      <c r="E158">
        <v>0.01834781067186669</v>
      </c>
      <c r="F158">
        <v>0.1498335183129855</v>
      </c>
      <c r="G158">
        <v>0.0956987929182207</v>
      </c>
      <c r="H158">
        <v>3.848889122707796</v>
      </c>
      <c r="I158">
        <v>45976.8852</v>
      </c>
      <c r="J158">
        <v>20.80008424325964</v>
      </c>
      <c r="K158">
        <v>0.5024659429122449</v>
      </c>
      <c r="L158">
        <v>0.315432380654946</v>
      </c>
      <c r="M158">
        <v>242.64</v>
      </c>
      <c r="N158">
        <v>187.6</v>
      </c>
    </row>
    <row r="159" spans="1:14">
      <c r="A159" s="1" t="s">
        <v>171</v>
      </c>
      <c r="B159">
        <f>HYPERLINK("https://www.suredividend.com/sure-analysis-HUBB/","Hubbell Inc.")</f>
        <v>0</v>
      </c>
      <c r="C159" t="s">
        <v>386</v>
      </c>
      <c r="D159">
        <v>231.975</v>
      </c>
      <c r="E159">
        <v>0.01931242590796422</v>
      </c>
      <c r="F159">
        <v>0.06666666666666665</v>
      </c>
      <c r="G159">
        <v>0.07781806771272581</v>
      </c>
      <c r="H159">
        <v>4.239624595855703</v>
      </c>
      <c r="I159">
        <v>12599.924542</v>
      </c>
      <c r="J159">
        <v>22.61292990253051</v>
      </c>
      <c r="K159">
        <v>0.4128164163442749</v>
      </c>
      <c r="L159">
        <v>0.850620836243376</v>
      </c>
      <c r="M159">
        <v>263.3</v>
      </c>
      <c r="N159">
        <v>167.2</v>
      </c>
    </row>
    <row r="160" spans="1:14">
      <c r="A160" s="1" t="s">
        <v>172</v>
      </c>
      <c r="B160">
        <f>HYPERLINK("https://www.suredividend.com/sure-analysis-HUM/","Humana Inc.")</f>
        <v>0</v>
      </c>
      <c r="C160" t="s">
        <v>385</v>
      </c>
      <c r="D160">
        <v>500.69</v>
      </c>
      <c r="E160">
        <v>0.006291317981185963</v>
      </c>
      <c r="F160">
        <v>0.125</v>
      </c>
      <c r="G160">
        <v>0.09510588196866943</v>
      </c>
      <c r="H160">
        <v>3.142544418699091</v>
      </c>
      <c r="I160">
        <v>62577.271184</v>
      </c>
      <c r="J160">
        <v>22.29329219245458</v>
      </c>
      <c r="K160">
        <v>0.1431031156056052</v>
      </c>
      <c r="L160">
        <v>0.472358715039136</v>
      </c>
      <c r="M160">
        <v>570.4299999999999</v>
      </c>
      <c r="N160">
        <v>361.33</v>
      </c>
    </row>
    <row r="161" spans="1:14">
      <c r="A161" s="1" t="s">
        <v>173</v>
      </c>
      <c r="B161">
        <f>HYPERLINK("https://www.suredividend.com/sure-analysis-research-database/","Hawkins Inc")</f>
        <v>0</v>
      </c>
      <c r="C161" t="s">
        <v>391</v>
      </c>
      <c r="D161">
        <v>37.97</v>
      </c>
      <c r="E161">
        <v>0.014320092806089</v>
      </c>
      <c r="F161" t="s">
        <v>394</v>
      </c>
      <c r="G161" t="s">
        <v>394</v>
      </c>
      <c r="H161">
        <v>0.5571948110849571</v>
      </c>
      <c r="I161">
        <v>817.866722</v>
      </c>
      <c r="J161">
        <v>13.98636571721732</v>
      </c>
      <c r="K161">
        <v>0.2004297881600565</v>
      </c>
      <c r="L161">
        <v>0.6369598456301141</v>
      </c>
      <c r="M161">
        <v>47.63</v>
      </c>
      <c r="N161">
        <v>33.06</v>
      </c>
    </row>
    <row r="162" spans="1:14">
      <c r="A162" s="1" t="s">
        <v>174</v>
      </c>
      <c r="B162">
        <f>HYPERLINK("https://www.suredividend.com/sure-analysis-IBM/","International Business Machines Corp.")</f>
        <v>0</v>
      </c>
      <c r="C162" t="s">
        <v>387</v>
      </c>
      <c r="D162">
        <v>145.04</v>
      </c>
      <c r="E162">
        <v>0.04550468836183122</v>
      </c>
      <c r="F162">
        <v>0.006097560975609539</v>
      </c>
      <c r="G162">
        <v>0.01924487649145656</v>
      </c>
      <c r="H162">
        <v>6.472157910111976</v>
      </c>
      <c r="I162">
        <v>131595.592135</v>
      </c>
      <c r="J162">
        <v>104.2754295837163</v>
      </c>
      <c r="K162">
        <v>4.494554104244428</v>
      </c>
      <c r="L162">
        <v>0.5480619947235801</v>
      </c>
      <c r="M162">
        <v>153.21</v>
      </c>
      <c r="N162">
        <v>114.18</v>
      </c>
    </row>
    <row r="163" spans="1:14">
      <c r="A163" s="1" t="s">
        <v>175</v>
      </c>
      <c r="B163">
        <f>HYPERLINK("https://www.suredividend.com/sure-analysis-research-database/","International Bancshares Corp.")</f>
        <v>0</v>
      </c>
      <c r="C163" t="s">
        <v>389</v>
      </c>
      <c r="D163">
        <v>45.45</v>
      </c>
      <c r="E163">
        <v>0.026045683787237</v>
      </c>
      <c r="F163" t="s">
        <v>394</v>
      </c>
      <c r="G163" t="s">
        <v>394</v>
      </c>
      <c r="H163">
        <v>1.192110946941863</v>
      </c>
      <c r="I163">
        <v>2842.948901</v>
      </c>
      <c r="J163">
        <v>11.31089772910649</v>
      </c>
      <c r="K163">
        <v>0.2995253635532319</v>
      </c>
      <c r="L163">
        <v>0.717041359790472</v>
      </c>
      <c r="M163">
        <v>53.71</v>
      </c>
      <c r="N163">
        <v>37.5</v>
      </c>
    </row>
    <row r="164" spans="1:14">
      <c r="A164" s="1" t="s">
        <v>176</v>
      </c>
      <c r="B164">
        <f>HYPERLINK("https://www.suredividend.com/sure-analysis-IDA/","Idacorp, Inc.")</f>
        <v>0</v>
      </c>
      <c r="C164" t="s">
        <v>390</v>
      </c>
      <c r="D164">
        <v>107.83</v>
      </c>
      <c r="E164">
        <v>0.02930538811091533</v>
      </c>
      <c r="F164">
        <v>0.05333333333333345</v>
      </c>
      <c r="G164">
        <v>0.0601199707922162</v>
      </c>
      <c r="H164">
        <v>3.007732053215568</v>
      </c>
      <c r="I164">
        <v>5492.032709</v>
      </c>
      <c r="J164">
        <v>21.99223432498018</v>
      </c>
      <c r="K164">
        <v>0.6100876375690807</v>
      </c>
      <c r="L164">
        <v>0.492422211735465</v>
      </c>
      <c r="M164">
        <v>116.39</v>
      </c>
      <c r="N164">
        <v>92.81999999999999</v>
      </c>
    </row>
    <row r="165" spans="1:14">
      <c r="A165" s="1" t="s">
        <v>177</v>
      </c>
      <c r="B165">
        <f>HYPERLINK("https://www.suredividend.com/sure-analysis-IEX/","Idex Corporation")</f>
        <v>0</v>
      </c>
      <c r="C165" t="s">
        <v>386</v>
      </c>
      <c r="D165">
        <v>237.04</v>
      </c>
      <c r="E165">
        <v>0.01012487343908201</v>
      </c>
      <c r="F165">
        <v>0.1111111111111112</v>
      </c>
      <c r="G165">
        <v>0.06889872481155268</v>
      </c>
      <c r="H165">
        <v>2.389856622659186</v>
      </c>
      <c r="I165">
        <v>17818.237001</v>
      </c>
      <c r="J165">
        <v>30.95297878286474</v>
      </c>
      <c r="K165">
        <v>0.3161186008808447</v>
      </c>
      <c r="L165">
        <v>0.8322977299542901</v>
      </c>
      <c r="M165">
        <v>245.6</v>
      </c>
      <c r="N165">
        <v>170.67</v>
      </c>
    </row>
    <row r="166" spans="1:14">
      <c r="A166" s="1" t="s">
        <v>178</v>
      </c>
      <c r="B166">
        <f>HYPERLINK("https://www.suredividend.com/sure-analysis-IFF/","International Flavors &amp; Fragrances Inc.")</f>
        <v>0</v>
      </c>
      <c r="C166" t="s">
        <v>391</v>
      </c>
      <c r="D166">
        <v>115.03</v>
      </c>
      <c r="E166">
        <v>0.02816656524384943</v>
      </c>
      <c r="F166">
        <v>0.02531645569620244</v>
      </c>
      <c r="G166">
        <v>0.03258826616987553</v>
      </c>
      <c r="H166">
        <v>3.163252089662517</v>
      </c>
      <c r="I166">
        <v>29473.636447</v>
      </c>
      <c r="J166" t="s">
        <v>394</v>
      </c>
      <c r="K166" t="s">
        <v>394</v>
      </c>
      <c r="L166">
        <v>0.933134863895917</v>
      </c>
      <c r="M166">
        <v>142</v>
      </c>
      <c r="N166">
        <v>82.48999999999999</v>
      </c>
    </row>
    <row r="167" spans="1:14">
      <c r="A167" s="1" t="s">
        <v>179</v>
      </c>
      <c r="B167">
        <f>HYPERLINK("https://www.suredividend.com/sure-analysis-research-database/","Independent Bank Corp.")</f>
        <v>0</v>
      </c>
      <c r="C167" t="s">
        <v>389</v>
      </c>
      <c r="D167">
        <v>81.605</v>
      </c>
      <c r="E167">
        <v>0.025185719648369</v>
      </c>
      <c r="F167">
        <v>0.1458333333333335</v>
      </c>
      <c r="G167">
        <v>0.07675232594309245</v>
      </c>
      <c r="H167">
        <v>2.060191867236661</v>
      </c>
      <c r="I167">
        <v>3733.535641</v>
      </c>
      <c r="J167">
        <v>19.80949764951823</v>
      </c>
      <c r="K167">
        <v>0.4928688677599667</v>
      </c>
      <c r="L167">
        <v>0.587345678189193</v>
      </c>
      <c r="M167">
        <v>91.05</v>
      </c>
      <c r="N167">
        <v>73.17</v>
      </c>
    </row>
    <row r="168" spans="1:14">
      <c r="A168" s="1" t="s">
        <v>180</v>
      </c>
      <c r="B168">
        <f>HYPERLINK("https://www.suredividend.com/sure-analysis-INGR/","Ingredion Inc")</f>
        <v>0</v>
      </c>
      <c r="C168" t="s">
        <v>388</v>
      </c>
      <c r="D168">
        <v>99.68000000000001</v>
      </c>
      <c r="E168">
        <v>0.02849117174959871</v>
      </c>
      <c r="F168">
        <v>0.0923076923076922</v>
      </c>
      <c r="G168">
        <v>0.03424021252947318</v>
      </c>
      <c r="H168">
        <v>2.689853716627718</v>
      </c>
      <c r="I168">
        <v>6580.44272</v>
      </c>
      <c r="J168">
        <v>14.78751173137079</v>
      </c>
      <c r="K168">
        <v>0.4075535934284422</v>
      </c>
      <c r="L168">
        <v>0.5987140599578561</v>
      </c>
      <c r="M168">
        <v>101.25</v>
      </c>
      <c r="N168">
        <v>77.58</v>
      </c>
    </row>
    <row r="169" spans="1:14">
      <c r="A169" s="1" t="s">
        <v>181</v>
      </c>
      <c r="B169">
        <f>HYPERLINK("https://www.suredividend.com/sure-analysis-INTU/","Intuit Inc")</f>
        <v>0</v>
      </c>
      <c r="C169" t="s">
        <v>387</v>
      </c>
      <c r="D169">
        <v>391.08</v>
      </c>
      <c r="E169">
        <v>0.007977907333537896</v>
      </c>
      <c r="F169">
        <v>0.1470588235294117</v>
      </c>
      <c r="G169">
        <v>0.1486983549970351</v>
      </c>
      <c r="H169">
        <v>2.912000723008868</v>
      </c>
      <c r="I169">
        <v>111443.086345</v>
      </c>
      <c r="J169">
        <v>59.34136653088392</v>
      </c>
      <c r="K169">
        <v>0.4432268984792797</v>
      </c>
      <c r="L169">
        <v>1.653614078532294</v>
      </c>
      <c r="M169">
        <v>575.95</v>
      </c>
      <c r="N169">
        <v>337.48</v>
      </c>
    </row>
    <row r="170" spans="1:14">
      <c r="A170" s="1" t="s">
        <v>182</v>
      </c>
      <c r="B170">
        <f>HYPERLINK("https://www.suredividend.com/sure-analysis-ITT/","ITT Inc")</f>
        <v>0</v>
      </c>
      <c r="C170" t="s">
        <v>386</v>
      </c>
      <c r="D170">
        <v>87.31999999999999</v>
      </c>
      <c r="E170">
        <v>0.01213925790196977</v>
      </c>
      <c r="F170">
        <v>0.2</v>
      </c>
      <c r="G170">
        <v>0.1452487480756475</v>
      </c>
      <c r="H170">
        <v>1.050529494189955</v>
      </c>
      <c r="I170">
        <v>7210.613</v>
      </c>
      <c r="J170">
        <v>20.28872537985369</v>
      </c>
      <c r="K170">
        <v>0.2495319463634098</v>
      </c>
      <c r="L170">
        <v>1.196619961122111</v>
      </c>
      <c r="M170">
        <v>98.29000000000001</v>
      </c>
      <c r="N170">
        <v>63.33</v>
      </c>
    </row>
    <row r="171" spans="1:14">
      <c r="A171" s="1" t="s">
        <v>183</v>
      </c>
      <c r="B171">
        <f>HYPERLINK("https://www.suredividend.com/sure-analysis-ITW/","Illinois Tool Works, Inc.")</f>
        <v>0</v>
      </c>
      <c r="C171" t="s">
        <v>386</v>
      </c>
      <c r="D171">
        <v>231.23</v>
      </c>
      <c r="E171">
        <v>0.02110452795917485</v>
      </c>
      <c r="F171">
        <v>0.07377049180327866</v>
      </c>
      <c r="G171">
        <v>0.1092650726196118</v>
      </c>
      <c r="H171">
        <v>5.01282567958981</v>
      </c>
      <c r="I171">
        <v>71365.539569</v>
      </c>
      <c r="J171">
        <v>26.08389604140351</v>
      </c>
      <c r="K171">
        <v>0.5722403743823984</v>
      </c>
      <c r="L171">
        <v>0.8595512546646921</v>
      </c>
      <c r="M171">
        <v>240.85</v>
      </c>
      <c r="N171">
        <v>171.29</v>
      </c>
    </row>
    <row r="172" spans="1:14">
      <c r="A172" s="1" t="s">
        <v>184</v>
      </c>
      <c r="B172">
        <f>HYPERLINK("https://www.suredividend.com/sure-analysis-JBHT/","J.B. Hunt Transport Services, Inc.")</f>
        <v>0</v>
      </c>
      <c r="C172" t="s">
        <v>386</v>
      </c>
      <c r="D172">
        <v>176.26</v>
      </c>
      <c r="E172">
        <v>0.009077499148984456</v>
      </c>
      <c r="F172">
        <v>0.3333333333333333</v>
      </c>
      <c r="G172">
        <v>0.1075663432482901</v>
      </c>
      <c r="H172">
        <v>1.594409659654003</v>
      </c>
      <c r="I172">
        <v>18600.498042</v>
      </c>
      <c r="J172">
        <v>18.41163152575877</v>
      </c>
      <c r="K172">
        <v>0.1667792531018832</v>
      </c>
      <c r="L172">
        <v>0.9374500071484151</v>
      </c>
      <c r="M172">
        <v>216.66</v>
      </c>
      <c r="N172">
        <v>153.21</v>
      </c>
    </row>
    <row r="173" spans="1:14">
      <c r="A173" s="1" t="s">
        <v>185</v>
      </c>
      <c r="B173">
        <f>HYPERLINK("https://www.suredividend.com/sure-analysis-JJSF/","J&amp;J Snack Foods Corp.")</f>
        <v>0</v>
      </c>
      <c r="C173" t="s">
        <v>388</v>
      </c>
      <c r="D173">
        <v>151.6</v>
      </c>
      <c r="E173">
        <v>0.01846965699208443</v>
      </c>
      <c r="F173">
        <v>0.1058451816745656</v>
      </c>
      <c r="G173">
        <v>0.09238846414037294</v>
      </c>
      <c r="H173">
        <v>2.647544598446039</v>
      </c>
      <c r="I173">
        <v>2931.126772</v>
      </c>
      <c r="J173">
        <v>62.05412875833598</v>
      </c>
      <c r="K173">
        <v>1.076237641644731</v>
      </c>
      <c r="L173">
        <v>0.420266887884876</v>
      </c>
      <c r="M173">
        <v>165.14</v>
      </c>
      <c r="N173">
        <v>115.74</v>
      </c>
    </row>
    <row r="174" spans="1:14">
      <c r="A174" s="1" t="s">
        <v>186</v>
      </c>
      <c r="B174">
        <f>HYPERLINK("https://www.suredividend.com/sure-analysis-JKHY/","Jack Henry &amp; Associates, Inc.")</f>
        <v>0</v>
      </c>
      <c r="C174" t="s">
        <v>387</v>
      </c>
      <c r="D174">
        <v>179.98</v>
      </c>
      <c r="E174">
        <v>0.01089009889987777</v>
      </c>
      <c r="F174">
        <v>0.06521739130434767</v>
      </c>
      <c r="G174">
        <v>0.0577885731174943</v>
      </c>
      <c r="H174">
        <v>1.952392519049744</v>
      </c>
      <c r="I174">
        <v>13246.887538</v>
      </c>
      <c r="J174">
        <v>36.06057296283392</v>
      </c>
      <c r="K174">
        <v>0.38892281255971</v>
      </c>
      <c r="L174">
        <v>0.627438492809962</v>
      </c>
      <c r="M174">
        <v>211.53</v>
      </c>
      <c r="N174">
        <v>153.82</v>
      </c>
    </row>
    <row r="175" spans="1:14">
      <c r="A175" s="1" t="s">
        <v>187</v>
      </c>
      <c r="B175">
        <f>HYPERLINK("https://www.suredividend.com/sure-analysis-JNJ/","Johnson &amp; Johnson")</f>
        <v>0</v>
      </c>
      <c r="C175" t="s">
        <v>385</v>
      </c>
      <c r="D175">
        <v>173.625</v>
      </c>
      <c r="E175">
        <v>0.02603311735061195</v>
      </c>
      <c r="F175">
        <v>0.06603773584905648</v>
      </c>
      <c r="G175">
        <v>0.06110859290365855</v>
      </c>
      <c r="H175">
        <v>4.407505678082418</v>
      </c>
      <c r="I175">
        <v>454920.147618</v>
      </c>
      <c r="J175">
        <v>23.74694094158793</v>
      </c>
      <c r="K175">
        <v>0.6138587295379413</v>
      </c>
      <c r="L175">
        <v>0.310530857290846</v>
      </c>
      <c r="M175">
        <v>183.08</v>
      </c>
      <c r="N175">
        <v>152.71</v>
      </c>
    </row>
    <row r="176" spans="1:14">
      <c r="A176" s="1" t="s">
        <v>188</v>
      </c>
      <c r="B176">
        <f>HYPERLINK("https://www.suredividend.com/sure-analysis-JPM/","JPMorgan Chase &amp; Co.")</f>
        <v>0</v>
      </c>
      <c r="C176" t="s">
        <v>389</v>
      </c>
      <c r="D176">
        <v>140.67</v>
      </c>
      <c r="E176">
        <v>0.02843534513400157</v>
      </c>
      <c r="F176">
        <v>0</v>
      </c>
      <c r="G176">
        <v>0.1229551070568209</v>
      </c>
      <c r="H176">
        <v>3.960398331290456</v>
      </c>
      <c r="I176">
        <v>409152.749827</v>
      </c>
      <c r="J176">
        <v>11.61639741715746</v>
      </c>
      <c r="K176">
        <v>0.3342108296447642</v>
      </c>
      <c r="L176">
        <v>0.8805966812603371</v>
      </c>
      <c r="M176">
        <v>157.27</v>
      </c>
      <c r="N176">
        <v>100.54</v>
      </c>
    </row>
    <row r="177" spans="1:14">
      <c r="A177" s="1" t="s">
        <v>189</v>
      </c>
      <c r="B177">
        <f>HYPERLINK("https://www.suredividend.com/sure-analysis-K/","Kellogg Co")</f>
        <v>0</v>
      </c>
      <c r="C177" t="s">
        <v>388</v>
      </c>
      <c r="D177">
        <v>70.16</v>
      </c>
      <c r="E177">
        <v>0.03363740022805017</v>
      </c>
      <c r="F177">
        <v>0.01724137931034475</v>
      </c>
      <c r="G177">
        <v>0.01786844354535022</v>
      </c>
      <c r="H177">
        <v>2.316464910926565</v>
      </c>
      <c r="I177">
        <v>23889.3264</v>
      </c>
      <c r="J177">
        <v>16.07752355788062</v>
      </c>
      <c r="K177">
        <v>0.5325206691785208</v>
      </c>
      <c r="L177">
        <v>0.20262919302746</v>
      </c>
      <c r="M177">
        <v>76.54000000000001</v>
      </c>
      <c r="N177">
        <v>58.58</v>
      </c>
    </row>
    <row r="178" spans="1:14">
      <c r="A178" s="1" t="s">
        <v>190</v>
      </c>
      <c r="B178">
        <f>HYPERLINK("https://www.suredividend.com/sure-analysis-KALU/","Kaiser Aluminum Corp")</f>
        <v>0</v>
      </c>
      <c r="C178" t="s">
        <v>391</v>
      </c>
      <c r="D178">
        <v>88.58</v>
      </c>
      <c r="E178">
        <v>0.03477082862948747</v>
      </c>
      <c r="F178">
        <v>0.06944444444444442</v>
      </c>
      <c r="G178">
        <v>0.06961037572506878</v>
      </c>
      <c r="H178">
        <v>3.035062498040432</v>
      </c>
      <c r="I178">
        <v>1408.673031</v>
      </c>
      <c r="J178" t="s">
        <v>394</v>
      </c>
      <c r="K178" t="s">
        <v>394</v>
      </c>
      <c r="L178">
        <v>1.169576700184045</v>
      </c>
      <c r="M178">
        <v>105.21</v>
      </c>
      <c r="N178">
        <v>58.65</v>
      </c>
    </row>
    <row r="179" spans="1:14">
      <c r="A179" s="1" t="s">
        <v>191</v>
      </c>
      <c r="B179">
        <f>HYPERLINK("https://www.suredividend.com/sure-analysis-KEY/","Keycorp")</f>
        <v>0</v>
      </c>
      <c r="C179" t="s">
        <v>389</v>
      </c>
      <c r="D179">
        <v>17.9</v>
      </c>
      <c r="E179">
        <v>0.04581005586592179</v>
      </c>
      <c r="F179">
        <v>0.05128205128205132</v>
      </c>
      <c r="G179">
        <v>0.1431755108178514</v>
      </c>
      <c r="H179">
        <v>0.7777472178747381</v>
      </c>
      <c r="I179">
        <v>17110.662336</v>
      </c>
      <c r="J179">
        <v>8.254058049020742</v>
      </c>
      <c r="K179">
        <v>0.3503365846282604</v>
      </c>
      <c r="L179">
        <v>1.052403433695944</v>
      </c>
      <c r="M179">
        <v>26.13</v>
      </c>
      <c r="N179">
        <v>15.09</v>
      </c>
    </row>
    <row r="180" spans="1:14">
      <c r="A180" s="1" t="s">
        <v>192</v>
      </c>
      <c r="B180">
        <f>HYPERLINK("https://www.suredividend.com/sure-analysis-KLAC/","KLA Corp.")</f>
        <v>0</v>
      </c>
      <c r="C180" t="s">
        <v>387</v>
      </c>
      <c r="D180">
        <v>417.89</v>
      </c>
      <c r="E180">
        <v>0.01244346598387135</v>
      </c>
      <c r="F180">
        <v>0.2380952380952381</v>
      </c>
      <c r="G180">
        <v>0.1711654935423581</v>
      </c>
      <c r="H180">
        <v>4.677606414910008</v>
      </c>
      <c r="I180">
        <v>59389.899296</v>
      </c>
      <c r="J180">
        <v>18.11009434277078</v>
      </c>
      <c r="K180">
        <v>0.2123289339496145</v>
      </c>
      <c r="L180">
        <v>1.642016883538302</v>
      </c>
      <c r="M180">
        <v>439.79</v>
      </c>
      <c r="N180">
        <v>249.34</v>
      </c>
    </row>
    <row r="181" spans="1:14">
      <c r="A181" s="1" t="s">
        <v>193</v>
      </c>
      <c r="B181">
        <f>HYPERLINK("https://www.suredividend.com/sure-analysis-KMB/","Kimberly-Clark Corp.")</f>
        <v>0</v>
      </c>
      <c r="C181" t="s">
        <v>388</v>
      </c>
      <c r="D181">
        <v>136.66</v>
      </c>
      <c r="E181">
        <v>0.03395287575003659</v>
      </c>
      <c r="F181">
        <v>0.01754385964912264</v>
      </c>
      <c r="G181">
        <v>0.03012896281839894</v>
      </c>
      <c r="H181">
        <v>4.579424984645341</v>
      </c>
      <c r="I181">
        <v>45979.922887</v>
      </c>
      <c r="J181">
        <v>25.77349937587444</v>
      </c>
      <c r="K181">
        <v>0.8689610976556624</v>
      </c>
      <c r="L181">
        <v>0.357373659393993</v>
      </c>
      <c r="M181">
        <v>140.74</v>
      </c>
      <c r="N181">
        <v>107.82</v>
      </c>
    </row>
    <row r="182" spans="1:14">
      <c r="A182" s="1" t="s">
        <v>194</v>
      </c>
      <c r="B182">
        <f>HYPERLINK("https://www.suredividend.com/sure-analysis-KO/","Coca-Cola Co")</f>
        <v>0</v>
      </c>
      <c r="C182" t="s">
        <v>388</v>
      </c>
      <c r="D182">
        <v>60.775</v>
      </c>
      <c r="E182">
        <v>0.02895927601809955</v>
      </c>
      <c r="F182">
        <v>0.04761904761904767</v>
      </c>
      <c r="G182">
        <v>0.02441897433224605</v>
      </c>
      <c r="H182">
        <v>1.741268720121097</v>
      </c>
      <c r="I182">
        <v>264703.456889</v>
      </c>
      <c r="J182">
        <v>26.6703734901199</v>
      </c>
      <c r="K182">
        <v>0.7637143509303056</v>
      </c>
      <c r="L182">
        <v>0.4966529525844761</v>
      </c>
      <c r="M182">
        <v>65.77</v>
      </c>
      <c r="N182">
        <v>53.63</v>
      </c>
    </row>
    <row r="183" spans="1:14">
      <c r="A183" s="1" t="s">
        <v>195</v>
      </c>
      <c r="B183">
        <f>HYPERLINK("https://www.suredividend.com/sure-analysis-KR/","Kroger Co.")</f>
        <v>0</v>
      </c>
      <c r="C183" t="s">
        <v>388</v>
      </c>
      <c r="D183">
        <v>45.615</v>
      </c>
      <c r="E183">
        <v>0.02279951770251014</v>
      </c>
      <c r="F183">
        <v>0.2380952380952381</v>
      </c>
      <c r="G183">
        <v>0.1577443413531583</v>
      </c>
      <c r="H183">
        <v>0.9331423000543501</v>
      </c>
      <c r="I183">
        <v>32691.585031</v>
      </c>
      <c r="J183">
        <v>13.86411578933418</v>
      </c>
      <c r="K183">
        <v>0.2897957453584938</v>
      </c>
      <c r="L183">
        <v>0.3682403920526101</v>
      </c>
      <c r="M183">
        <v>61.85</v>
      </c>
      <c r="N183">
        <v>41.58</v>
      </c>
    </row>
    <row r="184" spans="1:14">
      <c r="A184" s="1" t="s">
        <v>196</v>
      </c>
      <c r="B184">
        <f>HYPERLINK("https://www.suredividend.com/sure-analysis-research-database/","Kennedy-Wilson Holdings Inc")</f>
        <v>0</v>
      </c>
      <c r="C184" t="s">
        <v>392</v>
      </c>
      <c r="D184">
        <v>16.49</v>
      </c>
      <c r="E184">
        <v>0.05669208122990101</v>
      </c>
      <c r="F184">
        <v>0</v>
      </c>
      <c r="G184">
        <v>0.04783168830275741</v>
      </c>
      <c r="H184">
        <v>0.9388208651671661</v>
      </c>
      <c r="I184">
        <v>2281.815118</v>
      </c>
      <c r="J184">
        <v>28.63005166976161</v>
      </c>
      <c r="K184">
        <v>1.670797054933558</v>
      </c>
      <c r="L184">
        <v>0.9311217825960181</v>
      </c>
      <c r="M184">
        <v>24.16</v>
      </c>
      <c r="N184">
        <v>13.75</v>
      </c>
    </row>
    <row r="185" spans="1:14">
      <c r="A185" s="1" t="s">
        <v>197</v>
      </c>
      <c r="B185">
        <f>HYPERLINK("https://www.suredividend.com/sure-analysis-research-database/","Quaker Houghton")</f>
        <v>0</v>
      </c>
      <c r="C185" t="s">
        <v>391</v>
      </c>
      <c r="D185">
        <v>189.98</v>
      </c>
      <c r="E185">
        <v>0.006629536162414001</v>
      </c>
      <c r="F185">
        <v>0.04819277108433728</v>
      </c>
      <c r="G185">
        <v>0.04148298890674518</v>
      </c>
      <c r="H185">
        <v>1.261136664176169</v>
      </c>
      <c r="I185">
        <v>3411.140443</v>
      </c>
      <c r="J185">
        <v>43.82921882510151</v>
      </c>
      <c r="K185">
        <v>0.2892515284807727</v>
      </c>
      <c r="L185">
        <v>1.408571466344696</v>
      </c>
      <c r="M185">
        <v>215.82</v>
      </c>
      <c r="N185">
        <v>128.66</v>
      </c>
    </row>
    <row r="186" spans="1:14">
      <c r="A186" s="1" t="s">
        <v>198</v>
      </c>
      <c r="B186">
        <f>HYPERLINK("https://www.suredividend.com/sure-analysis-LAD/","Lithia Motors, Inc.")</f>
        <v>0</v>
      </c>
      <c r="C186" t="s">
        <v>393</v>
      </c>
      <c r="D186">
        <v>230.24</v>
      </c>
      <c r="E186">
        <v>0.00729673384294649</v>
      </c>
      <c r="F186">
        <v>0.1999999999999997</v>
      </c>
      <c r="G186">
        <v>0.09238846414037294</v>
      </c>
      <c r="H186">
        <v>1.602685410796734</v>
      </c>
      <c r="I186">
        <v>6433.821645</v>
      </c>
      <c r="J186">
        <v>4.971273099010972</v>
      </c>
      <c r="K186">
        <v>0.03591049542452911</v>
      </c>
      <c r="L186">
        <v>1.128566263828408</v>
      </c>
      <c r="M186">
        <v>346.77</v>
      </c>
      <c r="N186">
        <v>179.28</v>
      </c>
    </row>
    <row r="187" spans="1:14">
      <c r="A187" s="1" t="s">
        <v>199</v>
      </c>
      <c r="B187">
        <f>HYPERLINK("https://www.suredividend.com/sure-analysis-LANC/","Lancaster Colony Corp.")</f>
        <v>0</v>
      </c>
      <c r="C187" t="s">
        <v>388</v>
      </c>
      <c r="D187">
        <v>196.78</v>
      </c>
      <c r="E187">
        <v>0.01727817867669479</v>
      </c>
      <c r="F187">
        <v>0.0625</v>
      </c>
      <c r="G187">
        <v>0.07214502590085092</v>
      </c>
      <c r="H187">
        <v>3.227365427867739</v>
      </c>
      <c r="I187">
        <v>5396.53058</v>
      </c>
      <c r="J187">
        <v>56.05736672622263</v>
      </c>
      <c r="K187">
        <v>0.9194773298768487</v>
      </c>
      <c r="L187">
        <v>0.40670033251435</v>
      </c>
      <c r="M187">
        <v>213.11</v>
      </c>
      <c r="N187">
        <v>115.2</v>
      </c>
    </row>
    <row r="188" spans="1:14">
      <c r="A188" s="1" t="s">
        <v>200</v>
      </c>
      <c r="B188">
        <f>HYPERLINK("https://www.suredividend.com/sure-analysis-research-database/","Lakeland Bancorp, Inc.")</f>
        <v>0</v>
      </c>
      <c r="C188" t="s">
        <v>389</v>
      </c>
      <c r="D188">
        <v>18.295</v>
      </c>
      <c r="E188">
        <v>0.030651720139826</v>
      </c>
      <c r="F188" t="s">
        <v>394</v>
      </c>
      <c r="G188" t="s">
        <v>394</v>
      </c>
      <c r="H188">
        <v>0.562765581767214</v>
      </c>
      <c r="I188">
        <v>1189.90387</v>
      </c>
      <c r="J188">
        <v>12.55225822228786</v>
      </c>
      <c r="K188">
        <v>0.3630745688820736</v>
      </c>
      <c r="L188">
        <v>0.6393777025178561</v>
      </c>
      <c r="M188">
        <v>19.91</v>
      </c>
      <c r="N188">
        <v>13.67</v>
      </c>
    </row>
    <row r="189" spans="1:14">
      <c r="A189" s="1" t="s">
        <v>201</v>
      </c>
      <c r="B189">
        <f>HYPERLINK("https://www.suredividend.com/sure-analysis-LECO/","Lincoln Electric Holdings, Inc.")</f>
        <v>0</v>
      </c>
      <c r="C189" t="s">
        <v>386</v>
      </c>
      <c r="D189">
        <v>156.75</v>
      </c>
      <c r="E189">
        <v>0.0163317384370016</v>
      </c>
      <c r="F189" t="s">
        <v>394</v>
      </c>
      <c r="G189" t="s">
        <v>394</v>
      </c>
      <c r="H189">
        <v>2.305094427244403</v>
      </c>
      <c r="I189">
        <v>9075.321712000001</v>
      </c>
      <c r="J189">
        <v>20.74335541765237</v>
      </c>
      <c r="K189">
        <v>0.3110788700734687</v>
      </c>
      <c r="L189">
        <v>0.7320336143371831</v>
      </c>
      <c r="M189">
        <v>158.93</v>
      </c>
      <c r="N189">
        <v>117.12</v>
      </c>
    </row>
    <row r="190" spans="1:14">
      <c r="A190" s="1" t="s">
        <v>202</v>
      </c>
      <c r="B190">
        <f>HYPERLINK("https://www.suredividend.com/sure-analysis-LEG/","Leggett &amp; Platt, Inc.")</f>
        <v>0</v>
      </c>
      <c r="C190" t="s">
        <v>393</v>
      </c>
      <c r="D190">
        <v>35.5</v>
      </c>
      <c r="E190">
        <v>0.04957746478873239</v>
      </c>
      <c r="F190">
        <v>0.04761904761904767</v>
      </c>
      <c r="G190">
        <v>0.04095039696925684</v>
      </c>
      <c r="H190">
        <v>1.708210534387782</v>
      </c>
      <c r="I190">
        <v>4705.17182</v>
      </c>
      <c r="J190">
        <v>12.97620468706564</v>
      </c>
      <c r="K190">
        <v>0.6446077488255781</v>
      </c>
      <c r="L190">
        <v>0.8810990789322301</v>
      </c>
      <c r="M190">
        <v>40.91</v>
      </c>
      <c r="N190">
        <v>29.89</v>
      </c>
    </row>
    <row r="191" spans="1:14">
      <c r="A191" s="1" t="s">
        <v>203</v>
      </c>
      <c r="B191">
        <f>HYPERLINK("https://www.suredividend.com/sure-analysis-research-database/","Littelfuse, Inc.")</f>
        <v>0</v>
      </c>
      <c r="C191" t="s">
        <v>387</v>
      </c>
      <c r="D191">
        <v>247.48</v>
      </c>
      <c r="E191">
        <v>0.009078597000651001</v>
      </c>
      <c r="F191">
        <v>0.1320754716981134</v>
      </c>
      <c r="G191">
        <v>0.1015137056700963</v>
      </c>
      <c r="H191">
        <v>2.252127557951708</v>
      </c>
      <c r="I191">
        <v>6140.950524</v>
      </c>
      <c r="J191">
        <v>18.49984793821887</v>
      </c>
      <c r="K191">
        <v>0.16958791852046</v>
      </c>
      <c r="L191">
        <v>1.133133444176592</v>
      </c>
      <c r="M191">
        <v>299.94</v>
      </c>
      <c r="N191">
        <v>191.71</v>
      </c>
    </row>
    <row r="192" spans="1:14">
      <c r="A192" s="1" t="s">
        <v>204</v>
      </c>
      <c r="B192">
        <f>HYPERLINK("https://www.suredividend.com/sure-analysis-LHX/","L3Harris Technologies Inc")</f>
        <v>0</v>
      </c>
      <c r="C192" t="s">
        <v>386</v>
      </c>
      <c r="D192">
        <v>198.135</v>
      </c>
      <c r="E192">
        <v>0.02261084614025791</v>
      </c>
      <c r="F192">
        <v>0.09803921568627461</v>
      </c>
      <c r="G192">
        <v>0.1446392486626633</v>
      </c>
      <c r="H192">
        <v>4.446928951705528</v>
      </c>
      <c r="I192">
        <v>38032.958301</v>
      </c>
      <c r="J192">
        <v>33.65748522234514</v>
      </c>
      <c r="K192">
        <v>0.7653922464209171</v>
      </c>
      <c r="L192">
        <v>0.388036956647876</v>
      </c>
      <c r="M192">
        <v>274.44</v>
      </c>
      <c r="N192">
        <v>197.02</v>
      </c>
    </row>
    <row r="193" spans="1:14">
      <c r="A193" s="1" t="s">
        <v>205</v>
      </c>
      <c r="B193">
        <f>HYPERLINK("https://www.suredividend.com/sure-analysis-LII/","Lennox International Inc")</f>
        <v>0</v>
      </c>
      <c r="C193" t="s">
        <v>386</v>
      </c>
      <c r="D193">
        <v>252.23</v>
      </c>
      <c r="E193">
        <v>0.01681005431550569</v>
      </c>
      <c r="F193">
        <v>0.1521739130434783</v>
      </c>
      <c r="G193">
        <v>0.1575696665803663</v>
      </c>
      <c r="H193">
        <v>4.073182724169526</v>
      </c>
      <c r="I193">
        <v>8952.184911</v>
      </c>
      <c r="J193">
        <v>18.41255637801316</v>
      </c>
      <c r="K193">
        <v>0.3032898528793392</v>
      </c>
      <c r="L193">
        <v>1.060017603783646</v>
      </c>
      <c r="M193">
        <v>292.56</v>
      </c>
      <c r="N193">
        <v>180.3</v>
      </c>
    </row>
    <row r="194" spans="1:14">
      <c r="A194" s="1" t="s">
        <v>206</v>
      </c>
      <c r="B194">
        <f>HYPERLINK("https://www.suredividend.com/sure-analysis-research-database/","Lakeland Financial Corp.")</f>
        <v>0</v>
      </c>
      <c r="C194" t="s">
        <v>389</v>
      </c>
      <c r="D194">
        <v>74.55</v>
      </c>
      <c r="E194">
        <v>0.021007182701228</v>
      </c>
      <c r="F194">
        <v>0.1764705882352942</v>
      </c>
      <c r="G194">
        <v>0.08997698704834534</v>
      </c>
      <c r="H194">
        <v>1.587092653077787</v>
      </c>
      <c r="I194">
        <v>1915.202624</v>
      </c>
      <c r="J194">
        <v>18.7538813362318</v>
      </c>
      <c r="K194">
        <v>0.3997714491379817</v>
      </c>
      <c r="L194">
        <v>0.43786846632183</v>
      </c>
      <c r="M194">
        <v>83.91</v>
      </c>
      <c r="N194">
        <v>63.35</v>
      </c>
    </row>
    <row r="195" spans="1:14">
      <c r="A195" s="1" t="s">
        <v>207</v>
      </c>
      <c r="B195">
        <f>HYPERLINK("https://www.suredividend.com/sure-analysis-research-database/","Lemaitre Vascular Inc")</f>
        <v>0</v>
      </c>
      <c r="C195" t="s">
        <v>385</v>
      </c>
      <c r="D195">
        <v>45.88</v>
      </c>
      <c r="E195">
        <v>0.010826587592034</v>
      </c>
      <c r="F195">
        <v>0.1363636363636365</v>
      </c>
      <c r="G195">
        <v>0.1229551070568209</v>
      </c>
      <c r="H195">
        <v>0.498023029233589</v>
      </c>
      <c r="I195">
        <v>1012.04048</v>
      </c>
      <c r="J195">
        <v>0</v>
      </c>
      <c r="K195" t="s">
        <v>394</v>
      </c>
      <c r="L195">
        <v>0.828502020386069</v>
      </c>
      <c r="M195">
        <v>56.09</v>
      </c>
      <c r="N195">
        <v>38.01</v>
      </c>
    </row>
    <row r="196" spans="1:14">
      <c r="A196" s="1" t="s">
        <v>208</v>
      </c>
      <c r="B196">
        <f>HYPERLINK("https://www.suredividend.com/sure-analysis-LMT/","Lockheed Martin Corp.")</f>
        <v>0</v>
      </c>
      <c r="C196" t="s">
        <v>386</v>
      </c>
      <c r="D196">
        <v>449.99</v>
      </c>
      <c r="E196">
        <v>0.02666725927242828</v>
      </c>
      <c r="F196">
        <v>0.0714285714285714</v>
      </c>
      <c r="G196">
        <v>0.08447177119769855</v>
      </c>
      <c r="H196">
        <v>11.31128910929048</v>
      </c>
      <c r="I196">
        <v>121010.031676</v>
      </c>
      <c r="J196">
        <v>20.61850940119612</v>
      </c>
      <c r="K196">
        <v>0.5179161680078057</v>
      </c>
      <c r="L196">
        <v>0.29193007039468</v>
      </c>
      <c r="M196">
        <v>498.95</v>
      </c>
      <c r="N196">
        <v>356.88</v>
      </c>
    </row>
    <row r="197" spans="1:14">
      <c r="A197" s="1" t="s">
        <v>209</v>
      </c>
      <c r="B197">
        <f>HYPERLINK("https://www.suredividend.com/sure-analysis-LNC/","Lincoln National Corp.")</f>
        <v>0</v>
      </c>
      <c r="C197" t="s">
        <v>389</v>
      </c>
      <c r="D197">
        <v>30.98</v>
      </c>
      <c r="E197">
        <v>0.05810200129115559</v>
      </c>
      <c r="F197">
        <v>0</v>
      </c>
      <c r="G197">
        <v>0.06399531281508364</v>
      </c>
      <c r="H197">
        <v>1.7686195628374</v>
      </c>
      <c r="I197">
        <v>5335.36358</v>
      </c>
      <c r="J197" t="s">
        <v>394</v>
      </c>
      <c r="K197" t="s">
        <v>394</v>
      </c>
      <c r="L197">
        <v>1.412023684247835</v>
      </c>
      <c r="M197">
        <v>73.40000000000001</v>
      </c>
      <c r="N197">
        <v>28.21</v>
      </c>
    </row>
    <row r="198" spans="1:14">
      <c r="A198" s="1" t="s">
        <v>210</v>
      </c>
      <c r="B198">
        <f>HYPERLINK("https://www.suredividend.com/sure-analysis-LNN/","Lindsay Corporation")</f>
        <v>0</v>
      </c>
      <c r="C198" t="s">
        <v>386</v>
      </c>
      <c r="D198">
        <v>158.89</v>
      </c>
      <c r="E198">
        <v>0.008559380703631445</v>
      </c>
      <c r="F198" t="s">
        <v>394</v>
      </c>
      <c r="G198" t="s">
        <v>394</v>
      </c>
      <c r="H198">
        <v>1.335783011559652</v>
      </c>
      <c r="I198">
        <v>1732.698642</v>
      </c>
      <c r="J198">
        <v>22.86334554120208</v>
      </c>
      <c r="K198">
        <v>0.1947205556209405</v>
      </c>
      <c r="L198">
        <v>0.777561770774147</v>
      </c>
      <c r="M198">
        <v>183.08</v>
      </c>
      <c r="N198">
        <v>116.3</v>
      </c>
    </row>
    <row r="199" spans="1:14">
      <c r="A199" s="1" t="s">
        <v>211</v>
      </c>
      <c r="B199">
        <f>HYPERLINK("https://www.suredividend.com/sure-analysis-LNT/","Alliant Energy Corp.")</f>
        <v>0</v>
      </c>
      <c r="C199" t="s">
        <v>390</v>
      </c>
      <c r="D199">
        <v>55.36</v>
      </c>
      <c r="E199">
        <v>0.03088872832369942</v>
      </c>
      <c r="F199">
        <v>0.06211180124223614</v>
      </c>
      <c r="G199">
        <v>0.04997331683701267</v>
      </c>
      <c r="H199">
        <v>1.690096437643406</v>
      </c>
      <c r="I199">
        <v>14007.018114</v>
      </c>
      <c r="J199">
        <v>21.03155872972973</v>
      </c>
      <c r="K199">
        <v>0.6377722406201533</v>
      </c>
      <c r="L199">
        <v>0.5063252682663321</v>
      </c>
      <c r="M199">
        <v>64.08</v>
      </c>
      <c r="N199">
        <v>46.79</v>
      </c>
    </row>
    <row r="200" spans="1:14">
      <c r="A200" s="1" t="s">
        <v>212</v>
      </c>
      <c r="B200">
        <f>HYPERLINK("https://www.suredividend.com/sure-analysis-LOW/","Lowe`s Cos., Inc.")</f>
        <v>0</v>
      </c>
      <c r="C200" t="s">
        <v>393</v>
      </c>
      <c r="D200">
        <v>213.19</v>
      </c>
      <c r="E200">
        <v>0.01970073643229045</v>
      </c>
      <c r="F200">
        <v>0.3125</v>
      </c>
      <c r="G200">
        <v>0.2069272376856006</v>
      </c>
      <c r="H200">
        <v>3.673094315728159</v>
      </c>
      <c r="I200">
        <v>130508.501217</v>
      </c>
      <c r="J200">
        <v>19.59292917240955</v>
      </c>
      <c r="K200">
        <v>0.3580013952951422</v>
      </c>
      <c r="L200">
        <v>0.9709945955457331</v>
      </c>
      <c r="M200">
        <v>244.93</v>
      </c>
      <c r="N200">
        <v>168.22</v>
      </c>
    </row>
    <row r="201" spans="1:14">
      <c r="A201" s="1" t="s">
        <v>213</v>
      </c>
      <c r="B201">
        <f>HYPERLINK("https://www.suredividend.com/sure-analysis-LYB/","LyondellBasell Industries NV")</f>
        <v>0</v>
      </c>
      <c r="C201" t="s">
        <v>391</v>
      </c>
      <c r="D201">
        <v>92.81999999999999</v>
      </c>
      <c r="E201">
        <v>0.05128205128205128</v>
      </c>
      <c r="F201">
        <v>0.05309734513274345</v>
      </c>
      <c r="G201">
        <v>0.03540293633542868</v>
      </c>
      <c r="H201">
        <v>4.619252392133336</v>
      </c>
      <c r="I201">
        <v>30501.240639</v>
      </c>
      <c r="J201">
        <v>7.17676250332</v>
      </c>
      <c r="K201">
        <v>0.3580815807855299</v>
      </c>
      <c r="L201">
        <v>0.83701159693974</v>
      </c>
      <c r="M201">
        <v>111.05</v>
      </c>
      <c r="N201">
        <v>71.45999999999999</v>
      </c>
    </row>
    <row r="202" spans="1:14">
      <c r="A202" s="1" t="s">
        <v>214</v>
      </c>
      <c r="B202">
        <f>HYPERLINK("https://www.suredividend.com/sure-analysis-MA/","Mastercard Incorporated")</f>
        <v>0</v>
      </c>
      <c r="C202" t="s">
        <v>389</v>
      </c>
      <c r="D202">
        <v>375.61</v>
      </c>
      <c r="E202">
        <v>0.006070125928489656</v>
      </c>
      <c r="F202">
        <v>0.1632653061224492</v>
      </c>
      <c r="G202">
        <v>0.1791986393694678</v>
      </c>
      <c r="H202">
        <v>2.03529443941408</v>
      </c>
      <c r="I202">
        <v>362263.933002</v>
      </c>
      <c r="J202">
        <v>37.02615831993152</v>
      </c>
      <c r="K202">
        <v>0.2033261178235844</v>
      </c>
      <c r="L202">
        <v>1.115455091281813</v>
      </c>
      <c r="M202">
        <v>397.47</v>
      </c>
      <c r="N202">
        <v>276.42</v>
      </c>
    </row>
    <row r="203" spans="1:14">
      <c r="A203" s="1" t="s">
        <v>215</v>
      </c>
      <c r="B203">
        <f>HYPERLINK("https://www.suredividend.com/sure-analysis-MAA/","Mid-America Apartment Communities, Inc.")</f>
        <v>0</v>
      </c>
      <c r="C203" t="s">
        <v>392</v>
      </c>
      <c r="D203">
        <v>158.92</v>
      </c>
      <c r="E203">
        <v>0.03146237100427889</v>
      </c>
      <c r="F203">
        <v>0.2873563218390804</v>
      </c>
      <c r="G203">
        <v>0.08700697834354432</v>
      </c>
      <c r="H203">
        <v>4.928355794140691</v>
      </c>
      <c r="I203">
        <v>18532.906619</v>
      </c>
      <c r="J203">
        <v>29.69279524928904</v>
      </c>
      <c r="K203">
        <v>0.9126584803964242</v>
      </c>
      <c r="L203">
        <v>0.743953963972649</v>
      </c>
      <c r="M203">
        <v>212.36</v>
      </c>
      <c r="N203">
        <v>139.9</v>
      </c>
    </row>
    <row r="204" spans="1:14">
      <c r="A204" s="1" t="s">
        <v>216</v>
      </c>
      <c r="B204">
        <f>HYPERLINK("https://www.suredividend.com/sure-analysis-MAN/","ManpowerGroup")</f>
        <v>0</v>
      </c>
      <c r="C204" t="s">
        <v>386</v>
      </c>
      <c r="D204">
        <v>87.48</v>
      </c>
      <c r="E204">
        <v>0.03109282121627801</v>
      </c>
      <c r="F204" t="s">
        <v>394</v>
      </c>
      <c r="G204" t="s">
        <v>394</v>
      </c>
      <c r="H204">
        <v>2.698840425664753</v>
      </c>
      <c r="I204">
        <v>4393.920429</v>
      </c>
      <c r="J204">
        <v>10.07317842510316</v>
      </c>
      <c r="K204">
        <v>0.3331901760079942</v>
      </c>
      <c r="L204">
        <v>1.062090544562653</v>
      </c>
      <c r="M204">
        <v>113.74</v>
      </c>
      <c r="N204">
        <v>63</v>
      </c>
    </row>
    <row r="205" spans="1:14">
      <c r="A205" s="1" t="s">
        <v>217</v>
      </c>
      <c r="B205">
        <f>HYPERLINK("https://www.suredividend.com/sure-analysis-MATW/","Matthews International Corp.")</f>
        <v>0</v>
      </c>
      <c r="C205" t="s">
        <v>386</v>
      </c>
      <c r="D205">
        <v>37.11</v>
      </c>
      <c r="E205">
        <v>0.02479116141201832</v>
      </c>
      <c r="F205">
        <v>0.04545454545454541</v>
      </c>
      <c r="G205">
        <v>0.03895047748988278</v>
      </c>
      <c r="H205">
        <v>0.8846922764739821</v>
      </c>
      <c r="I205">
        <v>1125.572595</v>
      </c>
      <c r="J205" t="s">
        <v>394</v>
      </c>
      <c r="K205" t="s">
        <v>394</v>
      </c>
      <c r="L205">
        <v>0.7455932281193041</v>
      </c>
      <c r="M205">
        <v>37.9</v>
      </c>
      <c r="N205">
        <v>22.12</v>
      </c>
    </row>
    <row r="206" spans="1:14">
      <c r="A206" s="1" t="s">
        <v>218</v>
      </c>
      <c r="B206">
        <f>HYPERLINK("https://www.suredividend.com/sure-analysis-MCD/","McDonald`s Corp")</f>
        <v>0</v>
      </c>
      <c r="C206" t="s">
        <v>393</v>
      </c>
      <c r="D206">
        <v>267.07</v>
      </c>
      <c r="E206">
        <v>0.02276556707979182</v>
      </c>
      <c r="F206">
        <v>0.1014492753623188</v>
      </c>
      <c r="G206">
        <v>0.08518665103512735</v>
      </c>
      <c r="H206">
        <v>5.614350645059032</v>
      </c>
      <c r="I206">
        <v>195330.127757</v>
      </c>
      <c r="J206">
        <v>33.03513187618049</v>
      </c>
      <c r="K206">
        <v>0.7070970585716665</v>
      </c>
      <c r="L206">
        <v>0.4958614706046791</v>
      </c>
      <c r="M206">
        <v>280.09</v>
      </c>
      <c r="N206">
        <v>214.09</v>
      </c>
    </row>
    <row r="207" spans="1:14">
      <c r="A207" s="1" t="s">
        <v>219</v>
      </c>
      <c r="B207">
        <f>HYPERLINK("https://www.suredividend.com/sure-analysis-MCHP/","Microchip Technology, Inc.")</f>
        <v>0</v>
      </c>
      <c r="C207" t="s">
        <v>387</v>
      </c>
      <c r="D207">
        <v>74.69</v>
      </c>
      <c r="E207">
        <v>0.01753916186905878</v>
      </c>
      <c r="F207">
        <v>0.4137931034482758</v>
      </c>
      <c r="G207" t="s">
        <v>394</v>
      </c>
      <c r="H207">
        <v>1.151071677583935</v>
      </c>
      <c r="I207">
        <v>41382.65534</v>
      </c>
      <c r="J207">
        <v>22.4405701102977</v>
      </c>
      <c r="K207">
        <v>0.3509364870682728</v>
      </c>
      <c r="L207">
        <v>1.604294234414534</v>
      </c>
      <c r="M207">
        <v>83.01000000000001</v>
      </c>
      <c r="N207">
        <v>53.86</v>
      </c>
    </row>
    <row r="208" spans="1:14">
      <c r="A208" s="1" t="s">
        <v>220</v>
      </c>
      <c r="B208">
        <f>HYPERLINK("https://www.suredividend.com/sure-analysis-MCK/","Mckesson Corporation")</f>
        <v>0</v>
      </c>
      <c r="C208" t="s">
        <v>385</v>
      </c>
      <c r="D208">
        <v>383.44</v>
      </c>
      <c r="E208">
        <v>0.005633215105361987</v>
      </c>
      <c r="F208">
        <v>0.1489361702127661</v>
      </c>
      <c r="G208">
        <v>0.09694024046466465</v>
      </c>
      <c r="H208">
        <v>2.016514269316799</v>
      </c>
      <c r="I208">
        <v>54000.628923</v>
      </c>
      <c r="J208">
        <v>26.27767830812652</v>
      </c>
      <c r="K208">
        <v>0.1453867533754001</v>
      </c>
      <c r="L208">
        <v>0.397975832050924</v>
      </c>
      <c r="M208">
        <v>401.21</v>
      </c>
      <c r="N208">
        <v>236.52</v>
      </c>
    </row>
    <row r="209" spans="1:14">
      <c r="A209" s="1" t="s">
        <v>221</v>
      </c>
      <c r="B209">
        <f>HYPERLINK("https://www.suredividend.com/sure-analysis-MCO/","Moody`s Corp.")</f>
        <v>0</v>
      </c>
      <c r="C209" t="s">
        <v>389</v>
      </c>
      <c r="D209">
        <v>311.71</v>
      </c>
      <c r="E209">
        <v>0.008982708286548395</v>
      </c>
      <c r="F209">
        <v>0</v>
      </c>
      <c r="G209">
        <v>0.09730933214999538</v>
      </c>
      <c r="H209">
        <v>2.784506769015755</v>
      </c>
      <c r="I209">
        <v>57231.68</v>
      </c>
      <c r="J209">
        <v>36.8049389067524</v>
      </c>
      <c r="K209">
        <v>0.3326770333352157</v>
      </c>
      <c r="L209">
        <v>1.163813735299141</v>
      </c>
      <c r="M209">
        <v>355.71</v>
      </c>
      <c r="N209">
        <v>228.98</v>
      </c>
    </row>
    <row r="210" spans="1:14">
      <c r="A210" s="1" t="s">
        <v>222</v>
      </c>
      <c r="B210">
        <f>HYPERLINK("https://www.suredividend.com/sure-analysis-MCY/","Mercury General Corp.")</f>
        <v>0</v>
      </c>
      <c r="C210" t="s">
        <v>389</v>
      </c>
      <c r="D210">
        <v>35.715</v>
      </c>
      <c r="E210">
        <v>0.03555928881422371</v>
      </c>
      <c r="F210" t="s">
        <v>394</v>
      </c>
      <c r="G210" t="s">
        <v>394</v>
      </c>
      <c r="H210">
        <v>1.870115824214888</v>
      </c>
      <c r="I210">
        <v>1953.493361</v>
      </c>
      <c r="J210" t="s">
        <v>394</v>
      </c>
      <c r="K210" t="s">
        <v>394</v>
      </c>
      <c r="L210">
        <v>0.423191636383321</v>
      </c>
      <c r="M210">
        <v>54.41</v>
      </c>
      <c r="N210">
        <v>27.64</v>
      </c>
    </row>
    <row r="211" spans="1:14">
      <c r="A211" s="1" t="s">
        <v>223</v>
      </c>
      <c r="B211">
        <f>HYPERLINK("https://www.suredividend.com/sure-analysis-MDT/","Medtronic Plc")</f>
        <v>0</v>
      </c>
      <c r="C211" t="s">
        <v>385</v>
      </c>
      <c r="D211">
        <v>80.33</v>
      </c>
      <c r="E211">
        <v>0.03386032615461223</v>
      </c>
      <c r="F211">
        <v>0.07936507936507953</v>
      </c>
      <c r="G211">
        <v>0.08130999208865752</v>
      </c>
      <c r="H211">
        <v>2.63743394349721</v>
      </c>
      <c r="I211">
        <v>106214.871243</v>
      </c>
      <c r="J211">
        <v>24.56971344975712</v>
      </c>
      <c r="K211">
        <v>0.8165430165626036</v>
      </c>
      <c r="L211">
        <v>0.6502382811792621</v>
      </c>
      <c r="M211">
        <v>111.55</v>
      </c>
      <c r="N211">
        <v>75.09999999999999</v>
      </c>
    </row>
    <row r="212" spans="1:14">
      <c r="A212" s="1" t="s">
        <v>224</v>
      </c>
      <c r="B212">
        <f>HYPERLINK("https://www.suredividend.com/sure-analysis-MDU/","MDU Resources Group Inc")</f>
        <v>0</v>
      </c>
      <c r="C212" t="s">
        <v>391</v>
      </c>
      <c r="D212">
        <v>30.68</v>
      </c>
      <c r="E212">
        <v>0.02900912646675359</v>
      </c>
      <c r="F212" t="s">
        <v>394</v>
      </c>
      <c r="G212" t="s">
        <v>394</v>
      </c>
      <c r="H212">
        <v>0.8654386111464371</v>
      </c>
      <c r="I212">
        <v>6291.671896</v>
      </c>
      <c r="J212">
        <v>18.67325120750293</v>
      </c>
      <c r="K212">
        <v>0.5213485609315885</v>
      </c>
      <c r="L212">
        <v>0.653724024195603</v>
      </c>
      <c r="M212">
        <v>31.72</v>
      </c>
      <c r="N212">
        <v>24.37</v>
      </c>
    </row>
    <row r="213" spans="1:14">
      <c r="A213" s="1" t="s">
        <v>225</v>
      </c>
      <c r="B213">
        <f>HYPERLINK("https://www.suredividend.com/sure-analysis-MGEE/","MGE Energy, Inc.")</f>
        <v>0</v>
      </c>
      <c r="C213" t="s">
        <v>390</v>
      </c>
      <c r="D213">
        <v>71.5</v>
      </c>
      <c r="E213">
        <v>0.0227972027972028</v>
      </c>
      <c r="F213">
        <v>0.05161290322580658</v>
      </c>
      <c r="G213">
        <v>0.04789936894460256</v>
      </c>
      <c r="H213">
        <v>1.577264632622978</v>
      </c>
      <c r="I213">
        <v>2612.803483</v>
      </c>
      <c r="J213">
        <v>25.3766327298686</v>
      </c>
      <c r="K213">
        <v>0.5534261868852555</v>
      </c>
      <c r="L213">
        <v>0.451826331490031</v>
      </c>
      <c r="M213">
        <v>85.31999999999999</v>
      </c>
      <c r="N213">
        <v>61.31</v>
      </c>
    </row>
    <row r="214" spans="1:14">
      <c r="A214" s="1" t="s">
        <v>226</v>
      </c>
      <c r="B214">
        <f>HYPERLINK("https://www.suredividend.com/sure-analysis-MGRC/","McGrath Rentcorp")</f>
        <v>0</v>
      </c>
      <c r="C214" t="s">
        <v>386</v>
      </c>
      <c r="D214">
        <v>100.16</v>
      </c>
      <c r="E214">
        <v>0.01817092651757189</v>
      </c>
      <c r="F214">
        <v>0.04597701149425282</v>
      </c>
      <c r="G214">
        <v>0.06000153927394081</v>
      </c>
      <c r="H214">
        <v>1.357403493001797</v>
      </c>
      <c r="I214">
        <v>2445.071585</v>
      </c>
      <c r="J214">
        <v>23.52296991264527</v>
      </c>
      <c r="K214">
        <v>0.3201423332551408</v>
      </c>
      <c r="L214">
        <v>0.6159752762220131</v>
      </c>
      <c r="M214">
        <v>101.78</v>
      </c>
      <c r="N214">
        <v>69.98</v>
      </c>
    </row>
    <row r="215" spans="1:14">
      <c r="A215" s="1" t="s">
        <v>227</v>
      </c>
      <c r="B215">
        <f>HYPERLINK("https://www.suredividend.com/sure-analysis-MKC/","McCormick &amp; Co., Inc.")</f>
        <v>0</v>
      </c>
      <c r="C215" t="s">
        <v>388</v>
      </c>
      <c r="D215">
        <v>80.745</v>
      </c>
      <c r="E215">
        <v>0.01832930831630441</v>
      </c>
      <c r="F215">
        <v>0.05405405405405417</v>
      </c>
      <c r="G215" t="s">
        <v>394</v>
      </c>
      <c r="H215">
        <v>1.489397240505706</v>
      </c>
      <c r="I215">
        <v>21714.785891</v>
      </c>
      <c r="J215">
        <v>31.30284833612513</v>
      </c>
      <c r="K215">
        <v>0.5795320001967728</v>
      </c>
      <c r="L215">
        <v>0.4688040044110691</v>
      </c>
      <c r="M215">
        <v>105.45</v>
      </c>
      <c r="N215">
        <v>70.48999999999999</v>
      </c>
    </row>
    <row r="216" spans="1:14">
      <c r="A216" s="1" t="s">
        <v>228</v>
      </c>
      <c r="B216">
        <f>HYPERLINK("https://www.suredividend.com/sure-analysis-MKTX/","MarketAxess Holdings Inc.")</f>
        <v>0</v>
      </c>
      <c r="C216" t="s">
        <v>389</v>
      </c>
      <c r="D216">
        <v>329.37</v>
      </c>
      <c r="E216">
        <v>0.008501077815223001</v>
      </c>
      <c r="F216">
        <v>0.06060606060606055</v>
      </c>
      <c r="G216">
        <v>0.1075663432482901</v>
      </c>
      <c r="H216">
        <v>2.788485091343881</v>
      </c>
      <c r="I216">
        <v>12179.652291</v>
      </c>
      <c r="J216">
        <v>50.08430807675701</v>
      </c>
      <c r="K216">
        <v>0.4329945794012237</v>
      </c>
      <c r="L216">
        <v>0.9065313040443651</v>
      </c>
      <c r="M216">
        <v>386.96</v>
      </c>
      <c r="N216">
        <v>216.82</v>
      </c>
    </row>
    <row r="217" spans="1:14">
      <c r="A217" s="1" t="s">
        <v>229</v>
      </c>
      <c r="B217">
        <f>HYPERLINK("https://www.suredividend.com/sure-analysis-MMC/","Marsh &amp; McLennan Cos., Inc.")</f>
        <v>0</v>
      </c>
      <c r="C217" t="s">
        <v>389</v>
      </c>
      <c r="D217">
        <v>172.975</v>
      </c>
      <c r="E217">
        <v>0.01364359011417835</v>
      </c>
      <c r="F217">
        <v>0.1028037383177569</v>
      </c>
      <c r="G217">
        <v>0.09487401536266371</v>
      </c>
      <c r="H217">
        <v>2.238152047635877</v>
      </c>
      <c r="I217">
        <v>86385.01556499999</v>
      </c>
      <c r="J217">
        <v>25.50487616325952</v>
      </c>
      <c r="K217">
        <v>0.3355550296305663</v>
      </c>
      <c r="L217">
        <v>0.8637736048051161</v>
      </c>
      <c r="M217">
        <v>181.77</v>
      </c>
      <c r="N217">
        <v>141.29</v>
      </c>
    </row>
    <row r="218" spans="1:14">
      <c r="A218" s="1" t="s">
        <v>230</v>
      </c>
      <c r="B218">
        <f>HYPERLINK("https://www.suredividend.com/sure-analysis-MMM/","3M Co.")</f>
        <v>0</v>
      </c>
      <c r="C218" t="s">
        <v>386</v>
      </c>
      <c r="D218">
        <v>128.82</v>
      </c>
      <c r="E218">
        <v>0.04626610774724422</v>
      </c>
      <c r="F218">
        <v>0.006756756756756799</v>
      </c>
      <c r="G218">
        <v>0.01842598560270892</v>
      </c>
      <c r="H218">
        <v>5.863760260960179</v>
      </c>
      <c r="I218">
        <v>71497.296055</v>
      </c>
      <c r="J218">
        <v>10.87411346847909</v>
      </c>
      <c r="K218">
        <v>0.5121188000838585</v>
      </c>
      <c r="L218">
        <v>0.70300396534729</v>
      </c>
      <c r="M218">
        <v>173.51</v>
      </c>
      <c r="N218">
        <v>105.83</v>
      </c>
    </row>
    <row r="219" spans="1:14">
      <c r="A219" s="1" t="s">
        <v>231</v>
      </c>
      <c r="B219">
        <f>HYPERLINK("https://www.suredividend.com/sure-analysis-MMP/","Magellan Midstream Partners L.P.")</f>
        <v>0</v>
      </c>
      <c r="C219" t="s">
        <v>396</v>
      </c>
      <c r="D219">
        <v>52.925</v>
      </c>
      <c r="E219">
        <v>0.07916863486065187</v>
      </c>
      <c r="F219">
        <v>0.009638554216867545</v>
      </c>
      <c r="G219">
        <v>0.02629742879444374</v>
      </c>
      <c r="H219">
        <v>4.037391978444962</v>
      </c>
      <c r="I219">
        <v>10824.723587</v>
      </c>
      <c r="J219">
        <v>9.903083242128105</v>
      </c>
      <c r="K219">
        <v>0.7809268817108244</v>
      </c>
      <c r="L219">
        <v>0.4906606263925951</v>
      </c>
      <c r="M219">
        <v>53.89</v>
      </c>
      <c r="N219">
        <v>42.45</v>
      </c>
    </row>
    <row r="220" spans="1:14">
      <c r="A220" s="1" t="s">
        <v>232</v>
      </c>
      <c r="B220">
        <f>HYPERLINK("https://www.suredividend.com/sure-analysis-research-database/","Monro Inc")</f>
        <v>0</v>
      </c>
      <c r="C220" t="s">
        <v>393</v>
      </c>
      <c r="D220">
        <v>48.32</v>
      </c>
      <c r="E220">
        <v>0.022570433579038</v>
      </c>
      <c r="F220">
        <v>0.07692307692307709</v>
      </c>
      <c r="G220">
        <v>0.09238846414037316</v>
      </c>
      <c r="H220">
        <v>1.090603350539127</v>
      </c>
      <c r="I220">
        <v>1519.928407</v>
      </c>
      <c r="J220">
        <v>30.39248964287143</v>
      </c>
      <c r="K220">
        <v>0.7368941557696804</v>
      </c>
      <c r="L220">
        <v>0.8240320367685361</v>
      </c>
      <c r="M220">
        <v>57.87</v>
      </c>
      <c r="N220">
        <v>36.84</v>
      </c>
    </row>
    <row r="221" spans="1:14">
      <c r="A221" s="1" t="s">
        <v>233</v>
      </c>
      <c r="B221">
        <f>HYPERLINK("https://www.suredividend.com/sure-analysis-MO/","Altria Group Inc.")</f>
        <v>0</v>
      </c>
      <c r="C221" t="s">
        <v>388</v>
      </c>
      <c r="D221">
        <v>45.27</v>
      </c>
      <c r="E221">
        <v>0.08305721228186436</v>
      </c>
      <c r="F221">
        <v>0.04444444444444451</v>
      </c>
      <c r="G221">
        <v>0.06073271303853334</v>
      </c>
      <c r="H221">
        <v>3.569500084064888</v>
      </c>
      <c r="I221">
        <v>81364.636857</v>
      </c>
      <c r="J221">
        <v>17.37075936319385</v>
      </c>
      <c r="K221">
        <v>1.383527164366236</v>
      </c>
      <c r="L221">
        <v>0.346948266886787</v>
      </c>
      <c r="M221">
        <v>53.63</v>
      </c>
      <c r="N221">
        <v>39.29</v>
      </c>
    </row>
    <row r="222" spans="1:14">
      <c r="A222" s="1" t="s">
        <v>234</v>
      </c>
      <c r="B222">
        <f>HYPERLINK("https://www.suredividend.com/sure-analysis-MORN/","Morningstar Inc")</f>
        <v>0</v>
      </c>
      <c r="C222" t="s">
        <v>389</v>
      </c>
      <c r="D222">
        <v>238.45</v>
      </c>
      <c r="E222">
        <v>0.006290626965820927</v>
      </c>
      <c r="F222">
        <v>0.04166666666666674</v>
      </c>
      <c r="G222">
        <v>0.08447177119769855</v>
      </c>
      <c r="H222">
        <v>1.451412692355211</v>
      </c>
      <c r="I222">
        <v>10148.883551</v>
      </c>
      <c r="J222">
        <v>82.04432943249799</v>
      </c>
      <c r="K222">
        <v>0.5057187081377041</v>
      </c>
      <c r="L222">
        <v>1.194574494617784</v>
      </c>
      <c r="M222">
        <v>297.08</v>
      </c>
      <c r="N222">
        <v>206.76</v>
      </c>
    </row>
    <row r="223" spans="1:14">
      <c r="A223" s="1" t="s">
        <v>235</v>
      </c>
      <c r="B223">
        <f>HYPERLINK("https://www.suredividend.com/sure-analysis-MRK/","Merck &amp; Co Inc")</f>
        <v>0</v>
      </c>
      <c r="C223" t="s">
        <v>385</v>
      </c>
      <c r="D223">
        <v>111.75</v>
      </c>
      <c r="E223">
        <v>0.02469798657718121</v>
      </c>
      <c r="F223">
        <v>0.05797101449275344</v>
      </c>
      <c r="G223">
        <v>0.08746759523109526</v>
      </c>
      <c r="H223">
        <v>2.76989191221934</v>
      </c>
      <c r="I223">
        <v>283381.208014</v>
      </c>
      <c r="J223">
        <v>18.57019711756094</v>
      </c>
      <c r="K223">
        <v>0.4555743276676546</v>
      </c>
      <c r="L223">
        <v>0.298505678670489</v>
      </c>
      <c r="M223">
        <v>115.49</v>
      </c>
      <c r="N223">
        <v>70.61</v>
      </c>
    </row>
    <row r="224" spans="1:14">
      <c r="A224" s="1" t="s">
        <v>236</v>
      </c>
      <c r="B224">
        <f>HYPERLINK("https://www.suredividend.com/sure-analysis-MSA/","MSA Safety Inc")</f>
        <v>0</v>
      </c>
      <c r="C224" t="s">
        <v>386</v>
      </c>
      <c r="D224">
        <v>133.625</v>
      </c>
      <c r="E224">
        <v>0.01376987839101964</v>
      </c>
      <c r="F224">
        <v>0.04545454545454541</v>
      </c>
      <c r="G224">
        <v>0.05618004403862731</v>
      </c>
      <c r="H224">
        <v>1.810666965346494</v>
      </c>
      <c r="I224">
        <v>5238.467494</v>
      </c>
      <c r="J224">
        <v>75.85495726842265</v>
      </c>
      <c r="K224">
        <v>1.034666837340854</v>
      </c>
      <c r="L224">
        <v>0.7840302801149671</v>
      </c>
      <c r="M224">
        <v>146.33</v>
      </c>
      <c r="N224">
        <v>108.39</v>
      </c>
    </row>
    <row r="225" spans="1:14">
      <c r="A225" s="1" t="s">
        <v>237</v>
      </c>
      <c r="B225">
        <f>HYPERLINK("https://www.suredividend.com/sure-analysis-MSEX/","Middlesex Water Co.")</f>
        <v>0</v>
      </c>
      <c r="C225" t="s">
        <v>390</v>
      </c>
      <c r="D225">
        <v>81.55</v>
      </c>
      <c r="E225">
        <v>0.01532801961986511</v>
      </c>
      <c r="F225">
        <v>0.07758620689655182</v>
      </c>
      <c r="G225">
        <v>0.06909770076071187</v>
      </c>
      <c r="H225">
        <v>1.176713378433056</v>
      </c>
      <c r="I225">
        <v>1434.546931</v>
      </c>
      <c r="J225">
        <v>33.85281601260147</v>
      </c>
      <c r="K225">
        <v>0.4902972410137733</v>
      </c>
      <c r="L225">
        <v>0.5742361998037411</v>
      </c>
      <c r="M225">
        <v>108.43</v>
      </c>
      <c r="N225">
        <v>73.94</v>
      </c>
    </row>
    <row r="226" spans="1:14">
      <c r="A226" s="1" t="s">
        <v>238</v>
      </c>
      <c r="B226">
        <f>HYPERLINK("https://www.suredividend.com/sure-analysis-MSFT/","Microsoft Corporation")</f>
        <v>0</v>
      </c>
      <c r="C226" t="s">
        <v>387</v>
      </c>
      <c r="D226">
        <v>236.31</v>
      </c>
      <c r="E226">
        <v>0.01151030426135161</v>
      </c>
      <c r="F226">
        <v>0.09677419354838723</v>
      </c>
      <c r="G226">
        <v>0.1011637965442986</v>
      </c>
      <c r="H226">
        <v>2.530720170399952</v>
      </c>
      <c r="I226">
        <v>1778450.407459</v>
      </c>
      <c r="J226">
        <v>25.48324818322142</v>
      </c>
      <c r="K226">
        <v>0.272706914913788</v>
      </c>
      <c r="L226">
        <v>1.263130592346276</v>
      </c>
      <c r="M226">
        <v>313.66</v>
      </c>
      <c r="N226">
        <v>212.83</v>
      </c>
    </row>
    <row r="227" spans="1:14">
      <c r="A227" s="1" t="s">
        <v>239</v>
      </c>
      <c r="B227">
        <f>HYPERLINK("https://www.suredividend.com/sure-analysis-research-database/","Motorola Solutions Inc")</f>
        <v>0</v>
      </c>
      <c r="C227" t="s">
        <v>387</v>
      </c>
      <c r="D227">
        <v>263.9</v>
      </c>
      <c r="E227">
        <v>0.012217434402999</v>
      </c>
      <c r="F227">
        <v>0.1139240506329113</v>
      </c>
      <c r="G227">
        <v>0.1109534595426207</v>
      </c>
      <c r="H227">
        <v>3.234077060818107</v>
      </c>
      <c r="I227">
        <v>44260.361454</v>
      </c>
      <c r="J227">
        <v>37.66839272714042</v>
      </c>
      <c r="K227">
        <v>0.4742048476272884</v>
      </c>
      <c r="L227">
        <v>0.943454617350277</v>
      </c>
      <c r="M227">
        <v>274.25</v>
      </c>
      <c r="N227">
        <v>193.91</v>
      </c>
    </row>
    <row r="228" spans="1:14">
      <c r="A228" s="1" t="s">
        <v>240</v>
      </c>
      <c r="B228">
        <f>HYPERLINK("https://www.suredividend.com/sure-analysis-NDSN/","Nordson Corp.")</f>
        <v>0</v>
      </c>
      <c r="C228" t="s">
        <v>386</v>
      </c>
      <c r="D228">
        <v>241.62</v>
      </c>
      <c r="E228">
        <v>0.0107606986176641</v>
      </c>
      <c r="F228">
        <v>0.2745098039215685</v>
      </c>
      <c r="G228">
        <v>0.1672353193296932</v>
      </c>
      <c r="H228">
        <v>2.311449343797608</v>
      </c>
      <c r="I228">
        <v>13840.524932</v>
      </c>
      <c r="J228">
        <v>26.974164897886</v>
      </c>
      <c r="K228">
        <v>0.262366554347061</v>
      </c>
      <c r="L228">
        <v>0.9072671774901271</v>
      </c>
      <c r="M228">
        <v>245.75</v>
      </c>
      <c r="N228">
        <v>193.84</v>
      </c>
    </row>
    <row r="229" spans="1:14">
      <c r="A229" s="1" t="s">
        <v>241</v>
      </c>
      <c r="B229">
        <f>HYPERLINK("https://www.suredividend.com/sure-analysis-NEE/","NextEra Energy Inc")</f>
        <v>0</v>
      </c>
      <c r="C229" t="s">
        <v>390</v>
      </c>
      <c r="D229">
        <v>84.45999999999999</v>
      </c>
      <c r="E229">
        <v>0.02012787118162444</v>
      </c>
      <c r="F229">
        <v>0.1038961038961039</v>
      </c>
      <c r="G229" t="s">
        <v>394</v>
      </c>
      <c r="H229">
        <v>1.687092221427607</v>
      </c>
      <c r="I229">
        <v>169048.011876</v>
      </c>
      <c r="J229">
        <v>44.14938936423086</v>
      </c>
      <c r="K229">
        <v>0.8696351656843336</v>
      </c>
      <c r="L229">
        <v>0.7532061109686621</v>
      </c>
      <c r="M229">
        <v>90.59999999999999</v>
      </c>
      <c r="N229">
        <v>66.18000000000001</v>
      </c>
    </row>
    <row r="230" spans="1:14">
      <c r="A230" s="1" t="s">
        <v>242</v>
      </c>
      <c r="B230">
        <f>HYPERLINK("https://www.suredividend.com/sure-analysis-NFG/","National Fuel Gas Co.")</f>
        <v>0</v>
      </c>
      <c r="C230" t="s">
        <v>396</v>
      </c>
      <c r="D230">
        <v>61.475</v>
      </c>
      <c r="E230">
        <v>0.03090687271248475</v>
      </c>
      <c r="F230">
        <v>0.04395604395604402</v>
      </c>
      <c r="G230">
        <v>0.02737525815292696</v>
      </c>
      <c r="H230">
        <v>1.859545009718559</v>
      </c>
      <c r="I230">
        <v>5643.727787</v>
      </c>
      <c r="J230">
        <v>9.970880562487965</v>
      </c>
      <c r="K230">
        <v>0.30236504223066</v>
      </c>
      <c r="L230">
        <v>0.6080661395262671</v>
      </c>
      <c r="M230">
        <v>74.31999999999999</v>
      </c>
      <c r="N230">
        <v>56.48</v>
      </c>
    </row>
    <row r="231" spans="1:14">
      <c r="A231" s="1" t="s">
        <v>243</v>
      </c>
      <c r="B231">
        <f>HYPERLINK("https://www.suredividend.com/sure-analysis-NHC/","National Healthcare Corp.")</f>
        <v>0</v>
      </c>
      <c r="C231" t="s">
        <v>385</v>
      </c>
      <c r="D231">
        <v>57.8</v>
      </c>
      <c r="E231">
        <v>0.03944636678200692</v>
      </c>
      <c r="F231">
        <v>0.03636363636363638</v>
      </c>
      <c r="G231">
        <v>0.03496752704080697</v>
      </c>
      <c r="H231">
        <v>2.230373557139307</v>
      </c>
      <c r="I231">
        <v>885.2013020000001</v>
      </c>
      <c r="J231">
        <v>27.76666568601004</v>
      </c>
      <c r="K231">
        <v>1.082705610261799</v>
      </c>
      <c r="L231">
        <v>0.432882424532388</v>
      </c>
      <c r="M231">
        <v>73.41</v>
      </c>
      <c r="N231">
        <v>55.32</v>
      </c>
    </row>
    <row r="232" spans="1:14">
      <c r="A232" s="1" t="s">
        <v>244</v>
      </c>
      <c r="B232">
        <f>HYPERLINK("https://www.suredividend.com/sure-analysis-research-database/","NiSource Inc")</f>
        <v>0</v>
      </c>
      <c r="C232" t="s">
        <v>390</v>
      </c>
      <c r="D232">
        <v>27.75</v>
      </c>
      <c r="E232">
        <v>0.033259289709635</v>
      </c>
      <c r="F232">
        <v>0.06818181818181834</v>
      </c>
      <c r="G232">
        <v>0.03802222005236078</v>
      </c>
      <c r="H232">
        <v>0.9279341828988211</v>
      </c>
      <c r="I232">
        <v>11331.148142</v>
      </c>
      <c r="J232">
        <v>16.90207061724344</v>
      </c>
      <c r="K232">
        <v>0.6064929299992294</v>
      </c>
      <c r="L232">
        <v>0.5705575277028651</v>
      </c>
      <c r="M232">
        <v>31.77</v>
      </c>
      <c r="N232">
        <v>23.56</v>
      </c>
    </row>
    <row r="233" spans="1:14">
      <c r="A233" s="1" t="s">
        <v>245</v>
      </c>
      <c r="B233">
        <f>HYPERLINK("https://www.suredividend.com/sure-analysis-NJR/","New Jersey Resources Corporation")</f>
        <v>0</v>
      </c>
      <c r="C233" t="s">
        <v>390</v>
      </c>
      <c r="D233">
        <v>50.86</v>
      </c>
      <c r="E233">
        <v>0.03067243413291388</v>
      </c>
      <c r="F233">
        <v>0.07586206896551717</v>
      </c>
      <c r="G233">
        <v>0.0743347416121678</v>
      </c>
      <c r="H233">
        <v>1.487130311324188</v>
      </c>
      <c r="I233">
        <v>4932.413988</v>
      </c>
      <c r="J233">
        <v>22.49501287539849</v>
      </c>
      <c r="K233">
        <v>0.6551234851648405</v>
      </c>
      <c r="L233">
        <v>0.5071922826813361</v>
      </c>
      <c r="M233">
        <v>51.54</v>
      </c>
      <c r="N233">
        <v>36.56</v>
      </c>
    </row>
    <row r="234" spans="1:14">
      <c r="A234" s="1" t="s">
        <v>246</v>
      </c>
      <c r="B234">
        <f>HYPERLINK("https://www.suredividend.com/sure-analysis-NKE/","Nike, Inc.")</f>
        <v>0</v>
      </c>
      <c r="C234" t="s">
        <v>393</v>
      </c>
      <c r="D234">
        <v>127.68</v>
      </c>
      <c r="E234">
        <v>0.0106516290726817</v>
      </c>
      <c r="F234">
        <v>0.1147540983606559</v>
      </c>
      <c r="G234">
        <v>0.1119615859385787</v>
      </c>
      <c r="H234">
        <v>1.249708741675475</v>
      </c>
      <c r="I234">
        <v>199508.4</v>
      </c>
      <c r="J234">
        <v>28.27621411742812</v>
      </c>
      <c r="K234">
        <v>0.3530250682699082</v>
      </c>
      <c r="L234">
        <v>1.335289365384985</v>
      </c>
      <c r="M234">
        <v>148.09</v>
      </c>
      <c r="N234">
        <v>81.97</v>
      </c>
    </row>
    <row r="235" spans="1:14">
      <c r="A235" s="1" t="s">
        <v>247</v>
      </c>
      <c r="B235">
        <f>HYPERLINK("https://www.suredividend.com/sure-analysis-NNN/","National Retail Properties Inc")</f>
        <v>0</v>
      </c>
      <c r="C235" t="s">
        <v>392</v>
      </c>
      <c r="D235">
        <v>47.615</v>
      </c>
      <c r="E235">
        <v>0.04620392733382338</v>
      </c>
      <c r="F235">
        <v>0.03773584905660377</v>
      </c>
      <c r="G235">
        <v>0.02975477857041309</v>
      </c>
      <c r="H235">
        <v>2.120512930604406</v>
      </c>
      <c r="I235">
        <v>8586.323184000001</v>
      </c>
      <c r="J235">
        <v>27.88238008871627</v>
      </c>
      <c r="K235">
        <v>1.211721674631089</v>
      </c>
      <c r="L235">
        <v>0.621045609203925</v>
      </c>
      <c r="M235">
        <v>48.21</v>
      </c>
      <c r="N235">
        <v>37.55</v>
      </c>
    </row>
    <row r="236" spans="1:14">
      <c r="A236" s="1" t="s">
        <v>248</v>
      </c>
      <c r="B236">
        <f>HYPERLINK("https://www.suredividend.com/sure-analysis-NOC/","Northrop Grumman Corp.")</f>
        <v>0</v>
      </c>
      <c r="C236" t="s">
        <v>386</v>
      </c>
      <c r="D236">
        <v>464.475</v>
      </c>
      <c r="E236">
        <v>0.01489854136390548</v>
      </c>
      <c r="F236">
        <v>0.1019108280254777</v>
      </c>
      <c r="G236">
        <v>0.09478965151396856</v>
      </c>
      <c r="H236">
        <v>6.742664321350534</v>
      </c>
      <c r="I236">
        <v>75106.053885</v>
      </c>
      <c r="J236">
        <v>13.5913959256026</v>
      </c>
      <c r="K236">
        <v>0.1910103207181455</v>
      </c>
      <c r="L236">
        <v>0.336485612126152</v>
      </c>
      <c r="M236">
        <v>556.27</v>
      </c>
      <c r="N236">
        <v>360.56</v>
      </c>
    </row>
    <row r="237" spans="1:14">
      <c r="A237" s="1" t="s">
        <v>249</v>
      </c>
      <c r="B237">
        <f>HYPERLINK("https://www.suredividend.com/sure-analysis-research-database/","Neenah Inc")</f>
        <v>0</v>
      </c>
      <c r="C237" t="s">
        <v>391</v>
      </c>
      <c r="D237">
        <v>32</v>
      </c>
      <c r="E237">
        <v>0.058252615601215</v>
      </c>
      <c r="F237" t="s">
        <v>394</v>
      </c>
      <c r="G237" t="s">
        <v>394</v>
      </c>
      <c r="H237">
        <v>1.864083699238888</v>
      </c>
      <c r="I237">
        <v>537.253888</v>
      </c>
      <c r="J237" t="s">
        <v>394</v>
      </c>
      <c r="K237" t="s">
        <v>394</v>
      </c>
      <c r="L237">
        <v>0.7464642607469351</v>
      </c>
      <c r="M237">
        <v>55.11</v>
      </c>
      <c r="N237">
        <v>31.05</v>
      </c>
    </row>
    <row r="238" spans="1:14">
      <c r="A238" s="1" t="s">
        <v>250</v>
      </c>
      <c r="B238">
        <f>HYPERLINK("https://www.suredividend.com/sure-analysis-NSP/","Insperity Inc")</f>
        <v>0</v>
      </c>
      <c r="C238" t="s">
        <v>386</v>
      </c>
      <c r="D238">
        <v>114.62</v>
      </c>
      <c r="E238">
        <v>0.01814692025824463</v>
      </c>
      <c r="F238">
        <v>0.1555555555555557</v>
      </c>
      <c r="G238">
        <v>0.2105832751075947</v>
      </c>
      <c r="H238">
        <v>1.996597146609161</v>
      </c>
      <c r="I238">
        <v>4338.171237</v>
      </c>
      <c r="J238">
        <v>28.75341333395194</v>
      </c>
      <c r="K238">
        <v>0.5119479863100413</v>
      </c>
      <c r="L238">
        <v>0.9563962703194711</v>
      </c>
      <c r="M238">
        <v>121.72</v>
      </c>
      <c r="N238">
        <v>82.31</v>
      </c>
    </row>
    <row r="239" spans="1:14">
      <c r="A239" s="1" t="s">
        <v>251</v>
      </c>
      <c r="B239">
        <f>HYPERLINK("https://www.suredividend.com/sure-analysis-NUE/","Nucor Corp.")</f>
        <v>0</v>
      </c>
      <c r="C239" t="s">
        <v>391</v>
      </c>
      <c r="D239">
        <v>156.185</v>
      </c>
      <c r="E239">
        <v>0.01306143355635945</v>
      </c>
      <c r="F239">
        <v>0.02000000000000002</v>
      </c>
      <c r="G239">
        <v>0.06061390336787298</v>
      </c>
      <c r="H239">
        <v>1.997344488312796</v>
      </c>
      <c r="I239">
        <v>39946.421084</v>
      </c>
      <c r="J239">
        <v>4.663994865071208</v>
      </c>
      <c r="K239">
        <v>0.06282933275598604</v>
      </c>
      <c r="L239">
        <v>1.219442471057192</v>
      </c>
      <c r="M239">
        <v>185.45</v>
      </c>
      <c r="N239">
        <v>87.05</v>
      </c>
    </row>
    <row r="240" spans="1:14">
      <c r="A240" s="1" t="s">
        <v>252</v>
      </c>
      <c r="B240">
        <f>HYPERLINK("https://www.suredividend.com/sure-analysis-NUS/","Nu Skin Enterprises, Inc.")</f>
        <v>0</v>
      </c>
      <c r="C240" t="s">
        <v>388</v>
      </c>
      <c r="D240">
        <v>41.885</v>
      </c>
      <c r="E240">
        <v>0.03676733914289125</v>
      </c>
      <c r="F240">
        <v>0.01315789473684204</v>
      </c>
      <c r="G240">
        <v>0.01072631497080168</v>
      </c>
      <c r="H240">
        <v>1.518621344558621</v>
      </c>
      <c r="I240">
        <v>2106.289009</v>
      </c>
      <c r="J240">
        <v>54.94858106125429</v>
      </c>
      <c r="K240">
        <v>2.010087815431663</v>
      </c>
      <c r="L240">
        <v>0.9464731909496731</v>
      </c>
      <c r="M240">
        <v>54.78</v>
      </c>
      <c r="N240">
        <v>29.66</v>
      </c>
    </row>
    <row r="241" spans="1:14">
      <c r="A241" s="1" t="s">
        <v>253</v>
      </c>
      <c r="B241">
        <f>HYPERLINK("https://www.suredividend.com/sure-analysis-NWBI/","Northwest Bancshares Inc")</f>
        <v>0</v>
      </c>
      <c r="C241" t="s">
        <v>389</v>
      </c>
      <c r="D241">
        <v>14.22</v>
      </c>
      <c r="E241">
        <v>0.05625879043600562</v>
      </c>
      <c r="F241">
        <v>0</v>
      </c>
      <c r="G241">
        <v>0.03303780411393231</v>
      </c>
      <c r="H241">
        <v>0.7834063256140751</v>
      </c>
      <c r="I241">
        <v>1814.663764</v>
      </c>
      <c r="J241">
        <v>14.17008632024862</v>
      </c>
      <c r="K241">
        <v>0.7756498273406683</v>
      </c>
      <c r="L241">
        <v>0.509924947869671</v>
      </c>
      <c r="M241">
        <v>15.35</v>
      </c>
      <c r="N241">
        <v>11.71</v>
      </c>
    </row>
    <row r="242" spans="1:14">
      <c r="A242" s="1" t="s">
        <v>254</v>
      </c>
      <c r="B242">
        <f>HYPERLINK("https://www.suredividend.com/sure-analysis-NWE/","Northwestern Corp.")</f>
        <v>0</v>
      </c>
      <c r="C242" t="s">
        <v>390</v>
      </c>
      <c r="D242">
        <v>58.49</v>
      </c>
      <c r="E242">
        <v>0.04308428791246367</v>
      </c>
      <c r="F242">
        <v>0.0161290322580645</v>
      </c>
      <c r="G242">
        <v>0.02753251148110025</v>
      </c>
      <c r="H242">
        <v>2.478399485396339</v>
      </c>
      <c r="I242">
        <v>3412.990349</v>
      </c>
      <c r="J242">
        <v>20.36390423036993</v>
      </c>
      <c r="K242">
        <v>0.8152629886172168</v>
      </c>
      <c r="L242">
        <v>0.377080757470569</v>
      </c>
      <c r="M242">
        <v>60.98</v>
      </c>
      <c r="N242">
        <v>48.16</v>
      </c>
    </row>
    <row r="243" spans="1:14">
      <c r="A243" s="1" t="s">
        <v>255</v>
      </c>
      <c r="B243">
        <f>HYPERLINK("https://www.suredividend.com/sure-analysis-NWN/","Northwest Natural Holding Co")</f>
        <v>0</v>
      </c>
      <c r="C243" t="s">
        <v>390</v>
      </c>
      <c r="D243">
        <v>49.53</v>
      </c>
      <c r="E243">
        <v>0.03916818090046436</v>
      </c>
      <c r="F243" t="s">
        <v>394</v>
      </c>
      <c r="G243" t="s">
        <v>394</v>
      </c>
      <c r="H243">
        <v>1.904389707214475</v>
      </c>
      <c r="I243">
        <v>1744.428302</v>
      </c>
      <c r="J243">
        <v>22.11075862475442</v>
      </c>
      <c r="K243">
        <v>0.7934957113393647</v>
      </c>
      <c r="L243">
        <v>0.4088784820772</v>
      </c>
      <c r="M243">
        <v>55.97</v>
      </c>
      <c r="N243">
        <v>41.94</v>
      </c>
    </row>
    <row r="244" spans="1:14">
      <c r="A244" s="1" t="s">
        <v>256</v>
      </c>
      <c r="B244">
        <f>HYPERLINK("https://www.suredividend.com/sure-analysis-O/","Realty Income Corp.")</f>
        <v>0</v>
      </c>
      <c r="C244" t="s">
        <v>392</v>
      </c>
      <c r="D244">
        <v>66.405</v>
      </c>
      <c r="E244">
        <v>0.0448761388449665</v>
      </c>
      <c r="F244">
        <v>0.004040404040403844</v>
      </c>
      <c r="G244">
        <v>0.01123410012792792</v>
      </c>
      <c r="H244">
        <v>2.911197489447348</v>
      </c>
      <c r="I244">
        <v>41737.08945</v>
      </c>
      <c r="J244">
        <v>64.59010041961731</v>
      </c>
      <c r="K244">
        <v>2.599283472720846</v>
      </c>
      <c r="L244">
        <v>0.566970089550186</v>
      </c>
      <c r="M244">
        <v>73.64</v>
      </c>
      <c r="N244">
        <v>54.85</v>
      </c>
    </row>
    <row r="245" spans="1:14">
      <c r="A245" s="1" t="s">
        <v>257</v>
      </c>
      <c r="B245">
        <f>HYPERLINK("https://www.suredividend.com/sure-analysis-OGE/","Oge Energy Corp.")</f>
        <v>0</v>
      </c>
      <c r="C245" t="s">
        <v>390</v>
      </c>
      <c r="D245">
        <v>39.92</v>
      </c>
      <c r="E245">
        <v>0.04158316633266532</v>
      </c>
      <c r="F245">
        <v>0.01000000000000001</v>
      </c>
      <c r="G245">
        <v>0.04487109745552287</v>
      </c>
      <c r="H245">
        <v>1.621376113973983</v>
      </c>
      <c r="I245">
        <v>8052.151468</v>
      </c>
      <c r="J245">
        <v>8.615612527113203</v>
      </c>
      <c r="K245">
        <v>0.3479347884064341</v>
      </c>
      <c r="L245">
        <v>0.5236319066529861</v>
      </c>
      <c r="M245">
        <v>41.96</v>
      </c>
      <c r="N245">
        <v>32.92</v>
      </c>
    </row>
    <row r="246" spans="1:14">
      <c r="A246" s="1" t="s">
        <v>258</v>
      </c>
      <c r="B246">
        <f>HYPERLINK("https://www.suredividend.com/sure-analysis-ORCL/","Oracle Corp.")</f>
        <v>0</v>
      </c>
      <c r="C246" t="s">
        <v>387</v>
      </c>
      <c r="D246">
        <v>88.29000000000001</v>
      </c>
      <c r="E246">
        <v>0.0144976781062408</v>
      </c>
      <c r="F246">
        <v>0</v>
      </c>
      <c r="G246">
        <v>0.1098883056567086</v>
      </c>
      <c r="H246">
        <v>1.27174099536041</v>
      </c>
      <c r="I246">
        <v>239373.34134</v>
      </c>
      <c r="J246">
        <v>27.2138860095498</v>
      </c>
      <c r="K246">
        <v>0.4011801247193723</v>
      </c>
      <c r="L246">
        <v>0.88905124822333</v>
      </c>
      <c r="M246">
        <v>89.2</v>
      </c>
      <c r="N246">
        <v>60.24</v>
      </c>
    </row>
    <row r="247" spans="1:14">
      <c r="A247" s="1" t="s">
        <v>259</v>
      </c>
      <c r="B247">
        <f>HYPERLINK("https://www.suredividend.com/sure-analysis-ORI/","Old Republic International Corp.")</f>
        <v>0</v>
      </c>
      <c r="C247" t="s">
        <v>389</v>
      </c>
      <c r="D247">
        <v>24.2</v>
      </c>
      <c r="E247">
        <v>0.03801652892561984</v>
      </c>
      <c r="F247">
        <v>0</v>
      </c>
      <c r="G247">
        <v>0.02834672210021361</v>
      </c>
      <c r="H247">
        <v>0.906793510843751</v>
      </c>
      <c r="I247">
        <v>7376.320718</v>
      </c>
      <c r="J247">
        <v>9.199701569468694</v>
      </c>
      <c r="K247">
        <v>0.3461043934518134</v>
      </c>
      <c r="L247">
        <v>0.651503236294747</v>
      </c>
      <c r="M247">
        <v>26.18</v>
      </c>
      <c r="N247">
        <v>20.08</v>
      </c>
    </row>
    <row r="248" spans="1:14">
      <c r="A248" s="1" t="s">
        <v>260</v>
      </c>
      <c r="B248">
        <f>HYPERLINK("https://www.suredividend.com/sure-analysis-OZK/","Bank OZK")</f>
        <v>0</v>
      </c>
      <c r="C248" t="s">
        <v>389</v>
      </c>
      <c r="D248">
        <v>41.09</v>
      </c>
      <c r="E248">
        <v>0.03309807739109272</v>
      </c>
      <c r="F248">
        <v>0.1333333333333333</v>
      </c>
      <c r="G248">
        <v>0.1234275325950922</v>
      </c>
      <c r="H248">
        <v>0.952286333769582</v>
      </c>
      <c r="I248">
        <v>5124.478011</v>
      </c>
      <c r="J248">
        <v>9.517127021643688</v>
      </c>
      <c r="K248">
        <v>0.2179144928534513</v>
      </c>
      <c r="L248">
        <v>0.9379774664915771</v>
      </c>
      <c r="M248">
        <v>49.41</v>
      </c>
      <c r="N248">
        <v>34.21</v>
      </c>
    </row>
    <row r="249" spans="1:14">
      <c r="A249" s="1" t="s">
        <v>261</v>
      </c>
      <c r="B249">
        <f>HYPERLINK("https://www.suredividend.com/sure-analysis-PAYX/","Paychex Inc.")</f>
        <v>0</v>
      </c>
      <c r="C249" t="s">
        <v>386</v>
      </c>
      <c r="D249">
        <v>120.36</v>
      </c>
      <c r="E249">
        <v>0.02625456962445995</v>
      </c>
      <c r="F249">
        <v>0.196969696969697</v>
      </c>
      <c r="G249">
        <v>0.0958003060411996</v>
      </c>
      <c r="H249">
        <v>3.001687969311451</v>
      </c>
      <c r="I249">
        <v>43201.915778</v>
      </c>
      <c r="J249">
        <v>29.45719062989227</v>
      </c>
      <c r="K249">
        <v>0.7429920716117453</v>
      </c>
      <c r="L249">
        <v>0.984083646282448</v>
      </c>
      <c r="M249">
        <v>139.18</v>
      </c>
      <c r="N249">
        <v>104.94</v>
      </c>
    </row>
    <row r="250" spans="1:14">
      <c r="A250" s="1" t="s">
        <v>262</v>
      </c>
      <c r="B250">
        <f>HYPERLINK("https://www.suredividend.com/sure-analysis-PB/","Prosperity Bancshares Inc.")</f>
        <v>0</v>
      </c>
      <c r="C250" t="s">
        <v>389</v>
      </c>
      <c r="D250">
        <v>73.91</v>
      </c>
      <c r="E250">
        <v>0.02976593153835747</v>
      </c>
      <c r="F250">
        <v>0.05769230769230771</v>
      </c>
      <c r="G250">
        <v>0.08845890735664219</v>
      </c>
      <c r="H250">
        <v>2.086113506982922</v>
      </c>
      <c r="I250">
        <v>6843.575523</v>
      </c>
      <c r="J250">
        <v>13.329312326678</v>
      </c>
      <c r="K250">
        <v>0.3731866738788769</v>
      </c>
      <c r="L250">
        <v>0.6754320818456271</v>
      </c>
      <c r="M250">
        <v>78.04000000000001</v>
      </c>
      <c r="N250">
        <v>63.21</v>
      </c>
    </row>
    <row r="251" spans="1:14">
      <c r="A251" s="1" t="s">
        <v>263</v>
      </c>
      <c r="B251">
        <f>HYPERLINK("https://www.suredividend.com/sure-analysis-PEG/","Public Service Enterprise Group Inc.")</f>
        <v>0</v>
      </c>
      <c r="C251" t="s">
        <v>390</v>
      </c>
      <c r="D251">
        <v>62.43</v>
      </c>
      <c r="E251">
        <v>0.03459875060067276</v>
      </c>
      <c r="F251">
        <v>0.05882352941176472</v>
      </c>
      <c r="G251">
        <v>0.03713728933664817</v>
      </c>
      <c r="H251">
        <v>2.132654535939173</v>
      </c>
      <c r="I251">
        <v>31329.054426</v>
      </c>
      <c r="J251">
        <v>45.53641631651163</v>
      </c>
      <c r="K251">
        <v>1.556682143021294</v>
      </c>
      <c r="L251">
        <v>0.552706047459261</v>
      </c>
      <c r="M251">
        <v>73.75</v>
      </c>
      <c r="N251">
        <v>52.04</v>
      </c>
    </row>
    <row r="252" spans="1:14">
      <c r="A252" s="1" t="s">
        <v>264</v>
      </c>
      <c r="B252">
        <f>HYPERLINK("https://www.suredividend.com/sure-analysis-PEP/","PepsiCo Inc")</f>
        <v>0</v>
      </c>
      <c r="C252" t="s">
        <v>388</v>
      </c>
      <c r="D252">
        <v>174.94</v>
      </c>
      <c r="E252">
        <v>0.02629472962158454</v>
      </c>
      <c r="F252">
        <v>0.06976744186046502</v>
      </c>
      <c r="G252">
        <v>0.07394092378577932</v>
      </c>
      <c r="H252">
        <v>4.481986479150071</v>
      </c>
      <c r="I252">
        <v>242173.724758</v>
      </c>
      <c r="J252">
        <v>24.93038138336628</v>
      </c>
      <c r="K252">
        <v>0.6411997824249028</v>
      </c>
      <c r="L252">
        <v>0.4952790551066411</v>
      </c>
      <c r="M252">
        <v>186.84</v>
      </c>
      <c r="N252">
        <v>150.36</v>
      </c>
    </row>
    <row r="253" spans="1:14">
      <c r="A253" s="1" t="s">
        <v>265</v>
      </c>
      <c r="B253">
        <f>HYPERLINK("https://www.suredividend.com/sure-analysis-PETS/","Petmed Express, Inc.")</f>
        <v>0</v>
      </c>
      <c r="C253" t="s">
        <v>385</v>
      </c>
      <c r="D253">
        <v>19.46</v>
      </c>
      <c r="E253">
        <v>0.06166495375128468</v>
      </c>
      <c r="F253">
        <v>0</v>
      </c>
      <c r="G253">
        <v>0.03713728933664817</v>
      </c>
      <c r="H253">
        <v>1.173566226466245</v>
      </c>
      <c r="I253">
        <v>408.025107</v>
      </c>
      <c r="J253">
        <v>26.02698901065254</v>
      </c>
      <c r="K253">
        <v>1.521543143350506</v>
      </c>
      <c r="L253">
        <v>0.718606157568317</v>
      </c>
      <c r="M253">
        <v>28.25</v>
      </c>
      <c r="N253">
        <v>17.08</v>
      </c>
    </row>
    <row r="254" spans="1:14">
      <c r="A254" s="1" t="s">
        <v>266</v>
      </c>
      <c r="B254">
        <f>HYPERLINK("https://www.suredividend.com/sure-analysis-research-database/","Premier Financial Corp")</f>
        <v>0</v>
      </c>
      <c r="C254" t="s">
        <v>394</v>
      </c>
      <c r="D254">
        <v>27.5</v>
      </c>
      <c r="E254">
        <v>0.042225740644566</v>
      </c>
      <c r="F254">
        <v>0</v>
      </c>
      <c r="G254">
        <v>0</v>
      </c>
      <c r="H254">
        <v>1.168808501041604</v>
      </c>
      <c r="I254">
        <v>984.477454</v>
      </c>
      <c r="J254">
        <v>9.639076642058471</v>
      </c>
      <c r="K254">
        <v>0.4130065374705315</v>
      </c>
      <c r="L254">
        <v>0.6574771269675871</v>
      </c>
      <c r="M254">
        <v>31.51</v>
      </c>
      <c r="N254">
        <v>23.59</v>
      </c>
    </row>
    <row r="255" spans="1:14">
      <c r="A255" s="1" t="s">
        <v>267</v>
      </c>
      <c r="B255">
        <f>HYPERLINK("https://www.suredividend.com/sure-analysis-PFE/","Pfizer Inc.")</f>
        <v>0</v>
      </c>
      <c r="C255" t="s">
        <v>385</v>
      </c>
      <c r="D255">
        <v>48.015</v>
      </c>
      <c r="E255">
        <v>0.03415599291887952</v>
      </c>
      <c r="F255">
        <v>0.02564102564102577</v>
      </c>
      <c r="G255">
        <v>0.03303780411393231</v>
      </c>
      <c r="H255">
        <v>1.580511977127286</v>
      </c>
      <c r="I255">
        <v>267811.23656</v>
      </c>
      <c r="J255">
        <v>8.995406306605872</v>
      </c>
      <c r="K255">
        <v>0.3045302460746216</v>
      </c>
      <c r="L255">
        <v>0.518103198567883</v>
      </c>
      <c r="M255">
        <v>54.96</v>
      </c>
      <c r="N255">
        <v>41.09</v>
      </c>
    </row>
    <row r="256" spans="1:14">
      <c r="A256" s="1" t="s">
        <v>268</v>
      </c>
      <c r="B256">
        <f>HYPERLINK("https://www.suredividend.com/sure-analysis-PFG/","Principal Financial Group Inc")</f>
        <v>0</v>
      </c>
      <c r="C256" t="s">
        <v>389</v>
      </c>
      <c r="D256">
        <v>88.84</v>
      </c>
      <c r="E256">
        <v>0.02881584871679424</v>
      </c>
      <c r="F256">
        <v>0</v>
      </c>
      <c r="G256">
        <v>0.04645837861673296</v>
      </c>
      <c r="H256">
        <v>2.529866161715626</v>
      </c>
      <c r="I256">
        <v>21620.171324</v>
      </c>
      <c r="J256">
        <v>4.086216466528067</v>
      </c>
      <c r="K256">
        <v>0.1243788673409846</v>
      </c>
      <c r="L256">
        <v>0.9907808102363891</v>
      </c>
      <c r="M256">
        <v>95.48</v>
      </c>
      <c r="N256">
        <v>60.09</v>
      </c>
    </row>
    <row r="257" spans="1:14">
      <c r="A257" s="1" t="s">
        <v>269</v>
      </c>
      <c r="B257">
        <f>HYPERLINK("https://www.suredividend.com/sure-analysis-PG/","Procter &amp; Gamble Co.")</f>
        <v>0</v>
      </c>
      <c r="C257" t="s">
        <v>388</v>
      </c>
      <c r="D257">
        <v>149.77</v>
      </c>
      <c r="E257">
        <v>0.0243707017426721</v>
      </c>
      <c r="F257">
        <v>0.05001149689583806</v>
      </c>
      <c r="G257">
        <v>0.05779921640308716</v>
      </c>
      <c r="H257">
        <v>3.574479587017307</v>
      </c>
      <c r="I257">
        <v>357371.675301</v>
      </c>
      <c r="J257">
        <v>25.01376603213271</v>
      </c>
      <c r="K257">
        <v>0.6315334959394535</v>
      </c>
      <c r="L257">
        <v>0.481917796359525</v>
      </c>
      <c r="M257">
        <v>162.68</v>
      </c>
      <c r="N257">
        <v>121.32</v>
      </c>
    </row>
    <row r="258" spans="1:14">
      <c r="A258" s="1" t="s">
        <v>270</v>
      </c>
      <c r="B258">
        <f>HYPERLINK("https://www.suredividend.com/sure-analysis-PII/","Polaris Inc")</f>
        <v>0</v>
      </c>
      <c r="C258" t="s">
        <v>393</v>
      </c>
      <c r="D258">
        <v>106.355</v>
      </c>
      <c r="E258">
        <v>0.02407033049692069</v>
      </c>
      <c r="F258">
        <v>0.01587301587301582</v>
      </c>
      <c r="G258">
        <v>0.01299136822423641</v>
      </c>
      <c r="H258">
        <v>2.542065572777388</v>
      </c>
      <c r="I258">
        <v>6218.368967</v>
      </c>
      <c r="J258">
        <v>18.37579481991726</v>
      </c>
      <c r="K258">
        <v>0.4580298329328628</v>
      </c>
      <c r="L258">
        <v>1.257979112116379</v>
      </c>
      <c r="M258">
        <v>125.27</v>
      </c>
      <c r="N258">
        <v>91.34</v>
      </c>
    </row>
    <row r="259" spans="1:14">
      <c r="A259" s="1" t="s">
        <v>271</v>
      </c>
      <c r="B259">
        <f>HYPERLINK("https://www.suredividend.com/sure-analysis-PKG/","Packaging Corp Of America")</f>
        <v>0</v>
      </c>
      <c r="C259" t="s">
        <v>393</v>
      </c>
      <c r="D259">
        <v>134.58</v>
      </c>
      <c r="E259">
        <v>0.03715262297518204</v>
      </c>
      <c r="F259">
        <v>0.25</v>
      </c>
      <c r="G259">
        <v>0.1468692082056793</v>
      </c>
      <c r="H259">
        <v>4.684159216088056</v>
      </c>
      <c r="I259">
        <v>12581.913246</v>
      </c>
      <c r="J259">
        <v>12.25471242388234</v>
      </c>
      <c r="K259">
        <v>0.4266083074761435</v>
      </c>
      <c r="L259">
        <v>0.7497416887755241</v>
      </c>
      <c r="M259">
        <v>163.65</v>
      </c>
      <c r="N259">
        <v>108.49</v>
      </c>
    </row>
    <row r="260" spans="1:14">
      <c r="A260" s="1" t="s">
        <v>272</v>
      </c>
      <c r="B260">
        <f>HYPERLINK("https://www.suredividend.com/sure-analysis-research-database/","Douglas Dynamics Inc")</f>
        <v>0</v>
      </c>
      <c r="C260" t="s">
        <v>393</v>
      </c>
      <c r="D260">
        <v>38.5</v>
      </c>
      <c r="E260">
        <v>0.029566118089151</v>
      </c>
      <c r="F260">
        <v>0.01754385964912264</v>
      </c>
      <c r="G260">
        <v>0.01819374512778538</v>
      </c>
      <c r="H260">
        <v>1.144504431231039</v>
      </c>
      <c r="I260">
        <v>885.947757</v>
      </c>
      <c r="J260">
        <v>25.19903740343592</v>
      </c>
      <c r="K260">
        <v>0.7480421119157118</v>
      </c>
      <c r="L260">
        <v>0.8322643357849051</v>
      </c>
      <c r="M260">
        <v>39.23</v>
      </c>
      <c r="N260">
        <v>27.3</v>
      </c>
    </row>
    <row r="261" spans="1:14">
      <c r="A261" s="1" t="s">
        <v>273</v>
      </c>
      <c r="B261">
        <f>HYPERLINK("https://www.suredividend.com/sure-analysis-PM/","Philip Morris International Inc")</f>
        <v>0</v>
      </c>
      <c r="C261" t="s">
        <v>388</v>
      </c>
      <c r="D261">
        <v>101.28</v>
      </c>
      <c r="E261">
        <v>0.05015797788309637</v>
      </c>
      <c r="F261">
        <v>0.01600000000000001</v>
      </c>
      <c r="G261">
        <v>0.03486569022617725</v>
      </c>
      <c r="H261">
        <v>4.943318793118779</v>
      </c>
      <c r="I261">
        <v>157252.521819</v>
      </c>
      <c r="J261">
        <v>18.03561438458539</v>
      </c>
      <c r="K261">
        <v>0.8811619952083385</v>
      </c>
      <c r="L261">
        <v>0.434223591685273</v>
      </c>
      <c r="M261">
        <v>106.73</v>
      </c>
      <c r="N261">
        <v>81.81</v>
      </c>
    </row>
    <row r="262" spans="1:14">
      <c r="A262" s="1" t="s">
        <v>274</v>
      </c>
      <c r="B262">
        <f>HYPERLINK("https://www.suredividend.com/sure-analysis-PNC/","PNC Financial Services Group Inc")</f>
        <v>0</v>
      </c>
      <c r="C262" t="s">
        <v>389</v>
      </c>
      <c r="D262">
        <v>162.8</v>
      </c>
      <c r="E262">
        <v>0.03685503685503685</v>
      </c>
      <c r="F262">
        <v>0.2</v>
      </c>
      <c r="G262">
        <v>0.1486983549970351</v>
      </c>
      <c r="H262">
        <v>5.672835066892508</v>
      </c>
      <c r="I262">
        <v>68088.319151</v>
      </c>
      <c r="J262">
        <v>12.33260625811628</v>
      </c>
      <c r="K262">
        <v>0.4287857193418373</v>
      </c>
      <c r="L262">
        <v>0.944269509241327</v>
      </c>
      <c r="M262">
        <v>218.49</v>
      </c>
      <c r="N262">
        <v>142.11</v>
      </c>
    </row>
    <row r="263" spans="1:14">
      <c r="A263" s="1" t="s">
        <v>275</v>
      </c>
      <c r="B263">
        <f>HYPERLINK("https://www.suredividend.com/sure-analysis-PNW/","Pinnacle West Capital Corp.")</f>
        <v>0</v>
      </c>
      <c r="C263" t="s">
        <v>390</v>
      </c>
      <c r="D263">
        <v>75.11</v>
      </c>
      <c r="E263">
        <v>0.04553321794701105</v>
      </c>
      <c r="F263">
        <v>0.01764705882352935</v>
      </c>
      <c r="G263">
        <v>0.04473527950049339</v>
      </c>
      <c r="H263">
        <v>3.353880083729922</v>
      </c>
      <c r="I263">
        <v>8621.283469</v>
      </c>
      <c r="J263">
        <v>16.10918884670147</v>
      </c>
      <c r="K263">
        <v>0.7105678143495597</v>
      </c>
      <c r="L263">
        <v>0.485774989774554</v>
      </c>
      <c r="M263">
        <v>80.59999999999999</v>
      </c>
      <c r="N263">
        <v>58.28</v>
      </c>
    </row>
    <row r="264" spans="1:14">
      <c r="A264" s="1" t="s">
        <v>276</v>
      </c>
      <c r="B264">
        <f>HYPERLINK("https://www.suredividend.com/sure-analysis-POOL/","Pool Corporation")</f>
        <v>0</v>
      </c>
      <c r="C264" t="s">
        <v>393</v>
      </c>
      <c r="D264">
        <v>347.54</v>
      </c>
      <c r="E264">
        <v>0.01150946653622605</v>
      </c>
      <c r="F264">
        <v>0.25</v>
      </c>
      <c r="G264">
        <v>0.2199995070269016</v>
      </c>
      <c r="H264">
        <v>3.784082755494502</v>
      </c>
      <c r="I264">
        <v>13542.363816</v>
      </c>
      <c r="J264">
        <v>17.44841930769954</v>
      </c>
      <c r="K264">
        <v>0.1946544627311987</v>
      </c>
      <c r="L264">
        <v>1.233655076657786</v>
      </c>
      <c r="M264">
        <v>499.19</v>
      </c>
      <c r="N264">
        <v>277.2</v>
      </c>
    </row>
    <row r="265" spans="1:14">
      <c r="A265" s="1" t="s">
        <v>277</v>
      </c>
      <c r="B265">
        <f>HYPERLINK("https://www.suredividend.com/sure-analysis-POR/","Portland General Electric Co")</f>
        <v>0</v>
      </c>
      <c r="C265" t="s">
        <v>390</v>
      </c>
      <c r="D265">
        <v>48.415</v>
      </c>
      <c r="E265">
        <v>0.03738510792109884</v>
      </c>
      <c r="F265">
        <v>0.05232558139534893</v>
      </c>
      <c r="G265">
        <v>0.05883413386416847</v>
      </c>
      <c r="H265">
        <v>1.763110905460479</v>
      </c>
      <c r="I265">
        <v>4427.043309</v>
      </c>
      <c r="J265">
        <v>17.85098108612904</v>
      </c>
      <c r="K265">
        <v>0.636502131935191</v>
      </c>
      <c r="L265">
        <v>0.483223783124506</v>
      </c>
      <c r="M265">
        <v>55.45</v>
      </c>
      <c r="N265">
        <v>41.19</v>
      </c>
    </row>
    <row r="266" spans="1:14">
      <c r="A266" s="1" t="s">
        <v>278</v>
      </c>
      <c r="B266">
        <f>HYPERLINK("https://www.suredividend.com/sure-analysis-PPG/","PPG Industries, Inc.")</f>
        <v>0</v>
      </c>
      <c r="C266" t="s">
        <v>391</v>
      </c>
      <c r="D266">
        <v>131.61</v>
      </c>
      <c r="E266">
        <v>0.01884355292151052</v>
      </c>
      <c r="F266">
        <v>0.05084745762711873</v>
      </c>
      <c r="G266">
        <v>0.06619302030280272</v>
      </c>
      <c r="H266">
        <v>2.402064119485093</v>
      </c>
      <c r="I266">
        <v>30934.305598</v>
      </c>
      <c r="J266">
        <v>28.80289161851024</v>
      </c>
      <c r="K266">
        <v>0.5314301149303304</v>
      </c>
      <c r="L266">
        <v>1.106786794094489</v>
      </c>
      <c r="M266">
        <v>164.96</v>
      </c>
      <c r="N266">
        <v>105.98</v>
      </c>
    </row>
    <row r="267" spans="1:14">
      <c r="A267" s="1" t="s">
        <v>279</v>
      </c>
      <c r="B267">
        <f>HYPERLINK("https://www.suredividend.com/sure-analysis-PRGO/","Perrigo Company plc")</f>
        <v>0</v>
      </c>
      <c r="C267" t="s">
        <v>385</v>
      </c>
      <c r="D267">
        <v>36.74</v>
      </c>
      <c r="E267">
        <v>0.02830702231899837</v>
      </c>
      <c r="F267">
        <v>0.08333333333333348</v>
      </c>
      <c r="G267">
        <v>0.06474093044470108</v>
      </c>
      <c r="H267">
        <v>1.028459956432093</v>
      </c>
      <c r="I267">
        <v>4906.272344</v>
      </c>
      <c r="J267" t="s">
        <v>394</v>
      </c>
      <c r="K267" t="s">
        <v>394</v>
      </c>
      <c r="L267">
        <v>0.581106163286208</v>
      </c>
      <c r="M267">
        <v>43.24</v>
      </c>
      <c r="N267">
        <v>30.65</v>
      </c>
    </row>
    <row r="268" spans="1:14">
      <c r="A268" s="1" t="s">
        <v>280</v>
      </c>
      <c r="B268">
        <f>HYPERLINK("https://www.suredividend.com/sure-analysis-PRI/","Primerica Inc")</f>
        <v>0</v>
      </c>
      <c r="C268" t="s">
        <v>389</v>
      </c>
      <c r="D268">
        <v>149.67</v>
      </c>
      <c r="E268">
        <v>0.014699004476515</v>
      </c>
      <c r="F268">
        <v>0.1702127659574468</v>
      </c>
      <c r="G268">
        <v>0.1708049129648923</v>
      </c>
      <c r="H268">
        <v>2.186832661899342</v>
      </c>
      <c r="I268">
        <v>5476.795373</v>
      </c>
      <c r="J268">
        <v>19.92656103205761</v>
      </c>
      <c r="K268">
        <v>0.3084390214244488</v>
      </c>
      <c r="L268">
        <v>0.8446168988623981</v>
      </c>
      <c r="M268">
        <v>156.88</v>
      </c>
      <c r="N268">
        <v>109.36</v>
      </c>
    </row>
    <row r="269" spans="1:14">
      <c r="A269" s="1" t="s">
        <v>281</v>
      </c>
      <c r="B269">
        <f>HYPERLINK("https://www.suredividend.com/sure-analysis-PRU/","Prudential Financial Inc.")</f>
        <v>0</v>
      </c>
      <c r="C269" t="s">
        <v>389</v>
      </c>
      <c r="D269">
        <v>99.68000000000001</v>
      </c>
      <c r="E269">
        <v>0.04815409309791332</v>
      </c>
      <c r="F269">
        <v>0.04347826086956519</v>
      </c>
      <c r="G269">
        <v>0.05922384104881218</v>
      </c>
      <c r="H269">
        <v>4.717949965292103</v>
      </c>
      <c r="I269">
        <v>37051.2</v>
      </c>
      <c r="J269">
        <v>126.4546075085324</v>
      </c>
      <c r="K269">
        <v>6.047103262358502</v>
      </c>
      <c r="L269">
        <v>0.9211348875444041</v>
      </c>
      <c r="M269">
        <v>118.73</v>
      </c>
      <c r="N269">
        <v>84.5</v>
      </c>
    </row>
    <row r="270" spans="1:14">
      <c r="A270" s="1" t="s">
        <v>282</v>
      </c>
      <c r="B270">
        <f>HYPERLINK("https://www.suredividend.com/sure-analysis-QCOM/","Qualcomm, Inc.")</f>
        <v>0</v>
      </c>
      <c r="C270" t="s">
        <v>387</v>
      </c>
      <c r="D270">
        <v>120.61</v>
      </c>
      <c r="E270">
        <v>0.02487355940635105</v>
      </c>
      <c r="F270">
        <v>0.1029411764705881</v>
      </c>
      <c r="G270">
        <v>0.05642162229904302</v>
      </c>
      <c r="H270">
        <v>2.904740864470164</v>
      </c>
      <c r="I270">
        <v>136302.39</v>
      </c>
      <c r="J270">
        <v>10.53667207792208</v>
      </c>
      <c r="K270">
        <v>0.2552496365966752</v>
      </c>
      <c r="L270">
        <v>1.538614319525425</v>
      </c>
      <c r="M270">
        <v>188.04</v>
      </c>
      <c r="N270">
        <v>101.28</v>
      </c>
    </row>
    <row r="271" spans="1:14">
      <c r="A271" s="1" t="s">
        <v>283</v>
      </c>
      <c r="B271">
        <f>HYPERLINK("https://www.suredividend.com/sure-analysis-R/","Ryder System, Inc.")</f>
        <v>0</v>
      </c>
      <c r="C271" t="s">
        <v>386</v>
      </c>
      <c r="D271">
        <v>91.065</v>
      </c>
      <c r="E271">
        <v>0.02723329489924779</v>
      </c>
      <c r="F271" t="s">
        <v>394</v>
      </c>
      <c r="G271" t="s">
        <v>394</v>
      </c>
      <c r="H271">
        <v>2.374869029279291</v>
      </c>
      <c r="I271">
        <v>4545.211271</v>
      </c>
      <c r="J271">
        <v>5.41824818285529</v>
      </c>
      <c r="K271">
        <v>0.1472330458325661</v>
      </c>
      <c r="L271">
        <v>0.9720822825144471</v>
      </c>
      <c r="M271">
        <v>97.26000000000001</v>
      </c>
      <c r="N271">
        <v>60.38</v>
      </c>
    </row>
    <row r="272" spans="1:14">
      <c r="A272" s="1" t="s">
        <v>284</v>
      </c>
      <c r="B272">
        <f>HYPERLINK("https://www.suredividend.com/sure-analysis-RBCAA/","Republic Bancorp, Inc. (KY)")</f>
        <v>0</v>
      </c>
      <c r="C272" t="s">
        <v>389</v>
      </c>
      <c r="D272">
        <v>43.09</v>
      </c>
      <c r="E272">
        <v>0.03156184729635646</v>
      </c>
      <c r="F272">
        <v>0.1071428571428572</v>
      </c>
      <c r="G272">
        <v>0.07099588603959828</v>
      </c>
      <c r="H272">
        <v>1.347486738668693</v>
      </c>
      <c r="I272">
        <v>763.290556</v>
      </c>
      <c r="J272">
        <v>8.662436089201613</v>
      </c>
      <c r="K272">
        <v>0.3163114410020406</v>
      </c>
      <c r="L272">
        <v>0.5118770533689151</v>
      </c>
      <c r="M272">
        <v>50.59</v>
      </c>
      <c r="N272">
        <v>37.86</v>
      </c>
    </row>
    <row r="273" spans="1:14">
      <c r="A273" s="1" t="s">
        <v>285</v>
      </c>
      <c r="B273">
        <f>HYPERLINK("https://www.suredividend.com/sure-analysis-RGA/","Reinsurance Group Of America, Inc.")</f>
        <v>0</v>
      </c>
      <c r="C273" t="s">
        <v>389</v>
      </c>
      <c r="D273">
        <v>144.78</v>
      </c>
      <c r="E273">
        <v>0.02210250034535157</v>
      </c>
      <c r="F273">
        <v>0.09589041095890427</v>
      </c>
      <c r="G273">
        <v>0.09856054330611785</v>
      </c>
      <c r="H273">
        <v>3.033071092310166</v>
      </c>
      <c r="I273">
        <v>9613.690096</v>
      </c>
      <c r="J273">
        <v>16.7194610368</v>
      </c>
      <c r="K273">
        <v>0.3589433245337474</v>
      </c>
      <c r="L273">
        <v>0.6959667867898891</v>
      </c>
      <c r="M273">
        <v>147.88</v>
      </c>
      <c r="N273">
        <v>95.83</v>
      </c>
    </row>
    <row r="274" spans="1:14">
      <c r="A274" s="1" t="s">
        <v>286</v>
      </c>
      <c r="B274">
        <f>HYPERLINK("https://www.suredividend.com/sure-analysis-RGLD/","Royal Gold, Inc.")</f>
        <v>0</v>
      </c>
      <c r="C274" t="s">
        <v>391</v>
      </c>
      <c r="D274">
        <v>128.19</v>
      </c>
      <c r="E274">
        <v>0.01092128871206802</v>
      </c>
      <c r="F274">
        <v>0.0714285714285714</v>
      </c>
      <c r="G274">
        <v>0.08447177119769855</v>
      </c>
      <c r="H274">
        <v>1.418083372583349</v>
      </c>
      <c r="I274">
        <v>8322.309553999999</v>
      </c>
      <c r="J274">
        <v>31.3140718210175</v>
      </c>
      <c r="K274">
        <v>0.3501440426131726</v>
      </c>
      <c r="L274">
        <v>0.519568154507512</v>
      </c>
      <c r="M274">
        <v>146.24</v>
      </c>
      <c r="N274">
        <v>83.97</v>
      </c>
    </row>
    <row r="275" spans="1:14">
      <c r="A275" s="1" t="s">
        <v>287</v>
      </c>
      <c r="B275">
        <f>HYPERLINK("https://www.suredividend.com/sure-analysis-RHI/","Robert Half International Inc.")</f>
        <v>0</v>
      </c>
      <c r="C275" t="s">
        <v>386</v>
      </c>
      <c r="D275">
        <v>76.18000000000001</v>
      </c>
      <c r="E275">
        <v>0.02257810448936728</v>
      </c>
      <c r="F275">
        <v>0.131578947368421</v>
      </c>
      <c r="G275">
        <v>0.08958743119932766</v>
      </c>
      <c r="H275">
        <v>1.706058077740892</v>
      </c>
      <c r="I275">
        <v>8255.653603999999</v>
      </c>
      <c r="J275">
        <v>12.1727099338553</v>
      </c>
      <c r="K275">
        <v>0.2765086025511981</v>
      </c>
      <c r="L275">
        <v>1.029939966994352</v>
      </c>
      <c r="M275">
        <v>123.32</v>
      </c>
      <c r="N275">
        <v>65.04000000000001</v>
      </c>
    </row>
    <row r="276" spans="1:14">
      <c r="A276" s="1" t="s">
        <v>288</v>
      </c>
      <c r="B276">
        <f>HYPERLINK("https://www.suredividend.com/sure-analysis-RJF/","Raymond James Financial, Inc.")</f>
        <v>0</v>
      </c>
      <c r="C276" t="s">
        <v>389</v>
      </c>
      <c r="D276">
        <v>113.91</v>
      </c>
      <c r="E276">
        <v>0.01474848564656308</v>
      </c>
      <c r="F276">
        <v>0.2352941176470587</v>
      </c>
      <c r="G276">
        <v>0.1093328057258516</v>
      </c>
      <c r="H276">
        <v>1.432418180976265</v>
      </c>
      <c r="I276">
        <v>24480.68845</v>
      </c>
      <c r="J276">
        <v>16.29872733002663</v>
      </c>
      <c r="K276">
        <v>0.2052175044378603</v>
      </c>
      <c r="L276">
        <v>1.063742306713617</v>
      </c>
      <c r="M276">
        <v>125.51</v>
      </c>
      <c r="N276">
        <v>83.92</v>
      </c>
    </row>
    <row r="277" spans="1:14">
      <c r="A277" s="1" t="s">
        <v>289</v>
      </c>
      <c r="B277">
        <f>HYPERLINK("https://www.suredividend.com/sure-analysis-RLI/","RLI Corp.")</f>
        <v>0</v>
      </c>
      <c r="C277" t="s">
        <v>389</v>
      </c>
      <c r="D277">
        <v>138.42</v>
      </c>
      <c r="E277">
        <v>0.007513365120647307</v>
      </c>
      <c r="F277">
        <v>0.04000000000000004</v>
      </c>
      <c r="G277">
        <v>0.03397522653195018</v>
      </c>
      <c r="H277">
        <v>1.026761494298704</v>
      </c>
      <c r="I277">
        <v>6191.851433</v>
      </c>
      <c r="J277">
        <v>10.65978165679913</v>
      </c>
      <c r="K277">
        <v>0.08072024326247673</v>
      </c>
      <c r="L277">
        <v>0.4600530730823</v>
      </c>
      <c r="M277">
        <v>138.05</v>
      </c>
      <c r="N277">
        <v>95.36</v>
      </c>
    </row>
    <row r="278" spans="1:14">
      <c r="A278" s="1" t="s">
        <v>290</v>
      </c>
      <c r="B278">
        <f>HYPERLINK("https://www.suredividend.com/sure-analysis-RNR/","RenaissanceRe Holdings Ltd")</f>
        <v>0</v>
      </c>
      <c r="C278" t="s">
        <v>389</v>
      </c>
      <c r="D278">
        <v>196.51</v>
      </c>
      <c r="E278">
        <v>0.007531423337234747</v>
      </c>
      <c r="F278">
        <v>0.0277777777777779</v>
      </c>
      <c r="G278">
        <v>0.02314587308046168</v>
      </c>
      <c r="H278">
        <v>1.474938655171878</v>
      </c>
      <c r="I278">
        <v>8529.297871000001</v>
      </c>
      <c r="J278" t="s">
        <v>394</v>
      </c>
      <c r="K278" t="s">
        <v>394</v>
      </c>
      <c r="L278">
        <v>0.5019457885185811</v>
      </c>
      <c r="M278">
        <v>196.24</v>
      </c>
      <c r="N278">
        <v>123.61</v>
      </c>
    </row>
    <row r="279" spans="1:14">
      <c r="A279" s="1" t="s">
        <v>291</v>
      </c>
      <c r="B279">
        <f>HYPERLINK("https://www.suredividend.com/sure-analysis-ROK/","Rockwell Automation Inc")</f>
        <v>0</v>
      </c>
      <c r="C279" t="s">
        <v>386</v>
      </c>
      <c r="D279">
        <v>282.25</v>
      </c>
      <c r="E279">
        <v>0.01672276350752878</v>
      </c>
      <c r="F279">
        <v>0.05357142857142838</v>
      </c>
      <c r="G279">
        <v>0.05103901130952315</v>
      </c>
      <c r="H279">
        <v>4.488350924199868</v>
      </c>
      <c r="I279">
        <v>32318.292814</v>
      </c>
      <c r="J279">
        <v>34.77702874671258</v>
      </c>
      <c r="K279">
        <v>0.5638631814321442</v>
      </c>
      <c r="L279">
        <v>1.091695841969436</v>
      </c>
      <c r="M279">
        <v>321.07</v>
      </c>
      <c r="N279">
        <v>187.52</v>
      </c>
    </row>
    <row r="280" spans="1:14">
      <c r="A280" s="1" t="s">
        <v>292</v>
      </c>
      <c r="B280">
        <f>HYPERLINK("https://www.suredividend.com/sure-analysis-ROP/","Roper Technologies Inc")</f>
        <v>0</v>
      </c>
      <c r="C280" t="s">
        <v>386</v>
      </c>
      <c r="D280">
        <v>447.78</v>
      </c>
      <c r="E280">
        <v>0.006096743936754656</v>
      </c>
      <c r="F280">
        <v>0.1008064516129032</v>
      </c>
      <c r="G280">
        <v>0.1059506305412523</v>
      </c>
      <c r="H280">
        <v>2.536620893955785</v>
      </c>
      <c r="I280">
        <v>47853.868326</v>
      </c>
      <c r="J280">
        <v>16.4780373700699</v>
      </c>
      <c r="K280">
        <v>0.09329241978506013</v>
      </c>
      <c r="L280">
        <v>0.7844155841407541</v>
      </c>
      <c r="M280">
        <v>485.92</v>
      </c>
      <c r="N280">
        <v>355.66</v>
      </c>
    </row>
    <row r="281" spans="1:14">
      <c r="A281" s="1" t="s">
        <v>293</v>
      </c>
      <c r="B281">
        <f>HYPERLINK("https://www.suredividend.com/sure-analysis-RPM/","RPM International, Inc.")</f>
        <v>0</v>
      </c>
      <c r="C281" t="s">
        <v>391</v>
      </c>
      <c r="D281">
        <v>87.34</v>
      </c>
      <c r="E281">
        <v>0.01923517288756583</v>
      </c>
      <c r="F281">
        <v>0.04999999999999982</v>
      </c>
      <c r="G281">
        <v>0.05589288248337687</v>
      </c>
      <c r="H281">
        <v>1.214390079935647</v>
      </c>
      <c r="I281">
        <v>11278.596707</v>
      </c>
      <c r="J281">
        <v>21.33213175257323</v>
      </c>
      <c r="K281">
        <v>0.2976446274352076</v>
      </c>
      <c r="L281">
        <v>0.8841249507124</v>
      </c>
      <c r="M281">
        <v>106.5</v>
      </c>
      <c r="N281">
        <v>73.84999999999999</v>
      </c>
    </row>
    <row r="282" spans="1:14">
      <c r="A282" s="1" t="s">
        <v>294</v>
      </c>
      <c r="B282">
        <f>HYPERLINK("https://www.suredividend.com/sure-analysis-research-database/","Regal Rexnord Corp")</f>
        <v>0</v>
      </c>
      <c r="C282" t="s">
        <v>394</v>
      </c>
      <c r="D282">
        <v>134.99</v>
      </c>
      <c r="E282">
        <v>0.010191126012822</v>
      </c>
      <c r="F282" t="s">
        <v>394</v>
      </c>
      <c r="G282" t="s">
        <v>394</v>
      </c>
      <c r="H282">
        <v>1.374273342829054</v>
      </c>
      <c r="I282">
        <v>8920.494579</v>
      </c>
      <c r="J282">
        <v>23.31545891048092</v>
      </c>
      <c r="K282">
        <v>0.2419495321882138</v>
      </c>
      <c r="L282">
        <v>1.134515671952037</v>
      </c>
      <c r="M282">
        <v>169.84</v>
      </c>
      <c r="N282">
        <v>107.37</v>
      </c>
    </row>
    <row r="283" spans="1:14">
      <c r="A283" s="1" t="s">
        <v>295</v>
      </c>
      <c r="B283">
        <f>HYPERLINK("https://www.suredividend.com/sure-analysis-RS/","Reliance Steel &amp; Aluminum Co.")</f>
        <v>0</v>
      </c>
      <c r="C283" t="s">
        <v>391</v>
      </c>
      <c r="D283">
        <v>213.29</v>
      </c>
      <c r="E283">
        <v>0.01640958319658681</v>
      </c>
      <c r="F283">
        <v>0.2727272727272727</v>
      </c>
      <c r="G283">
        <v>0.1184269147201447</v>
      </c>
      <c r="H283">
        <v>3.476781373921429</v>
      </c>
      <c r="I283">
        <v>13591.565263</v>
      </c>
      <c r="J283">
        <v>7.112651244261866</v>
      </c>
      <c r="K283">
        <v>0.1136203063373016</v>
      </c>
      <c r="L283">
        <v>0.818554820447959</v>
      </c>
      <c r="M283">
        <v>216.76</v>
      </c>
      <c r="N283">
        <v>143.16</v>
      </c>
    </row>
    <row r="284" spans="1:14">
      <c r="A284" s="1" t="s">
        <v>296</v>
      </c>
      <c r="B284">
        <f>HYPERLINK("https://www.suredividend.com/sure-analysis-RSG/","Republic Services, Inc.")</f>
        <v>0</v>
      </c>
      <c r="C284" t="s">
        <v>386</v>
      </c>
      <c r="D284">
        <v>123.35</v>
      </c>
      <c r="E284">
        <v>0.01605188488042156</v>
      </c>
      <c r="F284">
        <v>0.07608695652173902</v>
      </c>
      <c r="G284">
        <v>0.07487316557532875</v>
      </c>
      <c r="H284">
        <v>1.899729413031072</v>
      </c>
      <c r="I284">
        <v>38953.435381</v>
      </c>
      <c r="J284">
        <v>26.79237594106885</v>
      </c>
      <c r="K284">
        <v>0.4147880814478324</v>
      </c>
      <c r="L284">
        <v>0.559327540326102</v>
      </c>
      <c r="M284">
        <v>148.07</v>
      </c>
      <c r="N284">
        <v>111.95</v>
      </c>
    </row>
    <row r="285" spans="1:14">
      <c r="A285" s="1" t="s">
        <v>297</v>
      </c>
      <c r="B285">
        <f>HYPERLINK("https://www.suredividend.com/sure-analysis-RTX/","Raytheon Technologies Corporation")</f>
        <v>0</v>
      </c>
      <c r="C285" t="s">
        <v>386</v>
      </c>
      <c r="D285">
        <v>98.39</v>
      </c>
      <c r="E285">
        <v>0.02235999593454619</v>
      </c>
      <c r="F285">
        <v>0.07843137254901977</v>
      </c>
      <c r="G285" t="s">
        <v>394</v>
      </c>
      <c r="H285">
        <v>2.141519384501537</v>
      </c>
      <c r="I285">
        <v>148005.718827</v>
      </c>
      <c r="J285">
        <v>33.17769980430397</v>
      </c>
      <c r="K285">
        <v>0.716227218896835</v>
      </c>
      <c r="L285">
        <v>0.656604401664689</v>
      </c>
      <c r="M285">
        <v>104.17</v>
      </c>
      <c r="N285">
        <v>79.8</v>
      </c>
    </row>
    <row r="286" spans="1:14">
      <c r="A286" s="1" t="s">
        <v>298</v>
      </c>
      <c r="B286">
        <f>HYPERLINK("https://www.suredividend.com/sure-analysis-research-database/","Sandy Spring Bancorp")</f>
        <v>0</v>
      </c>
      <c r="C286" t="s">
        <v>389</v>
      </c>
      <c r="D286">
        <v>35.41</v>
      </c>
      <c r="E286">
        <v>0.037703690860542</v>
      </c>
      <c r="F286">
        <v>0.0625</v>
      </c>
      <c r="G286">
        <v>0.05511819868320456</v>
      </c>
      <c r="H286">
        <v>1.341497320818097</v>
      </c>
      <c r="I286">
        <v>1588.443091</v>
      </c>
      <c r="J286">
        <v>8.968478443375453</v>
      </c>
      <c r="K286">
        <v>0.3422187042903309</v>
      </c>
      <c r="L286">
        <v>0.7249598850038541</v>
      </c>
      <c r="M286">
        <v>50.05</v>
      </c>
      <c r="N286">
        <v>32.01</v>
      </c>
    </row>
    <row r="287" spans="1:14">
      <c r="A287" s="1" t="s">
        <v>299</v>
      </c>
      <c r="B287">
        <f>HYPERLINK("https://www.suredividend.com/sure-analysis-SBSI/","Southside Bancshares Inc")</f>
        <v>0</v>
      </c>
      <c r="C287" t="s">
        <v>389</v>
      </c>
      <c r="D287">
        <v>36.17</v>
      </c>
      <c r="E287">
        <v>0.03760022117777163</v>
      </c>
      <c r="F287">
        <v>0</v>
      </c>
      <c r="G287">
        <v>0.02534857565773274</v>
      </c>
      <c r="H287">
        <v>1.342006881616202</v>
      </c>
      <c r="I287">
        <v>1173.117431</v>
      </c>
      <c r="J287">
        <v>11.06307519686153</v>
      </c>
      <c r="K287">
        <v>0.4091484395171348</v>
      </c>
      <c r="L287">
        <v>0.473100735659204</v>
      </c>
      <c r="M287">
        <v>43.23</v>
      </c>
      <c r="N287">
        <v>30.89</v>
      </c>
    </row>
    <row r="288" spans="1:14">
      <c r="A288" s="1" t="s">
        <v>300</v>
      </c>
      <c r="B288">
        <f>HYPERLINK("https://www.suredividend.com/sure-analysis-SBUX/","Starbucks Corp.")</f>
        <v>0</v>
      </c>
      <c r="C288" t="s">
        <v>393</v>
      </c>
      <c r="D288">
        <v>106.3</v>
      </c>
      <c r="E288">
        <v>0.01994355597365946</v>
      </c>
      <c r="F288">
        <v>0.08163265306122458</v>
      </c>
      <c r="G288">
        <v>0.1205491821988536</v>
      </c>
      <c r="H288">
        <v>1.971223031985217</v>
      </c>
      <c r="I288">
        <v>121494.63</v>
      </c>
      <c r="J288">
        <v>37.02298573866406</v>
      </c>
      <c r="K288">
        <v>0.6965452409841756</v>
      </c>
      <c r="L288">
        <v>1.08060711362428</v>
      </c>
      <c r="M288">
        <v>107</v>
      </c>
      <c r="N288">
        <v>67.22</v>
      </c>
    </row>
    <row r="289" spans="1:14">
      <c r="A289" s="1" t="s">
        <v>301</v>
      </c>
      <c r="B289">
        <f>HYPERLINK("https://www.suredividend.com/sure-analysis-SCI/","Service Corp. International")</f>
        <v>0</v>
      </c>
      <c r="C289" t="s">
        <v>393</v>
      </c>
      <c r="D289">
        <v>71.16</v>
      </c>
      <c r="E289">
        <v>0.01405283867341203</v>
      </c>
      <c r="F289">
        <v>0.173913043478261</v>
      </c>
      <c r="G289">
        <v>0.09694024046466465</v>
      </c>
      <c r="H289">
        <v>1.014143909913788</v>
      </c>
      <c r="I289">
        <v>10955.56662</v>
      </c>
      <c r="J289">
        <v>16.12219953962501</v>
      </c>
      <c r="K289">
        <v>0.2431999783965919</v>
      </c>
      <c r="L289">
        <v>0.649019790304043</v>
      </c>
      <c r="M289">
        <v>74.52</v>
      </c>
      <c r="N289">
        <v>56.37</v>
      </c>
    </row>
    <row r="290" spans="1:14">
      <c r="A290" s="1" t="s">
        <v>302</v>
      </c>
      <c r="B290">
        <f>HYPERLINK("https://www.suredividend.com/sure-analysis-SCL/","Stepan Co.")</f>
        <v>0</v>
      </c>
      <c r="C290" t="s">
        <v>391</v>
      </c>
      <c r="D290">
        <v>111.65</v>
      </c>
      <c r="E290">
        <v>0.01307657859381997</v>
      </c>
      <c r="F290">
        <v>0.08955223880596996</v>
      </c>
      <c r="G290">
        <v>0.1015952871926673</v>
      </c>
      <c r="H290">
        <v>1.359722580893415</v>
      </c>
      <c r="I290">
        <v>2489.57072</v>
      </c>
      <c r="J290">
        <v>16.2383782302986</v>
      </c>
      <c r="K290">
        <v>0.2050863621257036</v>
      </c>
      <c r="L290">
        <v>0.7422289067727601</v>
      </c>
      <c r="M290">
        <v>120.32</v>
      </c>
      <c r="N290">
        <v>91.33</v>
      </c>
    </row>
    <row r="291" spans="1:14">
      <c r="A291" s="1" t="s">
        <v>303</v>
      </c>
      <c r="B291">
        <f>HYPERLINK("https://www.suredividend.com/sure-analysis-SEIC/","SEI Investments Co.")</f>
        <v>0</v>
      </c>
      <c r="C291" t="s">
        <v>389</v>
      </c>
      <c r="D291">
        <v>61.715</v>
      </c>
      <c r="E291">
        <v>0.0129628129304059</v>
      </c>
      <c r="F291" t="s">
        <v>394</v>
      </c>
      <c r="G291" t="s">
        <v>394</v>
      </c>
      <c r="H291">
        <v>0.8270816642788451</v>
      </c>
      <c r="I291">
        <v>8300.041289999999</v>
      </c>
      <c r="J291">
        <v>16.32121824577273</v>
      </c>
      <c r="K291">
        <v>0.2259785967974987</v>
      </c>
      <c r="L291">
        <v>0.8657673977932341</v>
      </c>
      <c r="M291">
        <v>63.03</v>
      </c>
      <c r="N291">
        <v>45.96</v>
      </c>
    </row>
    <row r="292" spans="1:14">
      <c r="A292" s="1" t="s">
        <v>304</v>
      </c>
      <c r="B292">
        <f>HYPERLINK("https://www.suredividend.com/sure-analysis-research-database/","Simmons First National Corp.")</f>
        <v>0</v>
      </c>
      <c r="C292" t="s">
        <v>389</v>
      </c>
      <c r="D292">
        <v>22.7</v>
      </c>
      <c r="E292">
        <v>0.032855414834951</v>
      </c>
      <c r="F292">
        <v>0.05555555555555558</v>
      </c>
      <c r="G292">
        <v>0.04841317128472156</v>
      </c>
      <c r="H292">
        <v>0.7500891206819511</v>
      </c>
      <c r="I292">
        <v>2898.717064</v>
      </c>
      <c r="J292">
        <v>13.09373419627612</v>
      </c>
      <c r="K292">
        <v>0.4098847653999733</v>
      </c>
      <c r="L292">
        <v>0.720578002986151</v>
      </c>
      <c r="M292">
        <v>30.92</v>
      </c>
      <c r="N292">
        <v>19.34</v>
      </c>
    </row>
    <row r="293" spans="1:14">
      <c r="A293" s="1" t="s">
        <v>305</v>
      </c>
      <c r="B293">
        <f>HYPERLINK("https://www.suredividend.com/sure-analysis-SHW/","Sherwin-Williams Co.")</f>
        <v>0</v>
      </c>
      <c r="C293" t="s">
        <v>391</v>
      </c>
      <c r="D293">
        <v>244.32</v>
      </c>
      <c r="E293">
        <v>0.009823182711198428</v>
      </c>
      <c r="F293">
        <v>0.09090909090909105</v>
      </c>
      <c r="G293" t="s">
        <v>394</v>
      </c>
      <c r="H293">
        <v>2.391279517932416</v>
      </c>
      <c r="I293">
        <v>63163.616216</v>
      </c>
      <c r="J293">
        <v>32.59552906174012</v>
      </c>
      <c r="K293">
        <v>0.3235831553359156</v>
      </c>
      <c r="L293">
        <v>0.8762721054681981</v>
      </c>
      <c r="M293">
        <v>310.48</v>
      </c>
      <c r="N293">
        <v>194.75</v>
      </c>
    </row>
    <row r="294" spans="1:14">
      <c r="A294" s="1" t="s">
        <v>306</v>
      </c>
      <c r="B294">
        <f>HYPERLINK("https://www.suredividend.com/sure-analysis-SJM/","J.M. Smucker Co.")</f>
        <v>0</v>
      </c>
      <c r="C294" t="s">
        <v>388</v>
      </c>
      <c r="D294">
        <v>154.785</v>
      </c>
      <c r="E294">
        <v>0.02635914332784185</v>
      </c>
      <c r="F294">
        <v>0.03030303030303028</v>
      </c>
      <c r="G294">
        <v>0.05511819868320456</v>
      </c>
      <c r="H294">
        <v>3.950438662184703</v>
      </c>
      <c r="I294">
        <v>16553.683546</v>
      </c>
      <c r="J294">
        <v>28.96532553937008</v>
      </c>
      <c r="K294">
        <v>0.7453657853178686</v>
      </c>
      <c r="L294">
        <v>0.257361494472267</v>
      </c>
      <c r="M294">
        <v>163.07</v>
      </c>
      <c r="N294">
        <v>117.28</v>
      </c>
    </row>
    <row r="295" spans="1:14">
      <c r="A295" s="1" t="s">
        <v>307</v>
      </c>
      <c r="B295">
        <f>HYPERLINK("https://www.suredividend.com/sure-analysis-SJW/","SJW Group")</f>
        <v>0</v>
      </c>
      <c r="C295" t="s">
        <v>390</v>
      </c>
      <c r="D295">
        <v>80.09999999999999</v>
      </c>
      <c r="E295">
        <v>0.01797752808988764</v>
      </c>
      <c r="F295">
        <v>0.0588235294117645</v>
      </c>
      <c r="G295">
        <v>0.05154749679728043</v>
      </c>
      <c r="H295">
        <v>1.42833724794961</v>
      </c>
      <c r="I295">
        <v>2426.45494</v>
      </c>
      <c r="J295">
        <v>41.58591450452458</v>
      </c>
      <c r="K295">
        <v>0.7400711129272589</v>
      </c>
      <c r="L295">
        <v>0.4133698225277671</v>
      </c>
      <c r="M295">
        <v>83.88</v>
      </c>
      <c r="N295">
        <v>55.15</v>
      </c>
    </row>
    <row r="296" spans="1:14">
      <c r="A296" s="1" t="s">
        <v>308</v>
      </c>
      <c r="B296">
        <f>HYPERLINK("https://www.suredividend.com/sure-analysis-SLGN/","Silgan Holdings Inc.")</f>
        <v>0</v>
      </c>
      <c r="C296" t="s">
        <v>393</v>
      </c>
      <c r="D296">
        <v>52.59</v>
      </c>
      <c r="E296">
        <v>0.01216961399505609</v>
      </c>
      <c r="F296">
        <v>0.1428571428571428</v>
      </c>
      <c r="G296">
        <v>0.09856054330611763</v>
      </c>
      <c r="H296">
        <v>0.319509630619105</v>
      </c>
      <c r="I296">
        <v>5775.845497</v>
      </c>
      <c r="J296">
        <v>14.39337502595412</v>
      </c>
      <c r="K296">
        <v>0.08850682288617868</v>
      </c>
      <c r="L296">
        <v>0.5526009306378881</v>
      </c>
      <c r="M296">
        <v>54.59</v>
      </c>
      <c r="N296">
        <v>38.34</v>
      </c>
    </row>
    <row r="297" spans="1:14">
      <c r="A297" s="1" t="s">
        <v>309</v>
      </c>
      <c r="B297">
        <f>HYPERLINK("https://www.suredividend.com/sure-analysis-research-database/","Southern Missouri Bancorp, Inc.")</f>
        <v>0</v>
      </c>
      <c r="C297" t="s">
        <v>389</v>
      </c>
      <c r="D297">
        <v>47.1</v>
      </c>
      <c r="E297">
        <v>0.017098549850625</v>
      </c>
      <c r="F297">
        <v>0.04999999999999982</v>
      </c>
      <c r="G297">
        <v>0.1380604263098537</v>
      </c>
      <c r="H297">
        <v>0.815087871379314</v>
      </c>
      <c r="I297">
        <v>439.953628</v>
      </c>
      <c r="J297">
        <v>0</v>
      </c>
      <c r="K297" t="s">
        <v>394</v>
      </c>
      <c r="L297">
        <v>0.5286236954711381</v>
      </c>
      <c r="M297">
        <v>56.88</v>
      </c>
      <c r="N297">
        <v>41.27</v>
      </c>
    </row>
    <row r="298" spans="1:14">
      <c r="A298" s="1" t="s">
        <v>310</v>
      </c>
      <c r="B298">
        <f>HYPERLINK("https://www.suredividend.com/sure-analysis-SMG/","Scotts Miracle-Gro Company")</f>
        <v>0</v>
      </c>
      <c r="C298" t="s">
        <v>391</v>
      </c>
      <c r="D298">
        <v>59.155</v>
      </c>
      <c r="E298">
        <v>0.04462851829938298</v>
      </c>
      <c r="F298">
        <v>0</v>
      </c>
      <c r="G298">
        <v>0.04484919677280197</v>
      </c>
      <c r="H298">
        <v>2.623428147897792</v>
      </c>
      <c r="I298">
        <v>3260.2163</v>
      </c>
      <c r="J298" t="s">
        <v>394</v>
      </c>
      <c r="K298" t="s">
        <v>394</v>
      </c>
      <c r="L298">
        <v>1.401848922270504</v>
      </c>
      <c r="M298">
        <v>161.53</v>
      </c>
      <c r="N298">
        <v>39.06</v>
      </c>
    </row>
    <row r="299" spans="1:14">
      <c r="A299" s="1" t="s">
        <v>311</v>
      </c>
      <c r="B299">
        <f>HYPERLINK("https://www.suredividend.com/sure-analysis-SNA/","Snap-on, Inc.")</f>
        <v>0</v>
      </c>
      <c r="C299" t="s">
        <v>386</v>
      </c>
      <c r="D299">
        <v>248.56</v>
      </c>
      <c r="E299">
        <v>0.02607016414547796</v>
      </c>
      <c r="F299">
        <v>0.1408450704225352</v>
      </c>
      <c r="G299">
        <v>0.1458828839838071</v>
      </c>
      <c r="H299">
        <v>5.824063805414838</v>
      </c>
      <c r="I299">
        <v>13195.107585</v>
      </c>
      <c r="J299">
        <v>14.71846914150586</v>
      </c>
      <c r="K299">
        <v>0.3529735639645356</v>
      </c>
      <c r="L299">
        <v>0.7840688565255131</v>
      </c>
      <c r="M299">
        <v>248.73</v>
      </c>
      <c r="N299">
        <v>187.61</v>
      </c>
    </row>
    <row r="300" spans="1:14">
      <c r="A300" s="1" t="s">
        <v>312</v>
      </c>
      <c r="B300">
        <f>HYPERLINK("https://www.suredividend.com/sure-analysis-SO/","Southern Company")</f>
        <v>0</v>
      </c>
      <c r="C300" t="s">
        <v>390</v>
      </c>
      <c r="D300">
        <v>69.7</v>
      </c>
      <c r="E300">
        <v>0.03902439024390244</v>
      </c>
      <c r="F300">
        <v>0.03030303030303028</v>
      </c>
      <c r="G300">
        <v>0.03232437953530787</v>
      </c>
      <c r="H300">
        <v>2.661323934862225</v>
      </c>
      <c r="I300">
        <v>76577.246722</v>
      </c>
      <c r="J300">
        <v>22.5492481512132</v>
      </c>
      <c r="K300">
        <v>0.8421911186272865</v>
      </c>
      <c r="L300">
        <v>0.460018425469388</v>
      </c>
      <c r="M300">
        <v>79.73</v>
      </c>
      <c r="N300">
        <v>60.03</v>
      </c>
    </row>
    <row r="301" spans="1:14">
      <c r="A301" s="1" t="s">
        <v>313</v>
      </c>
      <c r="B301">
        <f>HYPERLINK("https://www.suredividend.com/sure-analysis-SON/","Sonoco Products Co.")</f>
        <v>0</v>
      </c>
      <c r="C301" t="s">
        <v>393</v>
      </c>
      <c r="D301">
        <v>61.02</v>
      </c>
      <c r="E301">
        <v>0.03212061619141265</v>
      </c>
      <c r="F301">
        <v>0.0888888888888888</v>
      </c>
      <c r="G301">
        <v>0.0467098102600354</v>
      </c>
      <c r="H301">
        <v>1.897022374145292</v>
      </c>
      <c r="I301">
        <v>5963.847742</v>
      </c>
      <c r="J301">
        <v>13.72924731729552</v>
      </c>
      <c r="K301">
        <v>0.4291905823858127</v>
      </c>
      <c r="L301">
        <v>0.731121786819605</v>
      </c>
      <c r="M301">
        <v>65.44</v>
      </c>
      <c r="N301">
        <v>50.68</v>
      </c>
    </row>
    <row r="302" spans="1:14">
      <c r="A302" s="1" t="s">
        <v>314</v>
      </c>
      <c r="B302">
        <f>HYPERLINK("https://www.suredividend.com/sure-analysis-SPGI/","S&amp;P Global Inc")</f>
        <v>0</v>
      </c>
      <c r="C302" t="s">
        <v>389</v>
      </c>
      <c r="D302">
        <v>364.415</v>
      </c>
      <c r="E302">
        <v>0.00933002209019936</v>
      </c>
      <c r="F302">
        <v>0.1038961038961039</v>
      </c>
      <c r="G302">
        <v>0.1119615859385787</v>
      </c>
      <c r="H302">
        <v>3.314456686988452</v>
      </c>
      <c r="I302">
        <v>122467.41</v>
      </c>
      <c r="J302">
        <v>34.34206534823732</v>
      </c>
      <c r="K302">
        <v>0.2823216939513162</v>
      </c>
      <c r="L302">
        <v>0.9595243532256261</v>
      </c>
      <c r="M302">
        <v>431.9</v>
      </c>
      <c r="N302">
        <v>279.32</v>
      </c>
    </row>
    <row r="303" spans="1:14">
      <c r="A303" s="1" t="s">
        <v>315</v>
      </c>
      <c r="B303">
        <f>HYPERLINK("https://www.suredividend.com/sure-analysis-SPTN/","SpartanNash Co")</f>
        <v>0</v>
      </c>
      <c r="C303" t="s">
        <v>388</v>
      </c>
      <c r="D303">
        <v>30.68</v>
      </c>
      <c r="E303">
        <v>0.02737940026075619</v>
      </c>
      <c r="F303">
        <v>0.04999999999999982</v>
      </c>
      <c r="G303">
        <v>0.03131030647754507</v>
      </c>
      <c r="H303">
        <v>0.831556940369184</v>
      </c>
      <c r="I303">
        <v>1091.413358</v>
      </c>
      <c r="J303">
        <v>19.5913291852304</v>
      </c>
      <c r="K303">
        <v>0.5364883486252801</v>
      </c>
      <c r="L303">
        <v>0.6101365283125451</v>
      </c>
      <c r="M303">
        <v>37.5</v>
      </c>
      <c r="N303">
        <v>23.12</v>
      </c>
    </row>
    <row r="304" spans="1:14">
      <c r="A304" s="1" t="s">
        <v>316</v>
      </c>
      <c r="B304">
        <f>HYPERLINK("https://www.suredividend.com/sure-analysis-SR/","Spire Inc.")</f>
        <v>0</v>
      </c>
      <c r="C304" t="s">
        <v>390</v>
      </c>
      <c r="D304">
        <v>72.40000000000001</v>
      </c>
      <c r="E304">
        <v>0.03977900552486188</v>
      </c>
      <c r="F304">
        <v>0.05109489051094873</v>
      </c>
      <c r="G304">
        <v>0.05061112176150684</v>
      </c>
      <c r="H304">
        <v>2.734235741372004</v>
      </c>
      <c r="I304">
        <v>3826.499926</v>
      </c>
      <c r="J304">
        <v>18.60233313383568</v>
      </c>
      <c r="K304">
        <v>0.6922115800941783</v>
      </c>
      <c r="L304">
        <v>0.452496713126426</v>
      </c>
      <c r="M304">
        <v>76.95</v>
      </c>
      <c r="N304">
        <v>59.51</v>
      </c>
    </row>
    <row r="305" spans="1:14">
      <c r="A305" s="1" t="s">
        <v>317</v>
      </c>
      <c r="B305">
        <f>HYPERLINK("https://www.suredividend.com/sure-analysis-SRCE/","1st Source Corp.")</f>
        <v>0</v>
      </c>
      <c r="C305" t="s">
        <v>389</v>
      </c>
      <c r="D305">
        <v>53.07</v>
      </c>
      <c r="E305">
        <v>0.02411908799698511</v>
      </c>
      <c r="F305">
        <v>0.032258064516129</v>
      </c>
      <c r="G305">
        <v>0.07781806771272581</v>
      </c>
      <c r="H305">
        <v>1.248589295353526</v>
      </c>
      <c r="I305">
        <v>1320.391882</v>
      </c>
      <c r="J305">
        <v>11.36094613670389</v>
      </c>
      <c r="K305">
        <v>0.2656572968837289</v>
      </c>
      <c r="L305">
        <v>0.5829058376021681</v>
      </c>
      <c r="M305">
        <v>59.61</v>
      </c>
      <c r="N305">
        <v>41.78</v>
      </c>
    </row>
    <row r="306" spans="1:14">
      <c r="A306" s="1" t="s">
        <v>318</v>
      </c>
      <c r="B306">
        <f>HYPERLINK("https://www.suredividend.com/sure-analysis-SRE/","Sempra Energy")</f>
        <v>0</v>
      </c>
      <c r="C306" t="s">
        <v>390</v>
      </c>
      <c r="D306">
        <v>159.86</v>
      </c>
      <c r="E306">
        <v>0.02865006881020893</v>
      </c>
      <c r="F306">
        <v>0.04090909090909078</v>
      </c>
      <c r="G306">
        <v>0.05050104865141103</v>
      </c>
      <c r="H306">
        <v>4.530425004550722</v>
      </c>
      <c r="I306">
        <v>50585.668108</v>
      </c>
      <c r="J306">
        <v>22.38303898565929</v>
      </c>
      <c r="K306">
        <v>0.6345133059594849</v>
      </c>
      <c r="L306">
        <v>0.533507458506989</v>
      </c>
      <c r="M306">
        <v>173.97</v>
      </c>
      <c r="N306">
        <v>125.95</v>
      </c>
    </row>
    <row r="307" spans="1:14">
      <c r="A307" s="1" t="s">
        <v>319</v>
      </c>
      <c r="B307">
        <f>HYPERLINK("https://www.suredividend.com/sure-analysis-research-database/","SouthState Corporation")</f>
        <v>0</v>
      </c>
      <c r="C307" t="s">
        <v>389</v>
      </c>
      <c r="D307">
        <v>81.17</v>
      </c>
      <c r="E307">
        <v>0.023782719374284</v>
      </c>
      <c r="F307">
        <v>0.02040816326530615</v>
      </c>
      <c r="G307">
        <v>0.0801851873035635</v>
      </c>
      <c r="H307">
        <v>1.951609951853814</v>
      </c>
      <c r="I307">
        <v>6211.576833</v>
      </c>
      <c r="J307">
        <v>13.52127009553911</v>
      </c>
      <c r="K307">
        <v>0.3127580051047779</v>
      </c>
      <c r="L307">
        <v>0.8615310901584241</v>
      </c>
      <c r="M307">
        <v>91.45</v>
      </c>
      <c r="N307">
        <v>71.02</v>
      </c>
    </row>
    <row r="308" spans="1:14">
      <c r="A308" s="1" t="s">
        <v>320</v>
      </c>
      <c r="B308">
        <f>HYPERLINK("https://www.suredividend.com/sure-analysis-STAG/","STAG Industrial Inc")</f>
        <v>0</v>
      </c>
      <c r="C308" t="s">
        <v>392</v>
      </c>
      <c r="D308">
        <v>35.24</v>
      </c>
      <c r="E308">
        <v>0.04143019296254256</v>
      </c>
      <c r="F308">
        <v>0</v>
      </c>
      <c r="G308">
        <v>0.001376622202540201</v>
      </c>
      <c r="H308">
        <v>1.429785188053549</v>
      </c>
      <c r="I308">
        <v>6346.053999</v>
      </c>
      <c r="J308">
        <v>27.05329615459382</v>
      </c>
      <c r="K308">
        <v>1.083170597010264</v>
      </c>
      <c r="L308">
        <v>0.9419719594587851</v>
      </c>
      <c r="M308">
        <v>42.06</v>
      </c>
      <c r="N308">
        <v>26.25</v>
      </c>
    </row>
    <row r="309" spans="1:14">
      <c r="A309" s="1" t="s">
        <v>321</v>
      </c>
      <c r="B309">
        <f>HYPERLINK("https://www.suredividend.com/sure-analysis-research-database/","Steris Plc")</f>
        <v>0</v>
      </c>
      <c r="C309" t="s">
        <v>385</v>
      </c>
      <c r="D309">
        <v>199.99</v>
      </c>
      <c r="E309">
        <v>0.008966688089293001</v>
      </c>
      <c r="F309">
        <v>0.09302325581395365</v>
      </c>
      <c r="G309">
        <v>0.08679400183142283</v>
      </c>
      <c r="H309">
        <v>1.795399956119235</v>
      </c>
      <c r="I309">
        <v>19987.549879</v>
      </c>
      <c r="J309" t="s">
        <v>394</v>
      </c>
      <c r="K309" t="s">
        <v>394</v>
      </c>
      <c r="L309">
        <v>0.8677731100604351</v>
      </c>
      <c r="M309">
        <v>254.71</v>
      </c>
      <c r="N309">
        <v>158.76</v>
      </c>
    </row>
    <row r="310" spans="1:14">
      <c r="A310" s="1" t="s">
        <v>322</v>
      </c>
      <c r="B310">
        <f>HYPERLINK("https://www.suredividend.com/sure-analysis-STT/","State Street Corp.")</f>
        <v>0</v>
      </c>
      <c r="C310" t="s">
        <v>389</v>
      </c>
      <c r="D310">
        <v>83.40000000000001</v>
      </c>
      <c r="E310">
        <v>0.03021582733812949</v>
      </c>
      <c r="F310">
        <v>0.1052631578947367</v>
      </c>
      <c r="G310">
        <v>0.08447177119769855</v>
      </c>
      <c r="H310">
        <v>2.999245161984432</v>
      </c>
      <c r="I310">
        <v>30224.859908</v>
      </c>
      <c r="J310">
        <v>11.50984764218964</v>
      </c>
      <c r="K310">
        <v>0.4248222609043105</v>
      </c>
      <c r="L310">
        <v>1.246444748946438</v>
      </c>
      <c r="M310">
        <v>100.45</v>
      </c>
      <c r="N310">
        <v>57.73</v>
      </c>
    </row>
    <row r="311" spans="1:14">
      <c r="A311" s="1" t="s">
        <v>323</v>
      </c>
      <c r="B311">
        <f>HYPERLINK("https://www.suredividend.com/sure-analysis-SWK/","Stanley Black &amp; Decker Inc")</f>
        <v>0</v>
      </c>
      <c r="C311" t="s">
        <v>386</v>
      </c>
      <c r="D311">
        <v>87.92</v>
      </c>
      <c r="E311">
        <v>0.03639672429481347</v>
      </c>
      <c r="F311">
        <v>0.01265822784810133</v>
      </c>
      <c r="G311">
        <v>0.04893816562469966</v>
      </c>
      <c r="H311">
        <v>3.136731898739138</v>
      </c>
      <c r="I311">
        <v>12762.937878</v>
      </c>
      <c r="J311">
        <v>9.00637772790911</v>
      </c>
      <c r="K311">
        <v>0.3580744176642852</v>
      </c>
      <c r="L311">
        <v>1.113389840710025</v>
      </c>
      <c r="M311">
        <v>187.83</v>
      </c>
      <c r="N311">
        <v>69.54000000000001</v>
      </c>
    </row>
    <row r="312" spans="1:14">
      <c r="A312" s="1" t="s">
        <v>324</v>
      </c>
      <c r="B312">
        <f>HYPERLINK("https://www.suredividend.com/sure-analysis-SWX/","Southwest Gas Holdings Inc")</f>
        <v>0</v>
      </c>
      <c r="C312" t="s">
        <v>390</v>
      </c>
      <c r="D312">
        <v>66.27</v>
      </c>
      <c r="E312">
        <v>0.03742266485589256</v>
      </c>
      <c r="F312">
        <v>0.04201680672268915</v>
      </c>
      <c r="G312">
        <v>0.04606169223332812</v>
      </c>
      <c r="H312">
        <v>2.424063757432396</v>
      </c>
      <c r="I312">
        <v>4469.399658</v>
      </c>
      <c r="J312">
        <v>30.35513938806143</v>
      </c>
      <c r="K312">
        <v>1.053940764101042</v>
      </c>
      <c r="L312">
        <v>0.389977605489263</v>
      </c>
      <c r="M312">
        <v>93.95</v>
      </c>
      <c r="N312">
        <v>59.51</v>
      </c>
    </row>
    <row r="313" spans="1:14">
      <c r="A313" s="1" t="s">
        <v>325</v>
      </c>
      <c r="B313">
        <f>HYPERLINK("https://www.suredividend.com/sure-analysis-SXI/","Standex International Corp.")</f>
        <v>0</v>
      </c>
      <c r="C313" t="s">
        <v>386</v>
      </c>
      <c r="D313">
        <v>108.49</v>
      </c>
      <c r="E313">
        <v>0.01032353212277629</v>
      </c>
      <c r="F313">
        <v>0.07692307692307709</v>
      </c>
      <c r="G313">
        <v>0.09238846414037316</v>
      </c>
      <c r="H313">
        <v>1.05571610511886</v>
      </c>
      <c r="I313">
        <v>1302.660651</v>
      </c>
      <c r="J313">
        <v>20.40348736345837</v>
      </c>
      <c r="K313">
        <v>0.1995682618372136</v>
      </c>
      <c r="L313">
        <v>0.8165908428851271</v>
      </c>
      <c r="M313">
        <v>109.52</v>
      </c>
      <c r="N313">
        <v>78.58</v>
      </c>
    </row>
    <row r="314" spans="1:14">
      <c r="A314" s="1" t="s">
        <v>326</v>
      </c>
      <c r="B314">
        <f>HYPERLINK("https://www.suredividend.com/sure-analysis-SXT/","Sensient Technologies Corp.")</f>
        <v>0</v>
      </c>
      <c r="C314" t="s">
        <v>391</v>
      </c>
      <c r="D314">
        <v>77.36</v>
      </c>
      <c r="E314">
        <v>0.02119958634953464</v>
      </c>
      <c r="F314">
        <v>0</v>
      </c>
      <c r="G314">
        <v>0.04436902690230249</v>
      </c>
      <c r="H314">
        <v>1.626682375610863</v>
      </c>
      <c r="I314">
        <v>3291.130359</v>
      </c>
      <c r="J314">
        <v>23.67804855318537</v>
      </c>
      <c r="K314">
        <v>0.4944323330124203</v>
      </c>
      <c r="L314">
        <v>0.8751466958047841</v>
      </c>
      <c r="M314">
        <v>91.84</v>
      </c>
      <c r="N314">
        <v>62.78</v>
      </c>
    </row>
    <row r="315" spans="1:14">
      <c r="A315" s="1" t="s">
        <v>327</v>
      </c>
      <c r="B315">
        <f>HYPERLINK("https://www.suredividend.com/sure-analysis-research-database/","Stock Yards Bancorp Inc")</f>
        <v>0</v>
      </c>
      <c r="C315" t="s">
        <v>389</v>
      </c>
      <c r="D315">
        <v>61.77</v>
      </c>
      <c r="E315">
        <v>0.018010536982593</v>
      </c>
      <c r="F315">
        <v>0.03571428571428559</v>
      </c>
      <c r="G315">
        <v>0.04745176373283</v>
      </c>
      <c r="H315">
        <v>1.132502565465457</v>
      </c>
      <c r="I315">
        <v>1839.74807</v>
      </c>
      <c r="J315">
        <v>20.96722363238512</v>
      </c>
      <c r="K315">
        <v>0.3641487348763527</v>
      </c>
      <c r="L315">
        <v>0.496035155510567</v>
      </c>
      <c r="M315">
        <v>78.36</v>
      </c>
      <c r="N315">
        <v>49.89</v>
      </c>
    </row>
    <row r="316" spans="1:14">
      <c r="A316" s="1" t="s">
        <v>328</v>
      </c>
      <c r="B316">
        <f>HYPERLINK("https://www.suredividend.com/sure-analysis-SYK/","Stryker Corp.")</f>
        <v>0</v>
      </c>
      <c r="C316" t="s">
        <v>385</v>
      </c>
      <c r="D316">
        <v>258.5</v>
      </c>
      <c r="E316">
        <v>0.01075435203094778</v>
      </c>
      <c r="F316">
        <v>0.07913669064748197</v>
      </c>
      <c r="G316">
        <v>0.09797557995870743</v>
      </c>
      <c r="H316">
        <v>2.821423835006069</v>
      </c>
      <c r="I316">
        <v>97010.51229899999</v>
      </c>
      <c r="J316">
        <v>39.48331798907204</v>
      </c>
      <c r="K316">
        <v>0.4387906430802596</v>
      </c>
      <c r="L316">
        <v>0.9928103870077731</v>
      </c>
      <c r="M316">
        <v>276.5</v>
      </c>
      <c r="N316">
        <v>187.62</v>
      </c>
    </row>
    <row r="317" spans="1:14">
      <c r="A317" s="1" t="s">
        <v>329</v>
      </c>
      <c r="B317">
        <f>HYPERLINK("https://www.suredividend.com/sure-analysis-SYY/","Sysco Corp.")</f>
        <v>0</v>
      </c>
      <c r="C317" t="s">
        <v>388</v>
      </c>
      <c r="D317">
        <v>79.59</v>
      </c>
      <c r="E317">
        <v>0.02462620932277924</v>
      </c>
      <c r="F317">
        <v>0.04255319148936154</v>
      </c>
      <c r="G317">
        <v>0.06360094824680784</v>
      </c>
      <c r="H317">
        <v>1.921878276641909</v>
      </c>
      <c r="I317">
        <v>40668.093962</v>
      </c>
      <c r="J317">
        <v>28.11826539541997</v>
      </c>
      <c r="K317">
        <v>0.6815171193765633</v>
      </c>
      <c r="L317">
        <v>0.8144040071774701</v>
      </c>
      <c r="M317">
        <v>89.84</v>
      </c>
      <c r="N317">
        <v>69.7</v>
      </c>
    </row>
    <row r="318" spans="1:14">
      <c r="A318" s="1" t="s">
        <v>330</v>
      </c>
      <c r="B318">
        <f>HYPERLINK("https://www.suredividend.com/sure-analysis-TDS/","Telephone And Data Systems, Inc.")</f>
        <v>0</v>
      </c>
      <c r="C318" t="s">
        <v>395</v>
      </c>
      <c r="D318">
        <v>11.425</v>
      </c>
      <c r="E318">
        <v>0.06301969365426695</v>
      </c>
      <c r="F318">
        <v>0.02857142857142847</v>
      </c>
      <c r="G318">
        <v>0.02383625553960966</v>
      </c>
      <c r="H318">
        <v>0.7047005267306821</v>
      </c>
      <c r="I318">
        <v>1227.461608</v>
      </c>
      <c r="J318">
        <v>25.05023689795918</v>
      </c>
      <c r="K318">
        <v>1.661245937601796</v>
      </c>
      <c r="L318">
        <v>0.487377296904165</v>
      </c>
      <c r="M318">
        <v>20.17</v>
      </c>
      <c r="N318">
        <v>9.49</v>
      </c>
    </row>
    <row r="319" spans="1:14">
      <c r="A319" s="1" t="s">
        <v>331</v>
      </c>
      <c r="B319">
        <f>HYPERLINK("https://www.suredividend.com/sure-analysis-TEL/","TE Connectivity Ltd")</f>
        <v>0</v>
      </c>
      <c r="C319" t="s">
        <v>387</v>
      </c>
      <c r="D319">
        <v>123.28</v>
      </c>
      <c r="E319">
        <v>0.018170019467878</v>
      </c>
      <c r="F319">
        <v>0.1200000000000001</v>
      </c>
      <c r="G319">
        <v>0.06961037572506878</v>
      </c>
      <c r="H319">
        <v>2.166170458484043</v>
      </c>
      <c r="I319">
        <v>39377.829785</v>
      </c>
      <c r="J319">
        <v>15.6634167801074</v>
      </c>
      <c r="K319">
        <v>0.2827898770866897</v>
      </c>
      <c r="L319">
        <v>1.17806386759347</v>
      </c>
      <c r="M319">
        <v>158.45</v>
      </c>
      <c r="N319">
        <v>104.29</v>
      </c>
    </row>
    <row r="320" spans="1:14">
      <c r="A320" s="1" t="s">
        <v>332</v>
      </c>
      <c r="B320">
        <f>HYPERLINK("https://www.suredividend.com/sure-analysis-TFC/","Truist Financial Corporation")</f>
        <v>0</v>
      </c>
      <c r="C320" t="s">
        <v>389</v>
      </c>
      <c r="D320">
        <v>47.17</v>
      </c>
      <c r="E320">
        <v>0.04409582361670553</v>
      </c>
      <c r="F320">
        <v>0.08333333333333348</v>
      </c>
      <c r="G320">
        <v>0.6313913902711874</v>
      </c>
      <c r="H320">
        <v>1.968198513417699</v>
      </c>
      <c r="I320">
        <v>62596.833468</v>
      </c>
      <c r="J320">
        <v>10.71680079915083</v>
      </c>
      <c r="K320">
        <v>0.4514216773893805</v>
      </c>
      <c r="L320">
        <v>0.960426721993721</v>
      </c>
      <c r="M320">
        <v>66.27</v>
      </c>
      <c r="N320">
        <v>39.54</v>
      </c>
    </row>
    <row r="321" spans="1:14">
      <c r="A321" s="1" t="s">
        <v>333</v>
      </c>
      <c r="B321">
        <f>HYPERLINK("https://www.suredividend.com/sure-analysis-TGT/","Target Corp")</f>
        <v>0</v>
      </c>
      <c r="C321" t="s">
        <v>388</v>
      </c>
      <c r="D321">
        <v>162.67</v>
      </c>
      <c r="E321">
        <v>0.02655683285178583</v>
      </c>
      <c r="F321">
        <v>0.2</v>
      </c>
      <c r="G321">
        <v>0.1173942011257414</v>
      </c>
      <c r="H321">
        <v>3.908663670762684</v>
      </c>
      <c r="I321">
        <v>73526.955143</v>
      </c>
      <c r="J321">
        <v>21.32452295316125</v>
      </c>
      <c r="K321">
        <v>0.5310684335275386</v>
      </c>
      <c r="L321">
        <v>1.1531078876824</v>
      </c>
      <c r="M321">
        <v>249.03</v>
      </c>
      <c r="N321">
        <v>134.57</v>
      </c>
    </row>
    <row r="322" spans="1:14">
      <c r="A322" s="1" t="s">
        <v>334</v>
      </c>
      <c r="B322">
        <f>HYPERLINK("https://www.suredividend.com/sure-analysis-THFF/","First Financial Corp. - Indiana")</f>
        <v>0</v>
      </c>
      <c r="C322" t="s">
        <v>389</v>
      </c>
      <c r="D322">
        <v>45.36</v>
      </c>
      <c r="E322">
        <v>0.02380952380952381</v>
      </c>
      <c r="F322" t="s">
        <v>394</v>
      </c>
      <c r="G322" t="s">
        <v>394</v>
      </c>
      <c r="H322">
        <v>1.077643413049845</v>
      </c>
      <c r="I322">
        <v>550.968168</v>
      </c>
      <c r="J322">
        <v>8.888590461394507</v>
      </c>
      <c r="K322">
        <v>0.215528682609969</v>
      </c>
      <c r="L322">
        <v>0.268336303146978</v>
      </c>
      <c r="M322">
        <v>49.68</v>
      </c>
      <c r="N322">
        <v>40.82</v>
      </c>
    </row>
    <row r="323" spans="1:14">
      <c r="A323" s="1" t="s">
        <v>335</v>
      </c>
      <c r="B323">
        <f>HYPERLINK("https://www.suredividend.com/sure-analysis-THG/","Hanover Insurance Group Inc")</f>
        <v>0</v>
      </c>
      <c r="C323" t="s">
        <v>389</v>
      </c>
      <c r="D323">
        <v>135.465</v>
      </c>
      <c r="E323">
        <v>0.02214594175617318</v>
      </c>
      <c r="F323">
        <v>0.08000000000000007</v>
      </c>
      <c r="G323">
        <v>0.08447177119769855</v>
      </c>
      <c r="H323">
        <v>3.034701728868815</v>
      </c>
      <c r="I323">
        <v>4837.896244</v>
      </c>
      <c r="J323">
        <v>16.61936188347647</v>
      </c>
      <c r="K323">
        <v>0.3760473022142274</v>
      </c>
      <c r="L323">
        <v>0.540468317835476</v>
      </c>
      <c r="M323">
        <v>152.99</v>
      </c>
      <c r="N323">
        <v>121.95</v>
      </c>
    </row>
    <row r="324" spans="1:14">
      <c r="A324" s="1" t="s">
        <v>336</v>
      </c>
      <c r="B324">
        <f>HYPERLINK("https://www.suredividend.com/sure-analysis-THO/","Thor Industries, Inc.")</f>
        <v>0</v>
      </c>
      <c r="C324" t="s">
        <v>393</v>
      </c>
      <c r="D324">
        <v>92.44</v>
      </c>
      <c r="E324">
        <v>0.01947209000432713</v>
      </c>
      <c r="F324">
        <v>0.04651162790697683</v>
      </c>
      <c r="G324">
        <v>0.03992533304330625</v>
      </c>
      <c r="H324">
        <v>2.194792909455928</v>
      </c>
      <c r="I324">
        <v>4979.918292</v>
      </c>
      <c r="J324">
        <v>4.826685506960525</v>
      </c>
      <c r="K324">
        <v>0.1165583063970222</v>
      </c>
      <c r="L324">
        <v>1.276118233686163</v>
      </c>
      <c r="M324">
        <v>98.84999999999999</v>
      </c>
      <c r="N324">
        <v>65.11</v>
      </c>
    </row>
    <row r="325" spans="1:14">
      <c r="A325" s="1" t="s">
        <v>337</v>
      </c>
      <c r="B325">
        <f>HYPERLINK("https://www.suredividend.com/sure-analysis-TMP/","Tompkins Financial Corp")</f>
        <v>0</v>
      </c>
      <c r="C325" t="s">
        <v>389</v>
      </c>
      <c r="D325">
        <v>76.64</v>
      </c>
      <c r="E325">
        <v>0.03131524008350731</v>
      </c>
      <c r="F325">
        <v>0.05263157894736836</v>
      </c>
      <c r="G325">
        <v>0.04563955259127317</v>
      </c>
      <c r="H325">
        <v>2.28506264632586</v>
      </c>
      <c r="I325">
        <v>1120.173766</v>
      </c>
      <c r="J325">
        <v>13.23660021482506</v>
      </c>
      <c r="K325">
        <v>0.3899424311136279</v>
      </c>
      <c r="L325">
        <v>0.5897270047715391</v>
      </c>
      <c r="M325">
        <v>85</v>
      </c>
      <c r="N325">
        <v>67.51000000000001</v>
      </c>
    </row>
    <row r="326" spans="1:14">
      <c r="A326" s="1" t="s">
        <v>338</v>
      </c>
      <c r="B326">
        <f>HYPERLINK("https://www.suredividend.com/sure-analysis-TNC/","Tennant Co.")</f>
        <v>0</v>
      </c>
      <c r="C326" t="s">
        <v>386</v>
      </c>
      <c r="D326">
        <v>67.73</v>
      </c>
      <c r="E326">
        <v>0.01476450612727004</v>
      </c>
      <c r="F326">
        <v>0.06000000000000005</v>
      </c>
      <c r="G326">
        <v>0.04762370263962179</v>
      </c>
      <c r="H326">
        <v>1.008828742342007</v>
      </c>
      <c r="I326">
        <v>1257.676493</v>
      </c>
      <c r="J326">
        <v>24.95389867599206</v>
      </c>
      <c r="K326">
        <v>0.3750292722460993</v>
      </c>
      <c r="L326">
        <v>0.799296932999625</v>
      </c>
      <c r="M326">
        <v>84.29000000000001</v>
      </c>
      <c r="N326">
        <v>54.45</v>
      </c>
    </row>
    <row r="327" spans="1:14">
      <c r="A327" s="1" t="s">
        <v>339</v>
      </c>
      <c r="B327">
        <f>HYPERLINK("https://www.suredividend.com/sure-analysis-research-database/","Townebank Portsmouth VA")</f>
        <v>0</v>
      </c>
      <c r="C327" t="s">
        <v>389</v>
      </c>
      <c r="D327">
        <v>31.055</v>
      </c>
      <c r="E327">
        <v>0.028058630407256</v>
      </c>
      <c r="F327">
        <v>0.1499999999999999</v>
      </c>
      <c r="G327">
        <v>0.1043836287043816</v>
      </c>
      <c r="H327">
        <v>0.8799186495715481</v>
      </c>
      <c r="I327">
        <v>1620.642997</v>
      </c>
      <c r="J327">
        <v>0</v>
      </c>
      <c r="K327" t="s">
        <v>394</v>
      </c>
      <c r="L327">
        <v>0.642687133048998</v>
      </c>
      <c r="M327">
        <v>33.45</v>
      </c>
      <c r="N327">
        <v>25.77</v>
      </c>
    </row>
    <row r="328" spans="1:14">
      <c r="A328" s="1" t="s">
        <v>340</v>
      </c>
      <c r="B328">
        <f>HYPERLINK("https://www.suredividend.com/sure-analysis-TR/","Tootsie Roll Industries, Inc.")</f>
        <v>0</v>
      </c>
      <c r="C328" t="s">
        <v>388</v>
      </c>
      <c r="D328">
        <v>45.05</v>
      </c>
      <c r="E328">
        <v>0.007991120976692564</v>
      </c>
      <c r="F328">
        <v>0</v>
      </c>
      <c r="G328">
        <v>0</v>
      </c>
      <c r="H328">
        <v>0.358707035729033</v>
      </c>
      <c r="I328">
        <v>1815.638268</v>
      </c>
      <c r="J328">
        <v>25.70815246046018</v>
      </c>
      <c r="K328">
        <v>0.3516735644402285</v>
      </c>
      <c r="L328">
        <v>0.415967307790487</v>
      </c>
      <c r="M328">
        <v>46.7</v>
      </c>
      <c r="N328">
        <v>30.81</v>
      </c>
    </row>
    <row r="329" spans="1:14">
      <c r="A329" s="1" t="s">
        <v>341</v>
      </c>
      <c r="B329">
        <f>HYPERLINK("https://www.suredividend.com/sure-analysis-TRN/","Trinity Industries, Inc.")</f>
        <v>0</v>
      </c>
      <c r="C329" t="s">
        <v>386</v>
      </c>
      <c r="D329">
        <v>27.73</v>
      </c>
      <c r="E329">
        <v>0.03317706455102777</v>
      </c>
      <c r="F329">
        <v>0.1304347826086956</v>
      </c>
      <c r="G329">
        <v>0.1486983549970351</v>
      </c>
      <c r="H329">
        <v>0.9364978480107051</v>
      </c>
      <c r="I329">
        <v>2283.3645</v>
      </c>
      <c r="J329">
        <v>14.0255804695946</v>
      </c>
      <c r="K329">
        <v>0.5062150529787595</v>
      </c>
      <c r="L329">
        <v>0.9938338949041171</v>
      </c>
      <c r="M329">
        <v>34.05</v>
      </c>
      <c r="N329">
        <v>20.53</v>
      </c>
    </row>
    <row r="330" spans="1:14">
      <c r="A330" s="1" t="s">
        <v>342</v>
      </c>
      <c r="B330">
        <f>HYPERLINK("https://www.suredividend.com/sure-analysis-research-database/","Terreno Realty Corp")</f>
        <v>0</v>
      </c>
      <c r="C330" t="s">
        <v>392</v>
      </c>
      <c r="D330">
        <v>62.405</v>
      </c>
      <c r="E330">
        <v>0.023497399382219</v>
      </c>
      <c r="F330">
        <v>0.1764705882352942</v>
      </c>
      <c r="G330">
        <v>0.1270092020979254</v>
      </c>
      <c r="H330">
        <v>1.465297825475194</v>
      </c>
      <c r="I330">
        <v>4743.52122</v>
      </c>
      <c r="J330">
        <v>27.78815381358265</v>
      </c>
      <c r="K330">
        <v>0.6426744848575412</v>
      </c>
      <c r="L330">
        <v>0.8926575102398411</v>
      </c>
      <c r="M330">
        <v>79.36</v>
      </c>
      <c r="N330">
        <v>50</v>
      </c>
    </row>
    <row r="331" spans="1:14">
      <c r="A331" s="1" t="s">
        <v>343</v>
      </c>
      <c r="B331">
        <f>HYPERLINK("https://www.suredividend.com/sure-analysis-TROW/","T. Rowe Price Group Inc.")</f>
        <v>0</v>
      </c>
      <c r="C331" t="s">
        <v>389</v>
      </c>
      <c r="D331">
        <v>118.4</v>
      </c>
      <c r="E331">
        <v>0.04054054054054054</v>
      </c>
      <c r="F331">
        <v>0.1111111111111109</v>
      </c>
      <c r="G331">
        <v>0.1138241786028789</v>
      </c>
      <c r="H331">
        <v>4.725957099148772</v>
      </c>
      <c r="I331">
        <v>26719.687571</v>
      </c>
      <c r="J331">
        <v>13.46758446110887</v>
      </c>
      <c r="K331">
        <v>0.5425897932432574</v>
      </c>
      <c r="L331">
        <v>1.458993928720762</v>
      </c>
      <c r="M331">
        <v>169.41</v>
      </c>
      <c r="N331">
        <v>92.58</v>
      </c>
    </row>
    <row r="332" spans="1:14">
      <c r="A332" s="1" t="s">
        <v>344</v>
      </c>
      <c r="B332">
        <f>HYPERLINK("https://www.suredividend.com/sure-analysis-TRV/","Travelers Companies Inc.")</f>
        <v>0</v>
      </c>
      <c r="C332" t="s">
        <v>389</v>
      </c>
      <c r="D332">
        <v>192.315</v>
      </c>
      <c r="E332">
        <v>0.01934326495593168</v>
      </c>
      <c r="F332">
        <v>0.05681818181818188</v>
      </c>
      <c r="G332">
        <v>0.05251935381426631</v>
      </c>
      <c r="H332">
        <v>3.641635440177124</v>
      </c>
      <c r="I332">
        <v>44992.381325</v>
      </c>
      <c r="J332">
        <v>13.50716941601621</v>
      </c>
      <c r="K332">
        <v>0.2646537383849654</v>
      </c>
      <c r="L332">
        <v>0.458519898210635</v>
      </c>
      <c r="M332">
        <v>194.45</v>
      </c>
      <c r="N332">
        <v>148.91</v>
      </c>
    </row>
    <row r="333" spans="1:14">
      <c r="A333" s="1" t="s">
        <v>345</v>
      </c>
      <c r="B333">
        <f>HYPERLINK("https://www.suredividend.com/sure-analysis-TSCO/","Tractor Supply Co.")</f>
        <v>0</v>
      </c>
      <c r="C333" t="s">
        <v>393</v>
      </c>
      <c r="D333">
        <v>222.2</v>
      </c>
      <c r="E333">
        <v>0.01656165616561656</v>
      </c>
      <c r="F333">
        <v>0.7692307692307692</v>
      </c>
      <c r="G333">
        <v>0.2778645216135123</v>
      </c>
      <c r="H333">
        <v>3.655224726897375</v>
      </c>
      <c r="I333">
        <v>24383.656701</v>
      </c>
      <c r="J333">
        <v>23.46432446861949</v>
      </c>
      <c r="K333">
        <v>0.3977393609246328</v>
      </c>
      <c r="L333">
        <v>0.894440426483138</v>
      </c>
      <c r="M333">
        <v>238.18</v>
      </c>
      <c r="N333">
        <v>165.03</v>
      </c>
    </row>
    <row r="334" spans="1:14">
      <c r="A334" s="1" t="s">
        <v>346</v>
      </c>
      <c r="B334">
        <f>HYPERLINK("https://www.suredividend.com/sure-analysis-TSN/","Tyson Foods, Inc.")</f>
        <v>0</v>
      </c>
      <c r="C334" t="s">
        <v>388</v>
      </c>
      <c r="D334">
        <v>64.53</v>
      </c>
      <c r="E334">
        <v>0.0297536029753603</v>
      </c>
      <c r="F334">
        <v>0.04347826086956519</v>
      </c>
      <c r="G334">
        <v>0.09856054330611763</v>
      </c>
      <c r="H334">
        <v>1.84455678378169</v>
      </c>
      <c r="I334">
        <v>23314.8129</v>
      </c>
      <c r="J334">
        <v>4.601504235617756</v>
      </c>
      <c r="K334">
        <v>0.1654311016844565</v>
      </c>
      <c r="L334">
        <v>0.5515165937219171</v>
      </c>
      <c r="M334">
        <v>98.90000000000001</v>
      </c>
      <c r="N334">
        <v>59.38</v>
      </c>
    </row>
    <row r="335" spans="1:14">
      <c r="A335" s="1" t="s">
        <v>347</v>
      </c>
      <c r="B335">
        <f>HYPERLINK("https://www.suredividend.com/sure-analysis-TT/","Trane Technologies plc")</f>
        <v>0</v>
      </c>
      <c r="C335" t="s">
        <v>386</v>
      </c>
      <c r="D335">
        <v>181.43</v>
      </c>
      <c r="E335">
        <v>0.0147715372319903</v>
      </c>
      <c r="F335">
        <v>0.1355932203389831</v>
      </c>
      <c r="G335">
        <v>0.08286036471404024</v>
      </c>
      <c r="H335">
        <v>2.663380998271266</v>
      </c>
      <c r="I335">
        <v>41540.52698</v>
      </c>
      <c r="J335">
        <v>25.40394262446184</v>
      </c>
      <c r="K335">
        <v>0.3859972461262705</v>
      </c>
      <c r="L335">
        <v>0.9875922610106681</v>
      </c>
      <c r="M335">
        <v>182.85</v>
      </c>
      <c r="N335">
        <v>119.66</v>
      </c>
    </row>
    <row r="336" spans="1:14">
      <c r="A336" s="1" t="s">
        <v>348</v>
      </c>
      <c r="B336">
        <f>HYPERLINK("https://www.suredividend.com/sure-analysis-TTC/","Toro Co.")</f>
        <v>0</v>
      </c>
      <c r="C336" t="s">
        <v>386</v>
      </c>
      <c r="D336">
        <v>115.37</v>
      </c>
      <c r="E336">
        <v>0.01178815983357892</v>
      </c>
      <c r="F336">
        <v>0.1333333333333333</v>
      </c>
      <c r="G336">
        <v>0.1119615859385787</v>
      </c>
      <c r="H336">
        <v>1.235266041734241</v>
      </c>
      <c r="I336">
        <v>12025.460458</v>
      </c>
      <c r="J336">
        <v>27.12456852181837</v>
      </c>
      <c r="K336">
        <v>0.2941109623176764</v>
      </c>
      <c r="L336">
        <v>0.7971599660231481</v>
      </c>
      <c r="M336">
        <v>117.66</v>
      </c>
      <c r="N336">
        <v>71.40000000000001</v>
      </c>
    </row>
    <row r="337" spans="1:14">
      <c r="A337" s="1" t="s">
        <v>349</v>
      </c>
      <c r="B337">
        <f>HYPERLINK("https://www.suredividend.com/sure-analysis-TXN/","Texas Instruments Inc.")</f>
        <v>0</v>
      </c>
      <c r="C337" t="s">
        <v>387</v>
      </c>
      <c r="D337">
        <v>177.545</v>
      </c>
      <c r="E337">
        <v>0.02793657945872877</v>
      </c>
      <c r="F337">
        <v>0.07826086956521738</v>
      </c>
      <c r="G337">
        <v>0.1486983549970351</v>
      </c>
      <c r="H337">
        <v>4.640123850144523</v>
      </c>
      <c r="I337">
        <v>161665.749059</v>
      </c>
      <c r="J337">
        <v>18.19330959470628</v>
      </c>
      <c r="K337">
        <v>0.4858768429470704</v>
      </c>
      <c r="L337">
        <v>1.093475828535543</v>
      </c>
      <c r="M337">
        <v>187.31</v>
      </c>
      <c r="N337">
        <v>142.38</v>
      </c>
    </row>
    <row r="338" spans="1:14">
      <c r="A338" s="1" t="s">
        <v>350</v>
      </c>
      <c r="B338">
        <f>HYPERLINK("https://www.suredividend.com/sure-analysis-UBSI/","United Bankshares, Inc.")</f>
        <v>0</v>
      </c>
      <c r="C338" t="s">
        <v>389</v>
      </c>
      <c r="D338">
        <v>40.62</v>
      </c>
      <c r="E338">
        <v>0.03545051698670606</v>
      </c>
      <c r="F338">
        <v>0</v>
      </c>
      <c r="G338">
        <v>0.01149727415513624</v>
      </c>
      <c r="H338">
        <v>1.419924534732175</v>
      </c>
      <c r="I338">
        <v>5512.937986</v>
      </c>
      <c r="J338">
        <v>15.58586311585066</v>
      </c>
      <c r="K338">
        <v>0.5398952603544391</v>
      </c>
      <c r="L338">
        <v>0.657060411920249</v>
      </c>
      <c r="M338">
        <v>43.76</v>
      </c>
      <c r="N338">
        <v>32.17</v>
      </c>
    </row>
    <row r="339" spans="1:14">
      <c r="A339" s="1" t="s">
        <v>351</v>
      </c>
      <c r="B339">
        <f>HYPERLINK("https://www.suredividend.com/sure-analysis-UDR/","UDR Inc")</f>
        <v>0</v>
      </c>
      <c r="C339" t="s">
        <v>392</v>
      </c>
      <c r="D339">
        <v>40.29</v>
      </c>
      <c r="E339">
        <v>0.0377264829982626</v>
      </c>
      <c r="F339">
        <v>0.04827586206896539</v>
      </c>
      <c r="G339">
        <v>0.03335792744906896</v>
      </c>
      <c r="H339">
        <v>1.878201633155976</v>
      </c>
      <c r="I339">
        <v>13171.420419</v>
      </c>
      <c r="J339">
        <v>84.70911581966686</v>
      </c>
      <c r="K339">
        <v>3.853511762732819</v>
      </c>
      <c r="L339">
        <v>0.7630903072885991</v>
      </c>
      <c r="M339">
        <v>58.35</v>
      </c>
      <c r="N339">
        <v>36.8</v>
      </c>
    </row>
    <row r="340" spans="1:14">
      <c r="A340" s="1" t="s">
        <v>352</v>
      </c>
      <c r="B340">
        <f>HYPERLINK("https://www.suredividend.com/sure-analysis-UGI/","UGI Corp.")</f>
        <v>0</v>
      </c>
      <c r="C340" t="s">
        <v>390</v>
      </c>
      <c r="D340">
        <v>40.76</v>
      </c>
      <c r="E340">
        <v>0.03532875368007851</v>
      </c>
      <c r="F340">
        <v>0.04347826086956519</v>
      </c>
      <c r="G340">
        <v>0.07565375693257015</v>
      </c>
      <c r="H340">
        <v>1.405670818952206</v>
      </c>
      <c r="I340">
        <v>8692.430589</v>
      </c>
      <c r="J340">
        <v>8.101053671015844</v>
      </c>
      <c r="K340">
        <v>0.2828311506946088</v>
      </c>
      <c r="L340">
        <v>0.7246349238530041</v>
      </c>
      <c r="M340">
        <v>45.29</v>
      </c>
      <c r="N340">
        <v>30.9</v>
      </c>
    </row>
    <row r="341" spans="1:14">
      <c r="A341" s="1" t="s">
        <v>353</v>
      </c>
      <c r="B341">
        <f>HYPERLINK("https://www.suredividend.com/sure-analysis-UHT/","Universal Health Realty Income Trust")</f>
        <v>0</v>
      </c>
      <c r="C341" t="s">
        <v>392</v>
      </c>
      <c r="D341">
        <v>51.24</v>
      </c>
      <c r="E341">
        <v>0.05542544886807181</v>
      </c>
      <c r="F341">
        <v>0.01418439716312059</v>
      </c>
      <c r="G341">
        <v>0.01460472222032205</v>
      </c>
      <c r="H341">
        <v>2.780747944228887</v>
      </c>
      <c r="I341">
        <v>713.022065</v>
      </c>
      <c r="J341">
        <v>6.658406003399137</v>
      </c>
      <c r="K341">
        <v>0.3578826183048761</v>
      </c>
      <c r="L341">
        <v>0.531802195697837</v>
      </c>
      <c r="M341">
        <v>57.48</v>
      </c>
      <c r="N341">
        <v>40.35</v>
      </c>
    </row>
    <row r="342" spans="1:14">
      <c r="A342" s="1" t="s">
        <v>354</v>
      </c>
      <c r="B342">
        <f>HYPERLINK("https://www.suredividend.com/sure-analysis-UMBF/","UMB Financial Corp.")</f>
        <v>0</v>
      </c>
      <c r="C342" t="s">
        <v>389</v>
      </c>
      <c r="D342">
        <v>86.47</v>
      </c>
      <c r="E342">
        <v>0.01757835087313519</v>
      </c>
      <c r="F342">
        <v>0.02702702702702697</v>
      </c>
      <c r="G342">
        <v>0.05554589164848411</v>
      </c>
      <c r="H342">
        <v>1.480311409360208</v>
      </c>
      <c r="I342">
        <v>4186.261055</v>
      </c>
      <c r="J342">
        <v>10.21026830148413</v>
      </c>
      <c r="K342">
        <v>0.1762275487333581</v>
      </c>
      <c r="L342">
        <v>0.7997252085905431</v>
      </c>
      <c r="M342">
        <v>110.38</v>
      </c>
      <c r="N342">
        <v>76.97</v>
      </c>
    </row>
    <row r="343" spans="1:14">
      <c r="A343" s="1" t="s">
        <v>355</v>
      </c>
      <c r="B343">
        <f>HYPERLINK("https://www.suredividend.com/sure-analysis-UNH/","Unitedhealth Group Inc")</f>
        <v>0</v>
      </c>
      <c r="C343" t="s">
        <v>385</v>
      </c>
      <c r="D343">
        <v>506.31</v>
      </c>
      <c r="E343">
        <v>0.01303549208982639</v>
      </c>
      <c r="F343">
        <v>0.1379310344827587</v>
      </c>
      <c r="G343">
        <v>0.1708049129648923</v>
      </c>
      <c r="H343">
        <v>6.370615305271219</v>
      </c>
      <c r="I343">
        <v>463128.805014</v>
      </c>
      <c r="J343">
        <v>23.83575939340762</v>
      </c>
      <c r="K343">
        <v>0.3121320580730632</v>
      </c>
      <c r="L343">
        <v>0.56745912249124</v>
      </c>
      <c r="M343">
        <v>556.38</v>
      </c>
      <c r="N343">
        <v>440.1</v>
      </c>
    </row>
    <row r="344" spans="1:14">
      <c r="A344" s="1" t="s">
        <v>356</v>
      </c>
      <c r="B344">
        <f>HYPERLINK("https://www.suredividend.com/sure-analysis-UNM/","Unum Group")</f>
        <v>0</v>
      </c>
      <c r="C344" t="s">
        <v>389</v>
      </c>
      <c r="D344">
        <v>40.95</v>
      </c>
      <c r="E344">
        <v>0.03223443223443223</v>
      </c>
      <c r="F344">
        <v>0.09999999999999987</v>
      </c>
      <c r="G344">
        <v>0.07487316557532875</v>
      </c>
      <c r="H344">
        <v>1.244331839956149</v>
      </c>
      <c r="I344">
        <v>8184.427968</v>
      </c>
      <c r="J344">
        <v>6.852907952574729</v>
      </c>
      <c r="K344">
        <v>0.2116210612170321</v>
      </c>
      <c r="L344">
        <v>0.6842729219641731</v>
      </c>
      <c r="M344">
        <v>46.64</v>
      </c>
      <c r="N344">
        <v>23.36</v>
      </c>
    </row>
    <row r="345" spans="1:14">
      <c r="A345" s="1" t="s">
        <v>357</v>
      </c>
      <c r="B345">
        <f>HYPERLINK("https://www.suredividend.com/sure-analysis-UNP/","Union Pacific Corp.")</f>
        <v>0</v>
      </c>
      <c r="C345" t="s">
        <v>386</v>
      </c>
      <c r="D345">
        <v>212.59</v>
      </c>
      <c r="E345">
        <v>0.02446022860905969</v>
      </c>
      <c r="F345">
        <v>0.1016949152542375</v>
      </c>
      <c r="G345">
        <v>0.1223391137583876</v>
      </c>
      <c r="H345">
        <v>5.036216432409461</v>
      </c>
      <c r="I345">
        <v>131991.583752</v>
      </c>
      <c r="J345">
        <v>18.66660779974544</v>
      </c>
      <c r="K345">
        <v>0.4492610555226994</v>
      </c>
      <c r="L345">
        <v>0.7067397366628561</v>
      </c>
      <c r="M345">
        <v>274.06</v>
      </c>
      <c r="N345">
        <v>182.58</v>
      </c>
    </row>
    <row r="346" spans="1:14">
      <c r="A346" s="1" t="s">
        <v>358</v>
      </c>
      <c r="B346">
        <f>HYPERLINK("https://www.suredividend.com/sure-analysis-UPS/","United Parcel Service, Inc.")</f>
        <v>0</v>
      </c>
      <c r="C346" t="s">
        <v>386</v>
      </c>
      <c r="D346">
        <v>182.515</v>
      </c>
      <c r="E346">
        <v>0.03331233049338411</v>
      </c>
      <c r="F346">
        <v>0</v>
      </c>
      <c r="G346">
        <v>0.1080527581672168</v>
      </c>
      <c r="H346">
        <v>5.949679889163654</v>
      </c>
      <c r="I346">
        <v>158236.777006</v>
      </c>
      <c r="J346">
        <v>11.93428113282088</v>
      </c>
      <c r="K346">
        <v>0.4662758533827315</v>
      </c>
      <c r="L346">
        <v>0.910285622781386</v>
      </c>
      <c r="M346">
        <v>224.24</v>
      </c>
      <c r="N346">
        <v>152.08</v>
      </c>
    </row>
    <row r="347" spans="1:14">
      <c r="A347" s="1" t="s">
        <v>359</v>
      </c>
      <c r="B347">
        <f>HYPERLINK("https://www.suredividend.com/sure-analysis-USB/","U.S. Bancorp.")</f>
        <v>0</v>
      </c>
      <c r="C347" t="s">
        <v>389</v>
      </c>
      <c r="D347">
        <v>47.015</v>
      </c>
      <c r="E347">
        <v>0.04083803041582473</v>
      </c>
      <c r="F347">
        <v>0.04347826086956519</v>
      </c>
      <c r="G347">
        <v>0.09856054330611763</v>
      </c>
      <c r="H347">
        <v>1.849543845671094</v>
      </c>
      <c r="I347">
        <v>70710.339699</v>
      </c>
      <c r="J347">
        <v>11.34997426946068</v>
      </c>
      <c r="K347">
        <v>0.4414185789191155</v>
      </c>
      <c r="L347">
        <v>0.78617805489424</v>
      </c>
      <c r="M347">
        <v>61.01</v>
      </c>
      <c r="N347">
        <v>37.96</v>
      </c>
    </row>
    <row r="348" spans="1:14">
      <c r="A348" s="1" t="s">
        <v>360</v>
      </c>
      <c r="B348">
        <f>HYPERLINK("https://www.suredividend.com/sure-analysis-UVV/","Universal Corp.")</f>
        <v>0</v>
      </c>
      <c r="C348" t="s">
        <v>388</v>
      </c>
      <c r="D348">
        <v>52.86</v>
      </c>
      <c r="E348">
        <v>0.05978055240257284</v>
      </c>
      <c r="F348">
        <v>0.01282051282051277</v>
      </c>
      <c r="G348">
        <v>0.01044613160468888</v>
      </c>
      <c r="H348">
        <v>3.078816137406259</v>
      </c>
      <c r="I348">
        <v>1305.854098</v>
      </c>
      <c r="J348">
        <v>14.60768608960233</v>
      </c>
      <c r="K348">
        <v>0.8600045076553796</v>
      </c>
      <c r="L348">
        <v>0.444870872987384</v>
      </c>
      <c r="M348">
        <v>61.29</v>
      </c>
      <c r="N348">
        <v>42.99</v>
      </c>
    </row>
    <row r="349" spans="1:14">
      <c r="A349" s="1" t="s">
        <v>361</v>
      </c>
      <c r="B349">
        <f>HYPERLINK("https://www.suredividend.com/sure-analysis-V/","Visa Inc")</f>
        <v>0</v>
      </c>
      <c r="C349" t="s">
        <v>389</v>
      </c>
      <c r="D349">
        <v>221.37</v>
      </c>
      <c r="E349">
        <v>0.008131183087139178</v>
      </c>
      <c r="F349">
        <v>0.05333333333333345</v>
      </c>
      <c r="G349">
        <v>0.134685643891294</v>
      </c>
      <c r="H349">
        <v>1.566811806169759</v>
      </c>
      <c r="I349">
        <v>422734.506814</v>
      </c>
      <c r="J349">
        <v>24.93120834595027</v>
      </c>
      <c r="K349">
        <v>0.2307528433239704</v>
      </c>
      <c r="L349">
        <v>0.9821560796377091</v>
      </c>
      <c r="M349">
        <v>233.54</v>
      </c>
      <c r="N349">
        <v>173.81</v>
      </c>
    </row>
    <row r="350" spans="1:14">
      <c r="A350" s="1" t="s">
        <v>362</v>
      </c>
      <c r="B350">
        <f>HYPERLINK("https://www.suredividend.com/sure-analysis-VFC/","VF Corp.")</f>
        <v>0</v>
      </c>
      <c r="C350" t="s">
        <v>393</v>
      </c>
      <c r="D350">
        <v>30.365</v>
      </c>
      <c r="E350">
        <v>0.06718261155936112</v>
      </c>
      <c r="F350">
        <v>0.02000000000000002</v>
      </c>
      <c r="G350">
        <v>0.02085125936929089</v>
      </c>
      <c r="H350">
        <v>1.966954103923224</v>
      </c>
      <c r="I350">
        <v>11948.407114</v>
      </c>
      <c r="J350">
        <v>28.16353317670436</v>
      </c>
      <c r="K350">
        <v>1.804545049470848</v>
      </c>
      <c r="L350">
        <v>1.160468597129219</v>
      </c>
      <c r="M350">
        <v>68.81999999999999</v>
      </c>
      <c r="N350">
        <v>25.05</v>
      </c>
    </row>
    <row r="351" spans="1:14">
      <c r="A351" s="1" t="s">
        <v>363</v>
      </c>
      <c r="B351">
        <f>HYPERLINK("https://www.suredividend.com/sure-analysis-VZ/","Verizon Communications Inc")</f>
        <v>0</v>
      </c>
      <c r="C351" t="s">
        <v>395</v>
      </c>
      <c r="D351">
        <v>41.48</v>
      </c>
      <c r="E351">
        <v>0.06292189006750241</v>
      </c>
      <c r="F351">
        <v>0.01953125</v>
      </c>
      <c r="G351">
        <v>0.02034185229948715</v>
      </c>
      <c r="H351">
        <v>2.526542929411256</v>
      </c>
      <c r="I351">
        <v>175594.367459</v>
      </c>
      <c r="J351">
        <v>9.101926573661103</v>
      </c>
      <c r="K351">
        <v>0.5492484629154905</v>
      </c>
      <c r="L351">
        <v>0.379331093199749</v>
      </c>
      <c r="M351">
        <v>53.08</v>
      </c>
      <c r="N351">
        <v>34.02</v>
      </c>
    </row>
    <row r="352" spans="1:14">
      <c r="A352" s="1" t="s">
        <v>364</v>
      </c>
      <c r="B352">
        <f>HYPERLINK("https://www.suredividend.com/sure-analysis-WABC/","Westamerica Bancorporation")</f>
        <v>0</v>
      </c>
      <c r="C352" t="s">
        <v>389</v>
      </c>
      <c r="D352">
        <v>57.665</v>
      </c>
      <c r="E352">
        <v>0.02913378999393046</v>
      </c>
      <c r="F352">
        <v>0</v>
      </c>
      <c r="G352">
        <v>0.009805797673485328</v>
      </c>
      <c r="H352">
        <v>1.662350622428662</v>
      </c>
      <c r="I352">
        <v>1557.156498</v>
      </c>
      <c r="J352">
        <v>14.91386359371708</v>
      </c>
      <c r="K352">
        <v>0.4284408820692428</v>
      </c>
      <c r="L352">
        <v>0.455053239653002</v>
      </c>
      <c r="M352">
        <v>63.86</v>
      </c>
      <c r="N352">
        <v>51.68</v>
      </c>
    </row>
    <row r="353" spans="1:14">
      <c r="A353" s="1" t="s">
        <v>365</v>
      </c>
      <c r="B353">
        <f>HYPERLINK("https://www.suredividend.com/sure-analysis-WAFD/","Washington Federal Inc.")</f>
        <v>0</v>
      </c>
      <c r="C353" t="s">
        <v>389</v>
      </c>
      <c r="D353">
        <v>35.82</v>
      </c>
      <c r="E353">
        <v>0.02680067001675042</v>
      </c>
      <c r="F353">
        <v>0.04347826086956519</v>
      </c>
      <c r="G353">
        <v>0.07140202794100681</v>
      </c>
      <c r="H353">
        <v>0.9500300670762031</v>
      </c>
      <c r="I353">
        <v>2289.222852</v>
      </c>
      <c r="J353">
        <v>10.32553551724138</v>
      </c>
      <c r="K353">
        <v>0.2802448575446027</v>
      </c>
      <c r="L353">
        <v>0.710969578873583</v>
      </c>
      <c r="M353">
        <v>38.91</v>
      </c>
      <c r="N353">
        <v>29.06</v>
      </c>
    </row>
    <row r="354" spans="1:14">
      <c r="A354" s="1" t="s">
        <v>366</v>
      </c>
      <c r="B354">
        <f>HYPERLINK("https://www.suredividend.com/sure-analysis-WASH/","Washington Trust Bancorp, Inc.")</f>
        <v>0</v>
      </c>
      <c r="C354" t="s">
        <v>389</v>
      </c>
      <c r="D354">
        <v>47.935</v>
      </c>
      <c r="E354">
        <v>0.04672994680296234</v>
      </c>
      <c r="F354">
        <v>0.03703703703703698</v>
      </c>
      <c r="G354">
        <v>0.05425073941302982</v>
      </c>
      <c r="H354">
        <v>2.703084475885298</v>
      </c>
      <c r="I354">
        <v>828.97857</v>
      </c>
      <c r="J354">
        <v>11.04259394106912</v>
      </c>
      <c r="K354">
        <v>0.6271657716671225</v>
      </c>
      <c r="L354">
        <v>0.517930430895157</v>
      </c>
      <c r="M354">
        <v>57.48</v>
      </c>
      <c r="N354">
        <v>44.06</v>
      </c>
    </row>
    <row r="355" spans="1:14">
      <c r="A355" s="1" t="s">
        <v>367</v>
      </c>
      <c r="B355">
        <f>HYPERLINK("https://www.suredividend.com/sure-analysis-WBA/","Walgreens Boots Alliance Inc")</f>
        <v>0</v>
      </c>
      <c r="C355" t="s">
        <v>385</v>
      </c>
      <c r="D355">
        <v>36.64</v>
      </c>
      <c r="E355">
        <v>0.05240174672489083</v>
      </c>
      <c r="F355">
        <v>0.005235602094240788</v>
      </c>
      <c r="G355">
        <v>0.03713728933664817</v>
      </c>
      <c r="H355">
        <v>1.881811112496192</v>
      </c>
      <c r="I355">
        <v>31619.38029</v>
      </c>
      <c r="J355" t="s">
        <v>394</v>
      </c>
      <c r="K355" t="s">
        <v>394</v>
      </c>
      <c r="L355">
        <v>0.793620460934451</v>
      </c>
      <c r="M355">
        <v>51.99</v>
      </c>
      <c r="N355">
        <v>30.04</v>
      </c>
    </row>
    <row r="356" spans="1:14">
      <c r="A356" s="1" t="s">
        <v>368</v>
      </c>
      <c r="B356">
        <f>HYPERLINK("https://www.suredividend.com/sure-analysis-WDFC/","WD-40 Co.")</f>
        <v>0</v>
      </c>
      <c r="C356" t="s">
        <v>391</v>
      </c>
      <c r="D356">
        <v>175.28</v>
      </c>
      <c r="E356">
        <v>0.01894112277498859</v>
      </c>
      <c r="F356">
        <v>0.0641025641025641</v>
      </c>
      <c r="G356">
        <v>0.08977506465822516</v>
      </c>
      <c r="H356">
        <v>3.14793818248096</v>
      </c>
      <c r="I356">
        <v>2331.903226</v>
      </c>
      <c r="J356">
        <v>37.2925511837518</v>
      </c>
      <c r="K356">
        <v>0.6873227472665852</v>
      </c>
      <c r="L356">
        <v>0.598301721970209</v>
      </c>
      <c r="M356">
        <v>250.69</v>
      </c>
      <c r="N356">
        <v>144.45</v>
      </c>
    </row>
    <row r="357" spans="1:14">
      <c r="A357" s="1" t="s">
        <v>369</v>
      </c>
      <c r="B357">
        <f>HYPERLINK("https://www.suredividend.com/sure-analysis-WEC/","WEC Energy Group Inc")</f>
        <v>0</v>
      </c>
      <c r="C357" t="s">
        <v>390</v>
      </c>
      <c r="D357">
        <v>95.69499999999999</v>
      </c>
      <c r="E357">
        <v>0.03260358430430012</v>
      </c>
      <c r="F357">
        <v>0</v>
      </c>
      <c r="G357">
        <v>0.0565745440471801</v>
      </c>
      <c r="H357">
        <v>2.855086123039069</v>
      </c>
      <c r="I357">
        <v>30552.988673</v>
      </c>
      <c r="J357">
        <v>22.14626607180342</v>
      </c>
      <c r="K357">
        <v>0.6548362667520801</v>
      </c>
      <c r="L357">
        <v>0.464288246388271</v>
      </c>
      <c r="M357">
        <v>106.5</v>
      </c>
      <c r="N357">
        <v>79.55</v>
      </c>
    </row>
    <row r="358" spans="1:14">
      <c r="A358" s="1" t="s">
        <v>370</v>
      </c>
      <c r="B358">
        <f>HYPERLINK("https://www.suredividend.com/sure-analysis-WHR/","Whirlpool Corp.")</f>
        <v>0</v>
      </c>
      <c r="C358" t="s">
        <v>393</v>
      </c>
      <c r="D358">
        <v>154.39</v>
      </c>
      <c r="E358">
        <v>0.04533972407539349</v>
      </c>
      <c r="F358">
        <v>0.25</v>
      </c>
      <c r="G358">
        <v>0.09730933214999515</v>
      </c>
      <c r="H358">
        <v>6.884656556998607</v>
      </c>
      <c r="I358">
        <v>8397.293486</v>
      </c>
      <c r="J358">
        <v>21.92504826516971</v>
      </c>
      <c r="K358">
        <v>1.039978331872901</v>
      </c>
      <c r="L358">
        <v>1.081137764670397</v>
      </c>
      <c r="M358">
        <v>214.12</v>
      </c>
      <c r="N358">
        <v>122.97</v>
      </c>
    </row>
    <row r="359" spans="1:14">
      <c r="A359" s="1" t="s">
        <v>371</v>
      </c>
      <c r="B359">
        <f>HYPERLINK("https://www.suredividend.com/sure-analysis-research-database/","Westlake Corporation")</f>
        <v>0</v>
      </c>
      <c r="C359" t="s">
        <v>391</v>
      </c>
      <c r="D359">
        <v>114.06</v>
      </c>
      <c r="E359">
        <v>0.011384477961767</v>
      </c>
      <c r="F359">
        <v>0.2</v>
      </c>
      <c r="G359">
        <v>0.1119615859385787</v>
      </c>
      <c r="H359">
        <v>1.303181192283509</v>
      </c>
      <c r="I359">
        <v>14599.221174</v>
      </c>
      <c r="J359">
        <v>5.511219771072103</v>
      </c>
      <c r="K359">
        <v>0.06341514317681309</v>
      </c>
      <c r="L359">
        <v>0.9413495292045061</v>
      </c>
      <c r="M359">
        <v>139.93</v>
      </c>
      <c r="N359">
        <v>81.01000000000001</v>
      </c>
    </row>
    <row r="360" spans="1:14">
      <c r="A360" s="1" t="s">
        <v>372</v>
      </c>
      <c r="B360">
        <f>HYPERLINK("https://www.suredividend.com/sure-analysis-WM/","Waste Management, Inc.")</f>
        <v>0</v>
      </c>
      <c r="C360" t="s">
        <v>386</v>
      </c>
      <c r="D360">
        <v>153.4</v>
      </c>
      <c r="E360">
        <v>0.01825293350717079</v>
      </c>
      <c r="F360">
        <v>0.1304347826086956</v>
      </c>
      <c r="G360">
        <v>0.06928156829257182</v>
      </c>
      <c r="H360">
        <v>2.584952906394319</v>
      </c>
      <c r="I360">
        <v>62671.643017</v>
      </c>
      <c r="J360">
        <v>27.91609933954566</v>
      </c>
      <c r="K360">
        <v>0.4804745179171597</v>
      </c>
      <c r="L360">
        <v>0.4962296188090261</v>
      </c>
      <c r="M360">
        <v>174.64</v>
      </c>
      <c r="N360">
        <v>136.39</v>
      </c>
    </row>
    <row r="361" spans="1:14">
      <c r="A361" s="1" t="s">
        <v>373</v>
      </c>
      <c r="B361">
        <f>HYPERLINK("https://www.suredividend.com/sure-analysis-WMT/","Walmart Inc")</f>
        <v>0</v>
      </c>
      <c r="C361" t="s">
        <v>388</v>
      </c>
      <c r="D361">
        <v>144.33</v>
      </c>
      <c r="E361">
        <v>0.01551998891429363</v>
      </c>
      <c r="F361">
        <v>0.0181818181818183</v>
      </c>
      <c r="G361">
        <v>0.01493197894539389</v>
      </c>
      <c r="H361">
        <v>2.226840039871083</v>
      </c>
      <c r="I361">
        <v>390523.61582</v>
      </c>
      <c r="J361">
        <v>43.5512006044095</v>
      </c>
      <c r="K361">
        <v>0.6830797668316206</v>
      </c>
      <c r="L361">
        <v>0.457278028656783</v>
      </c>
      <c r="M361">
        <v>158.89</v>
      </c>
      <c r="N361">
        <v>116.32</v>
      </c>
    </row>
    <row r="362" spans="1:14">
      <c r="A362" s="1" t="s">
        <v>374</v>
      </c>
      <c r="B362">
        <f>HYPERLINK("https://www.suredividend.com/sure-analysis-WOR/","Worthington Industries, Inc.")</f>
        <v>0</v>
      </c>
      <c r="C362" t="s">
        <v>391</v>
      </c>
      <c r="D362">
        <v>54.82</v>
      </c>
      <c r="E362">
        <v>0.02261948194089748</v>
      </c>
      <c r="F362">
        <v>0.107142857142857</v>
      </c>
      <c r="G362">
        <v>0.08100693430783124</v>
      </c>
      <c r="H362">
        <v>1.169702268842716</v>
      </c>
      <c r="I362">
        <v>2746.347607</v>
      </c>
      <c r="J362">
        <v>12.66216496191688</v>
      </c>
      <c r="K362">
        <v>0.2688970732971762</v>
      </c>
      <c r="L362">
        <v>1.250496812076075</v>
      </c>
      <c r="M362">
        <v>61.67</v>
      </c>
      <c r="N362">
        <v>37.79</v>
      </c>
    </row>
    <row r="363" spans="1:14">
      <c r="A363" s="1" t="s">
        <v>375</v>
      </c>
      <c r="B363">
        <f>HYPERLINK("https://www.suredividend.com/sure-analysis-WPC/","W. P. Carey Inc")</f>
        <v>0</v>
      </c>
      <c r="C363" t="s">
        <v>392</v>
      </c>
      <c r="D363">
        <v>83.22</v>
      </c>
      <c r="E363">
        <v>0.0509492910358087</v>
      </c>
      <c r="F363">
        <v>0.009478672985782088</v>
      </c>
      <c r="G363">
        <v>0.009663631569345243</v>
      </c>
      <c r="H363">
        <v>4.155965742497832</v>
      </c>
      <c r="I363">
        <v>17383.213916</v>
      </c>
      <c r="J363">
        <v>35.53664916618796</v>
      </c>
      <c r="K363">
        <v>1.655763244023041</v>
      </c>
      <c r="L363">
        <v>0.512553201082646</v>
      </c>
      <c r="M363">
        <v>87.13</v>
      </c>
      <c r="N363">
        <v>66.84999999999999</v>
      </c>
    </row>
    <row r="364" spans="1:14">
      <c r="A364" s="1" t="s">
        <v>376</v>
      </c>
      <c r="B364">
        <f>HYPERLINK("https://www.suredividend.com/sure-analysis-WRB/","W.R. Berkley Corp.")</f>
        <v>0</v>
      </c>
      <c r="C364" t="s">
        <v>389</v>
      </c>
      <c r="D364">
        <v>72.76000000000001</v>
      </c>
      <c r="E364">
        <v>0.01223199560197911</v>
      </c>
      <c r="F364">
        <v>4</v>
      </c>
      <c r="G364">
        <v>0.353678289961735</v>
      </c>
      <c r="H364">
        <v>0.383204135310559</v>
      </c>
      <c r="I364">
        <v>19387.721117</v>
      </c>
      <c r="J364">
        <v>14.99125171687406</v>
      </c>
      <c r="K364">
        <v>0.0827654719893216</v>
      </c>
      <c r="L364">
        <v>0.520690517140016</v>
      </c>
      <c r="M364">
        <v>76.36</v>
      </c>
      <c r="N364">
        <v>52.66</v>
      </c>
    </row>
    <row r="365" spans="1:14">
      <c r="A365" s="1" t="s">
        <v>377</v>
      </c>
      <c r="B365">
        <f>HYPERLINK("https://www.suredividend.com/sure-analysis-WSBC/","Wesbanco, Inc.")</f>
        <v>0</v>
      </c>
      <c r="C365" t="s">
        <v>389</v>
      </c>
      <c r="D365">
        <v>37.135</v>
      </c>
      <c r="E365">
        <v>0.03770028275212064</v>
      </c>
      <c r="F365">
        <v>0.06060606060606055</v>
      </c>
      <c r="G365">
        <v>0.0383266700886169</v>
      </c>
      <c r="H365">
        <v>1.350837136187868</v>
      </c>
      <c r="I365">
        <v>2217.158335</v>
      </c>
      <c r="J365">
        <v>12.05442499312234</v>
      </c>
      <c r="K365">
        <v>0.4487831017235442</v>
      </c>
      <c r="L365">
        <v>0.5959946439768691</v>
      </c>
      <c r="M365">
        <v>41</v>
      </c>
      <c r="N365">
        <v>28.95</v>
      </c>
    </row>
    <row r="366" spans="1:14">
      <c r="A366" s="1" t="s">
        <v>378</v>
      </c>
      <c r="B366">
        <f>HYPERLINK("https://www.suredividend.com/sure-analysis-WSM/","Williams-Sonoma, Inc.")</f>
        <v>0</v>
      </c>
      <c r="C366" t="s">
        <v>393</v>
      </c>
      <c r="D366">
        <v>128.275</v>
      </c>
      <c r="E366">
        <v>0.02432274410446307</v>
      </c>
      <c r="F366">
        <v>0.09859154929577474</v>
      </c>
      <c r="G366">
        <v>0.1486983549970351</v>
      </c>
      <c r="H366">
        <v>3.022524312578921</v>
      </c>
      <c r="I366">
        <v>8560.572270000001</v>
      </c>
      <c r="J366">
        <v>7.280314418481237</v>
      </c>
      <c r="K366">
        <v>0.1822994157164609</v>
      </c>
      <c r="L366">
        <v>1.458629660666398</v>
      </c>
      <c r="M366">
        <v>175.7</v>
      </c>
      <c r="N366">
        <v>100.32</v>
      </c>
    </row>
    <row r="367" spans="1:14">
      <c r="A367" s="1" t="s">
        <v>379</v>
      </c>
      <c r="B367">
        <f>HYPERLINK("https://www.suredividend.com/sure-analysis-WST/","West Pharmaceutical Services, Inc.")</f>
        <v>0</v>
      </c>
      <c r="C367" t="s">
        <v>385</v>
      </c>
      <c r="D367">
        <v>249.64</v>
      </c>
      <c r="E367">
        <v>0.003044383912834482</v>
      </c>
      <c r="F367">
        <v>0.05555555555555558</v>
      </c>
      <c r="G367">
        <v>0.06298004826234438</v>
      </c>
      <c r="H367">
        <v>0.7292373297871321</v>
      </c>
      <c r="I367">
        <v>18366.843745</v>
      </c>
      <c r="J367">
        <v>29.12598120017444</v>
      </c>
      <c r="K367">
        <v>0.08828539101539129</v>
      </c>
      <c r="L367">
        <v>1.159706506856693</v>
      </c>
      <c r="M367">
        <v>423.18</v>
      </c>
      <c r="N367">
        <v>206.02</v>
      </c>
    </row>
    <row r="368" spans="1:14">
      <c r="A368" s="1" t="s">
        <v>380</v>
      </c>
      <c r="B368">
        <f>HYPERLINK("https://www.suredividend.com/sure-analysis-WTRG/","Essential Utilities Inc")</f>
        <v>0</v>
      </c>
      <c r="C368" t="s">
        <v>390</v>
      </c>
      <c r="D368">
        <v>48.76</v>
      </c>
      <c r="E368">
        <v>0.02358490566037736</v>
      </c>
      <c r="F368">
        <v>0.0700969425801643</v>
      </c>
      <c r="G368">
        <v>0.0699237075947905</v>
      </c>
      <c r="H368">
        <v>1.093289126351479</v>
      </c>
      <c r="I368">
        <v>12849.629084</v>
      </c>
      <c r="J368">
        <v>27.52640594251207</v>
      </c>
      <c r="K368">
        <v>0.6142073743547635</v>
      </c>
      <c r="L368">
        <v>0.6762889598036601</v>
      </c>
      <c r="M368">
        <v>51.75</v>
      </c>
      <c r="N368">
        <v>38</v>
      </c>
    </row>
    <row r="369" spans="1:14">
      <c r="A369" s="1" t="s">
        <v>381</v>
      </c>
      <c r="B369">
        <f>HYPERLINK("https://www.suredividend.com/sure-analysis-XEL/","Xcel Energy, Inc.")</f>
        <v>0</v>
      </c>
      <c r="C369" t="s">
        <v>390</v>
      </c>
      <c r="D369">
        <v>71.08</v>
      </c>
      <c r="E369">
        <v>0.02743387732132808</v>
      </c>
      <c r="F369">
        <v>0.06557377049180335</v>
      </c>
      <c r="G369">
        <v>0.05108588665585678</v>
      </c>
      <c r="H369">
        <v>1.930321719255474</v>
      </c>
      <c r="I369">
        <v>39374.529287</v>
      </c>
      <c r="J369">
        <v>23.5493596215311</v>
      </c>
      <c r="K369">
        <v>0.6287692896597635</v>
      </c>
      <c r="L369">
        <v>0.5044503886360301</v>
      </c>
      <c r="M369">
        <v>76.63</v>
      </c>
      <c r="N369">
        <v>56.5</v>
      </c>
    </row>
    <row r="370" spans="1:14">
      <c r="A370" s="1" t="s">
        <v>382</v>
      </c>
      <c r="B370">
        <f>HYPERLINK("https://www.suredividend.com/sure-analysis-XOM/","Exxon Mobil Corp.")</f>
        <v>0</v>
      </c>
      <c r="C370" t="s">
        <v>396</v>
      </c>
      <c r="D370">
        <v>113.14</v>
      </c>
      <c r="E370">
        <v>0.03217252960933357</v>
      </c>
      <c r="F370">
        <v>0.03409090909090917</v>
      </c>
      <c r="G370">
        <v>0.03397522653195018</v>
      </c>
      <c r="H370">
        <v>3.503350004935756</v>
      </c>
      <c r="I370">
        <v>466273.181126</v>
      </c>
      <c r="J370">
        <v>8.990998479090242</v>
      </c>
      <c r="K370">
        <v>0.2864554378524739</v>
      </c>
      <c r="L370">
        <v>0.5284845392807</v>
      </c>
      <c r="M370">
        <v>114.64</v>
      </c>
      <c r="N370">
        <v>67.14</v>
      </c>
    </row>
    <row r="371" spans="1:14">
      <c r="A371" s="1" t="s">
        <v>383</v>
      </c>
      <c r="B371">
        <f>HYPERLINK("https://www.suredividend.com/sure-analysis-XYL/","Xylem Inc")</f>
        <v>0</v>
      </c>
      <c r="C371" t="s">
        <v>386</v>
      </c>
      <c r="D371">
        <v>116.38</v>
      </c>
      <c r="E371">
        <v>0.01031105000859254</v>
      </c>
      <c r="F371">
        <v>0.0714285714285714</v>
      </c>
      <c r="G371">
        <v>0.07394092378577932</v>
      </c>
      <c r="H371">
        <v>1.194545976751309</v>
      </c>
      <c r="I371">
        <v>20939.939803</v>
      </c>
      <c r="J371">
        <v>65.64244452376175</v>
      </c>
      <c r="K371">
        <v>0.6787193049723346</v>
      </c>
      <c r="L371">
        <v>1.121179951001863</v>
      </c>
      <c r="M371">
        <v>116.78</v>
      </c>
      <c r="N371">
        <v>71.65000000000001</v>
      </c>
    </row>
    <row r="372" spans="1:14">
      <c r="A372" s="1" t="s">
        <v>384</v>
      </c>
      <c r="B372">
        <f>HYPERLINK("https://www.suredividend.com/sure-analysis-YORW/","York Water Co.")</f>
        <v>0</v>
      </c>
      <c r="C372" t="s">
        <v>390</v>
      </c>
      <c r="D372">
        <v>44.965</v>
      </c>
      <c r="E372">
        <v>0.01734682530857333</v>
      </c>
      <c r="F372">
        <v>0.04002052334530526</v>
      </c>
      <c r="G372">
        <v>0.04000577367145808</v>
      </c>
      <c r="H372">
        <v>0.7819623294786461</v>
      </c>
      <c r="I372">
        <v>646.431815</v>
      </c>
      <c r="J372">
        <v>34.81054468928379</v>
      </c>
      <c r="K372">
        <v>0.5749723010872398</v>
      </c>
      <c r="L372">
        <v>0.43116744897834</v>
      </c>
      <c r="M372">
        <v>47.27</v>
      </c>
      <c r="N372">
        <v>36.68</v>
      </c>
    </row>
  </sheetData>
  <autoFilter ref="A1:O372"/>
  <conditionalFormatting sqref="A1:N1">
    <cfRule type="cellIs" dxfId="8" priority="15" operator="notEqual">
      <formula>-13.345</formula>
    </cfRule>
  </conditionalFormatting>
  <conditionalFormatting sqref="A2:A372">
    <cfRule type="cellIs" dxfId="0" priority="1" operator="notEqual">
      <formula>"None"</formula>
    </cfRule>
  </conditionalFormatting>
  <conditionalFormatting sqref="B2:B372">
    <cfRule type="cellIs" dxfId="1" priority="2" operator="notEqual">
      <formula>"None"</formula>
    </cfRule>
  </conditionalFormatting>
  <conditionalFormatting sqref="C2:C372">
    <cfRule type="cellIs" dxfId="0" priority="3" operator="notEqual">
      <formula>"None"</formula>
    </cfRule>
  </conditionalFormatting>
  <conditionalFormatting sqref="D2:D372">
    <cfRule type="cellIs" dxfId="2" priority="4" operator="notEqual">
      <formula>"None"</formula>
    </cfRule>
  </conditionalFormatting>
  <conditionalFormatting sqref="E2:E372">
    <cfRule type="cellIs" dxfId="3" priority="5" operator="notEqual">
      <formula>"None"</formula>
    </cfRule>
  </conditionalFormatting>
  <conditionalFormatting sqref="F2:F372">
    <cfRule type="cellIs" dxfId="4" priority="6" operator="notEqual">
      <formula>"None"</formula>
    </cfRule>
  </conditionalFormatting>
  <conditionalFormatting sqref="G2:G372">
    <cfRule type="cellIs" dxfId="3" priority="7" operator="notEqual">
      <formula>"None"</formula>
    </cfRule>
  </conditionalFormatting>
  <conditionalFormatting sqref="H2:H372">
    <cfRule type="cellIs" dxfId="2" priority="8" operator="notEqual">
      <formula>"None"</formula>
    </cfRule>
  </conditionalFormatting>
  <conditionalFormatting sqref="I2:I372">
    <cfRule type="cellIs" dxfId="5" priority="9" operator="notEqual">
      <formula>"None"</formula>
    </cfRule>
  </conditionalFormatting>
  <conditionalFormatting sqref="J2:J372">
    <cfRule type="cellIs" dxfId="6" priority="10" operator="notEqual">
      <formula>"None"</formula>
    </cfRule>
  </conditionalFormatting>
  <conditionalFormatting sqref="K2:K372">
    <cfRule type="cellIs" dxfId="3" priority="11" operator="notEqual">
      <formula>"None"</formula>
    </cfRule>
  </conditionalFormatting>
  <conditionalFormatting sqref="L2:L372">
    <cfRule type="cellIs" dxfId="7" priority="12" operator="notEqual">
      <formula>"None"</formula>
    </cfRule>
  </conditionalFormatting>
  <conditionalFormatting sqref="M2:M372">
    <cfRule type="cellIs" dxfId="2" priority="13" operator="notEqual">
      <formula>"None"</formula>
    </cfRule>
  </conditionalFormatting>
  <conditionalFormatting sqref="N2:N372">
    <cfRule type="cellIs" dxfId="2" priority="14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7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  <col min="9" max="9" width="25.7109375" customWidth="1"/>
  </cols>
  <sheetData>
    <row r="1" spans="1:9">
      <c r="A1" s="1" t="s">
        <v>13</v>
      </c>
      <c r="B1" s="1" t="s">
        <v>0</v>
      </c>
      <c r="C1" s="1" t="s">
        <v>397</v>
      </c>
      <c r="D1" s="1" t="s">
        <v>398</v>
      </c>
      <c r="E1" s="1" t="s">
        <v>399</v>
      </c>
      <c r="F1" s="1" t="s">
        <v>400</v>
      </c>
      <c r="G1" s="1" t="s">
        <v>401</v>
      </c>
      <c r="H1" s="1" t="s">
        <v>402</v>
      </c>
      <c r="I1" s="1" t="s">
        <v>403</v>
      </c>
    </row>
    <row r="2" spans="1:9">
      <c r="A2" s="1" t="s">
        <v>14</v>
      </c>
      <c r="B2">
        <f>HYPERLINK("https://www.suredividend.com/sure-analysis-ABC/","Amerisource Bergen Corp.")</f>
        <v>0</v>
      </c>
      <c r="C2">
        <v>-0.013755980861243</v>
      </c>
      <c r="D2">
        <v>0.194230036659748</v>
      </c>
      <c r="E2">
        <v>0.177272711047016</v>
      </c>
      <c r="F2">
        <v>-0.004888057449761</v>
      </c>
      <c r="G2">
        <v>0.234203837483272</v>
      </c>
      <c r="H2">
        <v>0.59646357662057</v>
      </c>
      <c r="I2">
        <v>0.81293062599428</v>
      </c>
    </row>
    <row r="3" spans="1:9">
      <c r="A3" s="1" t="s">
        <v>15</v>
      </c>
      <c r="B3">
        <f>HYPERLINK("https://www.suredividend.com/sure-analysis-ABM/","ABM Industries Inc.")</f>
        <v>0</v>
      </c>
      <c r="C3">
        <v>0.011525716121479</v>
      </c>
      <c r="D3">
        <v>0.150881374348138</v>
      </c>
      <c r="E3">
        <v>0.08565760574357001</v>
      </c>
      <c r="F3">
        <v>0.039988778889834</v>
      </c>
      <c r="G3">
        <v>0.074424398806143</v>
      </c>
      <c r="H3">
        <v>0.143722958801591</v>
      </c>
      <c r="I3">
        <v>0.306121753163729</v>
      </c>
    </row>
    <row r="4" spans="1:9">
      <c r="A4" s="1" t="s">
        <v>16</v>
      </c>
      <c r="B4">
        <f>HYPERLINK("https://www.suredividend.com/sure-analysis-ABT/","Abbott Laboratories")</f>
        <v>0</v>
      </c>
      <c r="C4">
        <v>0.021684182519622</v>
      </c>
      <c r="D4">
        <v>0.123022155887899</v>
      </c>
      <c r="E4">
        <v>0.042396988880537</v>
      </c>
      <c r="F4">
        <v>0.018892887238311</v>
      </c>
      <c r="G4">
        <v>-0.14940681513347</v>
      </c>
      <c r="H4">
        <v>0.061185905743516</v>
      </c>
      <c r="I4">
        <v>1.054282799624414</v>
      </c>
    </row>
    <row r="5" spans="1:9">
      <c r="A5" s="1" t="s">
        <v>17</v>
      </c>
      <c r="B5">
        <f>HYPERLINK("https://www.suredividend.com/sure-analysis-ACN/","Accenture plc")</f>
        <v>0</v>
      </c>
      <c r="C5">
        <v>-0.025104319401983</v>
      </c>
      <c r="D5">
        <v>0.139684876168082</v>
      </c>
      <c r="E5">
        <v>0.04975577570938201</v>
      </c>
      <c r="F5">
        <v>0.06805943865168</v>
      </c>
      <c r="G5">
        <v>-0.236082403196913</v>
      </c>
      <c r="H5">
        <v>0.131811093136361</v>
      </c>
      <c r="I5">
        <v>0.9132666817657271</v>
      </c>
    </row>
    <row r="6" spans="1:9">
      <c r="A6" s="1" t="s">
        <v>18</v>
      </c>
      <c r="B6">
        <f>HYPERLINK("https://www.suredividend.com/sure-analysis-ADI/","Analog Devices Inc.")</f>
        <v>0</v>
      </c>
      <c r="C6">
        <v>-0.020840589806107</v>
      </c>
      <c r="D6">
        <v>0.222460750363469</v>
      </c>
      <c r="E6">
        <v>0.149856259446075</v>
      </c>
      <c r="F6">
        <v>0.028287508382612</v>
      </c>
      <c r="G6">
        <v>-0.010857288293434</v>
      </c>
      <c r="H6">
        <v>0.09830003444600201</v>
      </c>
      <c r="I6">
        <v>1.017962703522072</v>
      </c>
    </row>
    <row r="7" spans="1:9">
      <c r="A7" s="1" t="s">
        <v>19</v>
      </c>
      <c r="B7">
        <f>HYPERLINK("https://www.suredividend.com/sure-analysis-ADM/","Archer Daniels Midland Co.")</f>
        <v>0</v>
      </c>
      <c r="C7">
        <v>-0.06364513018322</v>
      </c>
      <c r="D7">
        <v>0.020136578532656</v>
      </c>
      <c r="E7">
        <v>0.21032075785275</v>
      </c>
      <c r="F7">
        <v>-0.05880452342487801</v>
      </c>
      <c r="G7">
        <v>0.264536965892664</v>
      </c>
      <c r="H7">
        <v>0.774394626664446</v>
      </c>
      <c r="I7">
        <v>1.481923057261165</v>
      </c>
    </row>
    <row r="8" spans="1:9">
      <c r="A8" s="1" t="s">
        <v>20</v>
      </c>
      <c r="B8">
        <f>HYPERLINK("https://www.suredividend.com/sure-analysis-ADP/","Automatic Data Processing Inc.")</f>
        <v>0</v>
      </c>
      <c r="C8">
        <v>-0.07627727564951001</v>
      </c>
      <c r="D8">
        <v>0.09519242538984701</v>
      </c>
      <c r="E8">
        <v>0.161167214068634</v>
      </c>
      <c r="F8">
        <v>0.022607385079125</v>
      </c>
      <c r="G8">
        <v>0.06085980632989201</v>
      </c>
      <c r="H8">
        <v>0.50028192475373</v>
      </c>
      <c r="I8">
        <v>1.285488653492934</v>
      </c>
    </row>
    <row r="9" spans="1:9">
      <c r="A9" s="1" t="s">
        <v>21</v>
      </c>
      <c r="B9">
        <f>HYPERLINK("https://www.suredividend.com/sure-analysis-AEL/","American Equity Investment Life Holding Co")</f>
        <v>0</v>
      </c>
      <c r="C9">
        <v>0.14271653543307</v>
      </c>
      <c r="D9">
        <v>0.198451612903225</v>
      </c>
      <c r="E9">
        <v>0.286783042394014</v>
      </c>
      <c r="F9">
        <v>0.017974572555896</v>
      </c>
      <c r="G9">
        <v>0.07974889560567301</v>
      </c>
      <c r="H9">
        <v>0.546453546453546</v>
      </c>
      <c r="I9">
        <v>0.409014781912182</v>
      </c>
    </row>
    <row r="10" spans="1:9">
      <c r="A10" s="1" t="s">
        <v>22</v>
      </c>
      <c r="B10">
        <f>HYPERLINK("https://www.suredividend.com/sure-analysis-AEP/","American Electric Power Company Inc.")</f>
        <v>0</v>
      </c>
      <c r="C10">
        <v>-0.021714865550481</v>
      </c>
      <c r="D10">
        <v>0.190543814630315</v>
      </c>
      <c r="E10">
        <v>0.039307401494334</v>
      </c>
      <c r="F10">
        <v>0.015376513954712</v>
      </c>
      <c r="G10">
        <v>0.104390757987101</v>
      </c>
      <c r="H10">
        <v>0.327020089055284</v>
      </c>
      <c r="I10">
        <v>0.6931322859481081</v>
      </c>
    </row>
    <row r="11" spans="1:9">
      <c r="A11" s="1" t="s">
        <v>23</v>
      </c>
      <c r="B11">
        <f>HYPERLINK("https://www.suredividend.com/sure-analysis-AFG/","American Financial Group Inc")</f>
        <v>0</v>
      </c>
      <c r="C11">
        <v>0.037403684612237</v>
      </c>
      <c r="D11">
        <v>0.155790245595196</v>
      </c>
      <c r="E11">
        <v>0.052595487896866</v>
      </c>
      <c r="F11">
        <v>0.03332286986000101</v>
      </c>
      <c r="G11">
        <v>0.150690601769954</v>
      </c>
      <c r="H11">
        <v>1.150488512048339</v>
      </c>
      <c r="I11">
        <v>1.039719794901422</v>
      </c>
    </row>
    <row r="12" spans="1:9">
      <c r="A12" s="1" t="s">
        <v>24</v>
      </c>
      <c r="B12">
        <f>HYPERLINK("https://www.suredividend.com/sure-analysis-AFL/","Aflac Inc.")</f>
        <v>0</v>
      </c>
      <c r="C12">
        <v>0.013837898898616</v>
      </c>
      <c r="D12">
        <v>0.257976235111903</v>
      </c>
      <c r="E12">
        <v>0.304050912472393</v>
      </c>
      <c r="F12">
        <v>-0.001946066166249</v>
      </c>
      <c r="G12">
        <v>0.163054394660964</v>
      </c>
      <c r="H12">
        <v>0.623182115155502</v>
      </c>
      <c r="I12">
        <v>0.863676478222498</v>
      </c>
    </row>
    <row r="13" spans="1:9">
      <c r="A13" s="1" t="s">
        <v>25</v>
      </c>
      <c r="B13">
        <f>HYPERLINK("https://www.suredividend.com/sure-analysis-AGM/","Federal Agricultural Mortgage Corp.")</f>
        <v>0</v>
      </c>
      <c r="C13">
        <v>0.046758339152387</v>
      </c>
      <c r="D13">
        <v>0.221981958326025</v>
      </c>
      <c r="E13">
        <v>0.310860635922962</v>
      </c>
      <c r="F13">
        <v>0.106556649809244</v>
      </c>
      <c r="G13">
        <v>0.018231337391998</v>
      </c>
      <c r="H13">
        <v>0.6465012508498511</v>
      </c>
      <c r="I13">
        <v>0.8496986379383981</v>
      </c>
    </row>
    <row r="14" spans="1:9">
      <c r="A14" s="1" t="s">
        <v>26</v>
      </c>
      <c r="B14">
        <f>HYPERLINK("https://www.suredividend.com/sure-analysis-AGO/","Assured Guaranty Ltd")</f>
        <v>0</v>
      </c>
      <c r="C14">
        <v>-0.013983791514381</v>
      </c>
      <c r="D14">
        <v>0.1920908947694</v>
      </c>
      <c r="E14">
        <v>0.135567133887116</v>
      </c>
      <c r="F14">
        <v>-0.003372952136203</v>
      </c>
      <c r="G14">
        <v>0.152394677998083</v>
      </c>
      <c r="H14">
        <v>0.6761119604972411</v>
      </c>
      <c r="I14">
        <v>1.007317570256114</v>
      </c>
    </row>
    <row r="15" spans="1:9">
      <c r="A15" s="1" t="s">
        <v>27</v>
      </c>
      <c r="B15">
        <f>HYPERLINK("https://www.suredividend.com/sure-analysis-AIT/","Applied Industrial Technologies Inc.")</f>
        <v>0</v>
      </c>
      <c r="C15">
        <v>-0.028891830854294</v>
      </c>
      <c r="D15">
        <v>0.170084495676692</v>
      </c>
      <c r="E15">
        <v>0.353998366949844</v>
      </c>
      <c r="F15">
        <v>-0.010553042926287</v>
      </c>
      <c r="G15">
        <v>0.260558567956944</v>
      </c>
      <c r="H15">
        <v>0.5173546679645901</v>
      </c>
      <c r="I15">
        <v>0.936091889063642</v>
      </c>
    </row>
    <row r="16" spans="1:9">
      <c r="A16" s="1" t="s">
        <v>28</v>
      </c>
      <c r="B16">
        <f>HYPERLINK("https://www.suredividend.com/sure-analysis-AIZ/","Assurant Inc")</f>
        <v>0</v>
      </c>
      <c r="C16">
        <v>-0.046177138531415</v>
      </c>
      <c r="D16">
        <v>-0.140283842794759</v>
      </c>
      <c r="E16">
        <v>-0.269225460184967</v>
      </c>
      <c r="F16">
        <v>0.007516392131776001</v>
      </c>
      <c r="G16">
        <v>-0.188127067134803</v>
      </c>
      <c r="H16">
        <v>-0.084400140391978</v>
      </c>
      <c r="I16">
        <v>0.43183119846544</v>
      </c>
    </row>
    <row r="17" spans="1:9">
      <c r="A17" s="1" t="s">
        <v>29</v>
      </c>
      <c r="B17">
        <f>HYPERLINK("https://www.suredividend.com/sure-analysis-AJG/","Arthur J. Gallagher &amp; Co.")</f>
        <v>0</v>
      </c>
      <c r="C17">
        <v>0.006451945906885001</v>
      </c>
      <c r="D17">
        <v>0.117920263544585</v>
      </c>
      <c r="E17">
        <v>0.1894268559518</v>
      </c>
      <c r="F17">
        <v>0.03421024716240501</v>
      </c>
      <c r="G17">
        <v>0.190490727127973</v>
      </c>
      <c r="H17">
        <v>0.6870565841841151</v>
      </c>
      <c r="I17">
        <v>2.305357836049233</v>
      </c>
    </row>
    <row r="18" spans="1:9">
      <c r="A18" s="1" t="s">
        <v>30</v>
      </c>
      <c r="B18">
        <f>HYPERLINK("https://www.suredividend.com/sure-analysis-ALB/","Albemarle Corp.")</f>
        <v>0</v>
      </c>
      <c r="C18">
        <v>-0.06077196581381401</v>
      </c>
      <c r="D18">
        <v>-0.031226137655034</v>
      </c>
      <c r="E18">
        <v>0.245592974161154</v>
      </c>
      <c r="F18">
        <v>0.121506963017615</v>
      </c>
      <c r="G18">
        <v>0.015464741816596</v>
      </c>
      <c r="H18">
        <v>0.352267261965989</v>
      </c>
      <c r="I18">
        <v>0.945116694205358</v>
      </c>
    </row>
    <row r="19" spans="1:9">
      <c r="A19" s="1" t="s">
        <v>31</v>
      </c>
      <c r="B19">
        <f>HYPERLINK("https://www.suredividend.com/sure-analysis-ALE/","Allete, Inc.")</f>
        <v>0</v>
      </c>
      <c r="C19">
        <v>0.009637448370812001</v>
      </c>
      <c r="D19">
        <v>0.3826854264956041</v>
      </c>
      <c r="E19">
        <v>0.151679707403555</v>
      </c>
      <c r="F19">
        <v>0.023097194233452</v>
      </c>
      <c r="G19">
        <v>0.049589944292218</v>
      </c>
      <c r="H19">
        <v>0.07908375978941501</v>
      </c>
      <c r="I19">
        <v>0.08263631785546101</v>
      </c>
    </row>
    <row r="20" spans="1:9">
      <c r="A20" s="1" t="s">
        <v>32</v>
      </c>
      <c r="B20">
        <f>HYPERLINK("https://www.suredividend.com/sure-analysis-ALL/","Allstate Corp (The)")</f>
        <v>0</v>
      </c>
      <c r="C20">
        <v>0.06396025770395</v>
      </c>
      <c r="D20">
        <v>0.052036147001079</v>
      </c>
      <c r="E20">
        <v>0.08494071887711301</v>
      </c>
      <c r="F20">
        <v>0.010840707964601</v>
      </c>
      <c r="G20">
        <v>0.137228189851646</v>
      </c>
      <c r="H20">
        <v>0.316412466302164</v>
      </c>
      <c r="I20">
        <v>0.4965558579893281</v>
      </c>
    </row>
    <row r="21" spans="1:9">
      <c r="A21" s="1" t="s">
        <v>33</v>
      </c>
      <c r="B21">
        <f>HYPERLINK("https://www.suredividend.com/sure-analysis-AMGN/","AMGEN Inc.")</f>
        <v>0</v>
      </c>
      <c r="C21">
        <v>-0.021172050003612</v>
      </c>
      <c r="D21">
        <v>0.106906439194914</v>
      </c>
      <c r="E21">
        <v>0.113060798049637</v>
      </c>
      <c r="F21">
        <v>0.031526043253122</v>
      </c>
      <c r="G21">
        <v>0.205890757656551</v>
      </c>
      <c r="H21">
        <v>0.227004979216278</v>
      </c>
      <c r="I21">
        <v>0.7100393803916071</v>
      </c>
    </row>
    <row r="22" spans="1:9">
      <c r="A22" s="1" t="s">
        <v>34</v>
      </c>
      <c r="B22">
        <f>HYPERLINK("https://www.suredividend.com/sure-analysis-AMP/","Ameriprise Financial Inc")</f>
        <v>0</v>
      </c>
      <c r="C22">
        <v>0.015952388256587</v>
      </c>
      <c r="D22">
        <v>0.26241419704213</v>
      </c>
      <c r="E22">
        <v>0.442105455676061</v>
      </c>
      <c r="F22">
        <v>0.06358994122747801</v>
      </c>
      <c r="G22">
        <v>0.026221529611435</v>
      </c>
      <c r="H22">
        <v>0.6750731393471471</v>
      </c>
      <c r="I22">
        <v>1.037096726571265</v>
      </c>
    </row>
    <row r="23" spans="1:9">
      <c r="A23" s="1" t="s">
        <v>35</v>
      </c>
      <c r="B23">
        <f>HYPERLINK("https://www.suredividend.com/sure-analysis-ANDE/","Andersons Inc.")</f>
        <v>0</v>
      </c>
      <c r="C23">
        <v>0.004396184486492</v>
      </c>
      <c r="D23">
        <v>0.08960701486471501</v>
      </c>
      <c r="E23">
        <v>0.176376733069848</v>
      </c>
      <c r="F23">
        <v>0.011431837667905</v>
      </c>
      <c r="G23">
        <v>-0.083279367957518</v>
      </c>
      <c r="H23">
        <v>0.497171914594782</v>
      </c>
      <c r="I23">
        <v>0.231183487738609</v>
      </c>
    </row>
    <row r="24" spans="1:9">
      <c r="A24" s="1" t="s">
        <v>36</v>
      </c>
      <c r="B24">
        <f>HYPERLINK("https://www.suredividend.com/sure-analysis-ANTM/","Anthem Inc")</f>
        <v>0</v>
      </c>
      <c r="C24">
        <v>-0.07055450096761801</v>
      </c>
      <c r="D24">
        <v>0.006370677989535001</v>
      </c>
      <c r="E24">
        <v>0.055850828743787</v>
      </c>
      <c r="F24">
        <v>0.046693895717118</v>
      </c>
      <c r="G24">
        <v>0.281523573203628</v>
      </c>
      <c r="H24">
        <v>0.933428179140786</v>
      </c>
      <c r="I24">
        <v>1.73652872878833</v>
      </c>
    </row>
    <row r="25" spans="1:9">
      <c r="A25" s="1" t="s">
        <v>37</v>
      </c>
      <c r="B25">
        <f>HYPERLINK("https://www.suredividend.com/sure-analysis-AON/","Aon plc.")</f>
        <v>0</v>
      </c>
      <c r="C25">
        <v>0.0268855656697</v>
      </c>
      <c r="D25">
        <v>0.155595034310786</v>
      </c>
      <c r="E25">
        <v>0.171974134719701</v>
      </c>
      <c r="F25">
        <v>0.052408875857933</v>
      </c>
      <c r="G25">
        <v>0.106185315369801</v>
      </c>
      <c r="H25">
        <v>0.5842047955961041</v>
      </c>
      <c r="I25">
        <v>1.05442165367057</v>
      </c>
    </row>
    <row r="26" spans="1:9">
      <c r="A26" s="1" t="s">
        <v>38</v>
      </c>
      <c r="B26">
        <f>HYPERLINK("https://www.suredividend.com/sure-analysis-AOS/","A.O. Smith Corp.")</f>
        <v>0</v>
      </c>
      <c r="C26">
        <v>0.049393266108357</v>
      </c>
      <c r="D26">
        <v>0.257011833108135</v>
      </c>
      <c r="E26">
        <v>0.105165297809648</v>
      </c>
      <c r="F26">
        <v>0.07267645003494</v>
      </c>
      <c r="G26">
        <v>-0.255152669440636</v>
      </c>
      <c r="H26">
        <v>0.082354102545118</v>
      </c>
      <c r="I26">
        <v>0.026865751518557</v>
      </c>
    </row>
    <row r="27" spans="1:9">
      <c r="A27" s="1" t="s">
        <v>39</v>
      </c>
      <c r="B27">
        <f>HYPERLINK("https://www.suredividend.com/sure-analysis-APD/","Air Products &amp; Chemicals Inc.")</f>
        <v>0</v>
      </c>
      <c r="C27">
        <v>-0.024030047075975</v>
      </c>
      <c r="D27">
        <v>0.359812735888342</v>
      </c>
      <c r="E27">
        <v>0.353974301505778</v>
      </c>
      <c r="F27">
        <v>0.006325828845779</v>
      </c>
      <c r="G27">
        <v>0.061450239194993</v>
      </c>
      <c r="H27">
        <v>0.148197883416145</v>
      </c>
      <c r="I27">
        <v>1.0499885014023</v>
      </c>
    </row>
    <row r="28" spans="1:9">
      <c r="A28" s="1" t="s">
        <v>40</v>
      </c>
      <c r="B28">
        <f>HYPERLINK("https://www.suredividend.com/sure-analysis-APH/","Amphenol Corp.")</f>
        <v>0</v>
      </c>
      <c r="C28">
        <v>0.011588882275562</v>
      </c>
      <c r="D28">
        <v>0.208032445153236</v>
      </c>
      <c r="E28">
        <v>0.263482087915863</v>
      </c>
      <c r="F28">
        <v>0.06251641712634601</v>
      </c>
      <c r="G28">
        <v>-0.012821122943428</v>
      </c>
      <c r="H28">
        <v>0.226127271707681</v>
      </c>
      <c r="I28">
        <v>0.8564924455214701</v>
      </c>
    </row>
    <row r="29" spans="1:9">
      <c r="A29" s="1" t="s">
        <v>41</v>
      </c>
      <c r="B29">
        <f>HYPERLINK("https://www.suredividend.com/sure-analysis-APOG/","Apogee Enterprises Inc.")</f>
        <v>0</v>
      </c>
      <c r="C29">
        <v>0.001936733376372</v>
      </c>
      <c r="D29">
        <v>0.10097209972121</v>
      </c>
      <c r="E29">
        <v>0.22647349357919</v>
      </c>
      <c r="F29">
        <v>0.04723346828609901</v>
      </c>
      <c r="G29">
        <v>-0.052275475185331</v>
      </c>
      <c r="H29">
        <v>0.3496708438051671</v>
      </c>
      <c r="I29">
        <v>0.108009509463058</v>
      </c>
    </row>
    <row r="30" spans="1:9">
      <c r="A30" s="1" t="s">
        <v>42</v>
      </c>
      <c r="B30">
        <f>HYPERLINK("https://www.suredividend.com/sure-analysis-ARE/","Alexandria Real Estate Equities Inc.")</f>
        <v>0</v>
      </c>
      <c r="C30">
        <v>0.047551077187337</v>
      </c>
      <c r="D30">
        <v>0.181467602866809</v>
      </c>
      <c r="E30">
        <v>0.106980410537192</v>
      </c>
      <c r="F30">
        <v>0.07008992929223501</v>
      </c>
      <c r="G30">
        <v>-0.234423253730639</v>
      </c>
      <c r="H30">
        <v>0.003496271652131</v>
      </c>
      <c r="I30">
        <v>0.4314864574475311</v>
      </c>
    </row>
    <row r="31" spans="1:9">
      <c r="A31" s="1" t="s">
        <v>43</v>
      </c>
      <c r="B31">
        <f>HYPERLINK("https://www.suredividend.com/sure-analysis-ASB/","Associated Banc-Corp.")</f>
        <v>0</v>
      </c>
      <c r="C31">
        <v>0.011235955056179</v>
      </c>
      <c r="D31">
        <v>0.130888230546547</v>
      </c>
      <c r="E31">
        <v>0.299696737427933</v>
      </c>
      <c r="F31">
        <v>0.01342572542226</v>
      </c>
      <c r="G31">
        <v>-0.042263205716952</v>
      </c>
      <c r="H31">
        <v>0.249619506880917</v>
      </c>
      <c r="I31">
        <v>0.031759679360838</v>
      </c>
    </row>
    <row r="32" spans="1:9">
      <c r="A32" s="1" t="s">
        <v>44</v>
      </c>
      <c r="B32">
        <f>HYPERLINK("https://www.suredividend.com/sure-analysis-research-database/","Ashland Inc")</f>
        <v>0</v>
      </c>
      <c r="C32">
        <v>0.017484746380111</v>
      </c>
      <c r="D32">
        <v>0.189694074103257</v>
      </c>
      <c r="E32">
        <v>0.124483198673124</v>
      </c>
      <c r="F32">
        <v>0.039058867292848</v>
      </c>
      <c r="G32">
        <v>0.068248180067653</v>
      </c>
      <c r="H32">
        <v>0.300214122794767</v>
      </c>
      <c r="I32">
        <v>0.6007599060719411</v>
      </c>
    </row>
    <row r="33" spans="1:9">
      <c r="A33" s="1" t="s">
        <v>45</v>
      </c>
      <c r="B33">
        <f>HYPERLINK("https://www.suredividend.com/sure-analysis-ATO/","Atmos Energy Corp.")</f>
        <v>0</v>
      </c>
      <c r="C33">
        <v>-0.022016806722689</v>
      </c>
      <c r="D33">
        <v>0.172476324803546</v>
      </c>
      <c r="E33">
        <v>0.046527207639162</v>
      </c>
      <c r="F33">
        <v>0.038458106540554</v>
      </c>
      <c r="G33">
        <v>0.137552122329372</v>
      </c>
      <c r="H33">
        <v>0.379344674980503</v>
      </c>
      <c r="I33">
        <v>0.597526976627348</v>
      </c>
    </row>
    <row r="34" spans="1:9">
      <c r="A34" s="1" t="s">
        <v>46</v>
      </c>
      <c r="B34">
        <f>HYPERLINK("https://www.suredividend.com/sure-analysis-ATR/","Aptargroup Inc.")</f>
        <v>0</v>
      </c>
      <c r="C34">
        <v>0.05014803849000701</v>
      </c>
      <c r="D34">
        <v>0.220331693680617</v>
      </c>
      <c r="E34">
        <v>0.137802407329252</v>
      </c>
      <c r="F34">
        <v>0.032005819239861</v>
      </c>
      <c r="G34">
        <v>-0.051024767835508</v>
      </c>
      <c r="H34">
        <v>-0.157545019383887</v>
      </c>
      <c r="I34">
        <v>0.3978417815524291</v>
      </c>
    </row>
    <row r="35" spans="1:9">
      <c r="A35" s="1" t="s">
        <v>47</v>
      </c>
      <c r="B35">
        <f>HYPERLINK("https://www.suredividend.com/sure-analysis-ATRI/","Atrion Corp.")</f>
        <v>0</v>
      </c>
      <c r="C35">
        <v>0.002938871473354</v>
      </c>
      <c r="D35">
        <v>0.05089037759893401</v>
      </c>
      <c r="E35">
        <v>0.007777347945022</v>
      </c>
      <c r="F35">
        <v>0.09800697113236101</v>
      </c>
      <c r="G35">
        <v>-0.088807452946267</v>
      </c>
      <c r="H35">
        <v>-0.074761912508156</v>
      </c>
      <c r="I35">
        <v>0.102526254727574</v>
      </c>
    </row>
    <row r="36" spans="1:9">
      <c r="A36" s="1" t="s">
        <v>48</v>
      </c>
      <c r="B36">
        <f>HYPERLINK("https://www.suredividend.com/sure-analysis-research-database/","Atlantic Union Bankshares Corp")</f>
        <v>0</v>
      </c>
      <c r="C36">
        <v>0.017970693945258</v>
      </c>
      <c r="D36">
        <v>0.19855990520895</v>
      </c>
      <c r="E36">
        <v>0.118013931145888</v>
      </c>
      <c r="F36">
        <v>0.047808764940239</v>
      </c>
      <c r="G36">
        <v>-0.070950421251567</v>
      </c>
      <c r="H36">
        <v>0.06805748133365</v>
      </c>
      <c r="I36">
        <v>-0.001366950182259</v>
      </c>
    </row>
    <row r="37" spans="1:9">
      <c r="A37" s="1" t="s">
        <v>49</v>
      </c>
      <c r="B37">
        <f>HYPERLINK("https://www.suredividend.com/sure-analysis-AVA/","Avista Corp.")</f>
        <v>0</v>
      </c>
      <c r="C37">
        <v>-0.006954102920723001</v>
      </c>
      <c r="D37">
        <v>0.173399654334649</v>
      </c>
      <c r="E37">
        <v>0.03359921249583801</v>
      </c>
      <c r="F37">
        <v>-0.03382949932341001</v>
      </c>
      <c r="G37">
        <v>0.046460501245786</v>
      </c>
      <c r="H37">
        <v>0.16402605201164</v>
      </c>
      <c r="I37">
        <v>0.000936918076911</v>
      </c>
    </row>
    <row r="38" spans="1:9">
      <c r="A38" s="1" t="s">
        <v>50</v>
      </c>
      <c r="B38">
        <f>HYPERLINK("https://www.suredividend.com/sure-analysis-AVGO/","Broadcom Inc")</f>
        <v>0</v>
      </c>
      <c r="C38">
        <v>0.054193295943654</v>
      </c>
      <c r="D38">
        <v>0.3628341629836681</v>
      </c>
      <c r="E38">
        <v>0.229233164581507</v>
      </c>
      <c r="F38">
        <v>0.040795521613935</v>
      </c>
      <c r="G38">
        <v>-0.042255217901996</v>
      </c>
      <c r="H38">
        <v>0.3649765326490541</v>
      </c>
      <c r="I38">
        <v>1.60170496306271</v>
      </c>
    </row>
    <row r="39" spans="1:9">
      <c r="A39" s="1" t="s">
        <v>51</v>
      </c>
      <c r="B39">
        <f>HYPERLINK("https://www.suredividend.com/sure-analysis-AVNT/","Avient Corp")</f>
        <v>0</v>
      </c>
      <c r="C39">
        <v>0.106737953013706</v>
      </c>
      <c r="D39">
        <v>0.265780763983176</v>
      </c>
      <c r="E39">
        <v>-0.015535078501588</v>
      </c>
      <c r="F39">
        <v>0.129443127962085</v>
      </c>
      <c r="G39">
        <v>-0.292935661410197</v>
      </c>
      <c r="H39">
        <v>-0.132207987874125</v>
      </c>
      <c r="I39">
        <v>-0.111300675439455</v>
      </c>
    </row>
    <row r="40" spans="1:9">
      <c r="A40" s="1" t="s">
        <v>52</v>
      </c>
      <c r="B40">
        <f>HYPERLINK("https://www.suredividend.com/sure-analysis-AVY/","Avery Dennison Corp.")</f>
        <v>0</v>
      </c>
      <c r="C40">
        <v>0.07509749303621101</v>
      </c>
      <c r="D40">
        <v>0.185240324703521</v>
      </c>
      <c r="E40">
        <v>0.166893317361967</v>
      </c>
      <c r="F40">
        <v>0.06618784530386701</v>
      </c>
      <c r="G40">
        <v>-0.08621528915523401</v>
      </c>
      <c r="H40">
        <v>0.201583764360569</v>
      </c>
      <c r="I40">
        <v>0.7266508895857841</v>
      </c>
    </row>
    <row r="41" spans="1:9">
      <c r="A41" s="1" t="s">
        <v>53</v>
      </c>
      <c r="B41">
        <f>HYPERLINK("https://www.suredividend.com/sure-analysis-AWK/","American Water Works Co. Inc.")</f>
        <v>0</v>
      </c>
      <c r="C41">
        <v>0.015478692910376</v>
      </c>
      <c r="D41">
        <v>0.271125626313623</v>
      </c>
      <c r="E41">
        <v>0.08661423763194101</v>
      </c>
      <c r="F41">
        <v>0.04592573153129501</v>
      </c>
      <c r="G41">
        <v>-0.04131625077800601</v>
      </c>
      <c r="H41">
        <v>0.05308354912011801</v>
      </c>
      <c r="I41">
        <v>1.149302508058873</v>
      </c>
    </row>
    <row r="42" spans="1:9">
      <c r="A42" s="1" t="s">
        <v>54</v>
      </c>
      <c r="B42">
        <f>HYPERLINK("https://www.suredividend.com/sure-analysis-AWR/","American States Water Co.")</f>
        <v>0</v>
      </c>
      <c r="C42">
        <v>-0.018444100978876</v>
      </c>
      <c r="D42">
        <v>0.158248110217168</v>
      </c>
      <c r="E42">
        <v>0.178076838410795</v>
      </c>
      <c r="F42">
        <v>0.029281469475959</v>
      </c>
      <c r="G42">
        <v>0.010677576241119</v>
      </c>
      <c r="H42">
        <v>0.221397927495685</v>
      </c>
      <c r="I42">
        <v>0.8856906445910611</v>
      </c>
    </row>
    <row r="43" spans="1:9">
      <c r="A43" s="1" t="s">
        <v>55</v>
      </c>
      <c r="B43">
        <f>HYPERLINK("https://www.suredividend.com/sure-analysis-AXS/","Axis Capital Holdings Ltd")</f>
        <v>0</v>
      </c>
      <c r="C43">
        <v>-0.009862702601988</v>
      </c>
      <c r="D43">
        <v>0.152480092967682</v>
      </c>
      <c r="E43">
        <v>0.047959056483374</v>
      </c>
      <c r="F43">
        <v>0.039874469263429</v>
      </c>
      <c r="G43">
        <v>0.038291252400806</v>
      </c>
      <c r="H43">
        <v>0.178543108985423</v>
      </c>
      <c r="I43">
        <v>0.345184392708828</v>
      </c>
    </row>
    <row r="44" spans="1:9">
      <c r="A44" s="1" t="s">
        <v>56</v>
      </c>
      <c r="B44">
        <f>HYPERLINK("https://www.suredividend.com/sure-analysis-BANF/","Bancfirst Corp.")</f>
        <v>0</v>
      </c>
      <c r="C44">
        <v>-0.032813668327808</v>
      </c>
      <c r="D44">
        <v>0.001886021613695</v>
      </c>
      <c r="E44">
        <v>-0.035023129905874</v>
      </c>
      <c r="F44">
        <v>0.015082785212066</v>
      </c>
      <c r="G44">
        <v>0.231402059444624</v>
      </c>
      <c r="H44">
        <v>0.44161004214829</v>
      </c>
      <c r="I44">
        <v>0.8272381166239681</v>
      </c>
    </row>
    <row r="45" spans="1:9">
      <c r="A45" s="1" t="s">
        <v>57</v>
      </c>
      <c r="B45">
        <f>HYPERLINK("https://www.suredividend.com/sure-analysis-BBY/","Best Buy Co. Inc.")</f>
        <v>0</v>
      </c>
      <c r="C45">
        <v>0.047653692251727</v>
      </c>
      <c r="D45">
        <v>0.381953352676414</v>
      </c>
      <c r="E45">
        <v>0.255476361734126</v>
      </c>
      <c r="F45">
        <v>0.077172422391223</v>
      </c>
      <c r="G45">
        <v>-0.1206106870229</v>
      </c>
      <c r="H45">
        <v>-0.192536193350199</v>
      </c>
      <c r="I45">
        <v>0.3703018787726911</v>
      </c>
    </row>
    <row r="46" spans="1:9">
      <c r="A46" s="1" t="s">
        <v>58</v>
      </c>
      <c r="B46">
        <f>HYPERLINK("https://www.suredividend.com/sure-analysis-research-database/","Balchem Corp.")</f>
        <v>0</v>
      </c>
      <c r="C46">
        <v>-0.021727803251354</v>
      </c>
      <c r="D46">
        <v>0.036379207474723</v>
      </c>
      <c r="E46">
        <v>0.01347757679869</v>
      </c>
      <c r="F46">
        <v>0.045532716403243</v>
      </c>
      <c r="G46">
        <v>-0.189025579328695</v>
      </c>
      <c r="H46">
        <v>-0.019841924847126</v>
      </c>
      <c r="I46">
        <v>0.613618755237277</v>
      </c>
    </row>
    <row r="47" spans="1:9">
      <c r="A47" s="1" t="s">
        <v>59</v>
      </c>
      <c r="B47">
        <f>HYPERLINK("https://www.suredividend.com/sure-analysis-BDX/","Becton, Dickinson And Co.")</f>
        <v>0</v>
      </c>
      <c r="C47">
        <v>0.002125482169566</v>
      </c>
      <c r="D47">
        <v>0.157405302789228</v>
      </c>
      <c r="E47">
        <v>0.08224234152014601</v>
      </c>
      <c r="F47">
        <v>0.001179709005111</v>
      </c>
      <c r="G47">
        <v>0.009824569753652</v>
      </c>
      <c r="H47">
        <v>0.01910930007285</v>
      </c>
      <c r="I47">
        <v>0.219550749309991</v>
      </c>
    </row>
    <row r="48" spans="1:9">
      <c r="A48" s="1" t="s">
        <v>60</v>
      </c>
      <c r="B48">
        <f>HYPERLINK("https://www.suredividend.com/sure-analysis-BEN/","Franklin Resources, Inc.")</f>
        <v>0</v>
      </c>
      <c r="C48">
        <v>0.115978735423626</v>
      </c>
      <c r="D48">
        <v>0.429468226318891</v>
      </c>
      <c r="E48">
        <v>0.271775369424524</v>
      </c>
      <c r="F48">
        <v>0.130780894617134</v>
      </c>
      <c r="G48">
        <v>-0.110574414478882</v>
      </c>
      <c r="H48">
        <v>0.220175643118053</v>
      </c>
      <c r="I48">
        <v>-0.182020352145311</v>
      </c>
    </row>
    <row r="49" spans="1:9">
      <c r="A49" s="1" t="s">
        <v>61</v>
      </c>
      <c r="B49">
        <f>HYPERLINK("https://www.suredividend.com/sure-analysis-BIP/","Brookfield Infrastructure Partners L.P")</f>
        <v>0</v>
      </c>
      <c r="C49">
        <v>-0.013548573075814</v>
      </c>
      <c r="D49">
        <v>0.051871205717359</v>
      </c>
      <c r="E49">
        <v>-0.08972415077275001</v>
      </c>
      <c r="F49">
        <v>0.104227170054856</v>
      </c>
      <c r="G49">
        <v>-0.107072963254826</v>
      </c>
      <c r="H49">
        <v>0.08503338808175401</v>
      </c>
      <c r="I49">
        <v>0.6082489731081221</v>
      </c>
    </row>
    <row r="50" spans="1:9">
      <c r="A50" s="1" t="s">
        <v>62</v>
      </c>
      <c r="B50">
        <f>HYPERLINK("https://www.suredividend.com/sure-analysis-BK/","Bank Of New York Mellon Corp")</f>
        <v>0</v>
      </c>
      <c r="C50">
        <v>0.073801560758082</v>
      </c>
      <c r="D50">
        <v>0.303090239540238</v>
      </c>
      <c r="E50">
        <v>0.173312024011967</v>
      </c>
      <c r="F50">
        <v>0.05799648506151101</v>
      </c>
      <c r="G50">
        <v>-0.218145010073526</v>
      </c>
      <c r="H50">
        <v>0.09601012261840801</v>
      </c>
      <c r="I50">
        <v>-0.056984307874259</v>
      </c>
    </row>
    <row r="51" spans="1:9">
      <c r="A51" s="1" t="s">
        <v>63</v>
      </c>
      <c r="B51">
        <f>HYPERLINK("https://www.suredividend.com/sure-analysis-BKH/","Black Hills Corporation")</f>
        <v>0</v>
      </c>
      <c r="C51">
        <v>0.031443880428652</v>
      </c>
      <c r="D51">
        <v>0.178715127998955</v>
      </c>
      <c r="E51">
        <v>0.04342442911204</v>
      </c>
      <c r="F51">
        <v>0.03994882001706</v>
      </c>
      <c r="G51">
        <v>0.113524720553245</v>
      </c>
      <c r="H51">
        <v>0.302869518908973</v>
      </c>
      <c r="I51">
        <v>0.5815292945060501</v>
      </c>
    </row>
    <row r="52" spans="1:9">
      <c r="A52" s="1" t="s">
        <v>64</v>
      </c>
      <c r="B52">
        <f>HYPERLINK("https://www.suredividend.com/sure-analysis-BLK/","Blackrock Inc.")</f>
        <v>0</v>
      </c>
      <c r="C52">
        <v>0.06306839812190601</v>
      </c>
      <c r="D52">
        <v>0.429406150715935</v>
      </c>
      <c r="E52">
        <v>0.258362756494723</v>
      </c>
      <c r="F52">
        <v>0.063968502603615</v>
      </c>
      <c r="G52">
        <v>-0.130408205045399</v>
      </c>
      <c r="H52">
        <v>0.009155020725583001</v>
      </c>
      <c r="I52">
        <v>0.519336292904887</v>
      </c>
    </row>
    <row r="53" spans="1:9">
      <c r="A53" s="1" t="s">
        <v>65</v>
      </c>
      <c r="B53">
        <f>HYPERLINK("https://www.suredividend.com/sure-analysis-BMI/","Badger Meter Inc.")</f>
        <v>0</v>
      </c>
      <c r="C53">
        <v>-0.025826798499829</v>
      </c>
      <c r="D53">
        <v>0.263907796328264</v>
      </c>
      <c r="E53">
        <v>0.4639426156013831</v>
      </c>
      <c r="F53">
        <v>0.048243602678162</v>
      </c>
      <c r="G53">
        <v>0.184235748812293</v>
      </c>
      <c r="H53">
        <v>0.09635848591444501</v>
      </c>
      <c r="I53">
        <v>1.464580682724861</v>
      </c>
    </row>
    <row r="54" spans="1:9">
      <c r="A54" s="1" t="s">
        <v>66</v>
      </c>
      <c r="B54">
        <f>HYPERLINK("https://www.suredividend.com/sure-analysis-BMRC/","Bank of Marin Bancorp")</f>
        <v>0</v>
      </c>
      <c r="C54">
        <v>-0.035263003232442</v>
      </c>
      <c r="D54">
        <v>0.054111935578123</v>
      </c>
      <c r="E54">
        <v>0.030393953850403</v>
      </c>
      <c r="F54">
        <v>-0.001520681265206</v>
      </c>
      <c r="G54">
        <v>-0.130750207846813</v>
      </c>
      <c r="H54">
        <v>-0.113213204290502</v>
      </c>
      <c r="I54">
        <v>0.034579471649119</v>
      </c>
    </row>
    <row r="55" spans="1:9">
      <c r="A55" s="1" t="s">
        <v>67</v>
      </c>
      <c r="B55">
        <f>HYPERLINK("https://www.suredividend.com/sure-analysis-BMY/","Bristol-Myers Squibb Co.")</f>
        <v>0</v>
      </c>
      <c r="C55">
        <v>-0.08522718561711301</v>
      </c>
      <c r="D55">
        <v>0.04166363575524901</v>
      </c>
      <c r="E55">
        <v>-0.030582679382822</v>
      </c>
      <c r="F55">
        <v>0.003007622017417</v>
      </c>
      <c r="G55">
        <v>0.13794210481146</v>
      </c>
      <c r="H55">
        <v>0.163956998616581</v>
      </c>
      <c r="I55">
        <v>0.31996895492011</v>
      </c>
    </row>
    <row r="56" spans="1:9">
      <c r="A56" s="1" t="s">
        <v>68</v>
      </c>
      <c r="B56">
        <f>HYPERLINK("https://www.suredividend.com/sure-analysis-BOKF/","BOK Financial Corp.")</f>
        <v>0</v>
      </c>
      <c r="C56">
        <v>-0.006944444444444001</v>
      </c>
      <c r="D56">
        <v>0.115970539938543</v>
      </c>
      <c r="E56">
        <v>0.400412398056615</v>
      </c>
      <c r="F56">
        <v>-0.007996916851334001</v>
      </c>
      <c r="G56">
        <v>-0.06648230840719001</v>
      </c>
      <c r="H56">
        <v>0.386089829283166</v>
      </c>
      <c r="I56">
        <v>0.215221427365851</v>
      </c>
    </row>
    <row r="57" spans="1:9">
      <c r="A57" s="1" t="s">
        <v>69</v>
      </c>
      <c r="B57">
        <f>HYPERLINK("https://www.suredividend.com/sure-analysis-BR/","Broadridge Financial Solutions, Inc.")</f>
        <v>0</v>
      </c>
      <c r="C57">
        <v>0.004049020361440001</v>
      </c>
      <c r="D57">
        <v>0.04329918271659301</v>
      </c>
      <c r="E57">
        <v>0.00176114847055</v>
      </c>
      <c r="F57">
        <v>0.08096622679490001</v>
      </c>
      <c r="G57">
        <v>-0.133435096984265</v>
      </c>
      <c r="H57">
        <v>-0.03134321876785</v>
      </c>
      <c r="I57">
        <v>0.6764485514485511</v>
      </c>
    </row>
    <row r="58" spans="1:9">
      <c r="A58" s="1" t="s">
        <v>70</v>
      </c>
      <c r="B58">
        <f>HYPERLINK("https://www.suredividend.com/sure-analysis-BRC/","Brady Corp.")</f>
        <v>0</v>
      </c>
      <c r="C58">
        <v>0.096094288622112</v>
      </c>
      <c r="D58">
        <v>0.194155125710579</v>
      </c>
      <c r="E58">
        <v>0.138689052396067</v>
      </c>
      <c r="F58">
        <v>0.06840068439085301</v>
      </c>
      <c r="G58">
        <v>-0.034345522278697</v>
      </c>
      <c r="H58">
        <v>-0.037039743261874</v>
      </c>
      <c r="I58">
        <v>0.405576839416775</v>
      </c>
    </row>
    <row r="59" spans="1:9">
      <c r="A59" s="1" t="s">
        <v>71</v>
      </c>
      <c r="B59">
        <f>HYPERLINK("https://www.suredividend.com/sure-analysis-BRO/","Brown &amp; Brown, Inc.")</f>
        <v>0</v>
      </c>
      <c r="C59">
        <v>0.062920186174797</v>
      </c>
      <c r="D59">
        <v>0.018141948736239</v>
      </c>
      <c r="E59">
        <v>0.04806907805276001</v>
      </c>
      <c r="F59">
        <v>0.082324030191328</v>
      </c>
      <c r="G59">
        <v>-0.10587273114843</v>
      </c>
      <c r="H59">
        <v>0.334632034632034</v>
      </c>
      <c r="I59">
        <v>1.455869232730053</v>
      </c>
    </row>
    <row r="60" spans="1:9">
      <c r="A60" s="1" t="s">
        <v>72</v>
      </c>
      <c r="B60">
        <f>HYPERLINK("https://www.suredividend.com/sure-analysis-CAH/","Cardinal Health, Inc.")</f>
        <v>0</v>
      </c>
      <c r="C60">
        <v>-0.031549318591418</v>
      </c>
      <c r="D60">
        <v>0.134853590242513</v>
      </c>
      <c r="E60">
        <v>0.458240430535386</v>
      </c>
      <c r="F60">
        <v>-0.00455314166775</v>
      </c>
      <c r="G60">
        <v>0.5281353034802421</v>
      </c>
      <c r="H60">
        <v>0.461373484818101</v>
      </c>
      <c r="I60">
        <v>0.284629770774504</v>
      </c>
    </row>
    <row r="61" spans="1:9">
      <c r="A61" s="1" t="s">
        <v>73</v>
      </c>
      <c r="B61">
        <f>HYPERLINK("https://www.suredividend.com/sure-analysis-CASS/","Cass Information Systems Inc")</f>
        <v>0</v>
      </c>
      <c r="C61">
        <v>0.107021131561008</v>
      </c>
      <c r="D61">
        <v>0.348172827344221</v>
      </c>
      <c r="E61">
        <v>0.498145767861206</v>
      </c>
      <c r="F61">
        <v>0.063291139240506</v>
      </c>
      <c r="G61">
        <v>0.258316459357824</v>
      </c>
      <c r="H61">
        <v>0.217366969176028</v>
      </c>
      <c r="I61">
        <v>-0.067136672519401</v>
      </c>
    </row>
    <row r="62" spans="1:9">
      <c r="A62" s="1" t="s">
        <v>74</v>
      </c>
      <c r="B62">
        <f>HYPERLINK("https://www.suredividend.com/sure-analysis-CASY/","Casey`s General Stores, Inc.")</f>
        <v>0</v>
      </c>
      <c r="C62">
        <v>-0.09899335697110401</v>
      </c>
      <c r="D62">
        <v>0.09344103539587501</v>
      </c>
      <c r="E62">
        <v>0.144784596878716</v>
      </c>
      <c r="F62">
        <v>-0.014575440160463</v>
      </c>
      <c r="G62">
        <v>0.142681114026219</v>
      </c>
      <c r="H62">
        <v>0.208133644456345</v>
      </c>
      <c r="I62">
        <v>0.851816175331175</v>
      </c>
    </row>
    <row r="63" spans="1:9">
      <c r="A63" s="1" t="s">
        <v>75</v>
      </c>
      <c r="B63">
        <f>HYPERLINK("https://www.suredividend.com/sure-analysis-CAT/","Caterpillar Inc.")</f>
        <v>0</v>
      </c>
      <c r="C63">
        <v>0.094439200205955</v>
      </c>
      <c r="D63">
        <v>0.430511101925948</v>
      </c>
      <c r="E63">
        <v>0.48183392561376</v>
      </c>
      <c r="F63">
        <v>0.064743696777425</v>
      </c>
      <c r="G63">
        <v>0.173857137992067</v>
      </c>
      <c r="H63">
        <v>0.342051997346097</v>
      </c>
      <c r="I63">
        <v>0.6859484029857551</v>
      </c>
    </row>
    <row r="64" spans="1:9">
      <c r="A64" s="1" t="s">
        <v>76</v>
      </c>
      <c r="B64">
        <f>HYPERLINK("https://www.suredividend.com/sure-analysis-CB/","Chubb Limited")</f>
        <v>0</v>
      </c>
      <c r="C64">
        <v>0.041083576029788</v>
      </c>
      <c r="D64">
        <v>0.224145621237624</v>
      </c>
      <c r="E64">
        <v>0.185220053755193</v>
      </c>
      <c r="F64">
        <v>0.022665457842248</v>
      </c>
      <c r="G64">
        <v>0.158954516172449</v>
      </c>
      <c r="H64">
        <v>0.4902322410688451</v>
      </c>
      <c r="I64">
        <v>0.713997877256175</v>
      </c>
    </row>
    <row r="65" spans="1:9">
      <c r="A65" s="1" t="s">
        <v>77</v>
      </c>
      <c r="B65">
        <f>HYPERLINK("https://www.suredividend.com/sure-analysis-CBOE/","Cboe Global Markets Inc.")</f>
        <v>0</v>
      </c>
      <c r="C65">
        <v>-0.015275678256026</v>
      </c>
      <c r="D65">
        <v>0.05187386012295801</v>
      </c>
      <c r="E65">
        <v>0.038852251657908</v>
      </c>
      <c r="F65">
        <v>-0.013549055551127</v>
      </c>
      <c r="G65">
        <v>0.010209836670364</v>
      </c>
      <c r="H65">
        <v>0.265359493161006</v>
      </c>
      <c r="I65">
        <v>0.021433853141959</v>
      </c>
    </row>
    <row r="66" spans="1:9">
      <c r="A66" s="1" t="s">
        <v>78</v>
      </c>
      <c r="B66">
        <f>HYPERLINK("https://www.suredividend.com/sure-analysis-CBSH/","Commerce Bancshares, Inc.")</f>
        <v>0</v>
      </c>
      <c r="C66">
        <v>0.035145197319434</v>
      </c>
      <c r="D66">
        <v>0.06594897982655801</v>
      </c>
      <c r="E66">
        <v>0.102166436487084</v>
      </c>
      <c r="F66">
        <v>0.021154693697664</v>
      </c>
      <c r="G66">
        <v>0.007944943671958001</v>
      </c>
      <c r="H66">
        <v>0.08002871375432301</v>
      </c>
      <c r="I66">
        <v>0.4842954241164371</v>
      </c>
    </row>
    <row r="67" spans="1:9">
      <c r="A67" s="1" t="s">
        <v>79</v>
      </c>
      <c r="B67">
        <f>HYPERLINK("https://www.suredividend.com/sure-analysis-research-database/","Cabot Corp.")</f>
        <v>0</v>
      </c>
      <c r="C67">
        <v>0.026505004934442</v>
      </c>
      <c r="D67">
        <v>0.172716818121784</v>
      </c>
      <c r="E67">
        <v>0.125507800181787</v>
      </c>
      <c r="F67">
        <v>0.08931777378815001</v>
      </c>
      <c r="G67">
        <v>0.262909218317994</v>
      </c>
      <c r="H67">
        <v>0.5340822896826061</v>
      </c>
      <c r="I67">
        <v>0.23949848063124</v>
      </c>
    </row>
    <row r="68" spans="1:9">
      <c r="A68" s="1" t="s">
        <v>80</v>
      </c>
      <c r="B68">
        <f>HYPERLINK("https://www.suredividend.com/sure-analysis-CBU/","Community Bank System, Inc.")</f>
        <v>0</v>
      </c>
      <c r="C68">
        <v>0.046862501544524</v>
      </c>
      <c r="D68">
        <v>0.06403722725680301</v>
      </c>
      <c r="E68">
        <v>0.02958271439513</v>
      </c>
      <c r="F68">
        <v>0.02287529785544</v>
      </c>
      <c r="G68">
        <v>-0.13476745951655</v>
      </c>
      <c r="H68">
        <v>0.003520660306931</v>
      </c>
      <c r="I68">
        <v>0.313848357536519</v>
      </c>
    </row>
    <row r="69" spans="1:9">
      <c r="A69" s="1" t="s">
        <v>81</v>
      </c>
      <c r="B69">
        <f>HYPERLINK("https://www.suredividend.com/sure-analysis-CE/","Celanese Corp")</f>
        <v>0</v>
      </c>
      <c r="C69">
        <v>0.155724465558194</v>
      </c>
      <c r="D69">
        <v>0.362711621362442</v>
      </c>
      <c r="E69">
        <v>0.103910423894705</v>
      </c>
      <c r="F69">
        <v>0.189749608763693</v>
      </c>
      <c r="G69">
        <v>-0.279722263178494</v>
      </c>
      <c r="H69">
        <v>-0.086552938852964</v>
      </c>
      <c r="I69">
        <v>0.216992675432935</v>
      </c>
    </row>
    <row r="70" spans="1:9">
      <c r="A70" s="1" t="s">
        <v>82</v>
      </c>
      <c r="B70">
        <f>HYPERLINK("https://www.suredividend.com/sure-analysis-CFR/","Cullen Frost Bankers Inc.")</f>
        <v>0</v>
      </c>
      <c r="C70">
        <v>-0.016755299774167</v>
      </c>
      <c r="D70">
        <v>-0.016604140361052</v>
      </c>
      <c r="E70">
        <v>0.166665370083681</v>
      </c>
      <c r="F70">
        <v>0.009498878085265</v>
      </c>
      <c r="G70">
        <v>-0.021822553958476</v>
      </c>
      <c r="H70">
        <v>0.455570953287355</v>
      </c>
      <c r="I70">
        <v>0.5240205144881871</v>
      </c>
    </row>
    <row r="71" spans="1:9">
      <c r="A71" s="1" t="s">
        <v>83</v>
      </c>
      <c r="B71">
        <f>HYPERLINK("https://www.suredividend.com/sure-analysis-research-database/","City Holding Co.")</f>
        <v>0</v>
      </c>
      <c r="C71">
        <v>-0.015714405455214</v>
      </c>
      <c r="D71">
        <v>0.038900827917842</v>
      </c>
      <c r="E71">
        <v>0.16653526326577</v>
      </c>
      <c r="F71">
        <v>0.003635026072657</v>
      </c>
      <c r="G71">
        <v>0.141201724657559</v>
      </c>
      <c r="H71">
        <v>0.367796840075253</v>
      </c>
      <c r="I71">
        <v>0.5479209771073881</v>
      </c>
    </row>
    <row r="72" spans="1:9">
      <c r="A72" s="1" t="s">
        <v>84</v>
      </c>
      <c r="B72">
        <f>HYPERLINK("https://www.suredividend.com/sure-analysis-CHD/","Church &amp; Dwight Co., Inc.")</f>
        <v>0</v>
      </c>
      <c r="C72">
        <v>0.002463357556349</v>
      </c>
      <c r="D72">
        <v>0.136309695001577</v>
      </c>
      <c r="E72">
        <v>-0.134824509372468</v>
      </c>
      <c r="F72">
        <v>0.00967621883141</v>
      </c>
      <c r="G72">
        <v>-0.197222482504894</v>
      </c>
      <c r="H72">
        <v>-0.006337513170087</v>
      </c>
      <c r="I72">
        <v>0.771003329199033</v>
      </c>
    </row>
    <row r="73" spans="1:9">
      <c r="A73" s="1" t="s">
        <v>85</v>
      </c>
      <c r="B73">
        <f>HYPERLINK("https://www.suredividend.com/sure-analysis-research-database/","Churchill Downs, Inc.")</f>
        <v>0</v>
      </c>
      <c r="C73">
        <v>0.010594467333725</v>
      </c>
      <c r="D73">
        <v>0.160561599298702</v>
      </c>
      <c r="E73">
        <v>0.129705884734672</v>
      </c>
      <c r="F73">
        <v>0.055715839757839</v>
      </c>
      <c r="G73">
        <v>0.018930627262477</v>
      </c>
      <c r="H73">
        <v>0.059123690330282</v>
      </c>
      <c r="I73">
        <v>1.686302756345685</v>
      </c>
    </row>
    <row r="74" spans="1:9">
      <c r="A74" s="1" t="s">
        <v>86</v>
      </c>
      <c r="B74">
        <f>HYPERLINK("https://www.suredividend.com/sure-analysis-research-database/","Chemed Corp.")</f>
        <v>0</v>
      </c>
      <c r="C74">
        <v>-0.048580637645139</v>
      </c>
      <c r="D74">
        <v>0.125299065450608</v>
      </c>
      <c r="E74">
        <v>-0.02474209404193</v>
      </c>
      <c r="F74">
        <v>-0.04002507689595</v>
      </c>
      <c r="G74">
        <v>-0.001819540380677</v>
      </c>
      <c r="H74">
        <v>-0.08370366976680201</v>
      </c>
      <c r="I74">
        <v>0.9006333375742021</v>
      </c>
    </row>
    <row r="75" spans="1:9">
      <c r="A75" s="1" t="s">
        <v>87</v>
      </c>
      <c r="B75">
        <f>HYPERLINK("https://www.suredividend.com/sure-analysis-CHRW/","C.H. Robinson Worldwide, Inc.")</f>
        <v>0</v>
      </c>
      <c r="C75">
        <v>-0.04230257093106601</v>
      </c>
      <c r="D75">
        <v>-0.004311809074925</v>
      </c>
      <c r="E75">
        <v>-0.024579552057719</v>
      </c>
      <c r="F75">
        <v>0.021188291830493</v>
      </c>
      <c r="G75">
        <v>-0.110218686359224</v>
      </c>
      <c r="H75">
        <v>0.002692793158953</v>
      </c>
      <c r="I75">
        <v>0.115730487246066</v>
      </c>
    </row>
    <row r="76" spans="1:9">
      <c r="A76" s="1" t="s">
        <v>88</v>
      </c>
      <c r="B76">
        <f>HYPERLINK("https://www.suredividend.com/sure-analysis-CINF/","Cincinnati Financial Corp.")</f>
        <v>0</v>
      </c>
      <c r="C76">
        <v>0.01177608747415</v>
      </c>
      <c r="D76">
        <v>0.118788768368328</v>
      </c>
      <c r="E76">
        <v>-0.063701765633092</v>
      </c>
      <c r="F76">
        <v>0.05410684637171601</v>
      </c>
      <c r="G76">
        <v>-0.06949356240936701</v>
      </c>
      <c r="H76">
        <v>0.222655086202111</v>
      </c>
      <c r="I76">
        <v>0.6601576019159571</v>
      </c>
    </row>
    <row r="77" spans="1:9">
      <c r="A77" s="1" t="s">
        <v>89</v>
      </c>
      <c r="B77">
        <f>HYPERLINK("https://www.suredividend.com/sure-analysis-CL/","Colgate-Palmolive Co.")</f>
        <v>0</v>
      </c>
      <c r="C77">
        <v>-0.02251621931052</v>
      </c>
      <c r="D77">
        <v>0.119181791302599</v>
      </c>
      <c r="E77">
        <v>-0.006277368109314001</v>
      </c>
      <c r="F77">
        <v>-0.024749333671785</v>
      </c>
      <c r="G77">
        <v>-0.05032041180796201</v>
      </c>
      <c r="H77">
        <v>-0.021419502075217</v>
      </c>
      <c r="I77">
        <v>0.152279666252781</v>
      </c>
    </row>
    <row r="78" spans="1:9">
      <c r="A78" s="1" t="s">
        <v>90</v>
      </c>
      <c r="B78">
        <f>HYPERLINK("https://www.suredividend.com/sure-analysis-CLX/","Clorox Co.")</f>
        <v>0</v>
      </c>
      <c r="C78">
        <v>-0.047676201907048</v>
      </c>
      <c r="D78">
        <v>0.115604322127037</v>
      </c>
      <c r="E78">
        <v>0.009148187638535001</v>
      </c>
      <c r="F78">
        <v>0.017743889403548</v>
      </c>
      <c r="G78">
        <v>-0.190778432392433</v>
      </c>
      <c r="H78">
        <v>-0.222858685106496</v>
      </c>
      <c r="I78">
        <v>0.148202727483947</v>
      </c>
    </row>
    <row r="79" spans="1:9">
      <c r="A79" s="1" t="s">
        <v>91</v>
      </c>
      <c r="B79">
        <f>HYPERLINK("https://www.suredividend.com/sure-analysis-CMCSA/","Comcast Corp")</f>
        <v>0</v>
      </c>
      <c r="C79">
        <v>0.059419496166484</v>
      </c>
      <c r="D79">
        <v>0.348553502962704</v>
      </c>
      <c r="E79">
        <v>-0.018010335130305</v>
      </c>
      <c r="F79">
        <v>0.106376894480983</v>
      </c>
      <c r="G79">
        <v>-0.229551451187335</v>
      </c>
      <c r="H79">
        <v>-0.204063411603517</v>
      </c>
      <c r="I79">
        <v>-0.00014471929625</v>
      </c>
    </row>
    <row r="80" spans="1:9">
      <c r="A80" s="1" t="s">
        <v>92</v>
      </c>
      <c r="B80">
        <f>HYPERLINK("https://www.suredividend.com/sure-analysis-CME/","CME Group Inc")</f>
        <v>0</v>
      </c>
      <c r="C80">
        <v>0.002901919875682</v>
      </c>
      <c r="D80">
        <v>0.062556147919024</v>
      </c>
      <c r="E80">
        <v>-0.097470895919938</v>
      </c>
      <c r="F80">
        <v>0.050814700285442</v>
      </c>
      <c r="G80">
        <v>-0.181530628739921</v>
      </c>
      <c r="H80">
        <v>-0.065577966243306</v>
      </c>
      <c r="I80">
        <v>0.34228111447959</v>
      </c>
    </row>
    <row r="81" spans="1:9">
      <c r="A81" s="1" t="s">
        <v>93</v>
      </c>
      <c r="B81">
        <f>HYPERLINK("https://www.suredividend.com/sure-analysis-CMI/","Cummins Inc.")</f>
        <v>0</v>
      </c>
      <c r="C81">
        <v>0.033000165207335</v>
      </c>
      <c r="D81">
        <v>0.154015453314766</v>
      </c>
      <c r="E81">
        <v>0.259723939590064</v>
      </c>
      <c r="F81">
        <v>0.032275372487515</v>
      </c>
      <c r="G81">
        <v>0.108950347968587</v>
      </c>
      <c r="H81">
        <v>0.08647915333600001</v>
      </c>
      <c r="I81">
        <v>0.5591007072710651</v>
      </c>
    </row>
    <row r="82" spans="1:9">
      <c r="A82" s="1" t="s">
        <v>94</v>
      </c>
      <c r="B82">
        <f>HYPERLINK("https://www.suredividend.com/sure-analysis-CMS/","CMS Energy Corporation")</f>
        <v>0</v>
      </c>
      <c r="C82">
        <v>0.006885758998435</v>
      </c>
      <c r="D82">
        <v>0.215574620676104</v>
      </c>
      <c r="E82">
        <v>-0.009310998434052</v>
      </c>
      <c r="F82">
        <v>0.01594820780041</v>
      </c>
      <c r="G82">
        <v>0.03252269977244</v>
      </c>
      <c r="H82">
        <v>0.208542066993878</v>
      </c>
      <c r="I82">
        <v>0.683949350656148</v>
      </c>
    </row>
    <row r="83" spans="1:9">
      <c r="A83" s="1" t="s">
        <v>95</v>
      </c>
      <c r="B83">
        <f>HYPERLINK("https://www.suredividend.com/sure-analysis-research-database/","Cohen &amp; Steers Inc.")</f>
        <v>0</v>
      </c>
      <c r="C83">
        <v>0.08484213676492501</v>
      </c>
      <c r="D83">
        <v>0.326691943960532</v>
      </c>
      <c r="E83">
        <v>0.131604865432671</v>
      </c>
      <c r="F83">
        <v>0.122986369268897</v>
      </c>
      <c r="G83">
        <v>-0.162444230338233</v>
      </c>
      <c r="H83">
        <v>0.04873659786954501</v>
      </c>
      <c r="I83">
        <v>1.013044528544971</v>
      </c>
    </row>
    <row r="84" spans="1:9">
      <c r="A84" s="1" t="s">
        <v>96</v>
      </c>
      <c r="B84">
        <f>HYPERLINK("https://www.suredividend.com/sure-analysis-COST/","Costco Wholesale Corp")</f>
        <v>0</v>
      </c>
      <c r="C84">
        <v>-0.010765255905511</v>
      </c>
      <c r="D84">
        <v>0.036281338902211</v>
      </c>
      <c r="E84">
        <v>-0.013117116320972</v>
      </c>
      <c r="F84">
        <v>0.05680175246440301</v>
      </c>
      <c r="G84">
        <v>-0.07634516580813301</v>
      </c>
      <c r="H84">
        <v>0.343667192327981</v>
      </c>
      <c r="I84">
        <v>1.693843910833951</v>
      </c>
    </row>
    <row r="85" spans="1:9">
      <c r="A85" s="1" t="s">
        <v>97</v>
      </c>
      <c r="B85">
        <f>HYPERLINK("https://www.suredividend.com/sure-analysis-CPK/","Chesapeake Utilities Corp")</f>
        <v>0</v>
      </c>
      <c r="C85">
        <v>0.025697999224816</v>
      </c>
      <c r="D85">
        <v>0.08041569475594901</v>
      </c>
      <c r="E85">
        <v>-0.007893865085200001</v>
      </c>
      <c r="F85">
        <v>0.039008292435268</v>
      </c>
      <c r="G85">
        <v>-0.07143991469860901</v>
      </c>
      <c r="H85">
        <v>0.240932270706964</v>
      </c>
      <c r="I85">
        <v>0.8416059872066951</v>
      </c>
    </row>
    <row r="86" spans="1:9">
      <c r="A86" s="1" t="s">
        <v>98</v>
      </c>
      <c r="B86">
        <f>HYPERLINK("https://www.suredividend.com/sure-analysis-CSCO/","Cisco Systems, Inc.")</f>
        <v>0</v>
      </c>
      <c r="C86">
        <v>0.001856501435312</v>
      </c>
      <c r="D86">
        <v>0.257742173121793</v>
      </c>
      <c r="E86">
        <v>0.163097066384358</v>
      </c>
      <c r="F86">
        <v>0.036764954805511</v>
      </c>
      <c r="G86">
        <v>-0.192020460020677</v>
      </c>
      <c r="H86">
        <v>0.125787189460793</v>
      </c>
      <c r="I86">
        <v>0.372487507562686</v>
      </c>
    </row>
    <row r="87" spans="1:9">
      <c r="A87" s="1" t="s">
        <v>99</v>
      </c>
      <c r="B87">
        <f>HYPERLINK("https://www.suredividend.com/sure-analysis-CSL/","Carlisle Companies Inc.")</f>
        <v>0</v>
      </c>
      <c r="C87">
        <v>-0.039922219135679</v>
      </c>
      <c r="D87">
        <v>-0.15770541309966</v>
      </c>
      <c r="E87">
        <v>-0.037661014670369</v>
      </c>
      <c r="F87">
        <v>0.026649692340335</v>
      </c>
      <c r="G87">
        <v>0.002620414533582</v>
      </c>
      <c r="H87">
        <v>0.583177859984333</v>
      </c>
      <c r="I87">
        <v>1.197513729351473</v>
      </c>
    </row>
    <row r="88" spans="1:9">
      <c r="A88" s="1" t="s">
        <v>100</v>
      </c>
      <c r="B88">
        <f>HYPERLINK("https://www.suredividend.com/sure-analysis-CSX/","CSX Corp.")</f>
        <v>0</v>
      </c>
      <c r="C88">
        <v>0.008379888268156001</v>
      </c>
      <c r="D88">
        <v>0.222996397637573</v>
      </c>
      <c r="E88">
        <v>0.150340959785864</v>
      </c>
      <c r="F88">
        <v>0.04874112330535801</v>
      </c>
      <c r="G88">
        <v>-0.102225783721797</v>
      </c>
      <c r="H88">
        <v>0.040729054887326</v>
      </c>
      <c r="I88">
        <v>0.7484850767955741</v>
      </c>
    </row>
    <row r="89" spans="1:9">
      <c r="A89" s="1" t="s">
        <v>101</v>
      </c>
      <c r="B89">
        <f>HYPERLINK("https://www.suredividend.com/sure-analysis-CTAS/","Cintas Corporation")</f>
        <v>0</v>
      </c>
      <c r="C89">
        <v>-0.024463294127934</v>
      </c>
      <c r="D89">
        <v>0.154612148073322</v>
      </c>
      <c r="E89">
        <v>0.188443523298398</v>
      </c>
      <c r="F89">
        <v>-0.011934812452947</v>
      </c>
      <c r="G89">
        <v>0.110002786014208</v>
      </c>
      <c r="H89">
        <v>0.340191013935607</v>
      </c>
      <c r="I89">
        <v>1.901612556075973</v>
      </c>
    </row>
    <row r="90" spans="1:9">
      <c r="A90" s="1" t="s">
        <v>102</v>
      </c>
      <c r="B90">
        <f>HYPERLINK("https://www.suredividend.com/sure-analysis-CTBI/","Community Trust Bancorp, Inc.")</f>
        <v>0</v>
      </c>
      <c r="C90">
        <v>-0.0006377086998010001</v>
      </c>
      <c r="D90">
        <v>0.139471841381615</v>
      </c>
      <c r="E90">
        <v>0.164774427838856</v>
      </c>
      <c r="F90">
        <v>0.016764641846287</v>
      </c>
      <c r="G90">
        <v>0.07549663993662101</v>
      </c>
      <c r="H90">
        <v>0.271838446559636</v>
      </c>
      <c r="I90">
        <v>0.121474679166986</v>
      </c>
    </row>
    <row r="91" spans="1:9">
      <c r="A91" s="1" t="s">
        <v>103</v>
      </c>
      <c r="B91">
        <f>HYPERLINK("https://www.suredividend.com/sure-analysis-CUBE/","CubeSmart")</f>
        <v>0</v>
      </c>
      <c r="C91">
        <v>-0.008508510847066001</v>
      </c>
      <c r="D91">
        <v>0.132388608875002</v>
      </c>
      <c r="E91">
        <v>0.054761088163512</v>
      </c>
      <c r="F91">
        <v>0.05440993788819801</v>
      </c>
      <c r="G91">
        <v>-0.165086284909387</v>
      </c>
      <c r="H91">
        <v>0.353644378101835</v>
      </c>
      <c r="I91">
        <v>0.8938312151934881</v>
      </c>
    </row>
    <row r="92" spans="1:9">
      <c r="A92" s="1" t="s">
        <v>104</v>
      </c>
      <c r="B92">
        <f>HYPERLINK("https://www.suredividend.com/sure-analysis-CVX/","Chevron Corp.")</f>
        <v>0</v>
      </c>
      <c r="C92">
        <v>0.043181148748159</v>
      </c>
      <c r="D92">
        <v>0.132008650520137</v>
      </c>
      <c r="E92">
        <v>0.296222960890051</v>
      </c>
      <c r="F92">
        <v>-0.013426931862499</v>
      </c>
      <c r="G92">
        <v>0.4408133907445561</v>
      </c>
      <c r="H92">
        <v>1.03967624113516</v>
      </c>
      <c r="I92">
        <v>0.627403011081559</v>
      </c>
    </row>
    <row r="93" spans="1:9">
      <c r="A93" s="1" t="s">
        <v>105</v>
      </c>
      <c r="B93">
        <f>HYPERLINK("https://www.suredividend.com/sure-analysis-CWT/","California Water Service Group")</f>
        <v>0</v>
      </c>
      <c r="C93">
        <v>-0.022291993720565</v>
      </c>
      <c r="D93">
        <v>0.165168423711214</v>
      </c>
      <c r="E93">
        <v>0.138546981515978</v>
      </c>
      <c r="F93">
        <v>0.027044854881266</v>
      </c>
      <c r="G93">
        <v>-0.021680736158541</v>
      </c>
      <c r="H93">
        <v>0.154070656252605</v>
      </c>
      <c r="I93">
        <v>0.581360864111639</v>
      </c>
    </row>
    <row r="94" spans="1:9">
      <c r="A94" s="1" t="s">
        <v>106</v>
      </c>
      <c r="B94">
        <f>HYPERLINK("https://www.suredividend.com/sure-analysis-DCI/","Donaldson Co. Inc.")</f>
        <v>0</v>
      </c>
      <c r="C94">
        <v>0.028020134228188</v>
      </c>
      <c r="D94">
        <v>0.225140270262704</v>
      </c>
      <c r="E94">
        <v>0.271132816470993</v>
      </c>
      <c r="F94">
        <v>0.04076779344318</v>
      </c>
      <c r="G94">
        <v>0.06058507876060201</v>
      </c>
      <c r="H94">
        <v>0.059592799542059</v>
      </c>
      <c r="I94">
        <v>0.29394273453372</v>
      </c>
    </row>
    <row r="95" spans="1:9">
      <c r="A95" s="1" t="s">
        <v>107</v>
      </c>
      <c r="B95">
        <f>HYPERLINK("https://www.suredividend.com/sure-analysis-DDS/","Dillard`s Inc.")</f>
        <v>0</v>
      </c>
      <c r="C95">
        <v>0.153986778201777</v>
      </c>
      <c r="D95">
        <v>0.386119313436888</v>
      </c>
      <c r="E95">
        <v>0.9190440536359921</v>
      </c>
      <c r="F95">
        <v>0.130847772277227</v>
      </c>
      <c r="G95">
        <v>0.5100190750993721</v>
      </c>
      <c r="H95">
        <v>5.94571928644322</v>
      </c>
      <c r="I95">
        <v>4.679632018150456</v>
      </c>
    </row>
    <row r="96" spans="1:9">
      <c r="A96" s="1" t="s">
        <v>108</v>
      </c>
      <c r="B96">
        <f>HYPERLINK("https://www.suredividend.com/sure-analysis-DFS/","Discover Financial Services")</f>
        <v>0</v>
      </c>
      <c r="C96">
        <v>0.007408814589665001</v>
      </c>
      <c r="D96">
        <v>0.164828888986513</v>
      </c>
      <c r="E96">
        <v>0.074494285607186</v>
      </c>
      <c r="F96">
        <v>0.08412552386793401</v>
      </c>
      <c r="G96">
        <v>-0.152493615334703</v>
      </c>
      <c r="H96">
        <v>0.155135101578045</v>
      </c>
      <c r="I96">
        <v>0.470722825740284</v>
      </c>
    </row>
    <row r="97" spans="1:9">
      <c r="A97" s="1" t="s">
        <v>109</v>
      </c>
      <c r="B97">
        <f>HYPERLINK("https://www.suredividend.com/sure-analysis-DGX/","Quest Diagnostics, Inc.")</f>
        <v>0</v>
      </c>
      <c r="C97">
        <v>-0.005906040268456</v>
      </c>
      <c r="D97">
        <v>0.190770962296004</v>
      </c>
      <c r="E97">
        <v>0.110605411914489</v>
      </c>
      <c r="F97">
        <v>-0.053183329071848</v>
      </c>
      <c r="G97">
        <v>0.017094633335736</v>
      </c>
      <c r="H97">
        <v>0.196523200206798</v>
      </c>
      <c r="I97">
        <v>0.5681840318803381</v>
      </c>
    </row>
    <row r="98" spans="1:9">
      <c r="A98" s="1" t="s">
        <v>110</v>
      </c>
      <c r="B98">
        <f>HYPERLINK("https://www.suredividend.com/sure-analysis-DLR/","Digital Realty Trust Inc")</f>
        <v>0</v>
      </c>
      <c r="C98">
        <v>0.00130389778636</v>
      </c>
      <c r="D98">
        <v>0.21577240305439</v>
      </c>
      <c r="E98">
        <v>-0.118747320015969</v>
      </c>
      <c r="F98">
        <v>0.06991123965293701</v>
      </c>
      <c r="G98">
        <v>-0.297583511807445</v>
      </c>
      <c r="H98">
        <v>-0.125050565683191</v>
      </c>
      <c r="I98">
        <v>0.208173414779177</v>
      </c>
    </row>
    <row r="99" spans="1:9">
      <c r="A99" s="1" t="s">
        <v>111</v>
      </c>
      <c r="B99">
        <f>HYPERLINK("https://www.suredividend.com/sure-analysis-DOV/","Dover Corp.")</f>
        <v>0</v>
      </c>
      <c r="C99">
        <v>0.018531717747683</v>
      </c>
      <c r="D99">
        <v>0.221946118076422</v>
      </c>
      <c r="E99">
        <v>0.192270018705873</v>
      </c>
      <c r="F99">
        <v>0.05531349235654601</v>
      </c>
      <c r="G99">
        <v>-0.200175077141966</v>
      </c>
      <c r="H99">
        <v>0.133553010459783</v>
      </c>
      <c r="I99">
        <v>0.8592003747023841</v>
      </c>
    </row>
    <row r="100" spans="1:9">
      <c r="A100" s="1" t="s">
        <v>112</v>
      </c>
      <c r="B100">
        <f>HYPERLINK("https://www.suredividend.com/sure-analysis-DTE/","DTE Energy Co.")</f>
        <v>0</v>
      </c>
      <c r="C100">
        <v>0.001684716400479</v>
      </c>
      <c r="D100">
        <v>0.168357371151877</v>
      </c>
      <c r="E100">
        <v>-0.032237146076341</v>
      </c>
      <c r="F100">
        <v>0.015825746617884</v>
      </c>
      <c r="G100">
        <v>0.031216341224728</v>
      </c>
      <c r="H100">
        <v>0.250922029806709</v>
      </c>
      <c r="I100">
        <v>0.590363243280685</v>
      </c>
    </row>
    <row r="101" spans="1:9">
      <c r="A101" s="1" t="s">
        <v>113</v>
      </c>
      <c r="B101">
        <f>HYPERLINK("https://www.suredividend.com/sure-analysis-DUK/","Duke Energy Corp.")</f>
        <v>0</v>
      </c>
      <c r="C101">
        <v>0.02697419859265</v>
      </c>
      <c r="D101">
        <v>0.234959653440328</v>
      </c>
      <c r="E101">
        <v>-0.004849794634257</v>
      </c>
      <c r="F101">
        <v>0.020293232352655</v>
      </c>
      <c r="G101">
        <v>0.053828703694417</v>
      </c>
      <c r="H101">
        <v>0.27658126968083</v>
      </c>
      <c r="I101">
        <v>0.64055998863411</v>
      </c>
    </row>
    <row r="102" spans="1:9">
      <c r="A102" s="1" t="s">
        <v>114</v>
      </c>
      <c r="B102">
        <f>HYPERLINK("https://www.suredividend.com/sure-analysis-ECL/","Ecolab, Inc.")</f>
        <v>0</v>
      </c>
      <c r="C102">
        <v>0.022832000277414</v>
      </c>
      <c r="D102">
        <v>0.09546970638440701</v>
      </c>
      <c r="E102">
        <v>-0.021130135827926</v>
      </c>
      <c r="F102">
        <v>0.05372355042594101</v>
      </c>
      <c r="G102">
        <v>-0.313488136432259</v>
      </c>
      <c r="H102">
        <v>-0.296986364157213</v>
      </c>
      <c r="I102">
        <v>0.174713559218185</v>
      </c>
    </row>
    <row r="103" spans="1:9">
      <c r="A103" s="1" t="s">
        <v>115</v>
      </c>
      <c r="B103">
        <f>HYPERLINK("https://www.suredividend.com/sure-analysis-ED/","Consolidated Edison, Inc.")</f>
        <v>0</v>
      </c>
      <c r="C103">
        <v>-0.008337569903406001</v>
      </c>
      <c r="D103">
        <v>0.238205750617008</v>
      </c>
      <c r="E103">
        <v>0.06853619415739701</v>
      </c>
      <c r="F103">
        <v>0.023292414227258</v>
      </c>
      <c r="G103">
        <v>0.213772264314373</v>
      </c>
      <c r="H103">
        <v>0.5315231848396</v>
      </c>
      <c r="I103">
        <v>0.449195683765382</v>
      </c>
    </row>
    <row r="104" spans="1:9">
      <c r="A104" s="1" t="s">
        <v>116</v>
      </c>
      <c r="B104">
        <f>HYPERLINK("https://www.suredividend.com/sure-analysis-EGP/","Eastgroup Properties, Inc.")</f>
        <v>0</v>
      </c>
      <c r="C104">
        <v>0.042493731717509</v>
      </c>
      <c r="D104">
        <v>0.133477118188026</v>
      </c>
      <c r="E104">
        <v>0.04801532835647401</v>
      </c>
      <c r="F104">
        <v>0.07834661623666</v>
      </c>
      <c r="G104">
        <v>-0.209652085541326</v>
      </c>
      <c r="H104">
        <v>0.244675476946296</v>
      </c>
      <c r="I104">
        <v>1.168766020220625</v>
      </c>
    </row>
    <row r="105" spans="1:9">
      <c r="A105" s="1" t="s">
        <v>117</v>
      </c>
      <c r="B105">
        <f>HYPERLINK("https://www.suredividend.com/sure-analysis-EIX/","Edison International")</f>
        <v>0</v>
      </c>
      <c r="C105">
        <v>0.026925090727969</v>
      </c>
      <c r="D105">
        <v>0.246135977192707</v>
      </c>
      <c r="E105">
        <v>0.124516597503556</v>
      </c>
      <c r="F105">
        <v>0.07591952216284101</v>
      </c>
      <c r="G105">
        <v>0.110305484049395</v>
      </c>
      <c r="H105">
        <v>0.196458692023317</v>
      </c>
      <c r="I105">
        <v>0.361400661507465</v>
      </c>
    </row>
    <row r="106" spans="1:9">
      <c r="A106" s="1" t="s">
        <v>118</v>
      </c>
      <c r="B106">
        <f>HYPERLINK("https://www.suredividend.com/sure-analysis-ELS/","Equity Lifestyle Properties Inc.")</f>
        <v>0</v>
      </c>
      <c r="C106">
        <v>0.061481544678243</v>
      </c>
      <c r="D106">
        <v>0.141158067819109</v>
      </c>
      <c r="E106">
        <v>-0.046105593308938</v>
      </c>
      <c r="F106">
        <v>0.059287925696594</v>
      </c>
      <c r="G106">
        <v>-0.134081358137015</v>
      </c>
      <c r="H106">
        <v>0.18024881293841</v>
      </c>
      <c r="I106">
        <v>0.8226371372637801</v>
      </c>
    </row>
    <row r="107" spans="1:9">
      <c r="A107" s="1" t="s">
        <v>119</v>
      </c>
      <c r="B107">
        <f>HYPERLINK("https://www.suredividend.com/sure-analysis-EMN/","Eastman Chemical Co")</f>
        <v>0</v>
      </c>
      <c r="C107">
        <v>0.064821567128914</v>
      </c>
      <c r="D107">
        <v>0.285754137209099</v>
      </c>
      <c r="E107">
        <v>0.024422934231957</v>
      </c>
      <c r="F107">
        <v>0.12057956777996</v>
      </c>
      <c r="G107">
        <v>-0.232376453488372</v>
      </c>
      <c r="H107">
        <v>-0.121803353621863</v>
      </c>
      <c r="I107">
        <v>0.094324644848124</v>
      </c>
    </row>
    <row r="108" spans="1:9">
      <c r="A108" s="1" t="s">
        <v>120</v>
      </c>
      <c r="B108">
        <f>HYPERLINK("https://www.suredividend.com/sure-analysis-EMR/","Emerson Electric Co.")</f>
        <v>0</v>
      </c>
      <c r="C108">
        <v>0.019760790431617</v>
      </c>
      <c r="D108">
        <v>0.279795545972135</v>
      </c>
      <c r="E108">
        <v>0.262127299150558</v>
      </c>
      <c r="F108">
        <v>0.020716219029772</v>
      </c>
      <c r="G108">
        <v>0.041283906774027</v>
      </c>
      <c r="H108">
        <v>0.228028866506185</v>
      </c>
      <c r="I108">
        <v>0.523078404752066</v>
      </c>
    </row>
    <row r="109" spans="1:9">
      <c r="A109" s="1" t="s">
        <v>121</v>
      </c>
      <c r="B109">
        <f>HYPERLINK("https://www.suredividend.com/sure-analysis-research-database/","Ensign Group Inc")</f>
        <v>0</v>
      </c>
      <c r="C109">
        <v>0.052401521056643</v>
      </c>
      <c r="D109">
        <v>0.17039797123036</v>
      </c>
      <c r="E109">
        <v>0.324985360775553</v>
      </c>
      <c r="F109">
        <v>0.033188880668005</v>
      </c>
      <c r="G109">
        <v>0.249969629893902</v>
      </c>
      <c r="H109">
        <v>0.170971409130821</v>
      </c>
      <c r="I109">
        <v>3.452876945713622</v>
      </c>
    </row>
    <row r="110" spans="1:9">
      <c r="A110" s="1" t="s">
        <v>122</v>
      </c>
      <c r="B110">
        <f>HYPERLINK("https://www.suredividend.com/sure-analysis-EPD/","Enterprise Products Partners L P")</f>
        <v>0</v>
      </c>
      <c r="C110">
        <v>0.062086092715231</v>
      </c>
      <c r="D110">
        <v>0.06144465678853001</v>
      </c>
      <c r="E110">
        <v>0.079058031959629</v>
      </c>
      <c r="F110">
        <v>0.06384742951907101</v>
      </c>
      <c r="G110">
        <v>0.147908399951685</v>
      </c>
      <c r="H110">
        <v>0.335846070550997</v>
      </c>
      <c r="I110">
        <v>0.288793125097312</v>
      </c>
    </row>
    <row r="111" spans="1:9">
      <c r="A111" s="1" t="s">
        <v>123</v>
      </c>
      <c r="B111">
        <f>HYPERLINK("https://www.suredividend.com/sure-analysis-ERIE/","Erie Indemnity Co.")</f>
        <v>0</v>
      </c>
      <c r="C111">
        <v>-0.072551561199881</v>
      </c>
      <c r="D111">
        <v>0.07784139401632201</v>
      </c>
      <c r="E111">
        <v>0.303477535818277</v>
      </c>
      <c r="F111">
        <v>0.001094100744537</v>
      </c>
      <c r="G111">
        <v>0.360775100308972</v>
      </c>
      <c r="H111">
        <v>0.0007738650114460001</v>
      </c>
      <c r="I111">
        <v>1.355885292023097</v>
      </c>
    </row>
    <row r="112" spans="1:9">
      <c r="A112" s="1" t="s">
        <v>124</v>
      </c>
      <c r="B112">
        <f>HYPERLINK("https://www.suredividend.com/sure-analysis-ES/","Eversource Energy")</f>
        <v>0</v>
      </c>
      <c r="C112">
        <v>0.0007805924038010001</v>
      </c>
      <c r="D112">
        <v>0.195023379671547</v>
      </c>
      <c r="E112">
        <v>0.036133844198964</v>
      </c>
      <c r="F112">
        <v>0.015386450381679</v>
      </c>
      <c r="G112">
        <v>0.002443404280373</v>
      </c>
      <c r="H112">
        <v>0.008142828721116</v>
      </c>
      <c r="I112">
        <v>0.6052905004440801</v>
      </c>
    </row>
    <row r="113" spans="1:9">
      <c r="A113" s="1" t="s">
        <v>125</v>
      </c>
      <c r="B113">
        <f>HYPERLINK("https://www.suredividend.com/sure-analysis-ESS/","Essex Property Trust, Inc.")</f>
        <v>0</v>
      </c>
      <c r="C113">
        <v>0.01910934003311</v>
      </c>
      <c r="D113">
        <v>-0.005501986966438</v>
      </c>
      <c r="E113">
        <v>-0.148677902574004</v>
      </c>
      <c r="F113">
        <v>0.04048697621744</v>
      </c>
      <c r="G113">
        <v>-0.346611878862731</v>
      </c>
      <c r="H113">
        <v>0.008178822117934</v>
      </c>
      <c r="I113">
        <v>0.134101745127991</v>
      </c>
    </row>
    <row r="114" spans="1:9">
      <c r="A114" s="1" t="s">
        <v>126</v>
      </c>
      <c r="B114">
        <f>HYPERLINK("https://www.suredividend.com/sure-analysis-ETN/","Eaton Corporation plc")</f>
        <v>0</v>
      </c>
      <c r="C114">
        <v>0.024124852328545</v>
      </c>
      <c r="D114">
        <v>0.2222796097254</v>
      </c>
      <c r="E114">
        <v>0.311952539991413</v>
      </c>
      <c r="F114">
        <v>0.049442497610704</v>
      </c>
      <c r="G114">
        <v>-0.018207655250273</v>
      </c>
      <c r="H114">
        <v>0.337674488108657</v>
      </c>
      <c r="I114">
        <v>1.275062847039974</v>
      </c>
    </row>
    <row r="115" spans="1:9">
      <c r="A115" s="1" t="s">
        <v>127</v>
      </c>
      <c r="B115">
        <f>HYPERLINK("https://www.suredividend.com/sure-analysis-research-database/","Evercore Inc")</f>
        <v>0</v>
      </c>
      <c r="C115">
        <v>0.175671956701219</v>
      </c>
      <c r="D115">
        <v>0.47063548527758</v>
      </c>
      <c r="E115">
        <v>0.447607257464224</v>
      </c>
      <c r="F115">
        <v>0.174917491749174</v>
      </c>
      <c r="G115">
        <v>-0.05642526830697701</v>
      </c>
      <c r="H115">
        <v>0.125829152615031</v>
      </c>
      <c r="I115">
        <v>0.49122960118684</v>
      </c>
    </row>
    <row r="116" spans="1:9">
      <c r="A116" s="1" t="s">
        <v>128</v>
      </c>
      <c r="B116">
        <f>HYPERLINK("https://www.suredividend.com/sure-analysis-EVRG/","Evergy Inc")</f>
        <v>0</v>
      </c>
      <c r="C116">
        <v>0.012353500158378</v>
      </c>
      <c r="D116">
        <v>0.171936592216668</v>
      </c>
      <c r="E116">
        <v>0.002146336568777</v>
      </c>
      <c r="F116">
        <v>0.015731765453678</v>
      </c>
      <c r="G116">
        <v>-0.005878876481383</v>
      </c>
      <c r="H116">
        <v>0.297662502182395</v>
      </c>
      <c r="I116">
        <v>0.374812877471308</v>
      </c>
    </row>
    <row r="117" spans="1:9">
      <c r="A117" s="1" t="s">
        <v>129</v>
      </c>
      <c r="B117">
        <f>HYPERLINK("https://www.suredividend.com/sure-analysis-EXPD/","Expeditors International Of Washington, Inc.")</f>
        <v>0</v>
      </c>
      <c r="C117">
        <v>-0.026218220338983</v>
      </c>
      <c r="D117">
        <v>0.248617646359698</v>
      </c>
      <c r="E117">
        <v>0.151802830901853</v>
      </c>
      <c r="F117">
        <v>0.0614896073903</v>
      </c>
      <c r="G117">
        <v>-0.113983731870642</v>
      </c>
      <c r="H117">
        <v>0.153745987618488</v>
      </c>
      <c r="I117">
        <v>0.732603287092882</v>
      </c>
    </row>
    <row r="118" spans="1:9">
      <c r="A118" s="1" t="s">
        <v>130</v>
      </c>
      <c r="B118">
        <f>HYPERLINK("https://www.suredividend.com/sure-analysis-EXR/","Extra Space Storage Inc.")</f>
        <v>0</v>
      </c>
      <c r="C118">
        <v>-0.01915733197556</v>
      </c>
      <c r="D118">
        <v>-0.067258353276125</v>
      </c>
      <c r="E118">
        <v>-0.061134972128301</v>
      </c>
      <c r="F118">
        <v>0.047085201793722</v>
      </c>
      <c r="G118">
        <v>-0.246626538241365</v>
      </c>
      <c r="H118">
        <v>0.463874751366416</v>
      </c>
      <c r="I118">
        <v>1.212186764775544</v>
      </c>
    </row>
    <row r="119" spans="1:9">
      <c r="A119" s="1" t="s">
        <v>131</v>
      </c>
      <c r="B119">
        <f>HYPERLINK("https://www.suredividend.com/sure-analysis-FAF/","First American Financial Corp")</f>
        <v>0</v>
      </c>
      <c r="C119">
        <v>0.10321489001692</v>
      </c>
      <c r="D119">
        <v>0.294838299675187</v>
      </c>
      <c r="E119">
        <v>0.094671962182702</v>
      </c>
      <c r="F119">
        <v>0.121131066106228</v>
      </c>
      <c r="G119">
        <v>-0.241119232738954</v>
      </c>
      <c r="H119">
        <v>0.147521428026666</v>
      </c>
      <c r="I119">
        <v>0.149686520376175</v>
      </c>
    </row>
    <row r="120" spans="1:9">
      <c r="A120" s="1" t="s">
        <v>132</v>
      </c>
      <c r="B120">
        <f>HYPERLINK("https://www.suredividend.com/sure-analysis-FAST/","Fastenal Co.")</f>
        <v>0</v>
      </c>
      <c r="C120">
        <v>-0.05128701374104801</v>
      </c>
      <c r="D120">
        <v>0.080449636323562</v>
      </c>
      <c r="E120">
        <v>-0.006544001264619</v>
      </c>
      <c r="F120">
        <v>0.035925612848689</v>
      </c>
      <c r="G120">
        <v>-0.168445015928807</v>
      </c>
      <c r="H120">
        <v>-0.006070633462694</v>
      </c>
      <c r="I120">
        <v>1.015633287965822</v>
      </c>
    </row>
    <row r="121" spans="1:9">
      <c r="A121" s="1" t="s">
        <v>133</v>
      </c>
      <c r="B121">
        <f>HYPERLINK("https://www.suredividend.com/sure-analysis-research-database/","First Community Bankshares Inc.")</f>
        <v>0</v>
      </c>
      <c r="C121">
        <v>-0.064722222222222</v>
      </c>
      <c r="D121">
        <v>0.026502483178712</v>
      </c>
      <c r="E121">
        <v>0.164918884694827</v>
      </c>
      <c r="F121">
        <v>-0.006784660766961</v>
      </c>
      <c r="G121">
        <v>0.014006968850982</v>
      </c>
      <c r="H121">
        <v>0.5608702303523661</v>
      </c>
      <c r="I121">
        <v>0.373775454831062</v>
      </c>
    </row>
    <row r="122" spans="1:9">
      <c r="A122" s="1" t="s">
        <v>134</v>
      </c>
      <c r="B122">
        <f>HYPERLINK("https://www.suredividend.com/sure-analysis-FDS/","Factset Research Systems Inc.")</f>
        <v>0</v>
      </c>
      <c r="C122">
        <v>-0.08004178799262</v>
      </c>
      <c r="D122">
        <v>0.03245518431550101</v>
      </c>
      <c r="E122">
        <v>0.056531641575699</v>
      </c>
      <c r="F122">
        <v>0.031579472096906</v>
      </c>
      <c r="G122">
        <v>-0.067861561180987</v>
      </c>
      <c r="H122">
        <v>0.261888130757318</v>
      </c>
      <c r="I122">
        <v>1.204412553455193</v>
      </c>
    </row>
    <row r="123" spans="1:9">
      <c r="A123" s="1" t="s">
        <v>135</v>
      </c>
      <c r="B123">
        <f>HYPERLINK("https://www.suredividend.com/sure-analysis-FELE/","Franklin Electric Co., Inc.")</f>
        <v>0</v>
      </c>
      <c r="C123">
        <v>0.04199828578425301</v>
      </c>
      <c r="D123">
        <v>0.016009006782546</v>
      </c>
      <c r="E123">
        <v>0.159343683416072</v>
      </c>
      <c r="F123">
        <v>0.06708463949843201</v>
      </c>
      <c r="G123">
        <v>-0.053267340170723</v>
      </c>
      <c r="H123">
        <v>0.169753018540104</v>
      </c>
      <c r="I123">
        <v>0.966425196122606</v>
      </c>
    </row>
    <row r="124" spans="1:9">
      <c r="A124" s="1" t="s">
        <v>136</v>
      </c>
      <c r="B124">
        <f>HYPERLINK("https://www.suredividend.com/sure-analysis-research-database/","First Financial Bankshares, Inc.")</f>
        <v>0</v>
      </c>
      <c r="C124">
        <v>-0.013240175261585</v>
      </c>
      <c r="D124">
        <v>-0.174430142822879</v>
      </c>
      <c r="E124">
        <v>-0.121309801487591</v>
      </c>
      <c r="F124">
        <v>0.02063953488372</v>
      </c>
      <c r="G124">
        <v>-0.3262937328623211</v>
      </c>
      <c r="H124">
        <v>-0.09671643173404201</v>
      </c>
      <c r="I124">
        <v>0.582137304823918</v>
      </c>
    </row>
    <row r="125" spans="1:9">
      <c r="A125" s="1" t="s">
        <v>137</v>
      </c>
      <c r="B125">
        <f>HYPERLINK("https://www.suredividend.com/sure-analysis-research-database/","Financial Institutions Inc.")</f>
        <v>0</v>
      </c>
      <c r="C125">
        <v>0.031782241625402</v>
      </c>
      <c r="D125">
        <v>0.028377374863369</v>
      </c>
      <c r="E125">
        <v>-0.022469325761601</v>
      </c>
      <c r="F125">
        <v>0.011904761904761</v>
      </c>
      <c r="G125">
        <v>-0.221508473398644</v>
      </c>
      <c r="H125">
        <v>0.07166457985531401</v>
      </c>
      <c r="I125">
        <v>-0.077583981020308</v>
      </c>
    </row>
    <row r="126" spans="1:9">
      <c r="A126" s="1" t="s">
        <v>138</v>
      </c>
      <c r="B126">
        <f>HYPERLINK("https://www.suredividend.com/sure-analysis-FITB/","Fifth Third Bancorp")</f>
        <v>0</v>
      </c>
      <c r="C126">
        <v>0.05967905995232901</v>
      </c>
      <c r="D126">
        <v>0.09421539426242301</v>
      </c>
      <c r="E126">
        <v>0.06223672356278401</v>
      </c>
      <c r="F126">
        <v>0.06370009143553701</v>
      </c>
      <c r="G126">
        <v>-0.265015584196782</v>
      </c>
      <c r="H126">
        <v>0.168772019129013</v>
      </c>
      <c r="I126">
        <v>0.289026286533184</v>
      </c>
    </row>
    <row r="127" spans="1:9">
      <c r="A127" s="1" t="s">
        <v>139</v>
      </c>
      <c r="B127">
        <f>HYPERLINK("https://www.suredividend.com/sure-analysis-FLIC/","First Of Long Island Corp.")</f>
        <v>0</v>
      </c>
      <c r="C127">
        <v>0.025152376414923</v>
      </c>
      <c r="D127">
        <v>0.108584422967595</v>
      </c>
      <c r="E127">
        <v>0.089005235602094</v>
      </c>
      <c r="F127">
        <v>0.04</v>
      </c>
      <c r="G127">
        <v>-0.115362077764966</v>
      </c>
      <c r="H127">
        <v>0.100005288486963</v>
      </c>
      <c r="I127">
        <v>-0.211261433970532</v>
      </c>
    </row>
    <row r="128" spans="1:9">
      <c r="A128" s="1" t="s">
        <v>140</v>
      </c>
      <c r="B128">
        <f>HYPERLINK("https://www.suredividend.com/sure-analysis-FLO/","Flowers Foods, Inc.")</f>
        <v>0</v>
      </c>
      <c r="C128">
        <v>-0.04297009281540001</v>
      </c>
      <c r="D128">
        <v>0.100247397582933</v>
      </c>
      <c r="E128">
        <v>0.037165082108902</v>
      </c>
      <c r="F128">
        <v>-0.031315240083507</v>
      </c>
      <c r="G128">
        <v>0.029818117252782</v>
      </c>
      <c r="H128">
        <v>0.355357899195256</v>
      </c>
      <c r="I128">
        <v>0.7648401247559391</v>
      </c>
    </row>
    <row r="129" spans="1:9">
      <c r="A129" s="1" t="s">
        <v>141</v>
      </c>
      <c r="B129">
        <f>HYPERLINK("https://www.suredividend.com/sure-analysis-FNF/","Fidelity National Financial Inc")</f>
        <v>0</v>
      </c>
      <c r="C129">
        <v>0.09463736649224301</v>
      </c>
      <c r="D129">
        <v>0.090057427157488</v>
      </c>
      <c r="E129">
        <v>0.116033326559642</v>
      </c>
      <c r="F129">
        <v>0.09489633173843701</v>
      </c>
      <c r="G129">
        <v>-0.221731802619546</v>
      </c>
      <c r="H129">
        <v>0.105697604187638</v>
      </c>
      <c r="I129">
        <v>0.21039902909483</v>
      </c>
    </row>
    <row r="130" spans="1:9">
      <c r="A130" s="1" t="s">
        <v>142</v>
      </c>
      <c r="B130">
        <f>HYPERLINK("https://www.suredividend.com/sure-analysis-research-database/","First Merchants Corp.")</f>
        <v>0</v>
      </c>
      <c r="C130">
        <v>0.018451953031392</v>
      </c>
      <c r="D130">
        <v>0.057032499396869</v>
      </c>
      <c r="E130">
        <v>0.199128727174231</v>
      </c>
      <c r="F130">
        <v>0.033811724641206</v>
      </c>
      <c r="G130">
        <v>-0.027998225239112</v>
      </c>
      <c r="H130">
        <v>0.07889926888708301</v>
      </c>
      <c r="I130">
        <v>0.104099717090684</v>
      </c>
    </row>
    <row r="131" spans="1:9">
      <c r="A131" s="1" t="s">
        <v>143</v>
      </c>
      <c r="B131">
        <f>HYPERLINK("https://www.suredividend.com/sure-analysis-FRT/","Federal Realty Investment Trust.")</f>
        <v>0</v>
      </c>
      <c r="C131">
        <v>0.028891390416354</v>
      </c>
      <c r="D131">
        <v>0.225222203588797</v>
      </c>
      <c r="E131">
        <v>0.133771364901815</v>
      </c>
      <c r="F131">
        <v>0.08461995249406101</v>
      </c>
      <c r="G131">
        <v>-0.159306732987257</v>
      </c>
      <c r="H131">
        <v>-0.168641575962445</v>
      </c>
      <c r="I131">
        <v>-0.168641575962445</v>
      </c>
    </row>
    <row r="132" spans="1:9">
      <c r="A132" s="1" t="s">
        <v>144</v>
      </c>
      <c r="B132">
        <f>HYPERLINK("https://www.suredividend.com/sure-analysis-FUL/","H.B. Fuller Company")</f>
        <v>0</v>
      </c>
      <c r="C132">
        <v>-0.032241356985627</v>
      </c>
      <c r="D132">
        <v>0.171111741358859</v>
      </c>
      <c r="E132">
        <v>0.265000084626711</v>
      </c>
      <c r="F132">
        <v>0.04356325048869</v>
      </c>
      <c r="G132">
        <v>-0.011854049494556</v>
      </c>
      <c r="H132">
        <v>0.372890104500559</v>
      </c>
      <c r="I132">
        <v>0.484123217572781</v>
      </c>
    </row>
    <row r="133" spans="1:9">
      <c r="A133" s="1" t="s">
        <v>145</v>
      </c>
      <c r="B133">
        <f>HYPERLINK("https://www.suredividend.com/sure-analysis-GATX/","GATX Corp.")</f>
        <v>0</v>
      </c>
      <c r="C133">
        <v>0.002611003361086</v>
      </c>
      <c r="D133">
        <v>0.25142803007083</v>
      </c>
      <c r="E133">
        <v>0.242086235830448</v>
      </c>
      <c r="F133">
        <v>0.055858566861011</v>
      </c>
      <c r="G133">
        <v>0.137801918292689</v>
      </c>
      <c r="H133">
        <v>0.299110014763665</v>
      </c>
      <c r="I133">
        <v>0.8966760869822271</v>
      </c>
    </row>
    <row r="134" spans="1:9">
      <c r="A134" s="1" t="s">
        <v>146</v>
      </c>
      <c r="B134">
        <f>HYPERLINK("https://www.suredividend.com/sure-analysis-GD/","General Dynamics Corp.")</f>
        <v>0</v>
      </c>
      <c r="C134">
        <v>-0.007691691370883001</v>
      </c>
      <c r="D134">
        <v>0.109170696758015</v>
      </c>
      <c r="E134">
        <v>0.149815319327898</v>
      </c>
      <c r="F134">
        <v>-0.001652492845915</v>
      </c>
      <c r="G134">
        <v>0.195037098255014</v>
      </c>
      <c r="H134">
        <v>0.693427423269347</v>
      </c>
      <c r="I134">
        <v>0.3170151767788471</v>
      </c>
    </row>
    <row r="135" spans="1:9">
      <c r="A135" s="1" t="s">
        <v>147</v>
      </c>
      <c r="B135">
        <f>HYPERLINK("https://www.suredividend.com/sure-analysis-research-database/","Griffon Corp.")</f>
        <v>0</v>
      </c>
      <c r="C135">
        <v>0.056260341974627</v>
      </c>
      <c r="D135">
        <v>0.280165786483053</v>
      </c>
      <c r="E135">
        <v>0.472046490533549</v>
      </c>
      <c r="F135">
        <v>0.070131321598211</v>
      </c>
      <c r="G135">
        <v>0.581481389721609</v>
      </c>
      <c r="H135">
        <v>0.8312829021291651</v>
      </c>
      <c r="I135">
        <v>1.23489114387914</v>
      </c>
    </row>
    <row r="136" spans="1:9">
      <c r="A136" s="1" t="s">
        <v>148</v>
      </c>
      <c r="B136">
        <f>HYPERLINK("https://www.suredividend.com/sure-analysis-GGG/","Graco Inc.")</f>
        <v>0</v>
      </c>
      <c r="C136">
        <v>0.015958218482518</v>
      </c>
      <c r="D136">
        <v>0.172373961010153</v>
      </c>
      <c r="E136">
        <v>0.195791932545245</v>
      </c>
      <c r="F136">
        <v>0.04118346714243201</v>
      </c>
      <c r="G136">
        <v>-0.07985898967124301</v>
      </c>
      <c r="H136">
        <v>-0.05268084691928501</v>
      </c>
      <c r="I136">
        <v>0.5873123807192431</v>
      </c>
    </row>
    <row r="137" spans="1:9">
      <c r="A137" s="1" t="s">
        <v>149</v>
      </c>
      <c r="B137">
        <f>HYPERLINK("https://www.suredividend.com/sure-analysis-GL/","Globe Life Inc")</f>
        <v>0</v>
      </c>
      <c r="C137">
        <v>0.035780419329789</v>
      </c>
      <c r="D137">
        <v>0.138058774388145</v>
      </c>
      <c r="E137">
        <v>0.216572568884487</v>
      </c>
      <c r="F137">
        <v>0.008628770101112</v>
      </c>
      <c r="G137">
        <v>0.173523499957943</v>
      </c>
      <c r="H137">
        <v>0.289787851256794</v>
      </c>
      <c r="I137">
        <v>0.331307890999029</v>
      </c>
    </row>
    <row r="138" spans="1:9">
      <c r="A138" s="1" t="s">
        <v>150</v>
      </c>
      <c r="B138">
        <f>HYPERLINK("https://www.suredividend.com/sure-analysis-GLW/","Corning, Inc.")</f>
        <v>0</v>
      </c>
      <c r="C138">
        <v>0.091071961779635</v>
      </c>
      <c r="D138">
        <v>0.224637535442096</v>
      </c>
      <c r="E138">
        <v>0.147368024416895</v>
      </c>
      <c r="F138">
        <v>0.144020037570444</v>
      </c>
      <c r="G138">
        <v>-0.013184545832635</v>
      </c>
      <c r="H138">
        <v>0.029875986471251</v>
      </c>
      <c r="I138">
        <v>0.20788996102621</v>
      </c>
    </row>
    <row r="139" spans="1:9">
      <c r="A139" s="1" t="s">
        <v>151</v>
      </c>
      <c r="B139">
        <f>HYPERLINK("https://www.suredividend.com/sure-analysis-GNTX/","Gentex Corp.")</f>
        <v>0</v>
      </c>
      <c r="C139">
        <v>0.038610899021301</v>
      </c>
      <c r="D139">
        <v>0.190635731635815</v>
      </c>
      <c r="E139">
        <v>0.013760470116709</v>
      </c>
      <c r="F139">
        <v>0.04699123517713701</v>
      </c>
      <c r="G139">
        <v>-0.176028008671558</v>
      </c>
      <c r="H139">
        <v>-0.221166305512104</v>
      </c>
      <c r="I139">
        <v>0.338266514152297</v>
      </c>
    </row>
    <row r="140" spans="1:9">
      <c r="A140" s="1" t="s">
        <v>152</v>
      </c>
      <c r="B140">
        <f>HYPERLINK("https://www.suredividend.com/sure-analysis-GPC/","Genuine Parts Co.")</f>
        <v>0</v>
      </c>
      <c r="C140">
        <v>-0.07180529612130501</v>
      </c>
      <c r="D140">
        <v>0.09591298081195401</v>
      </c>
      <c r="E140">
        <v>0.246867149423319</v>
      </c>
      <c r="F140">
        <v>-0.026280905999654</v>
      </c>
      <c r="G140">
        <v>0.246536885170305</v>
      </c>
      <c r="H140">
        <v>0.6420305391438891</v>
      </c>
      <c r="I140">
        <v>0.87847871576321</v>
      </c>
    </row>
    <row r="141" spans="1:9">
      <c r="A141" s="1" t="s">
        <v>153</v>
      </c>
      <c r="B141">
        <f>HYPERLINK("https://www.suredividend.com/sure-analysis-GRC/","Gorman-Rupp Co.")</f>
        <v>0</v>
      </c>
      <c r="C141">
        <v>0.032185628742514</v>
      </c>
      <c r="D141">
        <v>0.198286424344591</v>
      </c>
      <c r="E141">
        <v>0.031552490238027</v>
      </c>
      <c r="F141">
        <v>0.07650273224043701</v>
      </c>
      <c r="G141">
        <v>-0.321132758175082</v>
      </c>
      <c r="H141">
        <v>-0.164174038481936</v>
      </c>
      <c r="I141">
        <v>-0.06543956192903</v>
      </c>
    </row>
    <row r="142" spans="1:9">
      <c r="A142" s="1" t="s">
        <v>154</v>
      </c>
      <c r="B142">
        <f>HYPERLINK("https://www.suredividend.com/sure-analysis-GS/","Goldman Sachs Group, Inc.")</f>
        <v>0</v>
      </c>
      <c r="C142">
        <v>0.018613359766507</v>
      </c>
      <c r="D142">
        <v>0.260932696175004</v>
      </c>
      <c r="E142">
        <v>0.282526418262255</v>
      </c>
      <c r="F142">
        <v>0.07734870988409301</v>
      </c>
      <c r="G142">
        <v>-0.03310455141843</v>
      </c>
      <c r="H142">
        <v>0.270685914154336</v>
      </c>
      <c r="I142">
        <v>0.574204057594575</v>
      </c>
    </row>
    <row r="143" spans="1:9">
      <c r="A143" s="1" t="s">
        <v>155</v>
      </c>
      <c r="B143">
        <f>HYPERLINK("https://www.suredividend.com/sure-analysis-GWW/","W.W. Grainger Inc.")</f>
        <v>0</v>
      </c>
      <c r="C143">
        <v>-0.035250901492939</v>
      </c>
      <c r="D143">
        <v>0.137482526707614</v>
      </c>
      <c r="E143">
        <v>0.218271562591696</v>
      </c>
      <c r="F143">
        <v>0.029285393258426</v>
      </c>
      <c r="G143">
        <v>0.14188477801416</v>
      </c>
      <c r="H143">
        <v>0.469790911499353</v>
      </c>
      <c r="I143">
        <v>1.648591810894966</v>
      </c>
    </row>
    <row r="144" spans="1:9">
      <c r="A144" s="1" t="s">
        <v>156</v>
      </c>
      <c r="B144">
        <f>HYPERLINK("https://www.suredividend.com/sure-analysis-HBAN/","Huntington Bancshares, Inc.")</f>
        <v>0</v>
      </c>
      <c r="C144">
        <v>0.014177719934649</v>
      </c>
      <c r="D144">
        <v>0.137157494372428</v>
      </c>
      <c r="E144">
        <v>0.213934140965512</v>
      </c>
      <c r="F144">
        <v>0.03900709219858101</v>
      </c>
      <c r="G144">
        <v>-0.103487525319592</v>
      </c>
      <c r="H144">
        <v>0.070085095504181</v>
      </c>
      <c r="I144">
        <v>0.151467039747227</v>
      </c>
    </row>
    <row r="145" spans="1:9">
      <c r="A145" s="1" t="s">
        <v>157</v>
      </c>
      <c r="B145">
        <f>HYPERLINK("https://www.suredividend.com/sure-analysis-research-database/","Horizon Bancorp Inc (IN)")</f>
        <v>0</v>
      </c>
      <c r="C145">
        <v>0.04221566353958001</v>
      </c>
      <c r="D145">
        <v>-0.135802469135802</v>
      </c>
      <c r="E145">
        <v>-0.06314031576079801</v>
      </c>
      <c r="F145">
        <v>0.06018670544635701</v>
      </c>
      <c r="G145">
        <v>-0.240547650594312</v>
      </c>
      <c r="H145">
        <v>-0.003075216777576</v>
      </c>
      <c r="I145">
        <v>-0.01861650982314</v>
      </c>
    </row>
    <row r="146" spans="1:9">
      <c r="A146" s="1" t="s">
        <v>158</v>
      </c>
      <c r="B146">
        <f>HYPERLINK("https://www.suredividend.com/sure-analysis-HCSG/","Healthcare Services Group, Inc.")</f>
        <v>0</v>
      </c>
      <c r="C146">
        <v>0.030175706646294</v>
      </c>
      <c r="D146">
        <v>0.100187647874683</v>
      </c>
      <c r="E146">
        <v>-0.211403508771929</v>
      </c>
      <c r="F146">
        <v>0.12375</v>
      </c>
      <c r="G146">
        <v>-0.21765767229226</v>
      </c>
      <c r="H146">
        <v>-0.5397328163504921</v>
      </c>
      <c r="I146">
        <v>-0.692437871765865</v>
      </c>
    </row>
    <row r="147" spans="1:9">
      <c r="A147" s="1" t="s">
        <v>159</v>
      </c>
      <c r="B147">
        <f>HYPERLINK("https://www.suredividend.com/sure-analysis-HD/","Home Depot, Inc.")</f>
        <v>0</v>
      </c>
      <c r="C147">
        <v>0.005762546496737001</v>
      </c>
      <c r="D147">
        <v>0.183037451436002</v>
      </c>
      <c r="E147">
        <v>0.171545234317925</v>
      </c>
      <c r="F147">
        <v>0.044355094029</v>
      </c>
      <c r="G147">
        <v>-0.131563851131399</v>
      </c>
      <c r="H147">
        <v>0.2493528263734</v>
      </c>
      <c r="I147">
        <v>0.8898623924430711</v>
      </c>
    </row>
    <row r="148" spans="1:9">
      <c r="A148" s="1" t="s">
        <v>160</v>
      </c>
      <c r="B148">
        <f>HYPERLINK("https://www.suredividend.com/sure-analysis-research-database/","Heico Corp.")</f>
        <v>0</v>
      </c>
      <c r="C148">
        <v>0.04191470369894</v>
      </c>
      <c r="D148">
        <v>0.140056637094161</v>
      </c>
      <c r="E148">
        <v>0.221708106945931</v>
      </c>
      <c r="F148">
        <v>0.065853669656354</v>
      </c>
      <c r="G148">
        <v>0.100913357816013</v>
      </c>
      <c r="H148">
        <v>0.196942147430505</v>
      </c>
      <c r="I148">
        <v>1.121338212476035</v>
      </c>
    </row>
    <row r="149" spans="1:9">
      <c r="A149" s="1" t="s">
        <v>161</v>
      </c>
      <c r="B149">
        <f>HYPERLINK("https://www.suredividend.com/sure-analysis-research-database/","Heritage Financial Corp.")</f>
        <v>0</v>
      </c>
      <c r="C149">
        <v>-0.021028793270786</v>
      </c>
      <c r="D149">
        <v>0.06133729902634701</v>
      </c>
      <c r="E149">
        <v>0.182317592541943</v>
      </c>
      <c r="F149">
        <v>-0.012402088772845</v>
      </c>
      <c r="G149">
        <v>0.192803758947999</v>
      </c>
      <c r="H149">
        <v>0.273863899471679</v>
      </c>
      <c r="I149">
        <v>0.09915656261124101</v>
      </c>
    </row>
    <row r="150" spans="1:9">
      <c r="A150" s="1" t="s">
        <v>162</v>
      </c>
      <c r="B150">
        <f>HYPERLINK("https://www.suredividend.com/sure-analysis-HI/","Hillenbrand Inc")</f>
        <v>0</v>
      </c>
      <c r="C150">
        <v>-0.067937410291246</v>
      </c>
      <c r="D150">
        <v>0.233822283626801</v>
      </c>
      <c r="E150">
        <v>0.183931154031571</v>
      </c>
      <c r="F150">
        <v>0.082024841809233</v>
      </c>
      <c r="G150">
        <v>-0.07303489219538301</v>
      </c>
      <c r="H150">
        <v>0.09000767278522101</v>
      </c>
      <c r="I150">
        <v>0.154423163474521</v>
      </c>
    </row>
    <row r="151" spans="1:9">
      <c r="A151" s="1" t="s">
        <v>163</v>
      </c>
      <c r="B151">
        <f>HYPERLINK("https://www.suredividend.com/sure-analysis-research-database/","Hingham Institution For Savings")</f>
        <v>0</v>
      </c>
      <c r="C151">
        <v>0.034193325676302</v>
      </c>
      <c r="D151">
        <v>0.177694387904395</v>
      </c>
      <c r="E151">
        <v>0.020844743799326</v>
      </c>
      <c r="F151">
        <v>0.061748079431801</v>
      </c>
      <c r="G151">
        <v>-0.284873811956958</v>
      </c>
      <c r="H151">
        <v>0.315969719222365</v>
      </c>
      <c r="I151">
        <v>0.413741957834784</v>
      </c>
    </row>
    <row r="152" spans="1:9">
      <c r="A152" s="1" t="s">
        <v>164</v>
      </c>
      <c r="B152">
        <f>HYPERLINK("https://www.suredividend.com/sure-analysis-research-database/","Horace Mann Educators Corp.")</f>
        <v>0</v>
      </c>
      <c r="C152">
        <v>0.021253255058068</v>
      </c>
      <c r="D152">
        <v>0.01578367399853</v>
      </c>
      <c r="E152">
        <v>0.019042354879264</v>
      </c>
      <c r="F152">
        <v>0.006422263848006001</v>
      </c>
      <c r="G152">
        <v>0.009669850576378002</v>
      </c>
      <c r="H152">
        <v>-0.079418229526173</v>
      </c>
      <c r="I152">
        <v>-0.007146119263899</v>
      </c>
    </row>
    <row r="153" spans="1:9">
      <c r="A153" s="1" t="s">
        <v>165</v>
      </c>
      <c r="B153">
        <f>HYPERLINK("https://www.suredividend.com/sure-analysis-HNI/","HNI Corp.")</f>
        <v>0</v>
      </c>
      <c r="C153">
        <v>0.08578431372549</v>
      </c>
      <c r="D153">
        <v>0.13224356563617</v>
      </c>
      <c r="E153">
        <v>-0.08070033973473401</v>
      </c>
      <c r="F153">
        <v>0.090749208582483</v>
      </c>
      <c r="G153">
        <v>-0.220828821041893</v>
      </c>
      <c r="H153">
        <v>-0.05989850177955301</v>
      </c>
      <c r="I153">
        <v>-0.074761977222615</v>
      </c>
    </row>
    <row r="154" spans="1:9">
      <c r="A154" s="1" t="s">
        <v>166</v>
      </c>
      <c r="B154">
        <f>HYPERLINK("https://www.suredividend.com/sure-analysis-research-database/","Home Bancshares Inc")</f>
        <v>0</v>
      </c>
      <c r="C154">
        <v>-0.026677782409337</v>
      </c>
      <c r="D154">
        <v>-0.010085679522127</v>
      </c>
      <c r="E154">
        <v>0.09867876232778701</v>
      </c>
      <c r="F154">
        <v>0.024572180781044</v>
      </c>
      <c r="G154">
        <v>-0.05108688142853</v>
      </c>
      <c r="H154">
        <v>0.149946073192713</v>
      </c>
      <c r="I154">
        <v>0.05834254944975201</v>
      </c>
    </row>
    <row r="155" spans="1:9">
      <c r="A155" s="1" t="s">
        <v>167</v>
      </c>
      <c r="B155">
        <f>HYPERLINK("https://www.suredividend.com/sure-analysis-HON/","Honeywell International Inc")</f>
        <v>0</v>
      </c>
      <c r="C155">
        <v>0.006899766899766</v>
      </c>
      <c r="D155">
        <v>0.262309386782279</v>
      </c>
      <c r="E155">
        <v>0.262621538576659</v>
      </c>
      <c r="F155">
        <v>0.007839477368175</v>
      </c>
      <c r="G155">
        <v>0.01508051132836</v>
      </c>
      <c r="H155">
        <v>0.07873927653844401</v>
      </c>
      <c r="I155">
        <v>0.5766068279237081</v>
      </c>
    </row>
    <row r="156" spans="1:9">
      <c r="A156" s="1" t="s">
        <v>168</v>
      </c>
      <c r="B156">
        <f>HYPERLINK("https://www.suredividend.com/sure-analysis-HPQ/","HP Inc")</f>
        <v>0</v>
      </c>
      <c r="C156">
        <v>-0.007215508997652001</v>
      </c>
      <c r="D156">
        <v>0.166892143198715</v>
      </c>
      <c r="E156">
        <v>-0.07228085681605401</v>
      </c>
      <c r="F156">
        <v>0.06252326014142101</v>
      </c>
      <c r="G156">
        <v>-0.244497134116974</v>
      </c>
      <c r="H156">
        <v>0.159404987674976</v>
      </c>
      <c r="I156">
        <v>0.427535688392209</v>
      </c>
    </row>
    <row r="157" spans="1:9">
      <c r="A157" s="1" t="s">
        <v>169</v>
      </c>
      <c r="B157">
        <f>HYPERLINK("https://www.suredividend.com/sure-analysis-HRL/","Hormel Foods Corp.")</f>
        <v>0</v>
      </c>
      <c r="C157">
        <v>-0.01377702416278</v>
      </c>
      <c r="D157">
        <v>0.026198610121719</v>
      </c>
      <c r="E157">
        <v>-0.026733963491542</v>
      </c>
      <c r="F157">
        <v>0.021514818880351</v>
      </c>
      <c r="G157">
        <v>-0.030602784647148</v>
      </c>
      <c r="H157">
        <v>0.09598140152773101</v>
      </c>
      <c r="I157">
        <v>0.4847646490077631</v>
      </c>
    </row>
    <row r="158" spans="1:9">
      <c r="A158" s="1" t="s">
        <v>170</v>
      </c>
      <c r="B158">
        <f>HYPERLINK("https://www.suredividend.com/sure-analysis-HSY/","Hershey Company")</f>
        <v>0</v>
      </c>
      <c r="C158">
        <v>-0.063103347402733</v>
      </c>
      <c r="D158">
        <v>0.003142903677877</v>
      </c>
      <c r="E158">
        <v>0.02781411047248</v>
      </c>
      <c r="F158">
        <v>-0.031869413136416</v>
      </c>
      <c r="G158">
        <v>0.165509163587703</v>
      </c>
      <c r="H158">
        <v>0.558990463448318</v>
      </c>
      <c r="I158">
        <v>1.289136328130983</v>
      </c>
    </row>
    <row r="159" spans="1:9">
      <c r="A159" s="1" t="s">
        <v>171</v>
      </c>
      <c r="B159">
        <f>HYPERLINK("https://www.suredividend.com/sure-analysis-HUBB/","Hubbell Inc.")</f>
        <v>0</v>
      </c>
      <c r="C159">
        <v>-0.08032144257154</v>
      </c>
      <c r="D159">
        <v>0.045461371492383</v>
      </c>
      <c r="E159">
        <v>0.280102403827266</v>
      </c>
      <c r="F159">
        <v>-0.000298278506903</v>
      </c>
      <c r="G159">
        <v>0.183855642375785</v>
      </c>
      <c r="H159">
        <v>0.422742780767472</v>
      </c>
      <c r="I159">
        <v>0.9039465034936661</v>
      </c>
    </row>
    <row r="160" spans="1:9">
      <c r="A160" s="1" t="s">
        <v>172</v>
      </c>
      <c r="B160">
        <f>HYPERLINK("https://www.suredividend.com/sure-analysis-HUM/","Humana Inc.")</f>
        <v>0</v>
      </c>
      <c r="C160">
        <v>-0.065932373496282</v>
      </c>
      <c r="D160">
        <v>0.001733157045267</v>
      </c>
      <c r="E160">
        <v>0.026216915876538</v>
      </c>
      <c r="F160">
        <v>-0.034947968527304</v>
      </c>
      <c r="G160">
        <v>0.258794293622064</v>
      </c>
      <c r="H160">
        <v>0.18544665118336</v>
      </c>
      <c r="I160">
        <v>0.9090806565238341</v>
      </c>
    </row>
    <row r="161" spans="1:9">
      <c r="A161" s="1" t="s">
        <v>173</v>
      </c>
      <c r="B161">
        <f>HYPERLINK("https://www.suredividend.com/sure-analysis-research-database/","Hawkins Inc")</f>
        <v>0</v>
      </c>
      <c r="C161">
        <v>-0.038071693448702</v>
      </c>
      <c r="D161">
        <v>-1.5419962683E-05</v>
      </c>
      <c r="E161">
        <v>0.147452513867631</v>
      </c>
      <c r="F161">
        <v>0.008031088082901001</v>
      </c>
      <c r="G161">
        <v>0.01505230480265</v>
      </c>
      <c r="H161">
        <v>0.4319888120123651</v>
      </c>
      <c r="I161">
        <v>1.372083666091578</v>
      </c>
    </row>
    <row r="162" spans="1:9">
      <c r="A162" s="1" t="s">
        <v>174</v>
      </c>
      <c r="B162">
        <f>HYPERLINK("https://www.suredividend.com/sure-analysis-IBM/","International Business Machines Corp.")</f>
        <v>0</v>
      </c>
      <c r="C162">
        <v>-0.024529187051806</v>
      </c>
      <c r="D162">
        <v>0.25274670417017</v>
      </c>
      <c r="E162">
        <v>0.07156950514176601</v>
      </c>
      <c r="F162">
        <v>0.03307544893179101</v>
      </c>
      <c r="G162">
        <v>0.143562462238082</v>
      </c>
      <c r="H162">
        <v>0.241813670785853</v>
      </c>
      <c r="I162">
        <v>0.133834541951878</v>
      </c>
    </row>
    <row r="163" spans="1:9">
      <c r="A163" s="1" t="s">
        <v>175</v>
      </c>
      <c r="B163">
        <f>HYPERLINK("https://www.suredividend.com/sure-analysis-research-database/","International Bancshares Corp.")</f>
        <v>0</v>
      </c>
      <c r="C163">
        <v>-0.039857352632682</v>
      </c>
      <c r="D163">
        <v>0.039990911156555</v>
      </c>
      <c r="E163">
        <v>0.165031244829649</v>
      </c>
      <c r="F163">
        <v>0.000218531468531</v>
      </c>
      <c r="G163">
        <v>0.052973032663559</v>
      </c>
      <c r="H163">
        <v>0.159353477427182</v>
      </c>
      <c r="I163">
        <v>0.253735595188854</v>
      </c>
    </row>
    <row r="164" spans="1:9">
      <c r="A164" s="1" t="s">
        <v>176</v>
      </c>
      <c r="B164">
        <f>HYPERLINK("https://www.suredividend.com/sure-analysis-IDA/","Idacorp, Inc.")</f>
        <v>0</v>
      </c>
      <c r="C164">
        <v>-0.000735970561177</v>
      </c>
      <c r="D164">
        <v>0.155710189337717</v>
      </c>
      <c r="E164">
        <v>0.046414282562684</v>
      </c>
      <c r="F164">
        <v>0.007139545665275001</v>
      </c>
      <c r="G164">
        <v>0.012992075682501</v>
      </c>
      <c r="H164">
        <v>0.268113404035734</v>
      </c>
      <c r="I164">
        <v>0.4956323459754791</v>
      </c>
    </row>
    <row r="165" spans="1:9">
      <c r="A165" s="1" t="s">
        <v>177</v>
      </c>
      <c r="B165">
        <f>HYPERLINK("https://www.suredividend.com/sure-analysis-IEX/","Idex Corporation")</f>
        <v>0</v>
      </c>
      <c r="C165">
        <v>-0.013151711476888</v>
      </c>
      <c r="D165">
        <v>0.185453023695512</v>
      </c>
      <c r="E165">
        <v>0.307692052221332</v>
      </c>
      <c r="F165">
        <v>0.037329823023848</v>
      </c>
      <c r="G165">
        <v>0.05624687876253</v>
      </c>
      <c r="H165">
        <v>0.161890007745933</v>
      </c>
      <c r="I165">
        <v>0.8306063433124941</v>
      </c>
    </row>
    <row r="166" spans="1:9">
      <c r="A166" s="1" t="s">
        <v>178</v>
      </c>
      <c r="B166">
        <f>HYPERLINK("https://www.suredividend.com/sure-analysis-IFF/","International Flavors &amp; Fragrances Inc.")</f>
        <v>0</v>
      </c>
      <c r="C166">
        <v>0.09789187664481901</v>
      </c>
      <c r="D166">
        <v>0.372784662812736</v>
      </c>
      <c r="E166">
        <v>0.003742326494108</v>
      </c>
      <c r="F166">
        <v>0.102632582983593</v>
      </c>
      <c r="G166">
        <v>-0.185290117061688</v>
      </c>
      <c r="H166">
        <v>-0.039199177501302</v>
      </c>
      <c r="I166">
        <v>-0.159328975806709</v>
      </c>
    </row>
    <row r="167" spans="1:9">
      <c r="A167" s="1" t="s">
        <v>179</v>
      </c>
      <c r="B167">
        <f>HYPERLINK("https://www.suredividend.com/sure-analysis-research-database/","Independent Bank Corp.")</f>
        <v>0</v>
      </c>
      <c r="C167">
        <v>-0.07507914970601501</v>
      </c>
      <c r="D167">
        <v>0.055595559788261</v>
      </c>
      <c r="E167">
        <v>0.036588533911525</v>
      </c>
      <c r="F167">
        <v>-0.031150065142721</v>
      </c>
      <c r="G167">
        <v>-0.021483111013817</v>
      </c>
      <c r="H167">
        <v>0.07779492118789301</v>
      </c>
      <c r="I167">
        <v>0.25262239100807</v>
      </c>
    </row>
    <row r="168" spans="1:9">
      <c r="A168" s="1" t="s">
        <v>180</v>
      </c>
      <c r="B168">
        <f>HYPERLINK("https://www.suredividend.com/sure-analysis-INGR/","Ingredion Inc")</f>
        <v>0</v>
      </c>
      <c r="C168">
        <v>0.021435076597455</v>
      </c>
      <c r="D168">
        <v>0.238053303633867</v>
      </c>
      <c r="E168">
        <v>0.173221379791559</v>
      </c>
      <c r="F168">
        <v>0.025017869907076</v>
      </c>
      <c r="G168">
        <v>0.033231602188334</v>
      </c>
      <c r="H168">
        <v>0.341662924231731</v>
      </c>
      <c r="I168">
        <v>-0.147785158319409</v>
      </c>
    </row>
    <row r="169" spans="1:9">
      <c r="A169" s="1" t="s">
        <v>181</v>
      </c>
      <c r="B169">
        <f>HYPERLINK("https://www.suredividend.com/sure-analysis-INTU/","Intuit Inc")</f>
        <v>0</v>
      </c>
      <c r="C169">
        <v>-0.03232337523264901</v>
      </c>
      <c r="D169">
        <v>0.024331686191456</v>
      </c>
      <c r="E169">
        <v>0.032091891821575</v>
      </c>
      <c r="F169">
        <v>0.021278742933816</v>
      </c>
      <c r="G169">
        <v>-0.308002901957076</v>
      </c>
      <c r="H169">
        <v>0.09792603515577401</v>
      </c>
      <c r="I169">
        <v>1.502703323352802</v>
      </c>
    </row>
    <row r="170" spans="1:9">
      <c r="A170" s="1" t="s">
        <v>182</v>
      </c>
      <c r="B170">
        <f>HYPERLINK("https://www.suredividend.com/sure-analysis-ITT/","ITT Inc")</f>
        <v>0</v>
      </c>
      <c r="C170">
        <v>0.062385768246618</v>
      </c>
      <c r="D170">
        <v>0.306514741933743</v>
      </c>
      <c r="E170">
        <v>0.32734740604743</v>
      </c>
      <c r="F170">
        <v>0.07509247842170101</v>
      </c>
      <c r="G170">
        <v>-0.119764166658253</v>
      </c>
      <c r="H170">
        <v>0.08778373576798601</v>
      </c>
      <c r="I170">
        <v>0.6738369626357501</v>
      </c>
    </row>
    <row r="171" spans="1:9">
      <c r="A171" s="1" t="s">
        <v>183</v>
      </c>
      <c r="B171">
        <f>HYPERLINK("https://www.suredividend.com/sure-analysis-ITW/","Illinois Tool Works, Inc.")</f>
        <v>0</v>
      </c>
      <c r="C171">
        <v>0.042180216609478</v>
      </c>
      <c r="D171">
        <v>0.262267746157695</v>
      </c>
      <c r="E171">
        <v>0.287021535672855</v>
      </c>
      <c r="F171">
        <v>0.054561960962324</v>
      </c>
      <c r="G171">
        <v>-0.032430971371501</v>
      </c>
      <c r="H171">
        <v>0.162039250836816</v>
      </c>
      <c r="I171">
        <v>0.541638574939879</v>
      </c>
    </row>
    <row r="172" spans="1:9">
      <c r="A172" s="1" t="s">
        <v>184</v>
      </c>
      <c r="B172">
        <f>HYPERLINK("https://www.suredividend.com/sure-analysis-JBHT/","J.B. Hunt Transport Services, Inc.")</f>
        <v>0</v>
      </c>
      <c r="C172">
        <v>-0.03884222353004101</v>
      </c>
      <c r="D172">
        <v>0.08802955515852501</v>
      </c>
      <c r="E172">
        <v>0.09984162035781401</v>
      </c>
      <c r="F172">
        <v>0.030339527414544</v>
      </c>
      <c r="G172">
        <v>-0.106109059172943</v>
      </c>
      <c r="H172">
        <v>0.225039772025996</v>
      </c>
      <c r="I172">
        <v>0.5501809047741081</v>
      </c>
    </row>
    <row r="173" spans="1:9">
      <c r="A173" s="1" t="s">
        <v>185</v>
      </c>
      <c r="B173">
        <f>HYPERLINK("https://www.suredividend.com/sure-analysis-JJSF/","J&amp;J Snack Foods Corp.")</f>
        <v>0</v>
      </c>
      <c r="C173">
        <v>-0.017580811277293</v>
      </c>
      <c r="D173">
        <v>0.136061281573716</v>
      </c>
      <c r="E173">
        <v>0.130970929973734</v>
      </c>
      <c r="F173">
        <v>0.018168459020773</v>
      </c>
      <c r="G173">
        <v>0.018157577635934</v>
      </c>
      <c r="H173">
        <v>0.022235277075856</v>
      </c>
      <c r="I173">
        <v>0.122422305593702</v>
      </c>
    </row>
    <row r="174" spans="1:9">
      <c r="A174" s="1" t="s">
        <v>186</v>
      </c>
      <c r="B174">
        <f>HYPERLINK("https://www.suredividend.com/sure-analysis-JKHY/","Jack Henry &amp; Associates, Inc.")</f>
        <v>0</v>
      </c>
      <c r="C174">
        <v>-0.007108097763683</v>
      </c>
      <c r="D174">
        <v>0.003748233256076</v>
      </c>
      <c r="E174">
        <v>-0.010224788366666</v>
      </c>
      <c r="F174">
        <v>0.034347231715652</v>
      </c>
      <c r="G174">
        <v>0.067402289986145</v>
      </c>
      <c r="H174">
        <v>0.157703744128282</v>
      </c>
      <c r="I174">
        <v>0.5470557464869851</v>
      </c>
    </row>
    <row r="175" spans="1:9">
      <c r="A175" s="1" t="s">
        <v>187</v>
      </c>
      <c r="B175">
        <f>HYPERLINK("https://www.suredividend.com/sure-analysis-JNJ/","Johnson &amp; Johnson")</f>
        <v>0</v>
      </c>
      <c r="C175">
        <v>-0.021592442645074</v>
      </c>
      <c r="D175">
        <v>0.076422269320851</v>
      </c>
      <c r="E175">
        <v>0.002557674434952</v>
      </c>
      <c r="F175">
        <v>-0.015001415227851</v>
      </c>
      <c r="G175">
        <v>0.051720469623411</v>
      </c>
      <c r="H175">
        <v>0.157730847538823</v>
      </c>
      <c r="I175">
        <v>0.362473562923179</v>
      </c>
    </row>
    <row r="176" spans="1:9">
      <c r="A176" s="1" t="s">
        <v>188</v>
      </c>
      <c r="B176">
        <f>HYPERLINK("https://www.suredividend.com/sure-analysis-JPM/","JPMorgan Chase &amp; Co.")</f>
        <v>0</v>
      </c>
      <c r="C176">
        <v>0.047018635265365</v>
      </c>
      <c r="D176">
        <v>0.356243005611067</v>
      </c>
      <c r="E176">
        <v>0.255002375228526</v>
      </c>
      <c r="F176">
        <v>0.047877539031541</v>
      </c>
      <c r="G176">
        <v>-0.152051422801664</v>
      </c>
      <c r="H176">
        <v>0.042930703314663</v>
      </c>
      <c r="I176">
        <v>0.4139845494641171</v>
      </c>
    </row>
    <row r="177" spans="1:9">
      <c r="A177" s="1" t="s">
        <v>189</v>
      </c>
      <c r="B177">
        <f>HYPERLINK("https://www.suredividend.com/sure-analysis-K/","Kellogg Co")</f>
        <v>0</v>
      </c>
      <c r="C177">
        <v>-0.051323608860075</v>
      </c>
      <c r="D177">
        <v>-0.016838598603082</v>
      </c>
      <c r="E177">
        <v>-0.021886405697121</v>
      </c>
      <c r="F177">
        <v>-0.014037057832678</v>
      </c>
      <c r="G177">
        <v>0.08509432009355501</v>
      </c>
      <c r="H177">
        <v>0.276566356369927</v>
      </c>
      <c r="I177">
        <v>0.274851805737559</v>
      </c>
    </row>
    <row r="178" spans="1:9">
      <c r="A178" s="1" t="s">
        <v>190</v>
      </c>
      <c r="B178">
        <f>HYPERLINK("https://www.suredividend.com/sure-analysis-KALU/","Kaiser Aluminum Corp")</f>
        <v>0</v>
      </c>
      <c r="C178">
        <v>0.069207501512401</v>
      </c>
      <c r="D178">
        <v>0.318081748811235</v>
      </c>
      <c r="E178">
        <v>0.20173903346837</v>
      </c>
      <c r="F178">
        <v>0.163375460768825</v>
      </c>
      <c r="G178">
        <v>-0.06906726586836301</v>
      </c>
      <c r="H178">
        <v>-0.132477558489291</v>
      </c>
      <c r="I178">
        <v>-0.09241695209436301</v>
      </c>
    </row>
    <row r="179" spans="1:9">
      <c r="A179" s="1" t="s">
        <v>191</v>
      </c>
      <c r="B179">
        <f>HYPERLINK("https://www.suredividend.com/sure-analysis-KEY/","Keycorp")</f>
        <v>0</v>
      </c>
      <c r="C179">
        <v>0.044419134396355</v>
      </c>
      <c r="D179">
        <v>0.18920250808904</v>
      </c>
      <c r="E179">
        <v>0.082491264519784</v>
      </c>
      <c r="F179">
        <v>0.052812858783007</v>
      </c>
      <c r="G179">
        <v>-0.277642767959478</v>
      </c>
      <c r="H179">
        <v>0.047916166706663</v>
      </c>
      <c r="I179">
        <v>0.042193493393948</v>
      </c>
    </row>
    <row r="180" spans="1:9">
      <c r="A180" s="1" t="s">
        <v>192</v>
      </c>
      <c r="B180">
        <f>HYPERLINK("https://www.suredividend.com/sure-analysis-KLAC/","KLA Corp.")</f>
        <v>0</v>
      </c>
      <c r="C180">
        <v>0.045296949440023</v>
      </c>
      <c r="D180">
        <v>0.530176316973283</v>
      </c>
      <c r="E180">
        <v>0.34482609232823</v>
      </c>
      <c r="F180">
        <v>0.111503063416704</v>
      </c>
      <c r="G180">
        <v>-0.021500282176464</v>
      </c>
      <c r="H180">
        <v>0.4758178856153971</v>
      </c>
      <c r="I180">
        <v>3.289803029589578</v>
      </c>
    </row>
    <row r="181" spans="1:9">
      <c r="A181" s="1" t="s">
        <v>193</v>
      </c>
      <c r="B181">
        <f>HYPERLINK("https://www.suredividend.com/sure-analysis-KMB/","Kimberly-Clark Corp.")</f>
        <v>0</v>
      </c>
      <c r="C181">
        <v>-0.012467381849811</v>
      </c>
      <c r="D181">
        <v>0.217490614580754</v>
      </c>
      <c r="E181">
        <v>0.025046064625151</v>
      </c>
      <c r="F181">
        <v>0.003609576427256</v>
      </c>
      <c r="G181">
        <v>-0.013416350031536</v>
      </c>
      <c r="H181">
        <v>0.120703483278699</v>
      </c>
      <c r="I181">
        <v>0.412240802398238</v>
      </c>
    </row>
    <row r="182" spans="1:9">
      <c r="A182" s="1" t="s">
        <v>194</v>
      </c>
      <c r="B182">
        <f>HYPERLINK("https://www.suredividend.com/sure-analysis-KO/","Coca-Cola Co")</f>
        <v>0</v>
      </c>
      <c r="C182">
        <v>-0.04314522432390101</v>
      </c>
      <c r="D182">
        <v>0.117956154786061</v>
      </c>
      <c r="E182">
        <v>-0.009197419154329001</v>
      </c>
      <c r="F182">
        <v>-0.037729916679767</v>
      </c>
      <c r="G182">
        <v>0.04097931306589701</v>
      </c>
      <c r="H182">
        <v>0.297300275949184</v>
      </c>
      <c r="I182">
        <v>0.543438683550942</v>
      </c>
    </row>
    <row r="183" spans="1:9">
      <c r="A183" s="1" t="s">
        <v>195</v>
      </c>
      <c r="B183">
        <f>HYPERLINK("https://www.suredividend.com/sure-analysis-KR/","Kroger Co.")</f>
        <v>0</v>
      </c>
      <c r="C183">
        <v>-0.02226503960608</v>
      </c>
      <c r="D183">
        <v>-0.002531346986735</v>
      </c>
      <c r="E183">
        <v>-0.029874841746607</v>
      </c>
      <c r="F183">
        <v>0.024450426200089</v>
      </c>
      <c r="G183">
        <v>-0.012124030672391</v>
      </c>
      <c r="H183">
        <v>0.5075293946775991</v>
      </c>
      <c r="I183">
        <v>0.7986404845735171</v>
      </c>
    </row>
    <row r="184" spans="1:9">
      <c r="A184" s="1" t="s">
        <v>196</v>
      </c>
      <c r="B184">
        <f>HYPERLINK("https://www.suredividend.com/sure-analysis-research-database/","Kennedy-Wilson Holdings Inc")</f>
        <v>0</v>
      </c>
      <c r="C184">
        <v>0.007900086426215001</v>
      </c>
      <c r="D184">
        <v>0.162529484443445</v>
      </c>
      <c r="E184">
        <v>-0.098319149283719</v>
      </c>
      <c r="F184">
        <v>0.052765416401779</v>
      </c>
      <c r="G184">
        <v>-0.266139610734924</v>
      </c>
      <c r="H184">
        <v>0.013494904984852</v>
      </c>
      <c r="I184">
        <v>0.185966068193048</v>
      </c>
    </row>
    <row r="185" spans="1:9">
      <c r="A185" s="1" t="s">
        <v>197</v>
      </c>
      <c r="B185">
        <f>HYPERLINK("https://www.suredividend.com/sure-analysis-research-database/","Quaker Houghton")</f>
        <v>0</v>
      </c>
      <c r="C185">
        <v>0.07153720497944001</v>
      </c>
      <c r="D185">
        <v>0.422813330451256</v>
      </c>
      <c r="E185">
        <v>0.39188677008808</v>
      </c>
      <c r="F185">
        <v>0.139784301977231</v>
      </c>
      <c r="G185">
        <v>-0.120522166558483</v>
      </c>
      <c r="H185">
        <v>-0.292624636653444</v>
      </c>
      <c r="I185">
        <v>0.27425952881268</v>
      </c>
    </row>
    <row r="186" spans="1:9">
      <c r="A186" s="1" t="s">
        <v>198</v>
      </c>
      <c r="B186">
        <f>HYPERLINK("https://www.suredividend.com/sure-analysis-LAD/","Lithia Motors, Inc.")</f>
        <v>0</v>
      </c>
      <c r="C186">
        <v>0.06943560847041701</v>
      </c>
      <c r="D186">
        <v>0.09349691335939601</v>
      </c>
      <c r="E186">
        <v>-0.148027891280336</v>
      </c>
      <c r="F186">
        <v>0.149457848979193</v>
      </c>
      <c r="G186">
        <v>-0.207176711599158</v>
      </c>
      <c r="H186">
        <v>-0.265898564612405</v>
      </c>
      <c r="I186">
        <v>0.9730443939180531</v>
      </c>
    </row>
    <row r="187" spans="1:9">
      <c r="A187" s="1" t="s">
        <v>199</v>
      </c>
      <c r="B187">
        <f>HYPERLINK("https://www.suredividend.com/sure-analysis-LANC/","Lancaster Colony Corp.")</f>
        <v>0</v>
      </c>
      <c r="C187">
        <v>-0.028520410693913</v>
      </c>
      <c r="D187">
        <v>0.211295862694239</v>
      </c>
      <c r="E187">
        <v>0.539345420592773</v>
      </c>
      <c r="F187">
        <v>-0.007298530157121</v>
      </c>
      <c r="G187">
        <v>0.223528529841702</v>
      </c>
      <c r="H187">
        <v>0.175930234303468</v>
      </c>
      <c r="I187">
        <v>0.669930759176476</v>
      </c>
    </row>
    <row r="188" spans="1:9">
      <c r="A188" s="1" t="s">
        <v>200</v>
      </c>
      <c r="B188">
        <f>HYPERLINK("https://www.suredividend.com/sure-analysis-research-database/","Lakeland Bancorp, Inc.")</f>
        <v>0</v>
      </c>
      <c r="C188">
        <v>0.006578947368421</v>
      </c>
      <c r="D188">
        <v>0.116992151852527</v>
      </c>
      <c r="E188">
        <v>0.279531674681162</v>
      </c>
      <c r="F188">
        <v>0.04258943781942</v>
      </c>
      <c r="G188">
        <v>-0.057673850449349</v>
      </c>
      <c r="H188">
        <v>0.396091551973234</v>
      </c>
      <c r="I188">
        <v>0.06129621494138501</v>
      </c>
    </row>
    <row r="189" spans="1:9">
      <c r="A189" s="1" t="s">
        <v>201</v>
      </c>
      <c r="B189">
        <f>HYPERLINK("https://www.suredividend.com/sure-analysis-LECO/","Lincoln Electric Holdings, Inc.")</f>
        <v>0</v>
      </c>
      <c r="C189">
        <v>0.06919714980528201</v>
      </c>
      <c r="D189">
        <v>0.289515935177991</v>
      </c>
      <c r="E189">
        <v>0.29794309298237</v>
      </c>
      <c r="F189">
        <v>0.08782614713821001</v>
      </c>
      <c r="G189">
        <v>0.162260188632506</v>
      </c>
      <c r="H189">
        <v>0.334121006252153</v>
      </c>
      <c r="I189">
        <v>0.770196548353237</v>
      </c>
    </row>
    <row r="190" spans="1:9">
      <c r="A190" s="1" t="s">
        <v>202</v>
      </c>
      <c r="B190">
        <f>HYPERLINK("https://www.suredividend.com/sure-analysis-LEG/","Leggett &amp; Platt, Inc.")</f>
        <v>0</v>
      </c>
      <c r="C190">
        <v>0.072121223106342</v>
      </c>
      <c r="D190">
        <v>0.116388801509908</v>
      </c>
      <c r="E190">
        <v>-0.016717737868973</v>
      </c>
      <c r="F190">
        <v>0.10114799875892</v>
      </c>
      <c r="G190">
        <v>-0.107481911985494</v>
      </c>
      <c r="H190">
        <v>-0.134740568452772</v>
      </c>
      <c r="I190">
        <v>-0.113372855568962</v>
      </c>
    </row>
    <row r="191" spans="1:9">
      <c r="A191" s="1" t="s">
        <v>203</v>
      </c>
      <c r="B191">
        <f>HYPERLINK("https://www.suredividend.com/sure-analysis-research-database/","Littelfuse, Inc.")</f>
        <v>0</v>
      </c>
      <c r="C191">
        <v>0.065272469618241</v>
      </c>
      <c r="D191">
        <v>0.259076240931372</v>
      </c>
      <c r="E191">
        <v>0.051613283384493</v>
      </c>
      <c r="F191">
        <v>0.126566757493188</v>
      </c>
      <c r="G191">
        <v>-0.1814062705725</v>
      </c>
      <c r="H191">
        <v>-0.102218992409376</v>
      </c>
      <c r="I191">
        <v>0.25697538492876</v>
      </c>
    </row>
    <row r="192" spans="1:9">
      <c r="A192" s="1" t="s">
        <v>204</v>
      </c>
      <c r="B192">
        <f>HYPERLINK("https://www.suredividend.com/sure-analysis-LHX/","L3Harris Technologies Inc")</f>
        <v>0</v>
      </c>
      <c r="C192">
        <v>-0.08198906199733401</v>
      </c>
      <c r="D192">
        <v>-0.104406677830758</v>
      </c>
      <c r="E192">
        <v>-0.131076321296873</v>
      </c>
      <c r="F192">
        <v>-0.040632054176072</v>
      </c>
      <c r="G192">
        <v>-0.074979242024792</v>
      </c>
      <c r="H192">
        <v>0.121749873645195</v>
      </c>
      <c r="I192">
        <v>0.39776462623354</v>
      </c>
    </row>
    <row r="193" spans="1:9">
      <c r="A193" s="1" t="s">
        <v>205</v>
      </c>
      <c r="B193">
        <f>HYPERLINK("https://www.suredividend.com/sure-analysis-LII/","Lennox International Inc")</f>
        <v>0</v>
      </c>
      <c r="C193">
        <v>-0.024329011351478</v>
      </c>
      <c r="D193">
        <v>0.146142335624014</v>
      </c>
      <c r="E193">
        <v>0.178575044404766</v>
      </c>
      <c r="F193">
        <v>0.05592944028758901</v>
      </c>
      <c r="G193">
        <v>-0.159585305368526</v>
      </c>
      <c r="H193">
        <v>-0.08107868216039001</v>
      </c>
      <c r="I193">
        <v>0.279684620380323</v>
      </c>
    </row>
    <row r="194" spans="1:9">
      <c r="A194" s="1" t="s">
        <v>206</v>
      </c>
      <c r="B194">
        <f>HYPERLINK("https://www.suredividend.com/sure-analysis-research-database/","Lakeland Financial Corp.")</f>
        <v>0</v>
      </c>
      <c r="C194">
        <v>-0.002771911298838</v>
      </c>
      <c r="D194">
        <v>0.022334386565538</v>
      </c>
      <c r="E194">
        <v>0.135880130442038</v>
      </c>
      <c r="F194">
        <v>0.035356996025764</v>
      </c>
      <c r="G194">
        <v>-0.070384962753875</v>
      </c>
      <c r="H194">
        <v>0.322336904488944</v>
      </c>
      <c r="I194">
        <v>0.6613341249683891</v>
      </c>
    </row>
    <row r="195" spans="1:9">
      <c r="A195" s="1" t="s">
        <v>207</v>
      </c>
      <c r="B195">
        <f>HYPERLINK("https://www.suredividend.com/sure-analysis-research-database/","Lemaitre Vascular Inc")</f>
        <v>0</v>
      </c>
      <c r="C195">
        <v>-0.025217207035388</v>
      </c>
      <c r="D195">
        <v>-0.046240737131506</v>
      </c>
      <c r="E195">
        <v>0.008889191068260001</v>
      </c>
      <c r="F195">
        <v>-0.000434593654932</v>
      </c>
      <c r="G195">
        <v>-0.009146013105120001</v>
      </c>
      <c r="H195">
        <v>0.126470840322758</v>
      </c>
      <c r="I195">
        <v>0.483607747012626</v>
      </c>
    </row>
    <row r="196" spans="1:9">
      <c r="A196" s="1" t="s">
        <v>208</v>
      </c>
      <c r="B196">
        <f>HYPERLINK("https://www.suredividend.com/sure-analysis-LMT/","Lockheed Martin Corp.")</f>
        <v>0</v>
      </c>
      <c r="C196">
        <v>-0.050542852442835</v>
      </c>
      <c r="D196">
        <v>0.169088701256743</v>
      </c>
      <c r="E196">
        <v>0.129736985172538</v>
      </c>
      <c r="F196">
        <v>-0.050874632572098</v>
      </c>
      <c r="G196">
        <v>0.303404025890808</v>
      </c>
      <c r="H196">
        <v>0.4192593749221961</v>
      </c>
      <c r="I196">
        <v>0.5476910329515331</v>
      </c>
    </row>
    <row r="197" spans="1:9">
      <c r="A197" s="1" t="s">
        <v>209</v>
      </c>
      <c r="B197">
        <f>HYPERLINK("https://www.suredividend.com/sure-analysis-LNC/","Lincoln National Corp.")</f>
        <v>0</v>
      </c>
      <c r="C197">
        <v>-0.009263216108192</v>
      </c>
      <c r="D197">
        <v>-0.298970355761983</v>
      </c>
      <c r="E197">
        <v>-0.324678885131155</v>
      </c>
      <c r="F197">
        <v>0.041047585086572</v>
      </c>
      <c r="G197">
        <v>-0.548765652951699</v>
      </c>
      <c r="H197">
        <v>-0.35592728698924</v>
      </c>
      <c r="I197">
        <v>-0.563212308186756</v>
      </c>
    </row>
    <row r="198" spans="1:9">
      <c r="A198" s="1" t="s">
        <v>210</v>
      </c>
      <c r="B198">
        <f>HYPERLINK("https://www.suredividend.com/sure-analysis-LNN/","Lindsay Corporation")</f>
        <v>0</v>
      </c>
      <c r="C198">
        <v>-0.08375531109947</v>
      </c>
      <c r="D198">
        <v>0.071531646327849</v>
      </c>
      <c r="E198">
        <v>0.228035276175319</v>
      </c>
      <c r="F198">
        <v>-0.033343567700337</v>
      </c>
      <c r="G198">
        <v>0.133012761688017</v>
      </c>
      <c r="H198">
        <v>0.120146411717491</v>
      </c>
      <c r="I198">
        <v>0.7558770908344591</v>
      </c>
    </row>
    <row r="199" spans="1:9">
      <c r="A199" s="1" t="s">
        <v>211</v>
      </c>
      <c r="B199">
        <f>HYPERLINK("https://www.suredividend.com/sure-analysis-LNT/","Alliant Energy Corp.")</f>
        <v>0</v>
      </c>
      <c r="C199">
        <v>-0.013611454834718</v>
      </c>
      <c r="D199">
        <v>0.17088156050394</v>
      </c>
      <c r="E199">
        <v>-0.019623345614395</v>
      </c>
      <c r="F199">
        <v>0.010686469842419</v>
      </c>
      <c r="G199">
        <v>-0.043672298374242</v>
      </c>
      <c r="H199">
        <v>0.233053796943882</v>
      </c>
      <c r="I199">
        <v>0.638540348321964</v>
      </c>
    </row>
    <row r="200" spans="1:9">
      <c r="A200" s="1" t="s">
        <v>212</v>
      </c>
      <c r="B200">
        <f>HYPERLINK("https://www.suredividend.com/sure-analysis-LOW/","Lowe`s Cos., Inc.")</f>
        <v>0</v>
      </c>
      <c r="C200">
        <v>0.025258435732397</v>
      </c>
      <c r="D200">
        <v>0.090601459495095</v>
      </c>
      <c r="E200">
        <v>0.174787821898903</v>
      </c>
      <c r="F200">
        <v>0.05531017867898001</v>
      </c>
      <c r="G200">
        <v>-0.148464656585345</v>
      </c>
      <c r="H200">
        <v>0.276980820386993</v>
      </c>
      <c r="I200">
        <v>1.240180697539381</v>
      </c>
    </row>
    <row r="201" spans="1:9">
      <c r="A201" s="1" t="s">
        <v>213</v>
      </c>
      <c r="B201">
        <f>HYPERLINK("https://www.suredividend.com/sure-analysis-LYB/","LyondellBasell Industries NV")</f>
        <v>0</v>
      </c>
      <c r="C201">
        <v>0.129098360655737</v>
      </c>
      <c r="D201">
        <v>0.212870646121973</v>
      </c>
      <c r="E201">
        <v>0.104562585197658</v>
      </c>
      <c r="F201">
        <v>0.128146453089244</v>
      </c>
      <c r="G201">
        <v>0.006486773407774001</v>
      </c>
      <c r="H201">
        <v>0.045087019923261</v>
      </c>
      <c r="I201">
        <v>-0.027593223154223</v>
      </c>
    </row>
    <row r="202" spans="1:9">
      <c r="A202" s="1" t="s">
        <v>214</v>
      </c>
      <c r="B202">
        <f>HYPERLINK("https://www.suredividend.com/sure-analysis-MA/","Mastercard Incorporated")</f>
        <v>0</v>
      </c>
      <c r="C202">
        <v>0.062139391078487</v>
      </c>
      <c r="D202">
        <v>0.342460504847999</v>
      </c>
      <c r="E202">
        <v>0.180202698671545</v>
      </c>
      <c r="F202">
        <v>0.09402836967276501</v>
      </c>
      <c r="G202">
        <v>0.040412582031687</v>
      </c>
      <c r="H202">
        <v>0.118609873725288</v>
      </c>
      <c r="I202">
        <v>1.401236117231355</v>
      </c>
    </row>
    <row r="203" spans="1:9">
      <c r="A203" s="1" t="s">
        <v>215</v>
      </c>
      <c r="B203">
        <f>HYPERLINK("https://www.suredividend.com/sure-analysis-MAA/","Mid-America Apartment Communities, Inc.")</f>
        <v>0</v>
      </c>
      <c r="C203">
        <v>-0.010504107126232</v>
      </c>
      <c r="D203">
        <v>0.125331134418486</v>
      </c>
      <c r="E203">
        <v>-0.029917280939557</v>
      </c>
      <c r="F203">
        <v>0.031284237717796</v>
      </c>
      <c r="G203">
        <v>-0.233025998932382</v>
      </c>
      <c r="H203">
        <v>0.3682210228110721</v>
      </c>
      <c r="I203">
        <v>1.057047203523217</v>
      </c>
    </row>
    <row r="204" spans="1:9">
      <c r="A204" s="1" t="s">
        <v>216</v>
      </c>
      <c r="B204">
        <f>HYPERLINK("https://www.suredividend.com/sure-analysis-MAN/","ManpowerGroup")</f>
        <v>0</v>
      </c>
      <c r="C204">
        <v>0.008821822402785002</v>
      </c>
      <c r="D204">
        <v>0.301733847776073</v>
      </c>
      <c r="E204">
        <v>0.135188087774294</v>
      </c>
      <c r="F204">
        <v>0.044465809397908</v>
      </c>
      <c r="G204">
        <v>-0.150220584784343</v>
      </c>
      <c r="H204">
        <v>-0.056094549111647</v>
      </c>
      <c r="I204">
        <v>-0.257431452746375</v>
      </c>
    </row>
    <row r="205" spans="1:9">
      <c r="A205" s="1" t="s">
        <v>217</v>
      </c>
      <c r="B205">
        <f>HYPERLINK("https://www.suredividend.com/sure-analysis-MATW/","Matthews International Corp.")</f>
        <v>0</v>
      </c>
      <c r="C205">
        <v>0.208130081300812</v>
      </c>
      <c r="D205">
        <v>0.6251093613298331</v>
      </c>
      <c r="E205">
        <v>0.379502413665057</v>
      </c>
      <c r="F205">
        <v>0.220433639947437</v>
      </c>
      <c r="G205">
        <v>0.037799362514631</v>
      </c>
      <c r="H205">
        <v>0.216401612264209</v>
      </c>
      <c r="I205">
        <v>-0.208245330991814</v>
      </c>
    </row>
    <row r="206" spans="1:9">
      <c r="A206" s="1" t="s">
        <v>218</v>
      </c>
      <c r="B206">
        <f>HYPERLINK("https://www.suredividend.com/sure-analysis-MCD/","McDonald`s Corp")</f>
        <v>0</v>
      </c>
      <c r="C206">
        <v>-0.035897621285518</v>
      </c>
      <c r="D206">
        <v>0.131325180586122</v>
      </c>
      <c r="E206">
        <v>0.072292169762237</v>
      </c>
      <c r="F206">
        <v>0.011991044662846</v>
      </c>
      <c r="G206">
        <v>0.04500590311370101</v>
      </c>
      <c r="H206">
        <v>0.318080522072375</v>
      </c>
      <c r="I206">
        <v>0.7184198707560621</v>
      </c>
    </row>
    <row r="207" spans="1:9">
      <c r="A207" s="1" t="s">
        <v>219</v>
      </c>
      <c r="B207">
        <f>HYPERLINK("https://www.suredividend.com/sure-analysis-MCHP/","Microchip Technology, Inc.")</f>
        <v>0</v>
      </c>
      <c r="C207">
        <v>-0.027027027027027</v>
      </c>
      <c r="D207">
        <v>0.306608409945783</v>
      </c>
      <c r="E207">
        <v>0.281974827357656</v>
      </c>
      <c r="F207">
        <v>0.07103202846975</v>
      </c>
      <c r="G207">
        <v>-0.102630922975821</v>
      </c>
      <c r="H207">
        <v>1.071819781418056</v>
      </c>
      <c r="I207">
        <v>2.458372211675913</v>
      </c>
    </row>
    <row r="208" spans="1:9">
      <c r="A208" s="1" t="s">
        <v>220</v>
      </c>
      <c r="B208">
        <f>HYPERLINK("https://www.suredividend.com/sure-analysis-MCK/","Mckesson Corporation")</f>
        <v>0</v>
      </c>
      <c r="C208">
        <v>0.008180013236267001</v>
      </c>
      <c r="D208">
        <v>0.104199314876856</v>
      </c>
      <c r="E208">
        <v>0.166674835800411</v>
      </c>
      <c r="F208">
        <v>0.015248453828108</v>
      </c>
      <c r="G208">
        <v>0.502568656979641</v>
      </c>
      <c r="H208">
        <v>1.106689752263153</v>
      </c>
      <c r="I208">
        <v>1.39384253715629</v>
      </c>
    </row>
    <row r="209" spans="1:9">
      <c r="A209" s="1" t="s">
        <v>221</v>
      </c>
      <c r="B209">
        <f>HYPERLINK("https://www.suredividend.com/sure-analysis-MCO/","Moody`s Corp.")</f>
        <v>0</v>
      </c>
      <c r="C209">
        <v>0.07339197361187401</v>
      </c>
      <c r="D209">
        <v>0.310807913352408</v>
      </c>
      <c r="E209">
        <v>0.142454661116277</v>
      </c>
      <c r="F209">
        <v>0.121240399109898</v>
      </c>
      <c r="G209">
        <v>-0.152131585703918</v>
      </c>
      <c r="H209">
        <v>0.162252105279801</v>
      </c>
      <c r="I209">
        <v>1.085479283059753</v>
      </c>
    </row>
    <row r="210" spans="1:9">
      <c r="A210" s="1" t="s">
        <v>222</v>
      </c>
      <c r="B210">
        <f>HYPERLINK("https://www.suredividend.com/sure-analysis-MCY/","Mercury General Corp.")</f>
        <v>0</v>
      </c>
      <c r="C210">
        <v>0.007343787475587</v>
      </c>
      <c r="D210">
        <v>0.201471189211279</v>
      </c>
      <c r="E210">
        <v>-0.205043736114178</v>
      </c>
      <c r="F210">
        <v>0.03157894736842001</v>
      </c>
      <c r="G210">
        <v>-0.331155671242537</v>
      </c>
      <c r="H210">
        <v>-0.272466314447977</v>
      </c>
      <c r="I210">
        <v>-0.163062791641065</v>
      </c>
    </row>
    <row r="211" spans="1:9">
      <c r="A211" s="1" t="s">
        <v>223</v>
      </c>
      <c r="B211">
        <f>HYPERLINK("https://www.suredividend.com/sure-analysis-MDT/","Medtronic Plc")</f>
        <v>0</v>
      </c>
      <c r="C211">
        <v>0.010667382213266</v>
      </c>
      <c r="D211">
        <v>0.003116759775834</v>
      </c>
      <c r="E211">
        <v>-0.08440134066118</v>
      </c>
      <c r="F211">
        <v>0.027406073082861</v>
      </c>
      <c r="G211">
        <v>-0.244457144587342</v>
      </c>
      <c r="H211">
        <v>-0.283073991971506</v>
      </c>
      <c r="I211">
        <v>0.039848938663888</v>
      </c>
    </row>
    <row r="212" spans="1:9">
      <c r="A212" s="1" t="s">
        <v>224</v>
      </c>
      <c r="B212">
        <f>HYPERLINK("https://www.suredividend.com/sure-analysis-MDU/","MDU Resources Group Inc")</f>
        <v>0</v>
      </c>
      <c r="C212">
        <v>0.007489417127971001</v>
      </c>
      <c r="D212">
        <v>0.133719545486191</v>
      </c>
      <c r="E212">
        <v>0.172791539525804</v>
      </c>
      <c r="F212">
        <v>0.01977587343441</v>
      </c>
      <c r="G212">
        <v>0.05415580654503301</v>
      </c>
      <c r="H212">
        <v>0.185599601479125</v>
      </c>
      <c r="I212">
        <v>0.459991789315729</v>
      </c>
    </row>
    <row r="213" spans="1:9">
      <c r="A213" s="1" t="s">
        <v>225</v>
      </c>
      <c r="B213">
        <f>HYPERLINK("https://www.suredividend.com/sure-analysis-MGEE/","MGE Energy, Inc.")</f>
        <v>0</v>
      </c>
      <c r="C213">
        <v>0.005007650577270001</v>
      </c>
      <c r="D213">
        <v>0.16874020320712</v>
      </c>
      <c r="E213">
        <v>-0.044797351609764</v>
      </c>
      <c r="F213">
        <v>0.026278409090908</v>
      </c>
      <c r="G213">
        <v>-0.047655452946929</v>
      </c>
      <c r="H213">
        <v>0.121561772828244</v>
      </c>
      <c r="I213">
        <v>0.358233337907775</v>
      </c>
    </row>
    <row r="214" spans="1:9">
      <c r="A214" s="1" t="s">
        <v>226</v>
      </c>
      <c r="B214">
        <f>HYPERLINK("https://www.suredividend.com/sure-analysis-MGRC/","McGrath Rentcorp")</f>
        <v>0</v>
      </c>
      <c r="C214">
        <v>0.03917098445595801</v>
      </c>
      <c r="D214">
        <v>0.217661187110374</v>
      </c>
      <c r="E214">
        <v>0.341104284632935</v>
      </c>
      <c r="F214">
        <v>0.015596516102896</v>
      </c>
      <c r="G214">
        <v>0.307284971958815</v>
      </c>
      <c r="H214">
        <v>0.4039626804654861</v>
      </c>
      <c r="I214">
        <v>1.277015719764487</v>
      </c>
    </row>
    <row r="215" spans="1:9">
      <c r="A215" s="1" t="s">
        <v>227</v>
      </c>
      <c r="B215">
        <f>HYPERLINK("https://www.suredividend.com/sure-analysis-MKC/","McCormick &amp; Co., Inc.")</f>
        <v>0</v>
      </c>
      <c r="C215">
        <v>-0.053836769606858</v>
      </c>
      <c r="D215">
        <v>0.09225560157019301</v>
      </c>
      <c r="E215">
        <v>-0.005970072296433</v>
      </c>
      <c r="F215">
        <v>-0.023163228374954</v>
      </c>
      <c r="G215">
        <v>-0.135655261272936</v>
      </c>
      <c r="H215">
        <v>-0.09413216474107701</v>
      </c>
      <c r="I215">
        <v>0.73643949483057</v>
      </c>
    </row>
    <row r="216" spans="1:9">
      <c r="A216" s="1" t="s">
        <v>228</v>
      </c>
      <c r="B216">
        <f>HYPERLINK("https://www.suredividend.com/sure-analysis-MKTX/","MarketAxess Holdings Inc.")</f>
        <v>0</v>
      </c>
      <c r="C216">
        <v>0.128544027898866</v>
      </c>
      <c r="D216">
        <v>0.368504561681872</v>
      </c>
      <c r="E216">
        <v>0.267722494875989</v>
      </c>
      <c r="F216">
        <v>0.160349958765104</v>
      </c>
      <c r="G216">
        <v>-0.11980579751535</v>
      </c>
      <c r="H216">
        <v>-0.378204233998572</v>
      </c>
      <c r="I216">
        <v>0.647266746651993</v>
      </c>
    </row>
    <row r="217" spans="1:9">
      <c r="A217" s="1" t="s">
        <v>229</v>
      </c>
      <c r="B217">
        <f>HYPERLINK("https://www.suredividend.com/sure-analysis-MMC/","Marsh &amp; McLennan Cos., Inc.")</f>
        <v>0</v>
      </c>
      <c r="C217">
        <v>0.006530659423221</v>
      </c>
      <c r="D217">
        <v>0.145864859530232</v>
      </c>
      <c r="E217">
        <v>0.145828673086184</v>
      </c>
      <c r="F217">
        <v>0.052453468697123</v>
      </c>
      <c r="G217">
        <v>0.061644378393074</v>
      </c>
      <c r="H217">
        <v>0.5868691498095221</v>
      </c>
      <c r="I217">
        <v>1.317745069335391</v>
      </c>
    </row>
    <row r="218" spans="1:9">
      <c r="A218" s="1" t="s">
        <v>230</v>
      </c>
      <c r="B218">
        <f>HYPERLINK("https://www.suredividend.com/sure-analysis-MMM/","3M Co.")</f>
        <v>0</v>
      </c>
      <c r="C218">
        <v>0.019708316909735</v>
      </c>
      <c r="D218">
        <v>0.201144035138222</v>
      </c>
      <c r="E218">
        <v>0.015419301052393</v>
      </c>
      <c r="F218">
        <v>0.07863575717144701</v>
      </c>
      <c r="G218">
        <v>-0.248497721672837</v>
      </c>
      <c r="H218">
        <v>-0.164528199030245</v>
      </c>
      <c r="I218">
        <v>-0.37369418748502</v>
      </c>
    </row>
    <row r="219" spans="1:9">
      <c r="A219" s="1" t="s">
        <v>231</v>
      </c>
      <c r="B219">
        <f>HYPERLINK("https://www.suredividend.com/sure-analysis-MMP/","Magellan Midstream Partners L.P.")</f>
        <v>0</v>
      </c>
      <c r="C219">
        <v>0.059153799879687</v>
      </c>
      <c r="D219">
        <v>0.120627653322527</v>
      </c>
      <c r="E219">
        <v>0.151547787489072</v>
      </c>
      <c r="F219">
        <v>0.05198167695678101</v>
      </c>
      <c r="G219">
        <v>0.17861270902413</v>
      </c>
      <c r="H219">
        <v>0.35087095627444</v>
      </c>
      <c r="I219">
        <v>0.04258162316655</v>
      </c>
    </row>
    <row r="220" spans="1:9">
      <c r="A220" s="1" t="s">
        <v>232</v>
      </c>
      <c r="B220">
        <f>HYPERLINK("https://www.suredividend.com/sure-analysis-research-database/","Monro Inc")</f>
        <v>0</v>
      </c>
      <c r="C220">
        <v>0.009400459578023001</v>
      </c>
      <c r="D220">
        <v>0.05011974668469001</v>
      </c>
      <c r="E220">
        <v>0.103382763297908</v>
      </c>
      <c r="F220">
        <v>0.06902654867256601</v>
      </c>
      <c r="G220">
        <v>-0.123565954745386</v>
      </c>
      <c r="H220">
        <v>-0.141964709036894</v>
      </c>
      <c r="I220">
        <v>-0.128024484610498</v>
      </c>
    </row>
    <row r="221" spans="1:9">
      <c r="A221" s="1" t="s">
        <v>233</v>
      </c>
      <c r="B221">
        <f>HYPERLINK("https://www.suredividend.com/sure-analysis-MO/","Altria Group Inc.")</f>
        <v>0</v>
      </c>
      <c r="C221">
        <v>-0.013247264151968</v>
      </c>
      <c r="D221">
        <v>0.035484739144516</v>
      </c>
      <c r="E221">
        <v>0.119693785946116</v>
      </c>
      <c r="F221">
        <v>-0.006781885801793001</v>
      </c>
      <c r="G221">
        <v>-0.007339999169139</v>
      </c>
      <c r="H221">
        <v>0.289560242914519</v>
      </c>
      <c r="I221">
        <v>-0.068067985877329</v>
      </c>
    </row>
    <row r="222" spans="1:9">
      <c r="A222" s="1" t="s">
        <v>234</v>
      </c>
      <c r="B222">
        <f>HYPERLINK("https://www.suredividend.com/sure-analysis-MORN/","Morningstar Inc")</f>
        <v>0</v>
      </c>
      <c r="C222">
        <v>0.038134397374054</v>
      </c>
      <c r="D222">
        <v>0.118213029169412</v>
      </c>
      <c r="E222">
        <v>0.046693656274733</v>
      </c>
      <c r="F222">
        <v>0.105812522459648</v>
      </c>
      <c r="G222">
        <v>-0.238545459409313</v>
      </c>
      <c r="H222">
        <v>0.08524408460274201</v>
      </c>
      <c r="I222">
        <v>1.538928107240246</v>
      </c>
    </row>
    <row r="223" spans="1:9">
      <c r="A223" s="1" t="s">
        <v>235</v>
      </c>
      <c r="B223">
        <f>HYPERLINK("https://www.suredividend.com/sure-analysis-MRK/","Merck &amp; Co Inc")</f>
        <v>0</v>
      </c>
      <c r="C223">
        <v>0.03249061456147</v>
      </c>
      <c r="D223">
        <v>0.244309762660464</v>
      </c>
      <c r="E223">
        <v>0.2117263278632</v>
      </c>
      <c r="F223">
        <v>0.007390716538981001</v>
      </c>
      <c r="G223">
        <v>0.420725018462942</v>
      </c>
      <c r="H223">
        <v>0.43882947225326</v>
      </c>
      <c r="I223">
        <v>1.226254546323702</v>
      </c>
    </row>
    <row r="224" spans="1:9">
      <c r="A224" s="1" t="s">
        <v>236</v>
      </c>
      <c r="B224">
        <f>HYPERLINK("https://www.suredividend.com/sure-analysis-MSA/","MSA Safety Inc")</f>
        <v>0</v>
      </c>
      <c r="C224">
        <v>-0.005432760288755001</v>
      </c>
      <c r="D224">
        <v>0.174636156362671</v>
      </c>
      <c r="E224">
        <v>0.09243697478991501</v>
      </c>
      <c r="F224">
        <v>-0.07316734863721401</v>
      </c>
      <c r="G224">
        <v>-0.07483558324679801</v>
      </c>
      <c r="H224">
        <v>-0.14791275605974</v>
      </c>
      <c r="I224">
        <v>0.7893772795681071</v>
      </c>
    </row>
    <row r="225" spans="1:9">
      <c r="A225" s="1" t="s">
        <v>237</v>
      </c>
      <c r="B225">
        <f>HYPERLINK("https://www.suredividend.com/sure-analysis-MSEX/","Middlesex Water Co.")</f>
        <v>0</v>
      </c>
      <c r="C225">
        <v>-0.107146777911955</v>
      </c>
      <c r="D225">
        <v>0.05187871513784401</v>
      </c>
      <c r="E225">
        <v>-0.062191908767519</v>
      </c>
      <c r="F225">
        <v>0.033812126604804</v>
      </c>
      <c r="G225">
        <v>-0.228276598268295</v>
      </c>
      <c r="H225">
        <v>0.190493616448221</v>
      </c>
      <c r="I225">
        <v>1.35981952443819</v>
      </c>
    </row>
    <row r="226" spans="1:9">
      <c r="A226" s="1" t="s">
        <v>238</v>
      </c>
      <c r="B226">
        <f>HYPERLINK("https://www.suredividend.com/sure-analysis-MSFT/","Microsoft Corporation")</f>
        <v>0</v>
      </c>
      <c r="C226">
        <v>-0.055443348778266</v>
      </c>
      <c r="D226">
        <v>0.05950009683913501</v>
      </c>
      <c r="E226">
        <v>-0.05511143473233</v>
      </c>
      <c r="F226">
        <v>-0.00546243015595</v>
      </c>
      <c r="G226">
        <v>-0.243582774580626</v>
      </c>
      <c r="H226">
        <v>0.129497496503913</v>
      </c>
      <c r="I226">
        <v>1.826694730953794</v>
      </c>
    </row>
    <row r="227" spans="1:9">
      <c r="A227" s="1" t="s">
        <v>239</v>
      </c>
      <c r="B227">
        <f>HYPERLINK("https://www.suredividend.com/sure-analysis-research-database/","Motorola Solutions Inc")</f>
        <v>0</v>
      </c>
      <c r="C227">
        <v>-0.019403010507957</v>
      </c>
      <c r="D227">
        <v>0.18920385652283</v>
      </c>
      <c r="E227">
        <v>0.279916370996363</v>
      </c>
      <c r="F227">
        <v>0.027162314229172</v>
      </c>
      <c r="G227">
        <v>0.045121319511563</v>
      </c>
      <c r="H227">
        <v>0.56122734846139</v>
      </c>
      <c r="I227">
        <v>1.961253456716097</v>
      </c>
    </row>
    <row r="228" spans="1:9">
      <c r="A228" s="1" t="s">
        <v>240</v>
      </c>
      <c r="B228">
        <f>HYPERLINK("https://www.suredividend.com/sure-analysis-NDSN/","Nordson Corp.")</f>
        <v>0</v>
      </c>
      <c r="C228">
        <v>0.018610945303768</v>
      </c>
      <c r="D228">
        <v>0.151717016731882</v>
      </c>
      <c r="E228">
        <v>0.186184126735311</v>
      </c>
      <c r="F228">
        <v>0.018635369342083</v>
      </c>
      <c r="G228">
        <v>0.008517107098977001</v>
      </c>
      <c r="H228">
        <v>0.189595424564961</v>
      </c>
      <c r="I228">
        <v>0.7105011277369601</v>
      </c>
    </row>
    <row r="229" spans="1:9">
      <c r="A229" s="1" t="s">
        <v>241</v>
      </c>
      <c r="B229">
        <f>HYPERLINK("https://www.suredividend.com/sure-analysis-NEE/","NextEra Energy Inc")</f>
        <v>0</v>
      </c>
      <c r="C229">
        <v>-0.017099942229924</v>
      </c>
      <c r="D229">
        <v>0.175285704812219</v>
      </c>
      <c r="E229">
        <v>0.07463041025945501</v>
      </c>
      <c r="F229">
        <v>0.017583732057416</v>
      </c>
      <c r="G229">
        <v>0.021090371359057</v>
      </c>
      <c r="H229">
        <v>0.105062085861518</v>
      </c>
      <c r="I229">
        <v>1.517780138926295</v>
      </c>
    </row>
    <row r="230" spans="1:9">
      <c r="A230" s="1" t="s">
        <v>242</v>
      </c>
      <c r="B230">
        <f>HYPERLINK("https://www.suredividend.com/sure-analysis-NFG/","National Fuel Gas Co.")</f>
        <v>0</v>
      </c>
      <c r="C230">
        <v>-0.038654833607343</v>
      </c>
      <c r="D230">
        <v>0.006004389955937</v>
      </c>
      <c r="E230">
        <v>-0.041512201336817</v>
      </c>
      <c r="F230">
        <v>-0.025434439178514</v>
      </c>
      <c r="G230">
        <v>0.003141626881398</v>
      </c>
      <c r="H230">
        <v>0.482843579111832</v>
      </c>
      <c r="I230">
        <v>0.305368112114806</v>
      </c>
    </row>
    <row r="231" spans="1:9">
      <c r="A231" s="1" t="s">
        <v>243</v>
      </c>
      <c r="B231">
        <f>HYPERLINK("https://www.suredividend.com/sure-analysis-NHC/","National Healthcare Corp.")</f>
        <v>0</v>
      </c>
      <c r="C231">
        <v>-0.01327942202701</v>
      </c>
      <c r="D231">
        <v>-0.019426205405479</v>
      </c>
      <c r="E231">
        <v>-0.15545041180759</v>
      </c>
      <c r="F231">
        <v>-0.030420168067226</v>
      </c>
      <c r="G231">
        <v>-0.128290442926369</v>
      </c>
      <c r="H231">
        <v>-0.162225352521746</v>
      </c>
      <c r="I231">
        <v>0.045156030617328</v>
      </c>
    </row>
    <row r="232" spans="1:9">
      <c r="A232" s="1" t="s">
        <v>244</v>
      </c>
      <c r="B232">
        <f>HYPERLINK("https://www.suredividend.com/sure-analysis-research-database/","NiSource Inc")</f>
        <v>0</v>
      </c>
      <c r="C232">
        <v>-0.006410256410256001</v>
      </c>
      <c r="D232">
        <v>0.164154068906237</v>
      </c>
      <c r="E232">
        <v>-0.010164440423607</v>
      </c>
      <c r="F232">
        <v>0.017505470459518</v>
      </c>
      <c r="G232">
        <v>0.031938305623878</v>
      </c>
      <c r="H232">
        <v>0.367010460814816</v>
      </c>
      <c r="I232">
        <v>0.363083402138917</v>
      </c>
    </row>
    <row r="233" spans="1:9">
      <c r="A233" s="1" t="s">
        <v>245</v>
      </c>
      <c r="B233">
        <f>HYPERLINK("https://www.suredividend.com/sure-analysis-NJR/","New Jersey Resources Corporation")</f>
        <v>0</v>
      </c>
      <c r="C233">
        <v>0.016494435612082</v>
      </c>
      <c r="D233">
        <v>0.32954527732001</v>
      </c>
      <c r="E233">
        <v>0.196093929034098</v>
      </c>
      <c r="F233">
        <v>0.030834340991535</v>
      </c>
      <c r="G233">
        <v>0.368836555830601</v>
      </c>
      <c r="H233">
        <v>0.486235973012395</v>
      </c>
      <c r="I233">
        <v>0.52292425275481</v>
      </c>
    </row>
    <row r="234" spans="1:9">
      <c r="A234" s="1" t="s">
        <v>246</v>
      </c>
      <c r="B234">
        <f>HYPERLINK("https://www.suredividend.com/sure-analysis-NKE/","Nike, Inc.")</f>
        <v>0</v>
      </c>
      <c r="C234">
        <v>0.141161773891318</v>
      </c>
      <c r="D234">
        <v>0.449355841848067</v>
      </c>
      <c r="E234">
        <v>0.239890563103633</v>
      </c>
      <c r="F234">
        <v>0.092983505683274</v>
      </c>
      <c r="G234">
        <v>-0.150751699957501</v>
      </c>
      <c r="H234">
        <v>-0.102129992817882</v>
      </c>
      <c r="I234">
        <v>1.072381853654742</v>
      </c>
    </row>
    <row r="235" spans="1:9">
      <c r="A235" s="1" t="s">
        <v>247</v>
      </c>
      <c r="B235">
        <f>HYPERLINK("https://www.suredividend.com/sure-analysis-NNN/","National Retail Properties Inc")</f>
        <v>0</v>
      </c>
      <c r="C235">
        <v>0.031565385441271</v>
      </c>
      <c r="D235">
        <v>0.24955131639867</v>
      </c>
      <c r="E235">
        <v>0.116186563939088</v>
      </c>
      <c r="F235">
        <v>0.04982517482517401</v>
      </c>
      <c r="G235">
        <v>0.074806919572941</v>
      </c>
      <c r="H235">
        <v>0.367916603785404</v>
      </c>
      <c r="I235">
        <v>0.5223632756795811</v>
      </c>
    </row>
    <row r="236" spans="1:9">
      <c r="A236" s="1" t="s">
        <v>248</v>
      </c>
      <c r="B236">
        <f>HYPERLINK("https://www.suredividend.com/sure-analysis-NOC/","Northrop Grumman Corp.")</f>
        <v>0</v>
      </c>
      <c r="C236">
        <v>-0.088194626107104</v>
      </c>
      <c r="D236">
        <v>-0.008936187497461001</v>
      </c>
      <c r="E236">
        <v>0.044389217009859</v>
      </c>
      <c r="F236">
        <v>-0.105624896904382</v>
      </c>
      <c r="G236">
        <v>0.247620666865237</v>
      </c>
      <c r="H236">
        <v>0.680796151370163</v>
      </c>
      <c r="I236">
        <v>0.6510744265833871</v>
      </c>
    </row>
    <row r="237" spans="1:9">
      <c r="A237" s="1" t="s">
        <v>249</v>
      </c>
      <c r="B237">
        <f>HYPERLINK("https://www.suredividend.com/sure-analysis-research-database/","Neenah Inc")</f>
        <v>0</v>
      </c>
      <c r="C237">
        <v>-0.160765801206399</v>
      </c>
      <c r="D237">
        <v>-0.207023786808345</v>
      </c>
      <c r="E237">
        <v>-0.308257674016428</v>
      </c>
      <c r="F237">
        <v>-0.292861436198423</v>
      </c>
      <c r="G237">
        <v>-0.331461425324241</v>
      </c>
      <c r="H237">
        <v>-0.299431663937369</v>
      </c>
      <c r="I237">
        <v>-0.528915740691669</v>
      </c>
    </row>
    <row r="238" spans="1:9">
      <c r="A238" s="1" t="s">
        <v>250</v>
      </c>
      <c r="B238">
        <f>HYPERLINK("https://www.suredividend.com/sure-analysis-NSP/","Insperity Inc")</f>
        <v>0</v>
      </c>
      <c r="C238">
        <v>-0.03002544529262</v>
      </c>
      <c r="D238">
        <v>0.072282491490937</v>
      </c>
      <c r="E238">
        <v>0.149230078152871</v>
      </c>
      <c r="F238">
        <v>0.006690140845070001</v>
      </c>
      <c r="G238">
        <v>0.070351561256942</v>
      </c>
      <c r="H238">
        <v>0.386990475659142</v>
      </c>
      <c r="I238">
        <v>1.129256045087499</v>
      </c>
    </row>
    <row r="239" spans="1:9">
      <c r="A239" s="1" t="s">
        <v>251</v>
      </c>
      <c r="B239">
        <f>HYPERLINK("https://www.suredividend.com/sure-analysis-NUE/","Nucor Corp.")</f>
        <v>0</v>
      </c>
      <c r="C239">
        <v>0.055680341267263</v>
      </c>
      <c r="D239">
        <v>0.310066079628729</v>
      </c>
      <c r="E239">
        <v>0.438476070819841</v>
      </c>
      <c r="F239">
        <v>0.181321599271679</v>
      </c>
      <c r="G239">
        <v>0.379837762059291</v>
      </c>
      <c r="H239">
        <v>1.77325591750227</v>
      </c>
      <c r="I239">
        <v>1.564195459178884</v>
      </c>
    </row>
    <row r="240" spans="1:9">
      <c r="A240" s="1" t="s">
        <v>252</v>
      </c>
      <c r="B240">
        <f>HYPERLINK("https://www.suredividend.com/sure-analysis-NUS/","Nu Skin Enterprises, Inc.")</f>
        <v>0</v>
      </c>
      <c r="C240">
        <v>0.048978587250799</v>
      </c>
      <c r="D240">
        <v>0.205968155876052</v>
      </c>
      <c r="E240">
        <v>0.025320262224093</v>
      </c>
      <c r="F240">
        <v>0.010910815939279</v>
      </c>
      <c r="G240">
        <v>-0.161728232371608</v>
      </c>
      <c r="H240">
        <v>-0.17651105005468</v>
      </c>
      <c r="I240">
        <v>-0.274102208180401</v>
      </c>
    </row>
    <row r="241" spans="1:9">
      <c r="A241" s="1" t="s">
        <v>253</v>
      </c>
      <c r="B241">
        <f>HYPERLINK("https://www.suredividend.com/sure-analysis-NWBI/","Northwest Bancshares Inc")</f>
        <v>0</v>
      </c>
      <c r="C241">
        <v>-0.006258692628650001</v>
      </c>
      <c r="D241">
        <v>0.05018703470982001</v>
      </c>
      <c r="E241">
        <v>0.151138249367639</v>
      </c>
      <c r="F241">
        <v>0.022174535050071</v>
      </c>
      <c r="G241">
        <v>0.022306162452962</v>
      </c>
      <c r="H241">
        <v>0.134604238290709</v>
      </c>
      <c r="I241">
        <v>0.09788796779323701</v>
      </c>
    </row>
    <row r="242" spans="1:9">
      <c r="A242" s="1" t="s">
        <v>254</v>
      </c>
      <c r="B242">
        <f>HYPERLINK("https://www.suredividend.com/sure-analysis-NWE/","Northwestern Corp.")</f>
        <v>0</v>
      </c>
      <c r="C242">
        <v>0.024938966940643</v>
      </c>
      <c r="D242">
        <v>0.20316280888715</v>
      </c>
      <c r="E242">
        <v>0.05307445327305201</v>
      </c>
      <c r="F242">
        <v>-0.004550050556117</v>
      </c>
      <c r="G242">
        <v>0.098821375954283</v>
      </c>
      <c r="H242">
        <v>0.114702868562435</v>
      </c>
      <c r="I242">
        <v>0.299344058915915</v>
      </c>
    </row>
    <row r="243" spans="1:9">
      <c r="A243" s="1" t="s">
        <v>255</v>
      </c>
      <c r="B243">
        <f>HYPERLINK("https://www.suredividend.com/sure-analysis-NWN/","Northwest Natural Holding Co")</f>
        <v>0</v>
      </c>
      <c r="C243">
        <v>0.027708850289495</v>
      </c>
      <c r="D243">
        <v>0.14250772399588</v>
      </c>
      <c r="E243">
        <v>-0.028317601332592</v>
      </c>
      <c r="F243">
        <v>0.04433704559781401</v>
      </c>
      <c r="G243">
        <v>0.08119396880853301</v>
      </c>
      <c r="H243">
        <v>0.231630857680965</v>
      </c>
      <c r="I243">
        <v>-0.154613818406965</v>
      </c>
    </row>
    <row r="244" spans="1:9">
      <c r="A244" s="1" t="s">
        <v>256</v>
      </c>
      <c r="B244">
        <f>HYPERLINK("https://www.suredividend.com/sure-analysis-O/","Realty Income Corp.")</f>
        <v>0</v>
      </c>
      <c r="C244">
        <v>0.033080302395256</v>
      </c>
      <c r="D244">
        <v>0.170595622974983</v>
      </c>
      <c r="E244">
        <v>-0.018071613638107</v>
      </c>
      <c r="F244">
        <v>0.04918808134951901</v>
      </c>
      <c r="G244">
        <v>-0.03542616625745301</v>
      </c>
      <c r="H244">
        <v>0.250789378721356</v>
      </c>
      <c r="I244">
        <v>0.558956916099773</v>
      </c>
    </row>
    <row r="245" spans="1:9">
      <c r="A245" s="1" t="s">
        <v>257</v>
      </c>
      <c r="B245">
        <f>HYPERLINK("https://www.suredividend.com/sure-analysis-OGE/","Oge Energy Corp.")</f>
        <v>0</v>
      </c>
      <c r="C245">
        <v>0.011060834590246</v>
      </c>
      <c r="D245">
        <v>0.196432714789716</v>
      </c>
      <c r="E245">
        <v>0.06552078586794101</v>
      </c>
      <c r="F245">
        <v>0.027934674265852</v>
      </c>
      <c r="G245">
        <v>0.126440258336274</v>
      </c>
      <c r="H245">
        <v>0.412893797599977</v>
      </c>
      <c r="I245">
        <v>0.6216172628455311</v>
      </c>
    </row>
    <row r="246" spans="1:9">
      <c r="A246" s="1" t="s">
        <v>258</v>
      </c>
      <c r="B246">
        <f>HYPERLINK("https://www.suredividend.com/sure-analysis-ORCL/","Oracle Corp.")</f>
        <v>0</v>
      </c>
      <c r="C246">
        <v>0.09636881856936001</v>
      </c>
      <c r="D246">
        <v>0.397192709669398</v>
      </c>
      <c r="E246">
        <v>0.27213483081667</v>
      </c>
      <c r="F246">
        <v>0.09019998870259001</v>
      </c>
      <c r="G246">
        <v>0.022800454833993</v>
      </c>
      <c r="H246">
        <v>0.469162157242383</v>
      </c>
      <c r="I246">
        <v>0.9476772884330601</v>
      </c>
    </row>
    <row r="247" spans="1:9">
      <c r="A247" s="1" t="s">
        <v>259</v>
      </c>
      <c r="B247">
        <f>HYPERLINK("https://www.suredividend.com/sure-analysis-ORI/","Old Republic International Corp.")</f>
        <v>0</v>
      </c>
      <c r="C247">
        <v>0.008739076154806001</v>
      </c>
      <c r="D247">
        <v>0.106758348628879</v>
      </c>
      <c r="E247">
        <v>0.099918322896814</v>
      </c>
      <c r="F247">
        <v>0.003726708074534</v>
      </c>
      <c r="G247">
        <v>-0.015474594858048</v>
      </c>
      <c r="H247">
        <v>0.478743068391867</v>
      </c>
      <c r="I247">
        <v>0.6664947922037741</v>
      </c>
    </row>
    <row r="248" spans="1:9">
      <c r="A248" s="1" t="s">
        <v>260</v>
      </c>
      <c r="B248">
        <f>HYPERLINK("https://www.suredividend.com/sure-analysis-OZK/","Bank OZK")</f>
        <v>0</v>
      </c>
      <c r="C248">
        <v>0.010064701653486</v>
      </c>
      <c r="D248">
        <v>0.029806987539702</v>
      </c>
      <c r="E248">
        <v>0.142087622371369</v>
      </c>
      <c r="F248">
        <v>0.05217174238642001</v>
      </c>
      <c r="G248">
        <v>-0.135047505694527</v>
      </c>
      <c r="H248">
        <v>0.241308630849832</v>
      </c>
      <c r="I248">
        <v>-0.186750300506858</v>
      </c>
    </row>
    <row r="249" spans="1:9">
      <c r="A249" s="1" t="s">
        <v>261</v>
      </c>
      <c r="B249">
        <f>HYPERLINK("https://www.suredividend.com/sure-analysis-PAYX/","Paychex Inc.")</f>
        <v>0</v>
      </c>
      <c r="C249">
        <v>-0.025372041961454</v>
      </c>
      <c r="D249">
        <v>0.117373124309508</v>
      </c>
      <c r="E249">
        <v>0.057109491317325</v>
      </c>
      <c r="F249">
        <v>0.037123572170301</v>
      </c>
      <c r="G249">
        <v>-0.041629350051177</v>
      </c>
      <c r="H249">
        <v>0.389136799549356</v>
      </c>
      <c r="I249">
        <v>1.050996834089159</v>
      </c>
    </row>
    <row r="250" spans="1:9">
      <c r="A250" s="1" t="s">
        <v>262</v>
      </c>
      <c r="B250">
        <f>HYPERLINK("https://www.suredividend.com/sure-analysis-PB/","Prosperity Bancshares Inc.")</f>
        <v>0</v>
      </c>
      <c r="C250">
        <v>0.064768315222564</v>
      </c>
      <c r="D250">
        <v>0.07844830067052201</v>
      </c>
      <c r="E250">
        <v>0.112866488687218</v>
      </c>
      <c r="F250">
        <v>0.031232801320858</v>
      </c>
      <c r="G250">
        <v>-0.017419017366578</v>
      </c>
      <c r="H250">
        <v>0.106635679883297</v>
      </c>
      <c r="I250">
        <v>0.14489357607012</v>
      </c>
    </row>
    <row r="251" spans="1:9">
      <c r="A251" s="1" t="s">
        <v>263</v>
      </c>
      <c r="B251">
        <f>HYPERLINK("https://www.suredividend.com/sure-analysis-PEG/","Public Service Enterprise Group Inc.")</f>
        <v>0</v>
      </c>
      <c r="C251">
        <v>0.035796766743648</v>
      </c>
      <c r="D251">
        <v>0.184754982706992</v>
      </c>
      <c r="E251">
        <v>0.03456116416552901</v>
      </c>
      <c r="F251">
        <v>0.024808225885425</v>
      </c>
      <c r="G251">
        <v>-0.017207862337101</v>
      </c>
      <c r="H251">
        <v>0.16081084828485</v>
      </c>
      <c r="I251">
        <v>0.447207688939083</v>
      </c>
    </row>
    <row r="252" spans="1:9">
      <c r="A252" s="1" t="s">
        <v>264</v>
      </c>
      <c r="B252">
        <f>HYPERLINK("https://www.suredividend.com/sure-analysis-PEP/","PepsiCo Inc")</f>
        <v>0</v>
      </c>
      <c r="C252">
        <v>-0.04451812795564401</v>
      </c>
      <c r="D252">
        <v>0.044196889745093</v>
      </c>
      <c r="E252">
        <v>0.05053166057870601</v>
      </c>
      <c r="F252">
        <v>-0.027012066865935</v>
      </c>
      <c r="G252">
        <v>0.037854714510245</v>
      </c>
      <c r="H252">
        <v>0.313408301266484</v>
      </c>
      <c r="I252">
        <v>0.7189416060535531</v>
      </c>
    </row>
    <row r="253" spans="1:9">
      <c r="A253" s="1" t="s">
        <v>265</v>
      </c>
      <c r="B253">
        <f>HYPERLINK("https://www.suredividend.com/sure-analysis-PETS/","Petmed Express, Inc.")</f>
        <v>0</v>
      </c>
      <c r="C253">
        <v>0.028146574614976</v>
      </c>
      <c r="D253">
        <v>-0.01658496939527</v>
      </c>
      <c r="E253">
        <v>-0.103890393205119</v>
      </c>
      <c r="F253">
        <v>0.093785310734463</v>
      </c>
      <c r="G253">
        <v>-0.172356006617731</v>
      </c>
      <c r="H253">
        <v>-0.3740563155325201</v>
      </c>
      <c r="I253">
        <v>-0.547277467934102</v>
      </c>
    </row>
    <row r="254" spans="1:9">
      <c r="A254" s="1" t="s">
        <v>266</v>
      </c>
      <c r="B254">
        <f>HYPERLINK("https://www.suredividend.com/sure-analysis-research-database/","Premier Financial Corp")</f>
        <v>0</v>
      </c>
      <c r="C254">
        <v>0</v>
      </c>
      <c r="D254">
        <v>0.067287708840211</v>
      </c>
      <c r="E254">
        <v>0.122160645728857</v>
      </c>
      <c r="F254">
        <v>0.026325546903967</v>
      </c>
      <c r="G254">
        <v>-0.052074272446456</v>
      </c>
      <c r="H254">
        <v>0.188436784866322</v>
      </c>
      <c r="I254">
        <v>0.106912202827264</v>
      </c>
    </row>
    <row r="255" spans="1:9">
      <c r="A255" s="1" t="s">
        <v>267</v>
      </c>
      <c r="B255">
        <f>HYPERLINK("https://www.suredividend.com/sure-analysis-PFE/","Pfizer Inc.")</f>
        <v>0</v>
      </c>
      <c r="C255">
        <v>-0.08531441717791301</v>
      </c>
      <c r="D255">
        <v>0.144871474918891</v>
      </c>
      <c r="E255">
        <v>-0.06817316237146101</v>
      </c>
      <c r="F255">
        <v>-0.068891491022638</v>
      </c>
      <c r="G255">
        <v>-0.130460139862688</v>
      </c>
      <c r="H255">
        <v>0.376729207666514</v>
      </c>
      <c r="I255">
        <v>0.566229067977164</v>
      </c>
    </row>
    <row r="256" spans="1:9">
      <c r="A256" s="1" t="s">
        <v>268</v>
      </c>
      <c r="B256">
        <f>HYPERLINK("https://www.suredividend.com/sure-analysis-PFG/","Principal Financial Group Inc")</f>
        <v>0</v>
      </c>
      <c r="C256">
        <v>-0.021158745984269</v>
      </c>
      <c r="D256">
        <v>0.170357478247854</v>
      </c>
      <c r="E256">
        <v>0.365675125114759</v>
      </c>
      <c r="F256">
        <v>0.052907530981887</v>
      </c>
      <c r="G256">
        <v>0.195276789905349</v>
      </c>
      <c r="H256">
        <v>0.80643947834869</v>
      </c>
      <c r="I256">
        <v>0.45554940565615</v>
      </c>
    </row>
    <row r="257" spans="1:9">
      <c r="A257" s="1" t="s">
        <v>269</v>
      </c>
      <c r="B257">
        <f>HYPERLINK("https://www.suredividend.com/sure-analysis-PG/","Procter &amp; Gamble Co.")</f>
        <v>0</v>
      </c>
      <c r="C257">
        <v>-0.017446054961631</v>
      </c>
      <c r="D257">
        <v>0.212517067588053</v>
      </c>
      <c r="E257">
        <v>0.049072739024511</v>
      </c>
      <c r="F257">
        <v>-0.011546582211665</v>
      </c>
      <c r="G257">
        <v>-0.034464356840215</v>
      </c>
      <c r="H257">
        <v>0.148416395041134</v>
      </c>
      <c r="I257">
        <v>0.915596621205185</v>
      </c>
    </row>
    <row r="258" spans="1:9">
      <c r="A258" s="1" t="s">
        <v>270</v>
      </c>
      <c r="B258">
        <f>HYPERLINK("https://www.suredividend.com/sure-analysis-PII/","Polaris Inc")</f>
        <v>0</v>
      </c>
      <c r="C258">
        <v>-0.010148537687978</v>
      </c>
      <c r="D258">
        <v>0.077393809579757</v>
      </c>
      <c r="E258">
        <v>-0.012530890047537</v>
      </c>
      <c r="F258">
        <v>0.06227722772277201</v>
      </c>
      <c r="G258">
        <v>-0.067958499872733</v>
      </c>
      <c r="H258">
        <v>0.010252238204464</v>
      </c>
      <c r="I258">
        <v>-0.08099635105271201</v>
      </c>
    </row>
    <row r="259" spans="1:9">
      <c r="A259" s="1" t="s">
        <v>271</v>
      </c>
      <c r="B259">
        <f>HYPERLINK("https://www.suredividend.com/sure-analysis-PKG/","Packaging Corp Of America")</f>
        <v>0</v>
      </c>
      <c r="C259">
        <v>0.0009570082449940001</v>
      </c>
      <c r="D259">
        <v>0.209137045906657</v>
      </c>
      <c r="E259">
        <v>0.004705423355096001</v>
      </c>
      <c r="F259">
        <v>0.063013056055038</v>
      </c>
      <c r="G259">
        <v>0.051784754265115</v>
      </c>
      <c r="H259">
        <v>-0.015324496817565</v>
      </c>
      <c r="I259">
        <v>0.2365338130203</v>
      </c>
    </row>
    <row r="260" spans="1:9">
      <c r="A260" s="1" t="s">
        <v>272</v>
      </c>
      <c r="B260">
        <f>HYPERLINK("https://www.suredividend.com/sure-analysis-research-database/","Douglas Dynamics Inc")</f>
        <v>0</v>
      </c>
      <c r="C260">
        <v>0.050608897199914</v>
      </c>
      <c r="D260">
        <v>0.31370412980252</v>
      </c>
      <c r="E260">
        <v>0.363393020667502</v>
      </c>
      <c r="F260">
        <v>0.07051991150442401</v>
      </c>
      <c r="G260">
        <v>0.04766312393603001</v>
      </c>
      <c r="H260">
        <v>-0.09016765265134601</v>
      </c>
      <c r="I260">
        <v>0.107027954529205</v>
      </c>
    </row>
    <row r="261" spans="1:9">
      <c r="A261" s="1" t="s">
        <v>273</v>
      </c>
      <c r="B261">
        <f>HYPERLINK("https://www.suredividend.com/sure-analysis-PM/","Philip Morris International Inc")</f>
        <v>0</v>
      </c>
      <c r="C261">
        <v>0.001294062022191</v>
      </c>
      <c r="D261">
        <v>0.199169187593611</v>
      </c>
      <c r="E261">
        <v>0.110598972389397</v>
      </c>
      <c r="F261">
        <v>0.002272502717122</v>
      </c>
      <c r="G261">
        <v>0.053906748369374</v>
      </c>
      <c r="H261">
        <v>0.38799379890783</v>
      </c>
      <c r="I261">
        <v>0.283261183626275</v>
      </c>
    </row>
    <row r="262" spans="1:9">
      <c r="A262" s="1" t="s">
        <v>274</v>
      </c>
      <c r="B262">
        <f>HYPERLINK("https://www.suredividend.com/sure-analysis-PNC/","PNC Financial Services Group Inc")</f>
        <v>0</v>
      </c>
      <c r="C262">
        <v>0.077345245692405</v>
      </c>
      <c r="D262">
        <v>0.166792916028508</v>
      </c>
      <c r="E262">
        <v>0.085312980554112</v>
      </c>
      <c r="F262">
        <v>0.06888691908319601</v>
      </c>
      <c r="G262">
        <v>-0.22428793887672</v>
      </c>
      <c r="H262">
        <v>0.107760227195178</v>
      </c>
      <c r="I262">
        <v>0.293147360736945</v>
      </c>
    </row>
    <row r="263" spans="1:9">
      <c r="A263" s="1" t="s">
        <v>275</v>
      </c>
      <c r="B263">
        <f>HYPERLINK("https://www.suredividend.com/sure-analysis-PNW/","Pinnacle West Capital Corp.")</f>
        <v>0</v>
      </c>
      <c r="C263">
        <v>-0.03556511833945</v>
      </c>
      <c r="D263">
        <v>0.291455378691325</v>
      </c>
      <c r="E263">
        <v>0.09969087429754001</v>
      </c>
      <c r="F263">
        <v>0.002104155707522</v>
      </c>
      <c r="G263">
        <v>0.139532970935927</v>
      </c>
      <c r="H263">
        <v>0.09262506757212101</v>
      </c>
      <c r="I263">
        <v>0.171046565237436</v>
      </c>
    </row>
    <row r="264" spans="1:9">
      <c r="A264" s="1" t="s">
        <v>276</v>
      </c>
      <c r="B264">
        <f>HYPERLINK("https://www.suredividend.com/sure-analysis-POOL/","Pool Corporation")</f>
        <v>0</v>
      </c>
      <c r="C264">
        <v>0.047324232906499</v>
      </c>
      <c r="D264">
        <v>0.097125278046073</v>
      </c>
      <c r="E264">
        <v>-0.06656086666993201</v>
      </c>
      <c r="F264">
        <v>0.147057850692951</v>
      </c>
      <c r="G264">
        <v>-0.316762305627259</v>
      </c>
      <c r="H264">
        <v>-0.083735223549423</v>
      </c>
      <c r="I264">
        <v>1.774872754652727</v>
      </c>
    </row>
    <row r="265" spans="1:9">
      <c r="A265" s="1" t="s">
        <v>277</v>
      </c>
      <c r="B265">
        <f>HYPERLINK("https://www.suredividend.com/sure-analysis-POR/","Portland General Electric Co")</f>
        <v>0</v>
      </c>
      <c r="C265">
        <v>0.021770574490969</v>
      </c>
      <c r="D265">
        <v>0.186735555879952</v>
      </c>
      <c r="E265">
        <v>0.03973598799030401</v>
      </c>
      <c r="F265">
        <v>0.01204081632653</v>
      </c>
      <c r="G265">
        <v>-0.021061296684163</v>
      </c>
      <c r="H265">
        <v>0.263668077537592</v>
      </c>
      <c r="I265">
        <v>0.3816988292199071</v>
      </c>
    </row>
    <row r="266" spans="1:9">
      <c r="A266" s="1" t="s">
        <v>278</v>
      </c>
      <c r="B266">
        <f>HYPERLINK("https://www.suredividend.com/sure-analysis-PPG/","PPG Industries, Inc.")</f>
        <v>0</v>
      </c>
      <c r="C266">
        <v>-0.005290205562273001</v>
      </c>
      <c r="D266">
        <v>0.206349788279288</v>
      </c>
      <c r="E266">
        <v>0.145971642382318</v>
      </c>
      <c r="F266">
        <v>0.04676316208048301</v>
      </c>
      <c r="G266">
        <v>-0.203910648315038</v>
      </c>
      <c r="H266">
        <v>-0.100878286572674</v>
      </c>
      <c r="I266">
        <v>0.213104328631271</v>
      </c>
    </row>
    <row r="267" spans="1:9">
      <c r="A267" s="1" t="s">
        <v>279</v>
      </c>
      <c r="B267">
        <f>HYPERLINK("https://www.suredividend.com/sure-analysis-PRGO/","Perrigo Company plc")</f>
        <v>0</v>
      </c>
      <c r="C267">
        <v>0.14483191957273</v>
      </c>
      <c r="D267">
        <v>-0.032490169579727</v>
      </c>
      <c r="E267">
        <v>-0.115413745557648</v>
      </c>
      <c r="F267">
        <v>0.068935171604575</v>
      </c>
      <c r="G267">
        <v>-0.06889035954016801</v>
      </c>
      <c r="H267">
        <v>-0.159233435006714</v>
      </c>
      <c r="I267">
        <v>-0.5626048776037851</v>
      </c>
    </row>
    <row r="268" spans="1:9">
      <c r="A268" s="1" t="s">
        <v>280</v>
      </c>
      <c r="B268">
        <f>HYPERLINK("https://www.suredividend.com/sure-analysis-PRI/","Primerica Inc")</f>
        <v>0</v>
      </c>
      <c r="C268">
        <v>0.051129523404858</v>
      </c>
      <c r="D268">
        <v>0.158559430516094</v>
      </c>
      <c r="E268">
        <v>0.244521731547867</v>
      </c>
      <c r="F268">
        <v>0.046608376815681</v>
      </c>
      <c r="G268">
        <v>-0.027022208121411</v>
      </c>
      <c r="H268">
        <v>0.112670333838581</v>
      </c>
      <c r="I268">
        <v>0.5155846993642771</v>
      </c>
    </row>
    <row r="269" spans="1:9">
      <c r="A269" s="1" t="s">
        <v>281</v>
      </c>
      <c r="B269">
        <f>HYPERLINK("https://www.suredividend.com/sure-analysis-PRU/","Prudential Financial Inc.")</f>
        <v>0</v>
      </c>
      <c r="C269">
        <v>-0.028861154446177</v>
      </c>
      <c r="D269">
        <v>0.116822304152425</v>
      </c>
      <c r="E269">
        <v>0.06132904823506</v>
      </c>
      <c r="F269">
        <v>0.001407601045646</v>
      </c>
      <c r="G269">
        <v>-0.09894995101218801</v>
      </c>
      <c r="H269">
        <v>0.327260273607509</v>
      </c>
      <c r="I269">
        <v>-0.014656490060001</v>
      </c>
    </row>
    <row r="270" spans="1:9">
      <c r="A270" s="1" t="s">
        <v>282</v>
      </c>
      <c r="B270">
        <f>HYPERLINK("https://www.suredividend.com/sure-analysis-QCOM/","Qualcomm, Inc.")</f>
        <v>0</v>
      </c>
      <c r="C270">
        <v>0.00313505486346</v>
      </c>
      <c r="D270">
        <v>0.12633705629462</v>
      </c>
      <c r="E270">
        <v>-0.074449743283309</v>
      </c>
      <c r="F270">
        <v>0.105966891031471</v>
      </c>
      <c r="G270">
        <v>-0.3336785775936471</v>
      </c>
      <c r="H270">
        <v>-0.180931376478536</v>
      </c>
      <c r="I270">
        <v>1.075467189217607</v>
      </c>
    </row>
    <row r="271" spans="1:9">
      <c r="A271" s="1" t="s">
        <v>283</v>
      </c>
      <c r="B271">
        <f>HYPERLINK("https://www.suredividend.com/sure-analysis-R/","Ryder System, Inc.")</f>
        <v>0</v>
      </c>
      <c r="C271">
        <v>0.059629803186504</v>
      </c>
      <c r="D271">
        <v>0.146438688661727</v>
      </c>
      <c r="E271">
        <v>0.279532153815467</v>
      </c>
      <c r="F271">
        <v>0.08232619361014701</v>
      </c>
      <c r="G271">
        <v>0.166117235715547</v>
      </c>
      <c r="H271">
        <v>0.4045074674144951</v>
      </c>
      <c r="I271">
        <v>0.211261720915657</v>
      </c>
    </row>
    <row r="272" spans="1:9">
      <c r="A272" s="1" t="s">
        <v>284</v>
      </c>
      <c r="B272">
        <f>HYPERLINK("https://www.suredividend.com/sure-analysis-RBCAA/","Republic Bancorp, Inc. (KY)")</f>
        <v>0</v>
      </c>
      <c r="C272">
        <v>0.037089077349161</v>
      </c>
      <c r="D272">
        <v>0.131493049399839</v>
      </c>
      <c r="E272">
        <v>-0.09888211550919301</v>
      </c>
      <c r="F272">
        <v>0.06060606060606</v>
      </c>
      <c r="G272">
        <v>-0.129800134740624</v>
      </c>
      <c r="H272">
        <v>0.180072544551817</v>
      </c>
      <c r="I272">
        <v>0.24781129873005</v>
      </c>
    </row>
    <row r="273" spans="1:9">
      <c r="A273" s="1" t="s">
        <v>285</v>
      </c>
      <c r="B273">
        <f>HYPERLINK("https://www.suredividend.com/sure-analysis-RGA/","Reinsurance Group Of America, Inc.")</f>
        <v>0</v>
      </c>
      <c r="C273">
        <v>0.020793414236037</v>
      </c>
      <c r="D273">
        <v>0.112155776034837</v>
      </c>
      <c r="E273">
        <v>0.239452931120057</v>
      </c>
      <c r="F273">
        <v>0.01231613765923</v>
      </c>
      <c r="G273">
        <v>0.290287856905784</v>
      </c>
      <c r="H273">
        <v>0.301368499716818</v>
      </c>
      <c r="I273">
        <v>-0.02316784548884</v>
      </c>
    </row>
    <row r="274" spans="1:9">
      <c r="A274" s="1" t="s">
        <v>286</v>
      </c>
      <c r="B274">
        <f>HYPERLINK("https://www.suredividend.com/sure-analysis-RGLD/","Royal Gold, Inc.")</f>
        <v>0</v>
      </c>
      <c r="C274">
        <v>0.166896155630333</v>
      </c>
      <c r="D274">
        <v>0.34838917587449</v>
      </c>
      <c r="E274">
        <v>0.212714853222092</v>
      </c>
      <c r="F274">
        <v>0.128283261573402</v>
      </c>
      <c r="G274">
        <v>0.253902993127171</v>
      </c>
      <c r="H274">
        <v>0.207729928801281</v>
      </c>
      <c r="I274">
        <v>0.563899312417197</v>
      </c>
    </row>
    <row r="275" spans="1:9">
      <c r="A275" s="1" t="s">
        <v>287</v>
      </c>
      <c r="B275">
        <f>HYPERLINK("https://www.suredividend.com/sure-analysis-RHI/","Robert Half International Inc.")</f>
        <v>0</v>
      </c>
      <c r="C275">
        <v>0.015616657768286</v>
      </c>
      <c r="D275">
        <v>-0.04711335080730401</v>
      </c>
      <c r="E275">
        <v>-0.001586387249067</v>
      </c>
      <c r="F275">
        <v>0.030610862792902</v>
      </c>
      <c r="G275">
        <v>-0.301315095964725</v>
      </c>
      <c r="H275">
        <v>0.224301967668387</v>
      </c>
      <c r="I275">
        <v>0.489802031957614</v>
      </c>
    </row>
    <row r="276" spans="1:9">
      <c r="A276" s="1" t="s">
        <v>288</v>
      </c>
      <c r="B276">
        <f>HYPERLINK("https://www.suredividend.com/sure-analysis-RJF/","Raymond James Financial, Inc.")</f>
        <v>0</v>
      </c>
      <c r="C276">
        <v>-0.002667031149241</v>
      </c>
      <c r="D276">
        <v>0.106131484177159</v>
      </c>
      <c r="E276">
        <v>0.278955712380466</v>
      </c>
      <c r="F276">
        <v>0.065325222274216</v>
      </c>
      <c r="G276">
        <v>0.053774629424594</v>
      </c>
      <c r="H276">
        <v>0.6936719784552661</v>
      </c>
      <c r="I276">
        <v>0.9063297583719071</v>
      </c>
    </row>
    <row r="277" spans="1:9">
      <c r="A277" s="1" t="s">
        <v>289</v>
      </c>
      <c r="B277">
        <f>HYPERLINK("https://www.suredividend.com/sure-analysis-RLI/","RLI Corp.")</f>
        <v>0</v>
      </c>
      <c r="C277">
        <v>0.061619855286703</v>
      </c>
      <c r="D277">
        <v>0.288106280804337</v>
      </c>
      <c r="E277">
        <v>0.194853504567939</v>
      </c>
      <c r="F277">
        <v>0.039460653614687</v>
      </c>
      <c r="G277">
        <v>0.263130026021681</v>
      </c>
      <c r="H277">
        <v>0.34506250178668</v>
      </c>
      <c r="I277">
        <v>1.488247157982267</v>
      </c>
    </row>
    <row r="278" spans="1:9">
      <c r="A278" s="1" t="s">
        <v>290</v>
      </c>
      <c r="B278">
        <f>HYPERLINK("https://www.suredividend.com/sure-analysis-RNR/","RenaissanceRe Holdings Ltd")</f>
        <v>0</v>
      </c>
      <c r="C278">
        <v>0.06000254179018</v>
      </c>
      <c r="D278">
        <v>0.492334172135704</v>
      </c>
      <c r="E278">
        <v>0.341544222774564</v>
      </c>
      <c r="F278">
        <v>0.05938229387179</v>
      </c>
      <c r="G278">
        <v>0.165363094466839</v>
      </c>
      <c r="H278">
        <v>0.183268724528832</v>
      </c>
      <c r="I278">
        <v>0.6944061244138771</v>
      </c>
    </row>
    <row r="279" spans="1:9">
      <c r="A279" s="1" t="s">
        <v>291</v>
      </c>
      <c r="B279">
        <f>HYPERLINK("https://www.suredividend.com/sure-analysis-ROK/","Rockwell Automation Inc")</f>
        <v>0</v>
      </c>
      <c r="C279">
        <v>0.06413310644734301</v>
      </c>
      <c r="D279">
        <v>0.26026560474925</v>
      </c>
      <c r="E279">
        <v>0.437252422404406</v>
      </c>
      <c r="F279">
        <v>0.09255736304693801</v>
      </c>
      <c r="G279">
        <v>-0.140583246549781</v>
      </c>
      <c r="H279">
        <v>0.101446938289851</v>
      </c>
      <c r="I279">
        <v>0.497653546609218</v>
      </c>
    </row>
    <row r="280" spans="1:9">
      <c r="A280" s="1" t="s">
        <v>292</v>
      </c>
      <c r="B280">
        <f>HYPERLINK("https://www.suredividend.com/sure-analysis-ROP/","Roper Technologies Inc")</f>
        <v>0</v>
      </c>
      <c r="C280">
        <v>0.027411062104372</v>
      </c>
      <c r="D280">
        <v>0.234971002553527</v>
      </c>
      <c r="E280">
        <v>0.157917426884377</v>
      </c>
      <c r="F280">
        <v>0.04593388941236101</v>
      </c>
      <c r="G280">
        <v>-0.022731249902539</v>
      </c>
      <c r="H280">
        <v>0.06121126201426701</v>
      </c>
      <c r="I280">
        <v>0.6840176377176951</v>
      </c>
    </row>
    <row r="281" spans="1:9">
      <c r="A281" s="1" t="s">
        <v>293</v>
      </c>
      <c r="B281">
        <f>HYPERLINK("https://www.suredividend.com/sure-analysis-RPM/","RPM International, Inc.")</f>
        <v>0</v>
      </c>
      <c r="C281">
        <v>-0.153719488570321</v>
      </c>
      <c r="D281">
        <v>-0.03718788776412001</v>
      </c>
      <c r="E281">
        <v>0.086270004674802</v>
      </c>
      <c r="F281">
        <v>-0.103437660338635</v>
      </c>
      <c r="G281">
        <v>-0.03276017057607</v>
      </c>
      <c r="H281">
        <v>0.015580683857649</v>
      </c>
      <c r="I281">
        <v>0.8055793787418191</v>
      </c>
    </row>
    <row r="282" spans="1:9">
      <c r="A282" s="1" t="s">
        <v>294</v>
      </c>
      <c r="B282">
        <f>HYPERLINK("https://www.suredividend.com/sure-analysis-research-database/","Regal Rexnord Corp")</f>
        <v>0</v>
      </c>
      <c r="C282">
        <v>0.080731483306966</v>
      </c>
      <c r="D282">
        <v>-0.09879083593582301</v>
      </c>
      <c r="E282">
        <v>0.210586369075779</v>
      </c>
      <c r="F282">
        <v>0.123937322887147</v>
      </c>
      <c r="G282">
        <v>-0.191536099396994</v>
      </c>
      <c r="H282">
        <v>0.007869378334806</v>
      </c>
      <c r="I282">
        <v>0.9048654940360831</v>
      </c>
    </row>
    <row r="283" spans="1:9">
      <c r="A283" s="1" t="s">
        <v>295</v>
      </c>
      <c r="B283">
        <f>HYPERLINK("https://www.suredividend.com/sure-analysis-RS/","Reliance Steel &amp; Aluminum Co.")</f>
        <v>0</v>
      </c>
      <c r="C283">
        <v>0.041375604513702</v>
      </c>
      <c r="D283">
        <v>0.180352920983129</v>
      </c>
      <c r="E283">
        <v>0.242319275704202</v>
      </c>
      <c r="F283">
        <v>0.053052756372258</v>
      </c>
      <c r="G283">
        <v>0.29434158158851</v>
      </c>
      <c r="H283">
        <v>0.6337422414869981</v>
      </c>
      <c r="I283">
        <v>1.61930183896663</v>
      </c>
    </row>
    <row r="284" spans="1:9">
      <c r="A284" s="1" t="s">
        <v>296</v>
      </c>
      <c r="B284">
        <f>HYPERLINK("https://www.suredividend.com/sure-analysis-RSG/","Republic Services, Inc.")</f>
        <v>0</v>
      </c>
      <c r="C284">
        <v>-0.09561121626975301</v>
      </c>
      <c r="D284">
        <v>-0.036679933449876</v>
      </c>
      <c r="E284">
        <v>-0.032821459170895</v>
      </c>
      <c r="F284">
        <v>-0.044344522831227</v>
      </c>
      <c r="G284">
        <v>-0.051335034111766</v>
      </c>
      <c r="H284">
        <v>0.333016128770633</v>
      </c>
      <c r="I284">
        <v>0.968081539596325</v>
      </c>
    </row>
    <row r="285" spans="1:9">
      <c r="A285" s="1" t="s">
        <v>297</v>
      </c>
      <c r="B285">
        <f>HYPERLINK("https://www.suredividend.com/sure-analysis-RTX/","Raytheon Technologies Corporation")</f>
        <v>0</v>
      </c>
      <c r="C285">
        <v>0.011249497790277</v>
      </c>
      <c r="D285">
        <v>0.220271931079118</v>
      </c>
      <c r="E285">
        <v>0.077884314791896</v>
      </c>
      <c r="F285">
        <v>-0.002378121284185</v>
      </c>
      <c r="G285">
        <v>0.131419016110471</v>
      </c>
      <c r="H285">
        <v>0.4756448251299321</v>
      </c>
      <c r="I285">
        <v>-0.026122889594372</v>
      </c>
    </row>
    <row r="286" spans="1:9">
      <c r="A286" s="1" t="s">
        <v>298</v>
      </c>
      <c r="B286">
        <f>HYPERLINK("https://www.suredividend.com/sure-analysis-research-database/","Sandy Spring Bancorp")</f>
        <v>0</v>
      </c>
      <c r="C286">
        <v>0.016861960560159</v>
      </c>
      <c r="D286">
        <v>0.001410079960821</v>
      </c>
      <c r="E286">
        <v>-0.063459933826258</v>
      </c>
      <c r="F286">
        <v>0.009934714731762001</v>
      </c>
      <c r="G286">
        <v>-0.272080034370588</v>
      </c>
      <c r="H286">
        <v>0.031899559456034</v>
      </c>
      <c r="I286">
        <v>0.034401555963217</v>
      </c>
    </row>
    <row r="287" spans="1:9">
      <c r="A287" s="1" t="s">
        <v>299</v>
      </c>
      <c r="B287">
        <f>HYPERLINK("https://www.suredividend.com/sure-analysis-SBSI/","Southside Bancshares Inc")</f>
        <v>0</v>
      </c>
      <c r="C287">
        <v>0.045792787635947</v>
      </c>
      <c r="D287">
        <v>0.025232388813912</v>
      </c>
      <c r="E287">
        <v>-0.002650318938998</v>
      </c>
      <c r="F287">
        <v>0.015282022784106</v>
      </c>
      <c r="G287">
        <v>-0.133739358436084</v>
      </c>
      <c r="H287">
        <v>0.160689043972135</v>
      </c>
      <c r="I287">
        <v>0.214578935996941</v>
      </c>
    </row>
    <row r="288" spans="1:9">
      <c r="A288" s="1" t="s">
        <v>300</v>
      </c>
      <c r="B288">
        <f>HYPERLINK("https://www.suredividend.com/sure-analysis-SBUX/","Starbucks Corp.")</f>
        <v>0</v>
      </c>
      <c r="C288">
        <v>0.030671859785783</v>
      </c>
      <c r="D288">
        <v>0.232619884947714</v>
      </c>
      <c r="E288">
        <v>0.384873026048957</v>
      </c>
      <c r="F288">
        <v>0.06703629032258</v>
      </c>
      <c r="G288">
        <v>0.049351751431024</v>
      </c>
      <c r="H288">
        <v>0.07759059498067701</v>
      </c>
      <c r="I288">
        <v>0.9516089480855421</v>
      </c>
    </row>
    <row r="289" spans="1:9">
      <c r="A289" s="1" t="s">
        <v>301</v>
      </c>
      <c r="B289">
        <f>HYPERLINK("https://www.suredividend.com/sure-analysis-SCI/","Service Corp. International")</f>
        <v>0</v>
      </c>
      <c r="C289">
        <v>0.030814449057679</v>
      </c>
      <c r="D289">
        <v>0.168998481926722</v>
      </c>
      <c r="E289">
        <v>0.038268570912154</v>
      </c>
      <c r="F289">
        <v>0.030228521839745</v>
      </c>
      <c r="G289">
        <v>0.09838596015093301</v>
      </c>
      <c r="H289">
        <v>0.4679606208177131</v>
      </c>
      <c r="I289">
        <v>1.031555710203127</v>
      </c>
    </row>
    <row r="290" spans="1:9">
      <c r="A290" s="1" t="s">
        <v>302</v>
      </c>
      <c r="B290">
        <f>HYPERLINK("https://www.suredividend.com/sure-analysis-SCL/","Stepan Co.")</f>
        <v>0</v>
      </c>
      <c r="C290">
        <v>0.002326830141399</v>
      </c>
      <c r="D290">
        <v>0.206680701512445</v>
      </c>
      <c r="E290">
        <v>0.14419164392756</v>
      </c>
      <c r="F290">
        <v>0.05203832425324</v>
      </c>
      <c r="G290">
        <v>-0.06246416227406001</v>
      </c>
      <c r="H290">
        <v>-0.09712660542175401</v>
      </c>
      <c r="I290">
        <v>0.495796411424145</v>
      </c>
    </row>
    <row r="291" spans="1:9">
      <c r="A291" s="1" t="s">
        <v>303</v>
      </c>
      <c r="B291">
        <f>HYPERLINK("https://www.suredividend.com/sure-analysis-SEIC/","SEI Investments Co.")</f>
        <v>0</v>
      </c>
      <c r="C291">
        <v>0.015930436160258</v>
      </c>
      <c r="D291">
        <v>0.304425213801988</v>
      </c>
      <c r="E291">
        <v>0.164989014357978</v>
      </c>
      <c r="F291">
        <v>0.055917667238422</v>
      </c>
      <c r="G291">
        <v>-0.015378709723855</v>
      </c>
      <c r="H291">
        <v>0.032757677737998</v>
      </c>
      <c r="I291">
        <v>-0.144201254504203</v>
      </c>
    </row>
    <row r="292" spans="1:9">
      <c r="A292" s="1" t="s">
        <v>304</v>
      </c>
      <c r="B292">
        <f>HYPERLINK("https://www.suredividend.com/sure-analysis-research-database/","Simmons First National Corp.")</f>
        <v>0</v>
      </c>
      <c r="C292">
        <v>0.09616271030191201</v>
      </c>
      <c r="D292">
        <v>0.008369956493893001</v>
      </c>
      <c r="E292">
        <v>0.1148005273695</v>
      </c>
      <c r="F292">
        <v>0.057924003707136</v>
      </c>
      <c r="G292">
        <v>-0.247808166371786</v>
      </c>
      <c r="H292">
        <v>-0.08662097771163101</v>
      </c>
      <c r="I292">
        <v>-0.115099129828097</v>
      </c>
    </row>
    <row r="293" spans="1:9">
      <c r="A293" s="1" t="s">
        <v>305</v>
      </c>
      <c r="B293">
        <f>HYPERLINK("https://www.suredividend.com/sure-analysis-SHW/","Sherwin-Williams Co.")</f>
        <v>0</v>
      </c>
      <c r="C293">
        <v>-0.039940129194895</v>
      </c>
      <c r="D293">
        <v>0.212589156943582</v>
      </c>
      <c r="E293">
        <v>-0.006598089574089001</v>
      </c>
      <c r="F293">
        <v>0.027008806303459</v>
      </c>
      <c r="G293">
        <v>-0.234830980963383</v>
      </c>
      <c r="H293">
        <v>0.006630612324968001</v>
      </c>
      <c r="I293">
        <v>0.7652852818054081</v>
      </c>
    </row>
    <row r="294" spans="1:9">
      <c r="A294" s="1" t="s">
        <v>306</v>
      </c>
      <c r="B294">
        <f>HYPERLINK("https://www.suredividend.com/sure-analysis-SJM/","J.M. Smucker Co.")</f>
        <v>0</v>
      </c>
      <c r="C294">
        <v>-0.004038979356327001</v>
      </c>
      <c r="D294">
        <v>0.117520578995792</v>
      </c>
      <c r="E294">
        <v>0.192327352380893</v>
      </c>
      <c r="F294">
        <v>-0.019626404139846</v>
      </c>
      <c r="G294">
        <v>0.143031627431287</v>
      </c>
      <c r="H294">
        <v>0.490985941447009</v>
      </c>
      <c r="I294">
        <v>0.470861137832044</v>
      </c>
    </row>
    <row r="295" spans="1:9">
      <c r="A295" s="1" t="s">
        <v>307</v>
      </c>
      <c r="B295">
        <f>HYPERLINK("https://www.suredividend.com/sure-analysis-SJW/","SJW Group")</f>
        <v>0</v>
      </c>
      <c r="C295">
        <v>0.012909758258448</v>
      </c>
      <c r="D295">
        <v>0.325559631963825</v>
      </c>
      <c r="E295">
        <v>0.295558224844024</v>
      </c>
      <c r="F295">
        <v>-0.014287473826825</v>
      </c>
      <c r="G295">
        <v>0.192727684606018</v>
      </c>
      <c r="H295">
        <v>0.206233891509789</v>
      </c>
      <c r="I295">
        <v>0.5146697554346791</v>
      </c>
    </row>
    <row r="296" spans="1:9">
      <c r="A296" s="1" t="s">
        <v>308</v>
      </c>
      <c r="B296">
        <f>HYPERLINK("https://www.suredividend.com/sure-analysis-SLGN/","Silgan Holdings Inc.")</f>
        <v>0</v>
      </c>
      <c r="C296">
        <v>-0.000381024957134</v>
      </c>
      <c r="D296">
        <v>0.241009363743226</v>
      </c>
      <c r="E296">
        <v>0.325331332833208</v>
      </c>
      <c r="F296">
        <v>0.012152777777777</v>
      </c>
      <c r="G296">
        <v>0.250706159137877</v>
      </c>
      <c r="H296">
        <v>0.443319387022503</v>
      </c>
      <c r="I296">
        <v>0.894675265586746</v>
      </c>
    </row>
    <row r="297" spans="1:9">
      <c r="A297" s="1" t="s">
        <v>309</v>
      </c>
      <c r="B297">
        <f>HYPERLINK("https://www.suredividend.com/sure-analysis-research-database/","Southern Missouri Bancorp, Inc.")</f>
        <v>0</v>
      </c>
      <c r="C297">
        <v>-0.032866707242848</v>
      </c>
      <c r="D297">
        <v>-0.06152180332709901</v>
      </c>
      <c r="E297">
        <v>0.057425268182745</v>
      </c>
      <c r="F297">
        <v>0.040148374427231</v>
      </c>
      <c r="G297">
        <v>-0.12212046488758</v>
      </c>
      <c r="H297">
        <v>0.506613359460185</v>
      </c>
      <c r="I297">
        <v>0.366258823934034</v>
      </c>
    </row>
    <row r="298" spans="1:9">
      <c r="A298" s="1" t="s">
        <v>310</v>
      </c>
      <c r="B298">
        <f>HYPERLINK("https://www.suredividend.com/sure-analysis-SMG/","Scotts Miracle-Gro Company")</f>
        <v>0</v>
      </c>
      <c r="C298">
        <v>0.143802296166569</v>
      </c>
      <c r="D298">
        <v>0.431912302070645</v>
      </c>
      <c r="E298">
        <v>-0.268594352323998</v>
      </c>
      <c r="F298">
        <v>0.209713932908005</v>
      </c>
      <c r="G298">
        <v>-0.6301202203672991</v>
      </c>
      <c r="H298">
        <v>-0.7319309952620461</v>
      </c>
      <c r="I298">
        <v>-0.408605504254861</v>
      </c>
    </row>
    <row r="299" spans="1:9">
      <c r="A299" s="1" t="s">
        <v>311</v>
      </c>
      <c r="B299">
        <f>HYPERLINK("https://www.suredividend.com/sure-analysis-SNA/","Snap-on, Inc.")</f>
        <v>0</v>
      </c>
      <c r="C299">
        <v>0.053292600135777</v>
      </c>
      <c r="D299">
        <v>0.202983033500247</v>
      </c>
      <c r="E299">
        <v>0.26032287904373</v>
      </c>
      <c r="F299">
        <v>0.086437043196638</v>
      </c>
      <c r="G299">
        <v>0.156772927860128</v>
      </c>
      <c r="H299">
        <v>0.48726947892246</v>
      </c>
      <c r="I299">
        <v>0.522125825552754</v>
      </c>
    </row>
    <row r="300" spans="1:9">
      <c r="A300" s="1" t="s">
        <v>312</v>
      </c>
      <c r="B300">
        <f>HYPERLINK("https://www.suredividend.com/sure-analysis-SO/","Southern Company")</f>
        <v>0</v>
      </c>
      <c r="C300">
        <v>-0.009714205265380001</v>
      </c>
      <c r="D300">
        <v>0.155847100851521</v>
      </c>
      <c r="E300">
        <v>-0.00374339806499</v>
      </c>
      <c r="F300">
        <v>-0.014983895812911</v>
      </c>
      <c r="G300">
        <v>0.07877975501239901</v>
      </c>
      <c r="H300">
        <v>0.295403105357856</v>
      </c>
      <c r="I300">
        <v>0.953883461434829</v>
      </c>
    </row>
    <row r="301" spans="1:9">
      <c r="A301" s="1" t="s">
        <v>313</v>
      </c>
      <c r="B301">
        <f>HYPERLINK("https://www.suredividend.com/sure-analysis-SON/","Sonoco Products Co.")</f>
        <v>0</v>
      </c>
      <c r="C301">
        <v>0.011745244003308</v>
      </c>
      <c r="D301">
        <v>0.053788711572722</v>
      </c>
      <c r="E301">
        <v>0.078623467643941</v>
      </c>
      <c r="F301">
        <v>0.007412287926206001</v>
      </c>
      <c r="G301">
        <v>0.07542953000072</v>
      </c>
      <c r="H301">
        <v>0.04671003427992401</v>
      </c>
      <c r="I301">
        <v>0.305217240989284</v>
      </c>
    </row>
    <row r="302" spans="1:9">
      <c r="A302" s="1" t="s">
        <v>314</v>
      </c>
      <c r="B302">
        <f>HYPERLINK("https://www.suredividend.com/sure-analysis-SPGI/","S&amp;P Global Inc")</f>
        <v>0</v>
      </c>
      <c r="C302">
        <v>0.059275900803594</v>
      </c>
      <c r="D302">
        <v>0.263076553216333</v>
      </c>
      <c r="E302">
        <v>0.065175338165727</v>
      </c>
      <c r="F302">
        <v>0.09801755538305301</v>
      </c>
      <c r="G302">
        <v>-0.173319834434689</v>
      </c>
      <c r="H302">
        <v>0.1812681456528</v>
      </c>
      <c r="I302">
        <v>1.151030069501836</v>
      </c>
    </row>
    <row r="303" spans="1:9">
      <c r="A303" s="1" t="s">
        <v>315</v>
      </c>
      <c r="B303">
        <f>HYPERLINK("https://www.suredividend.com/sure-analysis-SPTN/","SpartanNash Co")</f>
        <v>0</v>
      </c>
      <c r="C303">
        <v>-0.027655562539283</v>
      </c>
      <c r="D303">
        <v>-0.022154799152997</v>
      </c>
      <c r="E303">
        <v>0.029624157232327</v>
      </c>
      <c r="F303">
        <v>0.023148148148148</v>
      </c>
      <c r="G303">
        <v>0.264317558649378</v>
      </c>
      <c r="H303">
        <v>0.909817598222276</v>
      </c>
      <c r="I303">
        <v>0.498566336019838</v>
      </c>
    </row>
    <row r="304" spans="1:9">
      <c r="A304" s="1" t="s">
        <v>316</v>
      </c>
      <c r="B304">
        <f>HYPERLINK("https://www.suredividend.com/sure-analysis-SR/","Spire Inc.")</f>
        <v>0</v>
      </c>
      <c r="C304">
        <v>0.06445483776673401</v>
      </c>
      <c r="D304">
        <v>0.169369988471678</v>
      </c>
      <c r="E304">
        <v>0.05630023698950801</v>
      </c>
      <c r="F304">
        <v>0.057653209410397</v>
      </c>
      <c r="G304">
        <v>0.166990341043833</v>
      </c>
      <c r="H304">
        <v>0.290575238959317</v>
      </c>
      <c r="I304">
        <v>0.261252212343404</v>
      </c>
    </row>
    <row r="305" spans="1:9">
      <c r="A305" s="1" t="s">
        <v>317</v>
      </c>
      <c r="B305">
        <f>HYPERLINK("https://www.suredividend.com/sure-analysis-SRCE/","1st Source Corp.")</f>
        <v>0</v>
      </c>
      <c r="C305">
        <v>-0.013993739642791</v>
      </c>
      <c r="D305">
        <v>0.120571857847455</v>
      </c>
      <c r="E305">
        <v>0.212600172549268</v>
      </c>
      <c r="F305">
        <v>0.008664531926916</v>
      </c>
      <c r="G305">
        <v>0.06715185042735801</v>
      </c>
      <c r="H305">
        <v>0.305527586736522</v>
      </c>
      <c r="I305">
        <v>0.162270801500208</v>
      </c>
    </row>
    <row r="306" spans="1:9">
      <c r="A306" s="1" t="s">
        <v>318</v>
      </c>
      <c r="B306">
        <f>HYPERLINK("https://www.suredividend.com/sure-analysis-SRE/","Sempra Energy")</f>
        <v>0</v>
      </c>
      <c r="C306">
        <v>-0.020625708985924</v>
      </c>
      <c r="D306">
        <v>0.15220933795754</v>
      </c>
      <c r="E306">
        <v>0.111610747665811</v>
      </c>
      <c r="F306">
        <v>0.041348518182994</v>
      </c>
      <c r="G306">
        <v>0.216501422640699</v>
      </c>
      <c r="H306">
        <v>0.440707023413167</v>
      </c>
      <c r="I306">
        <v>0.7516057020517941</v>
      </c>
    </row>
    <row r="307" spans="1:9">
      <c r="A307" s="1" t="s">
        <v>319</v>
      </c>
      <c r="B307">
        <f>HYPERLINK("https://www.suredividend.com/sure-analysis-research-database/","SouthState Corporation")</f>
        <v>0</v>
      </c>
      <c r="C307">
        <v>0.025878234779347</v>
      </c>
      <c r="D307">
        <v>0.006548823014960001</v>
      </c>
      <c r="E307">
        <v>0.105256636119237</v>
      </c>
      <c r="F307">
        <v>0.07464641173389201</v>
      </c>
      <c r="G307">
        <v>-0.068200966999825</v>
      </c>
      <c r="H307">
        <v>0.07507723105382701</v>
      </c>
      <c r="I307">
        <v>0.015077726552459</v>
      </c>
    </row>
    <row r="308" spans="1:9">
      <c r="A308" s="1" t="s">
        <v>320</v>
      </c>
      <c r="B308">
        <f>HYPERLINK("https://www.suredividend.com/sure-analysis-STAG/","STAG Industrial Inc")</f>
        <v>0</v>
      </c>
      <c r="C308">
        <v>0.064831103533097</v>
      </c>
      <c r="D308">
        <v>0.288662607676658</v>
      </c>
      <c r="E308">
        <v>0.21287891762288</v>
      </c>
      <c r="F308">
        <v>0.095945527700402</v>
      </c>
      <c r="G308">
        <v>-0.167452347756165</v>
      </c>
      <c r="H308">
        <v>0.27033668765359</v>
      </c>
      <c r="I308">
        <v>0.7382468300680861</v>
      </c>
    </row>
    <row r="309" spans="1:9">
      <c r="A309" s="1" t="s">
        <v>321</v>
      </c>
      <c r="B309">
        <f>HYPERLINK("https://www.suredividend.com/sure-analysis-research-database/","Steris Plc")</f>
        <v>0</v>
      </c>
      <c r="C309">
        <v>0.027980285450251</v>
      </c>
      <c r="D309">
        <v>0.237434383161548</v>
      </c>
      <c r="E309">
        <v>-0.034344129986163</v>
      </c>
      <c r="F309">
        <v>0.084140993015322</v>
      </c>
      <c r="G309">
        <v>-0.165940827327715</v>
      </c>
      <c r="H309">
        <v>0.05815100755021801</v>
      </c>
      <c r="I309">
        <v>1.287728438647906</v>
      </c>
    </row>
    <row r="310" spans="1:9">
      <c r="A310" s="1" t="s">
        <v>322</v>
      </c>
      <c r="B310">
        <f>HYPERLINK("https://www.suredividend.com/sure-analysis-STT/","State Street Corp.")</f>
        <v>0</v>
      </c>
      <c r="C310">
        <v>0.034609229965358</v>
      </c>
      <c r="D310">
        <v>0.380282256577999</v>
      </c>
      <c r="E310">
        <v>0.345319311220031</v>
      </c>
      <c r="F310">
        <v>0.06187959262601501</v>
      </c>
      <c r="G310">
        <v>-0.175707333572838</v>
      </c>
      <c r="H310">
        <v>0.086069383444331</v>
      </c>
      <c r="I310">
        <v>-0.111475950953731</v>
      </c>
    </row>
    <row r="311" spans="1:9">
      <c r="A311" s="1" t="s">
        <v>323</v>
      </c>
      <c r="B311">
        <f>HYPERLINK("https://www.suredividend.com/sure-analysis-SWK/","Stanley Black &amp; Decker Inc")</f>
        <v>0</v>
      </c>
      <c r="C311">
        <v>0.074747726423321</v>
      </c>
      <c r="D311">
        <v>0.150763796626809</v>
      </c>
      <c r="E311">
        <v>-0.180292821789939</v>
      </c>
      <c r="F311">
        <v>0.1484291799787</v>
      </c>
      <c r="G311">
        <v>-0.5389439266671261</v>
      </c>
      <c r="H311">
        <v>-0.487891516344494</v>
      </c>
      <c r="I311">
        <v>-0.4486874133681321</v>
      </c>
    </row>
    <row r="312" spans="1:9">
      <c r="A312" s="1" t="s">
        <v>324</v>
      </c>
      <c r="B312">
        <f>HYPERLINK("https://www.suredividend.com/sure-analysis-SWX/","Southwest Gas Holdings Inc")</f>
        <v>0</v>
      </c>
      <c r="C312">
        <v>-0.068493150684931</v>
      </c>
      <c r="D312">
        <v>0.001453189126478</v>
      </c>
      <c r="E312">
        <v>-0.204964912992333</v>
      </c>
      <c r="F312">
        <v>0.07692307692307601</v>
      </c>
      <c r="G312">
        <v>0.036338726006285</v>
      </c>
      <c r="H312">
        <v>0.192700614963882</v>
      </c>
      <c r="I312">
        <v>0.024855514442404</v>
      </c>
    </row>
    <row r="313" spans="1:9">
      <c r="A313" s="1" t="s">
        <v>325</v>
      </c>
      <c r="B313">
        <f>HYPERLINK("https://www.suredividend.com/sure-analysis-SXI/","Standex International Corp.")</f>
        <v>0</v>
      </c>
      <c r="C313">
        <v>0.05874330248416901</v>
      </c>
      <c r="D313">
        <v>0.318101826640744</v>
      </c>
      <c r="E313">
        <v>0.34090067859346</v>
      </c>
      <c r="F313">
        <v>0.06122448979591801</v>
      </c>
      <c r="G313">
        <v>0.024772566118009</v>
      </c>
      <c r="H313">
        <v>0.299174806432756</v>
      </c>
      <c r="I313">
        <v>0.09894443495063901</v>
      </c>
    </row>
    <row r="314" spans="1:9">
      <c r="A314" s="1" t="s">
        <v>326</v>
      </c>
      <c r="B314">
        <f>HYPERLINK("https://www.suredividend.com/sure-analysis-SXT/","Sensient Technologies Corp.")</f>
        <v>0</v>
      </c>
      <c r="C314">
        <v>0.055263512602776</v>
      </c>
      <c r="D314">
        <v>0.139124842495511</v>
      </c>
      <c r="E314">
        <v>-0.006453168524781</v>
      </c>
      <c r="F314">
        <v>0.073642347778387</v>
      </c>
      <c r="G314">
        <v>-0.155770983064737</v>
      </c>
      <c r="H314">
        <v>0.054422135187988</v>
      </c>
      <c r="I314">
        <v>0.212645965926956</v>
      </c>
    </row>
    <row r="315" spans="1:9">
      <c r="A315" s="1" t="s">
        <v>327</v>
      </c>
      <c r="B315">
        <f>HYPERLINK("https://www.suredividend.com/sure-analysis-research-database/","Stock Yards Bancorp Inc")</f>
        <v>0</v>
      </c>
      <c r="C315">
        <v>-0.130128032205183</v>
      </c>
      <c r="D315">
        <v>-0.087790052443367</v>
      </c>
      <c r="E315">
        <v>0.026216837267599</v>
      </c>
      <c r="F315">
        <v>-0.032317636195752</v>
      </c>
      <c r="G315">
        <v>0.01067412028115</v>
      </c>
      <c r="H315">
        <v>0.512989622257886</v>
      </c>
      <c r="I315">
        <v>0.8476022013733611</v>
      </c>
    </row>
    <row r="316" spans="1:9">
      <c r="A316" s="1" t="s">
        <v>328</v>
      </c>
      <c r="B316">
        <f>HYPERLINK("https://www.suredividend.com/sure-analysis-SYK/","Stryker Corp.")</f>
        <v>0</v>
      </c>
      <c r="C316">
        <v>0.032018541309123</v>
      </c>
      <c r="D316">
        <v>0.232437702641892</v>
      </c>
      <c r="E316">
        <v>0.318308677078399</v>
      </c>
      <c r="F316">
        <v>0.048509141478179</v>
      </c>
      <c r="G316">
        <v>-0.031488798366055</v>
      </c>
      <c r="H316">
        <v>0.09605007240728701</v>
      </c>
      <c r="I316">
        <v>0.7151493822518331</v>
      </c>
    </row>
    <row r="317" spans="1:9">
      <c r="A317" s="1" t="s">
        <v>329</v>
      </c>
      <c r="B317">
        <f>HYPERLINK("https://www.suredividend.com/sure-analysis-SYY/","Sysco Corp.")</f>
        <v>0</v>
      </c>
      <c r="C317">
        <v>-0.0284362484685</v>
      </c>
      <c r="D317">
        <v>0.10775066568568</v>
      </c>
      <c r="E317">
        <v>-0.05899210725965601</v>
      </c>
      <c r="F317">
        <v>0.056456231117079</v>
      </c>
      <c r="G317">
        <v>0.051657687715983</v>
      </c>
      <c r="H317">
        <v>0.07409876087148501</v>
      </c>
      <c r="I317">
        <v>0.4723960148982621</v>
      </c>
    </row>
    <row r="318" spans="1:9">
      <c r="A318" s="1" t="s">
        <v>330</v>
      </c>
      <c r="B318">
        <f>HYPERLINK("https://www.suredividend.com/sure-analysis-TDS/","Telephone And Data Systems, Inc.")</f>
        <v>0</v>
      </c>
      <c r="C318">
        <v>0.128619686407748</v>
      </c>
      <c r="D318">
        <v>-0.177604666880091</v>
      </c>
      <c r="E318">
        <v>-0.225989608441801</v>
      </c>
      <c r="F318">
        <v>0.102001906577693</v>
      </c>
      <c r="G318">
        <v>-0.397734732367069</v>
      </c>
      <c r="H318">
        <v>-0.344012983549252</v>
      </c>
      <c r="I318">
        <v>-0.499081360280098</v>
      </c>
    </row>
    <row r="319" spans="1:9">
      <c r="A319" s="1" t="s">
        <v>331</v>
      </c>
      <c r="B319">
        <f>HYPERLINK("https://www.suredividend.com/sure-analysis-TEL/","TE Connectivity Ltd")</f>
        <v>0</v>
      </c>
      <c r="C319">
        <v>0.002018082014852</v>
      </c>
      <c r="D319">
        <v>0.152997673198121</v>
      </c>
      <c r="E319">
        <v>0.107874270148888</v>
      </c>
      <c r="F319">
        <v>0.08127177700348401</v>
      </c>
      <c r="G319">
        <v>-0.214697611448346</v>
      </c>
      <c r="H319">
        <v>-0.012134046716915</v>
      </c>
      <c r="I319">
        <v>0.362371204172392</v>
      </c>
    </row>
    <row r="320" spans="1:9">
      <c r="A320" s="1" t="s">
        <v>332</v>
      </c>
      <c r="B320">
        <f>HYPERLINK("https://www.suredividend.com/sure-analysis-TFC/","Truist Financial Corporation")</f>
        <v>0</v>
      </c>
      <c r="C320">
        <v>0.08559595029912501</v>
      </c>
      <c r="D320">
        <v>0.134726528020626</v>
      </c>
      <c r="E320">
        <v>0.021621211957169</v>
      </c>
      <c r="F320">
        <v>0.09644434115733201</v>
      </c>
      <c r="G320">
        <v>-0.259916924968941</v>
      </c>
      <c r="H320">
        <v>-0.030301535527178</v>
      </c>
      <c r="I320">
        <v>-0.05754508272448901</v>
      </c>
    </row>
    <row r="321" spans="1:9">
      <c r="A321" s="1" t="s">
        <v>333</v>
      </c>
      <c r="B321">
        <f>HYPERLINK("https://www.suredividend.com/sure-analysis-TGT/","Target Corp")</f>
        <v>0</v>
      </c>
      <c r="C321">
        <v>0.06478704259148101</v>
      </c>
      <c r="D321">
        <v>0.042760695069357</v>
      </c>
      <c r="E321">
        <v>0.126334150733474</v>
      </c>
      <c r="F321">
        <v>0.07185990338164201</v>
      </c>
      <c r="G321">
        <v>-0.268487685865945</v>
      </c>
      <c r="H321">
        <v>-0.16692089268533</v>
      </c>
      <c r="I321">
        <v>1.296723772061487</v>
      </c>
    </row>
    <row r="322" spans="1:9">
      <c r="A322" s="1" t="s">
        <v>334</v>
      </c>
      <c r="B322">
        <f>HYPERLINK("https://www.suredividend.com/sure-analysis-THFF/","First Financial Corp. - Indiana")</f>
        <v>0</v>
      </c>
      <c r="C322">
        <v>-0.003444346835288</v>
      </c>
      <c r="D322">
        <v>-0.000196339361678</v>
      </c>
      <c r="E322">
        <v>0.042130922387054</v>
      </c>
      <c r="F322">
        <v>-0.001065849442772</v>
      </c>
      <c r="G322">
        <v>0.034135730596698</v>
      </c>
      <c r="H322">
        <v>0.16277004655647</v>
      </c>
      <c r="I322">
        <v>0.081676870571686</v>
      </c>
    </row>
    <row r="323" spans="1:9">
      <c r="A323" s="1" t="s">
        <v>335</v>
      </c>
      <c r="B323">
        <f>HYPERLINK("https://www.suredividend.com/sure-analysis-THG/","Hanover Insurance Group Inc")</f>
        <v>0</v>
      </c>
      <c r="C323">
        <v>-0.010629694490827</v>
      </c>
      <c r="D323">
        <v>0.015584640514092</v>
      </c>
      <c r="E323">
        <v>-0.04834790005554301</v>
      </c>
      <c r="F323">
        <v>0.006734255901724001</v>
      </c>
      <c r="G323">
        <v>0.027301573876757</v>
      </c>
      <c r="H323">
        <v>0.177790629621035</v>
      </c>
      <c r="I323">
        <v>0.423757195185766</v>
      </c>
    </row>
    <row r="324" spans="1:9">
      <c r="A324" s="1" t="s">
        <v>336</v>
      </c>
      <c r="B324">
        <f>HYPERLINK("https://www.suredividend.com/sure-analysis-THO/","Thor Industries, Inc.")</f>
        <v>0</v>
      </c>
      <c r="C324">
        <v>0.115271488602776</v>
      </c>
      <c r="D324">
        <v>0.189505252742701</v>
      </c>
      <c r="E324">
        <v>0.167236590891415</v>
      </c>
      <c r="F324">
        <v>0.232613591204132</v>
      </c>
      <c r="G324">
        <v>-0.077409369475486</v>
      </c>
      <c r="H324">
        <v>-0.06454019209850601</v>
      </c>
      <c r="I324">
        <v>-0.339533180206295</v>
      </c>
    </row>
    <row r="325" spans="1:9">
      <c r="A325" s="1" t="s">
        <v>337</v>
      </c>
      <c r="B325">
        <f>HYPERLINK("https://www.suredividend.com/sure-analysis-TMP/","Tompkins Financial Corp")</f>
        <v>0</v>
      </c>
      <c r="C325">
        <v>-0.03131262525050101</v>
      </c>
      <c r="D325">
        <v>0.041971203655925</v>
      </c>
      <c r="E325">
        <v>0.089361750077821</v>
      </c>
      <c r="F325">
        <v>-0.003093580819798</v>
      </c>
      <c r="G325">
        <v>-0.050942798872028</v>
      </c>
      <c r="H325">
        <v>0.05692701272576101</v>
      </c>
      <c r="I325">
        <v>0.06867043524760801</v>
      </c>
    </row>
    <row r="326" spans="1:9">
      <c r="A326" s="1" t="s">
        <v>338</v>
      </c>
      <c r="B326">
        <f>HYPERLINK("https://www.suredividend.com/sure-analysis-TNC/","Tennant Co.")</f>
        <v>0</v>
      </c>
      <c r="C326">
        <v>0.08416159025328601</v>
      </c>
      <c r="D326">
        <v>0.186135387453939</v>
      </c>
      <c r="E326">
        <v>0.162069421748894</v>
      </c>
      <c r="F326">
        <v>0.098424557414325</v>
      </c>
      <c r="G326">
        <v>-0.143630283299714</v>
      </c>
      <c r="H326">
        <v>-0.055407349469949</v>
      </c>
      <c r="I326">
        <v>-0.020374699796919</v>
      </c>
    </row>
    <row r="327" spans="1:9">
      <c r="A327" s="1" t="s">
        <v>339</v>
      </c>
      <c r="B327">
        <f>HYPERLINK("https://www.suredividend.com/sure-analysis-research-database/","Townebank Portsmouth VA")</f>
        <v>0</v>
      </c>
      <c r="C327">
        <v>-0.009866603520404001</v>
      </c>
      <c r="D327">
        <v>0.140210226260466</v>
      </c>
      <c r="E327">
        <v>0.151823230394029</v>
      </c>
      <c r="F327">
        <v>0.016861219195849</v>
      </c>
      <c r="G327">
        <v>-0.037836113054256</v>
      </c>
      <c r="H327">
        <v>0.273999203750497</v>
      </c>
      <c r="I327">
        <v>0.114305104981327</v>
      </c>
    </row>
    <row r="328" spans="1:9">
      <c r="A328" s="1" t="s">
        <v>340</v>
      </c>
      <c r="B328">
        <f>HYPERLINK("https://www.suredividend.com/sure-analysis-TR/","Tootsie Roll Industries, Inc.")</f>
        <v>0</v>
      </c>
      <c r="C328">
        <v>-0.005644830279946</v>
      </c>
      <c r="D328">
        <v>0.283139220320642</v>
      </c>
      <c r="E328">
        <v>0.286957912534844</v>
      </c>
      <c r="F328">
        <v>0.058491895701198</v>
      </c>
      <c r="G328">
        <v>0.322885687527706</v>
      </c>
      <c r="H328">
        <v>0.626597357591509</v>
      </c>
      <c r="I328">
        <v>0.450955389400877</v>
      </c>
    </row>
    <row r="329" spans="1:9">
      <c r="A329" s="1" t="s">
        <v>341</v>
      </c>
      <c r="B329">
        <f>HYPERLINK("https://www.suredividend.com/sure-analysis-TRN/","Trinity Industries, Inc.")</f>
        <v>0</v>
      </c>
      <c r="C329">
        <v>-0.068573572725974</v>
      </c>
      <c r="D329">
        <v>0.270886947696545</v>
      </c>
      <c r="E329">
        <v>0.309450450955128</v>
      </c>
      <c r="F329">
        <v>-0.042426807952807</v>
      </c>
      <c r="G329">
        <v>-0.0406878319545</v>
      </c>
      <c r="H329">
        <v>0.06293483697876401</v>
      </c>
      <c r="I329">
        <v>0.247942341059749</v>
      </c>
    </row>
    <row r="330" spans="1:9">
      <c r="A330" s="1" t="s">
        <v>342</v>
      </c>
      <c r="B330">
        <f>HYPERLINK("https://www.suredividend.com/sure-analysis-research-database/","Terreno Realty Corp")</f>
        <v>0</v>
      </c>
      <c r="C330">
        <v>0.09442101512989601</v>
      </c>
      <c r="D330">
        <v>0.197499001444065</v>
      </c>
      <c r="E330">
        <v>0.12794670650776</v>
      </c>
      <c r="F330">
        <v>0.09653595920520401</v>
      </c>
      <c r="G330">
        <v>-0.16858654379453</v>
      </c>
      <c r="H330">
        <v>0.190083149331007</v>
      </c>
      <c r="I330">
        <v>1.031508580810779</v>
      </c>
    </row>
    <row r="331" spans="1:9">
      <c r="A331" s="1" t="s">
        <v>343</v>
      </c>
      <c r="B331">
        <f>HYPERLINK("https://www.suredividend.com/sure-analysis-TROW/","T. Rowe Price Group Inc.")</f>
        <v>0</v>
      </c>
      <c r="C331">
        <v>-0.001633190164788</v>
      </c>
      <c r="D331">
        <v>0.231695056326073</v>
      </c>
      <c r="E331">
        <v>0.072804841394098</v>
      </c>
      <c r="F331">
        <v>0.09636897120850801</v>
      </c>
      <c r="G331">
        <v>-0.311387418725056</v>
      </c>
      <c r="H331">
        <v>-0.183049629205514</v>
      </c>
      <c r="I331">
        <v>0.218485682258228</v>
      </c>
    </row>
    <row r="332" spans="1:9">
      <c r="A332" s="1" t="s">
        <v>344</v>
      </c>
      <c r="B332">
        <f>HYPERLINK("https://www.suredividend.com/sure-analysis-TRV/","Travelers Companies Inc.")</f>
        <v>0</v>
      </c>
      <c r="C332">
        <v>0.026080914969803</v>
      </c>
      <c r="D332">
        <v>0.212265482288952</v>
      </c>
      <c r="E332">
        <v>0.174034627264338</v>
      </c>
      <c r="F332">
        <v>0.02400128006827</v>
      </c>
      <c r="G332">
        <v>0.203287904759815</v>
      </c>
      <c r="H332">
        <v>0.428124053911515</v>
      </c>
      <c r="I332">
        <v>0.601268404077775</v>
      </c>
    </row>
    <row r="333" spans="1:9">
      <c r="A333" s="1" t="s">
        <v>345</v>
      </c>
      <c r="B333">
        <f>HYPERLINK("https://www.suredividend.com/sure-analysis-TSCO/","Tractor Supply Co.")</f>
        <v>0</v>
      </c>
      <c r="C333">
        <v>0.029234858022101</v>
      </c>
      <c r="D333">
        <v>0.08879279346822901</v>
      </c>
      <c r="E333">
        <v>0.133096488756042</v>
      </c>
      <c r="F333">
        <v>-0.018802507000933</v>
      </c>
      <c r="G333">
        <v>-0.01789404698928</v>
      </c>
      <c r="H333">
        <v>0.4975668101094241</v>
      </c>
      <c r="I333">
        <v>1.965026548767661</v>
      </c>
    </row>
    <row r="334" spans="1:9">
      <c r="A334" s="1" t="s">
        <v>346</v>
      </c>
      <c r="B334">
        <f>HYPERLINK("https://www.suredividend.com/sure-analysis-TSN/","Tyson Foods, Inc.")</f>
        <v>0</v>
      </c>
      <c r="C334">
        <v>0.0046490004649</v>
      </c>
      <c r="D334">
        <v>0.023858444423738</v>
      </c>
      <c r="E334">
        <v>-0.205808634549468</v>
      </c>
      <c r="F334">
        <v>0.04144578313253</v>
      </c>
      <c r="G334">
        <v>-0.272498350412733</v>
      </c>
      <c r="H334">
        <v>0.055928542808838</v>
      </c>
      <c r="I334">
        <v>-0.09666883570185401</v>
      </c>
    </row>
    <row r="335" spans="1:9">
      <c r="A335" s="1" t="s">
        <v>347</v>
      </c>
      <c r="B335">
        <f>HYPERLINK("https://www.suredividend.com/sure-analysis-TT/","Trane Technologies plc")</f>
        <v>0</v>
      </c>
      <c r="C335">
        <v>0.029450373837109</v>
      </c>
      <c r="D335">
        <v>0.248706259454257</v>
      </c>
      <c r="E335">
        <v>0.399096641376865</v>
      </c>
      <c r="F335">
        <v>0.07305610089832801</v>
      </c>
      <c r="G335">
        <v>-0.059973159958827</v>
      </c>
      <c r="H335">
        <v>0.223866378245753</v>
      </c>
      <c r="I335">
        <v>1.043189378179208</v>
      </c>
    </row>
    <row r="336" spans="1:9">
      <c r="A336" s="1" t="s">
        <v>348</v>
      </c>
      <c r="B336">
        <f>HYPERLINK("https://www.suredividend.com/sure-analysis-TTC/","Toro Co.")</f>
        <v>0</v>
      </c>
      <c r="C336">
        <v>0.04036100400865601</v>
      </c>
      <c r="D336">
        <v>0.232139203382894</v>
      </c>
      <c r="E336">
        <v>0.5010710808179161</v>
      </c>
      <c r="F336">
        <v>0.021378091872791</v>
      </c>
      <c r="G336">
        <v>0.177274388834526</v>
      </c>
      <c r="H336">
        <v>0.185810883573719</v>
      </c>
      <c r="I336">
        <v>0.834291833577916</v>
      </c>
    </row>
    <row r="337" spans="1:9">
      <c r="A337" s="1" t="s">
        <v>349</v>
      </c>
      <c r="B337">
        <f>HYPERLINK("https://www.suredividend.com/sure-analysis-TXN/","Texas Instruments Inc.")</f>
        <v>0</v>
      </c>
      <c r="C337">
        <v>0.003662384494027</v>
      </c>
      <c r="D337">
        <v>0.184759416619222</v>
      </c>
      <c r="E337">
        <v>0.170095017259443</v>
      </c>
      <c r="F337">
        <v>0.07813823992252701</v>
      </c>
      <c r="G337">
        <v>-0.015391248352122</v>
      </c>
      <c r="H337">
        <v>0.08807660332940501</v>
      </c>
      <c r="I337">
        <v>0.8058212467090621</v>
      </c>
    </row>
    <row r="338" spans="1:9">
      <c r="A338" s="1" t="s">
        <v>350</v>
      </c>
      <c r="B338">
        <f>HYPERLINK("https://www.suredividend.com/sure-analysis-UBSI/","United Bankshares, Inc.")</f>
        <v>0</v>
      </c>
      <c r="C338">
        <v>-0.00048828125</v>
      </c>
      <c r="D338">
        <v>0.120517178617663</v>
      </c>
      <c r="E338">
        <v>0.180194412093677</v>
      </c>
      <c r="F338">
        <v>0.011113855272906</v>
      </c>
      <c r="G338">
        <v>0.096161827114877</v>
      </c>
      <c r="H338">
        <v>0.21989010858035</v>
      </c>
      <c r="I338">
        <v>0.359405766350888</v>
      </c>
    </row>
    <row r="339" spans="1:9">
      <c r="A339" s="1" t="s">
        <v>351</v>
      </c>
      <c r="B339">
        <f>HYPERLINK("https://www.suredividend.com/sure-analysis-UDR/","UDR Inc")</f>
        <v>0</v>
      </c>
      <c r="C339">
        <v>0.014213019828039</v>
      </c>
      <c r="D339">
        <v>0.071090097578796</v>
      </c>
      <c r="E339">
        <v>-0.07948172500483401</v>
      </c>
      <c r="F339">
        <v>0.05532500932473201</v>
      </c>
      <c r="G339">
        <v>-0.289041647117947</v>
      </c>
      <c r="H339">
        <v>0.147830724756093</v>
      </c>
      <c r="I339">
        <v>0.351495797870208</v>
      </c>
    </row>
    <row r="340" spans="1:9">
      <c r="A340" s="1" t="s">
        <v>352</v>
      </c>
      <c r="B340">
        <f>HYPERLINK("https://www.suredividend.com/sure-analysis-UGI/","UGI Corp.")</f>
        <v>0</v>
      </c>
      <c r="C340">
        <v>0.07325308317517201</v>
      </c>
      <c r="D340">
        <v>0.317236250850086</v>
      </c>
      <c r="E340">
        <v>0.06236560242152701</v>
      </c>
      <c r="F340">
        <v>0.11815484219045</v>
      </c>
      <c r="G340">
        <v>-0.061142393781115</v>
      </c>
      <c r="H340">
        <v>0.216491456678816</v>
      </c>
      <c r="I340">
        <v>0.021932722556976</v>
      </c>
    </row>
    <row r="341" spans="1:9">
      <c r="A341" s="1" t="s">
        <v>353</v>
      </c>
      <c r="B341">
        <f>HYPERLINK("https://www.suredividend.com/sure-analysis-UHT/","Universal Health Realty Income Trust")</f>
        <v>0</v>
      </c>
      <c r="C341">
        <v>0.018209913651226</v>
      </c>
      <c r="D341">
        <v>0.223993688116172</v>
      </c>
      <c r="E341">
        <v>0.037530652945394</v>
      </c>
      <c r="F341">
        <v>0.082338152105593</v>
      </c>
      <c r="G341">
        <v>-0.06943566298656001</v>
      </c>
      <c r="H341">
        <v>-0.138428490898963</v>
      </c>
      <c r="I341">
        <v>-0.05885696484103801</v>
      </c>
    </row>
    <row r="342" spans="1:9">
      <c r="A342" s="1" t="s">
        <v>354</v>
      </c>
      <c r="B342">
        <f>HYPERLINK("https://www.suredividend.com/sure-analysis-UMBF/","UMB Financial Corp.")</f>
        <v>0</v>
      </c>
      <c r="C342">
        <v>0.061496998652456</v>
      </c>
      <c r="D342">
        <v>0.005146955616933</v>
      </c>
      <c r="E342">
        <v>-0.0008521295744300001</v>
      </c>
      <c r="F342">
        <v>0.037476053639846</v>
      </c>
      <c r="G342">
        <v>-0.197787690091451</v>
      </c>
      <c r="H342">
        <v>0.169209511819608</v>
      </c>
      <c r="I342">
        <v>0.242167463957074</v>
      </c>
    </row>
    <row r="343" spans="1:9">
      <c r="A343" s="1" t="s">
        <v>355</v>
      </c>
      <c r="B343">
        <f>HYPERLINK("https://www.suredividend.com/sure-analysis-UNH/","Unitedhealth Group Inc")</f>
        <v>0</v>
      </c>
      <c r="C343">
        <v>-0.09194665298794501</v>
      </c>
      <c r="D343">
        <v>-0.005524618015679</v>
      </c>
      <c r="E343">
        <v>-0.030445881052744</v>
      </c>
      <c r="F343">
        <v>-0.065091101135463</v>
      </c>
      <c r="G343">
        <v>0.059735543953893</v>
      </c>
      <c r="H343">
        <v>0.4245081384658581</v>
      </c>
      <c r="I343">
        <v>1.332494456637541</v>
      </c>
    </row>
    <row r="344" spans="1:9">
      <c r="A344" s="1" t="s">
        <v>356</v>
      </c>
      <c r="B344">
        <f>HYPERLINK("https://www.suredividend.com/sure-analysis-UNM/","Unum Group")</f>
        <v>0</v>
      </c>
      <c r="C344">
        <v>0.024657534246575</v>
      </c>
      <c r="D344">
        <v>0.019376579612468</v>
      </c>
      <c r="E344">
        <v>0.266750418760469</v>
      </c>
      <c r="F344">
        <v>0.002680965147453</v>
      </c>
      <c r="G344">
        <v>0.5662178162035391</v>
      </c>
      <c r="H344">
        <v>0.8162473345665331</v>
      </c>
      <c r="I344">
        <v>-0.140894188401862</v>
      </c>
    </row>
    <row r="345" spans="1:9">
      <c r="A345" s="1" t="s">
        <v>357</v>
      </c>
      <c r="B345">
        <f>HYPERLINK("https://www.suredividend.com/sure-analysis-UNP/","Union Pacific Corp.")</f>
        <v>0</v>
      </c>
      <c r="C345">
        <v>0.000846586893566</v>
      </c>
      <c r="D345">
        <v>0.124363424592392</v>
      </c>
      <c r="E345">
        <v>0.051950240974953</v>
      </c>
      <c r="F345">
        <v>0.03679915004587801</v>
      </c>
      <c r="G345">
        <v>-0.111005289909833</v>
      </c>
      <c r="H345">
        <v>0.023573807304566</v>
      </c>
      <c r="I345">
        <v>0.682345519870546</v>
      </c>
    </row>
    <row r="346" spans="1:9">
      <c r="A346" s="1" t="s">
        <v>358</v>
      </c>
      <c r="B346">
        <f>HYPERLINK("https://www.suredividend.com/sure-analysis-UPS/","United Parcel Service, Inc.")</f>
        <v>0</v>
      </c>
      <c r="C346">
        <v>0.002300991617816</v>
      </c>
      <c r="D346">
        <v>0.168201174522678</v>
      </c>
      <c r="E346">
        <v>0.04644212537286101</v>
      </c>
      <c r="F346">
        <v>0.052404509894155</v>
      </c>
      <c r="G346">
        <v>-0.09721327824335801</v>
      </c>
      <c r="H346">
        <v>0.188394462517018</v>
      </c>
      <c r="I346">
        <v>0.6043362239739301</v>
      </c>
    </row>
    <row r="347" spans="1:9">
      <c r="A347" s="1" t="s">
        <v>359</v>
      </c>
      <c r="B347">
        <f>HYPERLINK("https://www.suredividend.com/sure-analysis-USB/","U.S. Bancorp.")</f>
        <v>0</v>
      </c>
      <c r="C347">
        <v>0.107290105819613</v>
      </c>
      <c r="D347">
        <v>0.230450217054624</v>
      </c>
      <c r="E347">
        <v>0.053832015766513</v>
      </c>
      <c r="F347">
        <v>0.09126347168080701</v>
      </c>
      <c r="G347">
        <v>-0.206747397634743</v>
      </c>
      <c r="H347">
        <v>0.029533929838528</v>
      </c>
      <c r="I347">
        <v>-0.007549215882549001</v>
      </c>
    </row>
    <row r="348" spans="1:9">
      <c r="A348" s="1" t="s">
        <v>360</v>
      </c>
      <c r="B348">
        <f>HYPERLINK("https://www.suredividend.com/sure-analysis-UVV/","Universal Corp.")</f>
        <v>0</v>
      </c>
      <c r="C348">
        <v>-0.003812039300532</v>
      </c>
      <c r="D348">
        <v>0.192740387203272</v>
      </c>
      <c r="E348">
        <v>0.006152705146930001</v>
      </c>
      <c r="F348">
        <v>0.022220513609103</v>
      </c>
      <c r="G348">
        <v>0.019129274957935</v>
      </c>
      <c r="H348">
        <v>0.139922361812815</v>
      </c>
      <c r="I348">
        <v>0.348008151925943</v>
      </c>
    </row>
    <row r="349" spans="1:9">
      <c r="A349" s="1" t="s">
        <v>361</v>
      </c>
      <c r="B349">
        <f>HYPERLINK("https://www.suredividend.com/sure-analysis-V/","Visa Inc")</f>
        <v>0</v>
      </c>
      <c r="C349">
        <v>0.04208024605060801</v>
      </c>
      <c r="D349">
        <v>0.260329437332398</v>
      </c>
      <c r="E349">
        <v>0.098715904652173</v>
      </c>
      <c r="F349">
        <v>0.07633808240277201</v>
      </c>
      <c r="G349">
        <v>0.04694050108196</v>
      </c>
      <c r="H349">
        <v>0.087919481698462</v>
      </c>
      <c r="I349">
        <v>0.928732963376326</v>
      </c>
    </row>
    <row r="350" spans="1:9">
      <c r="A350" s="1" t="s">
        <v>362</v>
      </c>
      <c r="B350">
        <f>HYPERLINK("https://www.suredividend.com/sure-analysis-VFC/","VF Corp.")</f>
        <v>0</v>
      </c>
      <c r="C350">
        <v>0.092362344582593</v>
      </c>
      <c r="D350">
        <v>0.07769195183155</v>
      </c>
      <c r="E350">
        <v>-0.299790050870537</v>
      </c>
      <c r="F350">
        <v>0.113726910539659</v>
      </c>
      <c r="G350">
        <v>-0.550067599599669</v>
      </c>
      <c r="H350">
        <v>-0.6213874825161051</v>
      </c>
      <c r="I350">
        <v>-0.515183047961403</v>
      </c>
    </row>
    <row r="351" spans="1:9">
      <c r="A351" s="1" t="s">
        <v>363</v>
      </c>
      <c r="B351">
        <f>HYPERLINK("https://www.suredividend.com/sure-analysis-VZ/","Verizon Communications Inc")</f>
        <v>0</v>
      </c>
      <c r="C351">
        <v>0.1190184968592</v>
      </c>
      <c r="D351">
        <v>0.190211852585672</v>
      </c>
      <c r="E351">
        <v>-0.149627695167664</v>
      </c>
      <c r="F351">
        <v>0.07783844539656501</v>
      </c>
      <c r="G351">
        <v>-0.171980829405473</v>
      </c>
      <c r="H351">
        <v>-0.191361630196386</v>
      </c>
      <c r="I351">
        <v>0.027570647018054</v>
      </c>
    </row>
    <row r="352" spans="1:9">
      <c r="A352" s="1" t="s">
        <v>364</v>
      </c>
      <c r="B352">
        <f>HYPERLINK("https://www.suredividend.com/sure-analysis-WABC/","Westamerica Bancorporation")</f>
        <v>0</v>
      </c>
      <c r="C352">
        <v>-0.005671077504725001</v>
      </c>
      <c r="D352">
        <v>0.102235904391608</v>
      </c>
      <c r="E352">
        <v>0.056008994145045</v>
      </c>
      <c r="F352">
        <v>-0.019488222335197</v>
      </c>
      <c r="G352">
        <v>0.003811569336037</v>
      </c>
      <c r="H352">
        <v>0.005487955345629</v>
      </c>
      <c r="I352">
        <v>0.103476159689363</v>
      </c>
    </row>
    <row r="353" spans="1:9">
      <c r="A353" s="1" t="s">
        <v>365</v>
      </c>
      <c r="B353">
        <f>HYPERLINK("https://www.suredividend.com/sure-analysis-WAFD/","Washington Federal Inc.")</f>
        <v>0</v>
      </c>
      <c r="C353">
        <v>0.038256227758007</v>
      </c>
      <c r="D353">
        <v>0.106087747732377</v>
      </c>
      <c r="E353">
        <v>0.172538289185921</v>
      </c>
      <c r="F353">
        <v>0.04351713859910501</v>
      </c>
      <c r="G353">
        <v>-0.005747975145119001</v>
      </c>
      <c r="H353">
        <v>0.296657061799542</v>
      </c>
      <c r="I353">
        <v>0.128168442218827</v>
      </c>
    </row>
    <row r="354" spans="1:9">
      <c r="A354" s="1" t="s">
        <v>366</v>
      </c>
      <c r="B354">
        <f>HYPERLINK("https://www.suredividend.com/sure-analysis-WASH/","Washington Trust Bancorp, Inc.")</f>
        <v>0</v>
      </c>
      <c r="C354">
        <v>-0.012937171660965</v>
      </c>
      <c r="D354">
        <v>0.041385636432309</v>
      </c>
      <c r="E354">
        <v>0.020906903869713</v>
      </c>
      <c r="F354">
        <v>0.022679101314116</v>
      </c>
      <c r="G354">
        <v>-0.140025273454139</v>
      </c>
      <c r="H354">
        <v>0.096473785754703</v>
      </c>
      <c r="I354">
        <v>0.07242002413778501</v>
      </c>
    </row>
    <row r="355" spans="1:9">
      <c r="A355" s="1" t="s">
        <v>367</v>
      </c>
      <c r="B355">
        <f>HYPERLINK("https://www.suredividend.com/sure-analysis-WBA/","Walgreens Boots Alliance Inc")</f>
        <v>0</v>
      </c>
      <c r="C355">
        <v>-0.107160253287871</v>
      </c>
      <c r="D355">
        <v>0.161287870148629</v>
      </c>
      <c r="E355">
        <v>-0.011526794742163</v>
      </c>
      <c r="F355">
        <v>-0.018736616702355</v>
      </c>
      <c r="G355">
        <v>-0.28853248666241</v>
      </c>
      <c r="H355">
        <v>-0.16975611302731</v>
      </c>
      <c r="I355">
        <v>-0.4277123950376761</v>
      </c>
    </row>
    <row r="356" spans="1:9">
      <c r="A356" s="1" t="s">
        <v>368</v>
      </c>
      <c r="B356">
        <f>HYPERLINK("https://www.suredividend.com/sure-analysis-WDFC/","WD-40 Co.")</f>
        <v>0</v>
      </c>
      <c r="C356">
        <v>0.023105418846076</v>
      </c>
      <c r="D356">
        <v>-0.018288818262733</v>
      </c>
      <c r="E356">
        <v>0.033491831789298</v>
      </c>
      <c r="F356">
        <v>0.069815397312807</v>
      </c>
      <c r="G356">
        <v>-0.292741888290967</v>
      </c>
      <c r="H356">
        <v>-0.375741811294482</v>
      </c>
      <c r="I356">
        <v>0.4926930924892191</v>
      </c>
    </row>
    <row r="357" spans="1:9">
      <c r="A357" s="1" t="s">
        <v>369</v>
      </c>
      <c r="B357">
        <f>HYPERLINK("https://www.suredividend.com/sure-analysis-WEC/","WEC Energy Group Inc")</f>
        <v>0</v>
      </c>
      <c r="C357">
        <v>-0.010319811995504</v>
      </c>
      <c r="D357">
        <v>0.196724390147471</v>
      </c>
      <c r="E357">
        <v>-0.013616491729389</v>
      </c>
      <c r="F357">
        <v>0.03306313993174</v>
      </c>
      <c r="G357">
        <v>0.05121384485316501</v>
      </c>
      <c r="H357">
        <v>0.215362299928227</v>
      </c>
      <c r="I357">
        <v>0.7812383339555221</v>
      </c>
    </row>
    <row r="358" spans="1:9">
      <c r="A358" s="1" t="s">
        <v>370</v>
      </c>
      <c r="B358">
        <f>HYPERLINK("https://www.suredividend.com/sure-analysis-WHR/","Whirlpool Corp.")</f>
        <v>0</v>
      </c>
      <c r="C358">
        <v>0.04537131230925701</v>
      </c>
      <c r="D358">
        <v>0.091065845476932</v>
      </c>
      <c r="E358">
        <v>-0.04060887166043</v>
      </c>
      <c r="F358">
        <v>0.089636646401809</v>
      </c>
      <c r="G358">
        <v>-0.286672238527473</v>
      </c>
      <c r="H358">
        <v>-0.106274171010442</v>
      </c>
      <c r="I358">
        <v>0.05441013503345001</v>
      </c>
    </row>
    <row r="359" spans="1:9">
      <c r="A359" s="1" t="s">
        <v>371</v>
      </c>
      <c r="B359">
        <f>HYPERLINK("https://www.suredividend.com/sure-analysis-research-database/","Westlake Corporation")</f>
        <v>0</v>
      </c>
      <c r="C359">
        <v>0.055996309963099</v>
      </c>
      <c r="D359">
        <v>0.302647286085105</v>
      </c>
      <c r="E359">
        <v>0.209804414776798</v>
      </c>
      <c r="F359">
        <v>0.116344841037643</v>
      </c>
      <c r="G359">
        <v>0.119937071413965</v>
      </c>
      <c r="H359">
        <v>0.295422395744921</v>
      </c>
      <c r="I359">
        <v>0.06981208428777101</v>
      </c>
    </row>
    <row r="360" spans="1:9">
      <c r="A360" s="1" t="s">
        <v>372</v>
      </c>
      <c r="B360">
        <f>HYPERLINK("https://www.suredividend.com/sure-analysis-WM/","Waste Management, Inc.")</f>
        <v>0</v>
      </c>
      <c r="C360">
        <v>-0.084597397925535</v>
      </c>
      <c r="D360">
        <v>-0.006970975299150001</v>
      </c>
      <c r="E360">
        <v>0.018669378136638</v>
      </c>
      <c r="F360">
        <v>-0.026772055073941</v>
      </c>
      <c r="G360">
        <v>-0.02695316781935</v>
      </c>
      <c r="H360">
        <v>0.354393796117073</v>
      </c>
      <c r="I360">
        <v>0.8937617988008321</v>
      </c>
    </row>
    <row r="361" spans="1:9">
      <c r="A361" s="1" t="s">
        <v>373</v>
      </c>
      <c r="B361">
        <f>HYPERLINK("https://www.suredividend.com/sure-analysis-WMT/","Walmart Inc")</f>
        <v>0</v>
      </c>
      <c r="C361">
        <v>-0.0216862586137</v>
      </c>
      <c r="D361">
        <v>0.108148769412308</v>
      </c>
      <c r="E361">
        <v>0.167257778494277</v>
      </c>
      <c r="F361">
        <v>0.021299104309189</v>
      </c>
      <c r="G361">
        <v>0.025420602308028</v>
      </c>
      <c r="H361">
        <v>0.003056756762373</v>
      </c>
      <c r="I361">
        <v>0.564530819020701</v>
      </c>
    </row>
    <row r="362" spans="1:9">
      <c r="A362" s="1" t="s">
        <v>374</v>
      </c>
      <c r="B362">
        <f>HYPERLINK("https://www.suredividend.com/sure-analysis-WOR/","Worthington Industries, Inc.")</f>
        <v>0</v>
      </c>
      <c r="C362">
        <v>0.055009433025518</v>
      </c>
      <c r="D362">
        <v>0.297639822158755</v>
      </c>
      <c r="E362">
        <v>0.241093330218432</v>
      </c>
      <c r="F362">
        <v>0.111446389056527</v>
      </c>
      <c r="G362">
        <v>-0.021334032422627</v>
      </c>
      <c r="H362">
        <v>0.019500601551486</v>
      </c>
      <c r="I362">
        <v>0.297950764792527</v>
      </c>
    </row>
    <row r="363" spans="1:9">
      <c r="A363" s="1" t="s">
        <v>375</v>
      </c>
      <c r="B363">
        <f>HYPERLINK("https://www.suredividend.com/sure-analysis-WPC/","W. P. Carey Inc")</f>
        <v>0</v>
      </c>
      <c r="C363">
        <v>0.066315481864597</v>
      </c>
      <c r="D363">
        <v>0.193407409523265</v>
      </c>
      <c r="E363">
        <v>0.044822588974345</v>
      </c>
      <c r="F363">
        <v>0.069225847728726</v>
      </c>
      <c r="G363">
        <v>0.100414828471719</v>
      </c>
      <c r="H363">
        <v>0.404875030683304</v>
      </c>
      <c r="I363">
        <v>0.7145366278043831</v>
      </c>
    </row>
    <row r="364" spans="1:9">
      <c r="A364" s="1" t="s">
        <v>376</v>
      </c>
      <c r="B364">
        <f>HYPERLINK("https://www.suredividend.com/sure-analysis-WRB/","W.R. Berkley Corp.")</f>
        <v>0</v>
      </c>
      <c r="C364">
        <v>-0.007867233806689</v>
      </c>
      <c r="D364">
        <v>0.08097626825618301</v>
      </c>
      <c r="E364">
        <v>0.117772475216307</v>
      </c>
      <c r="F364">
        <v>0.0132824217769</v>
      </c>
      <c r="G364">
        <v>0.297579852776302</v>
      </c>
      <c r="H364">
        <v>0.6612376368252001</v>
      </c>
      <c r="I364">
        <v>1.531807938984226</v>
      </c>
    </row>
    <row r="365" spans="1:9">
      <c r="A365" s="1" t="s">
        <v>377</v>
      </c>
      <c r="B365">
        <f>HYPERLINK("https://www.suredividend.com/sure-analysis-WSBC/","Wesbanco, Inc.")</f>
        <v>0</v>
      </c>
      <c r="C365">
        <v>-0.017562254259501</v>
      </c>
      <c r="D365">
        <v>0.040397282975291</v>
      </c>
      <c r="E365">
        <v>0.221455644018028</v>
      </c>
      <c r="F365">
        <v>0.013520822065981</v>
      </c>
      <c r="G365">
        <v>0.040807542244623</v>
      </c>
      <c r="H365">
        <v>0.248917027657447</v>
      </c>
      <c r="I365">
        <v>0.062472715315141</v>
      </c>
    </row>
    <row r="366" spans="1:9">
      <c r="A366" s="1" t="s">
        <v>378</v>
      </c>
      <c r="B366">
        <f>HYPERLINK("https://www.suredividend.com/sure-analysis-WSM/","Williams-Sonoma, Inc.")</f>
        <v>0</v>
      </c>
      <c r="C366">
        <v>0.101782042494859</v>
      </c>
      <c r="D366">
        <v>0.044458522164286</v>
      </c>
      <c r="E366">
        <v>0.014804626435897</v>
      </c>
      <c r="F366">
        <v>0.119039331709014</v>
      </c>
      <c r="G366">
        <v>-0.132755799948477</v>
      </c>
      <c r="H366">
        <v>0.129419534566736</v>
      </c>
      <c r="I366">
        <v>1.626693001681001</v>
      </c>
    </row>
    <row r="367" spans="1:9">
      <c r="A367" s="1" t="s">
        <v>379</v>
      </c>
      <c r="B367">
        <f>HYPERLINK("https://www.suredividend.com/sure-analysis-WST/","West Pharmaceutical Services, Inc.")</f>
        <v>0</v>
      </c>
      <c r="C367">
        <v>0.028224469496021</v>
      </c>
      <c r="D367">
        <v>0.03838582883145601</v>
      </c>
      <c r="E367">
        <v>-0.162812953874229</v>
      </c>
      <c r="F367">
        <v>0.05413214361589101</v>
      </c>
      <c r="G367">
        <v>-0.380536475537445</v>
      </c>
      <c r="H367">
        <v>-0.166042265646245</v>
      </c>
      <c r="I367">
        <v>1.576292377875599</v>
      </c>
    </row>
    <row r="368" spans="1:9">
      <c r="A368" s="1" t="s">
        <v>380</v>
      </c>
      <c r="B368">
        <f>HYPERLINK("https://www.suredividend.com/sure-analysis-WTRG/","Essential Utilities Inc")</f>
        <v>0</v>
      </c>
      <c r="C368">
        <v>0.007610037021801</v>
      </c>
      <c r="D368">
        <v>0.259366846184496</v>
      </c>
      <c r="E368">
        <v>0.08949225969012001</v>
      </c>
      <c r="F368">
        <v>0.02639849151477</v>
      </c>
      <c r="G368">
        <v>-0.002358173576237</v>
      </c>
      <c r="H368">
        <v>0.106973549229705</v>
      </c>
      <c r="I368">
        <v>0.462558327685909</v>
      </c>
    </row>
    <row r="369" spans="1:9">
      <c r="A369" s="1" t="s">
        <v>381</v>
      </c>
      <c r="B369">
        <f>HYPERLINK("https://www.suredividend.com/sure-analysis-XEL/","Xcel Energy, Inc.")</f>
        <v>0</v>
      </c>
      <c r="C369">
        <v>0.011920835302324</v>
      </c>
      <c r="D369">
        <v>0.250319313653765</v>
      </c>
      <c r="E369">
        <v>0.049164168309555</v>
      </c>
      <c r="F369">
        <v>0.026244472971045</v>
      </c>
      <c r="G369">
        <v>0.07818529202412601</v>
      </c>
      <c r="H369">
        <v>0.199216634026417</v>
      </c>
      <c r="I369">
        <v>0.8354076798865341</v>
      </c>
    </row>
    <row r="370" spans="1:9">
      <c r="A370" s="1" t="s">
        <v>382</v>
      </c>
      <c r="B370">
        <f>HYPERLINK("https://www.suredividend.com/sure-analysis-XOM/","Exxon Mobil Corp.")</f>
        <v>0</v>
      </c>
      <c r="C370">
        <v>0.06720708832123601</v>
      </c>
      <c r="D370">
        <v>0.159519437466139</v>
      </c>
      <c r="E370">
        <v>0.363790764961104</v>
      </c>
      <c r="F370">
        <v>0.026473254759746</v>
      </c>
      <c r="G370">
        <v>0.6546438759762421</v>
      </c>
      <c r="H370">
        <v>1.609639670579666</v>
      </c>
      <c r="I370">
        <v>0.68247797710332</v>
      </c>
    </row>
    <row r="371" spans="1:9">
      <c r="A371" s="1" t="s">
        <v>383</v>
      </c>
      <c r="B371">
        <f>HYPERLINK("https://www.suredividend.com/sure-analysis-XYL/","Xylem Inc")</f>
        <v>0</v>
      </c>
      <c r="C371">
        <v>0.025598022773413</v>
      </c>
      <c r="D371">
        <v>0.335706082584089</v>
      </c>
      <c r="E371">
        <v>0.5223258739059791</v>
      </c>
      <c r="F371">
        <v>0.050827530071448</v>
      </c>
      <c r="G371">
        <v>0.013096400669642</v>
      </c>
      <c r="H371">
        <v>0.122788775784328</v>
      </c>
      <c r="I371">
        <v>0.750917351697948</v>
      </c>
    </row>
    <row r="372" spans="1:9">
      <c r="A372" s="1" t="s">
        <v>384</v>
      </c>
      <c r="B372">
        <f>HYPERLINK("https://www.suredividend.com/sure-analysis-YORW/","York Water Co.")</f>
        <v>0</v>
      </c>
      <c r="C372">
        <v>-0.015502359054638</v>
      </c>
      <c r="D372">
        <v>0.210319793860727</v>
      </c>
      <c r="E372">
        <v>0.128782968539661</v>
      </c>
      <c r="F372">
        <v>0.006669630947087</v>
      </c>
      <c r="G372">
        <v>0.011802877202704</v>
      </c>
      <c r="H372">
        <v>0.008784534940972</v>
      </c>
      <c r="I372">
        <v>0.5518062709697761</v>
      </c>
    </row>
  </sheetData>
  <autoFilter ref="A1:I372"/>
  <conditionalFormatting sqref="A1:I1">
    <cfRule type="cellIs" dxfId="8" priority="10" operator="notEqual">
      <formula>-13.345</formula>
    </cfRule>
  </conditionalFormatting>
  <conditionalFormatting sqref="A2:A372">
    <cfRule type="cellIs" dxfId="0" priority="1" operator="notEqual">
      <formula>"None"</formula>
    </cfRule>
  </conditionalFormatting>
  <conditionalFormatting sqref="B2:B372">
    <cfRule type="cellIs" dxfId="0" priority="2" operator="notEqual">
      <formula>"None"</formula>
    </cfRule>
  </conditionalFormatting>
  <conditionalFormatting sqref="C2:C372">
    <cfRule type="cellIs" dxfId="3" priority="3" operator="notEqual">
      <formula>"None"</formula>
    </cfRule>
  </conditionalFormatting>
  <conditionalFormatting sqref="D2:D372">
    <cfRule type="cellIs" dxfId="3" priority="4" operator="notEqual">
      <formula>"None"</formula>
    </cfRule>
  </conditionalFormatting>
  <conditionalFormatting sqref="E2:E372">
    <cfRule type="cellIs" dxfId="3" priority="5" operator="notEqual">
      <formula>"None"</formula>
    </cfRule>
  </conditionalFormatting>
  <conditionalFormatting sqref="F2:F372">
    <cfRule type="cellIs" dxfId="3" priority="6" operator="notEqual">
      <formula>"None"</formula>
    </cfRule>
  </conditionalFormatting>
  <conditionalFormatting sqref="G2:G372">
    <cfRule type="cellIs" dxfId="3" priority="7" operator="notEqual">
      <formula>"None"</formula>
    </cfRule>
  </conditionalFormatting>
  <conditionalFormatting sqref="H2:H372">
    <cfRule type="cellIs" dxfId="3" priority="8" operator="notEqual">
      <formula>"None"</formula>
    </cfRule>
  </conditionalFormatting>
  <conditionalFormatting sqref="I2:I372">
    <cfRule type="cellIs" dxfId="3" priority="9" operator="not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5.7109375" customWidth="1"/>
    <col min="2" max="2" width="0" customWidth="1"/>
  </cols>
  <sheetData>
    <row r="1" spans="1:2">
      <c r="A1" s="1" t="s">
        <v>404</v>
      </c>
      <c r="B1" s="1"/>
    </row>
    <row r="2" spans="1:2">
      <c r="A2" s="1" t="s">
        <v>405</v>
      </c>
    </row>
    <row r="3" spans="1:2">
      <c r="A3" s="1" t="s">
        <v>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2023-01-13T16:05:27Z</dcterms:created>
  <dcterms:modified xsi:type="dcterms:W3CDTF">2023-01-13T16:05:27Z</dcterms:modified>
</cp:coreProperties>
</file>