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Characteristics!$A$1:$O$371</definedName>
    <definedName name="_xlnm._FilterDatabase" localSheetId="1" hidden="1">Performance!$A$1:$I$371</definedName>
  </definedNames>
  <calcPr calcId="124519" fullCalcOnLoad="1"/>
</workbook>
</file>

<file path=xl/sharedStrings.xml><?xml version="1.0" encoding="utf-8"?>
<sst xmlns="http://schemas.openxmlformats.org/spreadsheetml/2006/main" count="1266" uniqueCount="406">
  <si>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</si>
  <si>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</si>
  <si>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</si>
  <si>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</si>
  <si>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</si>
  <si>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</si>
  <si>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</si>
  <si>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</si>
  <si>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</si>
  <si>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</si>
  <si>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</si>
  <si>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</si>
  <si>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</si>
  <si>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</si>
  <si>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ABC</t>
  </si>
  <si>
    <t>ABM</t>
  </si>
  <si>
    <t>ABT</t>
  </si>
  <si>
    <t>ACN</t>
  </si>
  <si>
    <t>ADI</t>
  </si>
  <si>
    <t>ADM</t>
  </si>
  <si>
    <t>ADP</t>
  </si>
  <si>
    <t>AEL</t>
  </si>
  <si>
    <t>AEP</t>
  </si>
  <si>
    <t>AFG</t>
  </si>
  <si>
    <t>AFL</t>
  </si>
  <si>
    <t>AGM</t>
  </si>
  <si>
    <t>AGO</t>
  </si>
  <si>
    <t>AIT</t>
  </si>
  <si>
    <t>AIZ</t>
  </si>
  <si>
    <t>AJG</t>
  </si>
  <si>
    <t>ALB</t>
  </si>
  <si>
    <t>ALE</t>
  </si>
  <si>
    <t>ALL</t>
  </si>
  <si>
    <t>AMGN</t>
  </si>
  <si>
    <t>AMP</t>
  </si>
  <si>
    <t>ANDE</t>
  </si>
  <si>
    <t>ANTM</t>
  </si>
  <si>
    <t>AON</t>
  </si>
  <si>
    <t>AOS</t>
  </si>
  <si>
    <t>APD</t>
  </si>
  <si>
    <t>APH</t>
  </si>
  <si>
    <t>APOG</t>
  </si>
  <si>
    <t>ARE</t>
  </si>
  <si>
    <t>ASB</t>
  </si>
  <si>
    <t>ASH</t>
  </si>
  <si>
    <t>ATO</t>
  </si>
  <si>
    <t>ATR</t>
  </si>
  <si>
    <t>ATRI</t>
  </si>
  <si>
    <t>AUB</t>
  </si>
  <si>
    <t>AVA</t>
  </si>
  <si>
    <t>AVGO</t>
  </si>
  <si>
    <t>AVNT</t>
  </si>
  <si>
    <t>AVY</t>
  </si>
  <si>
    <t>AWK</t>
  </si>
  <si>
    <t>AWR</t>
  </si>
  <si>
    <t>AXS</t>
  </si>
  <si>
    <t>BANF</t>
  </si>
  <si>
    <t>BBY</t>
  </si>
  <si>
    <t>BCPC</t>
  </si>
  <si>
    <t>BDX</t>
  </si>
  <si>
    <t>BEN</t>
  </si>
  <si>
    <t>BIP</t>
  </si>
  <si>
    <t>BK</t>
  </si>
  <si>
    <t>BKH</t>
  </si>
  <si>
    <t>BLK</t>
  </si>
  <si>
    <t>BMI</t>
  </si>
  <si>
    <t>BMRC</t>
  </si>
  <si>
    <t>BMY</t>
  </si>
  <si>
    <t>BOKF</t>
  </si>
  <si>
    <t>BR</t>
  </si>
  <si>
    <t>BRC</t>
  </si>
  <si>
    <t>BRO</t>
  </si>
  <si>
    <t>CAH</t>
  </si>
  <si>
    <t>CASS</t>
  </si>
  <si>
    <t>CASY</t>
  </si>
  <si>
    <t>CAT</t>
  </si>
  <si>
    <t>CB</t>
  </si>
  <si>
    <t>CBOE</t>
  </si>
  <si>
    <t>CBSH</t>
  </si>
  <si>
    <t>CBT</t>
  </si>
  <si>
    <t>CBU</t>
  </si>
  <si>
    <t>CE</t>
  </si>
  <si>
    <t>CFR</t>
  </si>
  <si>
    <t>CHCO</t>
  </si>
  <si>
    <t>CHD</t>
  </si>
  <si>
    <t>CHDN</t>
  </si>
  <si>
    <t>CHE</t>
  </si>
  <si>
    <t>CHRW</t>
  </si>
  <si>
    <t>CINF</t>
  </si>
  <si>
    <t>CL</t>
  </si>
  <si>
    <t>CLX</t>
  </si>
  <si>
    <t>CMCSA</t>
  </si>
  <si>
    <t>CME</t>
  </si>
  <si>
    <t>CMI</t>
  </si>
  <si>
    <t>CMS</t>
  </si>
  <si>
    <t>CNS</t>
  </si>
  <si>
    <t>COST</t>
  </si>
  <si>
    <t>CPK</t>
  </si>
  <si>
    <t>CSCO</t>
  </si>
  <si>
    <t>CSL</t>
  </si>
  <si>
    <t>CSX</t>
  </si>
  <si>
    <t>CTAS</t>
  </si>
  <si>
    <t>CTBI</t>
  </si>
  <si>
    <t>CUBE</t>
  </si>
  <si>
    <t>CVX</t>
  </si>
  <si>
    <t>CWT</t>
  </si>
  <si>
    <t>DCI</t>
  </si>
  <si>
    <t>DDS</t>
  </si>
  <si>
    <t>DFS</t>
  </si>
  <si>
    <t>DGX</t>
  </si>
  <si>
    <t>DLR</t>
  </si>
  <si>
    <t>DOV</t>
  </si>
  <si>
    <t>DTE</t>
  </si>
  <si>
    <t>DUK</t>
  </si>
  <si>
    <t>ECL</t>
  </si>
  <si>
    <t>ED</t>
  </si>
  <si>
    <t>EGP</t>
  </si>
  <si>
    <t>EIX</t>
  </si>
  <si>
    <t>ELS</t>
  </si>
  <si>
    <t>EMN</t>
  </si>
  <si>
    <t>EMR</t>
  </si>
  <si>
    <t>ENSG</t>
  </si>
  <si>
    <t>EPD</t>
  </si>
  <si>
    <t>ERIE</t>
  </si>
  <si>
    <t>ES</t>
  </si>
  <si>
    <t>ESS</t>
  </si>
  <si>
    <t>ETN</t>
  </si>
  <si>
    <t>EVR</t>
  </si>
  <si>
    <t>EVRG</t>
  </si>
  <si>
    <t>EXPD</t>
  </si>
  <si>
    <t>EXR</t>
  </si>
  <si>
    <t>FAF</t>
  </si>
  <si>
    <t>FAST</t>
  </si>
  <si>
    <t>FCBC</t>
  </si>
  <si>
    <t>FDS</t>
  </si>
  <si>
    <t>FELE</t>
  </si>
  <si>
    <t>FFIN</t>
  </si>
  <si>
    <t>FISI</t>
  </si>
  <si>
    <t>FITB</t>
  </si>
  <si>
    <t>FLIC</t>
  </si>
  <si>
    <t>FLO</t>
  </si>
  <si>
    <t>FNF</t>
  </si>
  <si>
    <t>FRME</t>
  </si>
  <si>
    <t>FRT</t>
  </si>
  <si>
    <t>FUL</t>
  </si>
  <si>
    <t>GATX</t>
  </si>
  <si>
    <t>GD</t>
  </si>
  <si>
    <t>GFF</t>
  </si>
  <si>
    <t>GGG</t>
  </si>
  <si>
    <t>GL</t>
  </si>
  <si>
    <t>GLW</t>
  </si>
  <si>
    <t>GNTX</t>
  </si>
  <si>
    <t>GPC</t>
  </si>
  <si>
    <t>GRC</t>
  </si>
  <si>
    <t>GS</t>
  </si>
  <si>
    <t>GWW</t>
  </si>
  <si>
    <t>HBAN</t>
  </si>
  <si>
    <t>HBNC</t>
  </si>
  <si>
    <t>HCSG</t>
  </si>
  <si>
    <t>HD</t>
  </si>
  <si>
    <t>HEI</t>
  </si>
  <si>
    <t>HFWA</t>
  </si>
  <si>
    <t>HI</t>
  </si>
  <si>
    <t>HIFS</t>
  </si>
  <si>
    <t>HMN</t>
  </si>
  <si>
    <t>HNI</t>
  </si>
  <si>
    <t>HOMB</t>
  </si>
  <si>
    <t>HON</t>
  </si>
  <si>
    <t>HPQ</t>
  </si>
  <si>
    <t>HRL</t>
  </si>
  <si>
    <t>HSY</t>
  </si>
  <si>
    <t>HUBB</t>
  </si>
  <si>
    <t>HUM</t>
  </si>
  <si>
    <t>HWKN</t>
  </si>
  <si>
    <t>IBM</t>
  </si>
  <si>
    <t>IBOC</t>
  </si>
  <si>
    <t>IDA</t>
  </si>
  <si>
    <t>IEX</t>
  </si>
  <si>
    <t>IFF</t>
  </si>
  <si>
    <t>INDB</t>
  </si>
  <si>
    <t>INGR</t>
  </si>
  <si>
    <t>INTU</t>
  </si>
  <si>
    <t>ITT</t>
  </si>
  <si>
    <t>ITW</t>
  </si>
  <si>
    <t>JBHT</t>
  </si>
  <si>
    <t>JJSF</t>
  </si>
  <si>
    <t>JKHY</t>
  </si>
  <si>
    <t>JNJ</t>
  </si>
  <si>
    <t>JPM</t>
  </si>
  <si>
    <t>K</t>
  </si>
  <si>
    <t>KALU</t>
  </si>
  <si>
    <t>KEY</t>
  </si>
  <si>
    <t>KLAC</t>
  </si>
  <si>
    <t>KMB</t>
  </si>
  <si>
    <t>KO</t>
  </si>
  <si>
    <t>KR</t>
  </si>
  <si>
    <t>KW</t>
  </si>
  <si>
    <t>KWR</t>
  </si>
  <si>
    <t>LAD</t>
  </si>
  <si>
    <t>LANC</t>
  </si>
  <si>
    <t>LBAI</t>
  </si>
  <si>
    <t>LECO</t>
  </si>
  <si>
    <t>LEG</t>
  </si>
  <si>
    <t>LFUS</t>
  </si>
  <si>
    <t>LHX</t>
  </si>
  <si>
    <t>LII</t>
  </si>
  <si>
    <t>LKFN</t>
  </si>
  <si>
    <t>LMAT</t>
  </si>
  <si>
    <t>LMT</t>
  </si>
  <si>
    <t>LNC</t>
  </si>
  <si>
    <t>LNN</t>
  </si>
  <si>
    <t>LNT</t>
  </si>
  <si>
    <t>LOW</t>
  </si>
  <si>
    <t>LYB</t>
  </si>
  <si>
    <t>MA</t>
  </si>
  <si>
    <t>MAA</t>
  </si>
  <si>
    <t>MAN</t>
  </si>
  <si>
    <t>MATW</t>
  </si>
  <si>
    <t>MCD</t>
  </si>
  <si>
    <t>MCHP</t>
  </si>
  <si>
    <t>MCK</t>
  </si>
  <si>
    <t>MCO</t>
  </si>
  <si>
    <t>MCY</t>
  </si>
  <si>
    <t>MDT</t>
  </si>
  <si>
    <t>MDU</t>
  </si>
  <si>
    <t>MGEE</t>
  </si>
  <si>
    <t>MGRC</t>
  </si>
  <si>
    <t>MKC</t>
  </si>
  <si>
    <t>MKTX</t>
  </si>
  <si>
    <t>MMC</t>
  </si>
  <si>
    <t>MMM</t>
  </si>
  <si>
    <t>MMP</t>
  </si>
  <si>
    <t>MNRO</t>
  </si>
  <si>
    <t>MO</t>
  </si>
  <si>
    <t>MORN</t>
  </si>
  <si>
    <t>MRK</t>
  </si>
  <si>
    <t>MSA</t>
  </si>
  <si>
    <t>MSEX</t>
  </si>
  <si>
    <t>MSFT</t>
  </si>
  <si>
    <t>MSI</t>
  </si>
  <si>
    <t>NDSN</t>
  </si>
  <si>
    <t>NEE</t>
  </si>
  <si>
    <t>NFG</t>
  </si>
  <si>
    <t>NHC</t>
  </si>
  <si>
    <t>NI</t>
  </si>
  <si>
    <t>NJR</t>
  </si>
  <si>
    <t>NKE</t>
  </si>
  <si>
    <t>NNN</t>
  </si>
  <si>
    <t>NOC</t>
  </si>
  <si>
    <t>NP</t>
  </si>
  <si>
    <t>NSP</t>
  </si>
  <si>
    <t>NUE</t>
  </si>
  <si>
    <t>NUS</t>
  </si>
  <si>
    <t>NWBI</t>
  </si>
  <si>
    <t>NWE</t>
  </si>
  <si>
    <t>NWN</t>
  </si>
  <si>
    <t>O</t>
  </si>
  <si>
    <t>OGE</t>
  </si>
  <si>
    <t>ORCL</t>
  </si>
  <si>
    <t>ORI</t>
  </si>
  <si>
    <t>OZK</t>
  </si>
  <si>
    <t>PAYX</t>
  </si>
  <si>
    <t>PB</t>
  </si>
  <si>
    <t>PEG</t>
  </si>
  <si>
    <t>PEP</t>
  </si>
  <si>
    <t>PETS</t>
  </si>
  <si>
    <t>PFC</t>
  </si>
  <si>
    <t>PFE</t>
  </si>
  <si>
    <t>PFG</t>
  </si>
  <si>
    <t>PG</t>
  </si>
  <si>
    <t>PII</t>
  </si>
  <si>
    <t>PKG</t>
  </si>
  <si>
    <t>PLOW</t>
  </si>
  <si>
    <t>PM</t>
  </si>
  <si>
    <t>PNC</t>
  </si>
  <si>
    <t>PNW</t>
  </si>
  <si>
    <t>POOL</t>
  </si>
  <si>
    <t>POR</t>
  </si>
  <si>
    <t>PPG</t>
  </si>
  <si>
    <t>PRGO</t>
  </si>
  <si>
    <t>PRI</t>
  </si>
  <si>
    <t>PRU</t>
  </si>
  <si>
    <t>QCOM</t>
  </si>
  <si>
    <t>R</t>
  </si>
  <si>
    <t>RBCAA</t>
  </si>
  <si>
    <t>RGA</t>
  </si>
  <si>
    <t>RGLD</t>
  </si>
  <si>
    <t>RHI</t>
  </si>
  <si>
    <t>RJF</t>
  </si>
  <si>
    <t>RLI</t>
  </si>
  <si>
    <t>RNR</t>
  </si>
  <si>
    <t>ROK</t>
  </si>
  <si>
    <t>ROP</t>
  </si>
  <si>
    <t>RPM</t>
  </si>
  <si>
    <t>RRX</t>
  </si>
  <si>
    <t>RS</t>
  </si>
  <si>
    <t>RSG</t>
  </si>
  <si>
    <t>RTX</t>
  </si>
  <si>
    <t>SASR</t>
  </si>
  <si>
    <t>SBSI</t>
  </si>
  <si>
    <t>SBUX</t>
  </si>
  <si>
    <t>SCI</t>
  </si>
  <si>
    <t>SCL</t>
  </si>
  <si>
    <t>SEIC</t>
  </si>
  <si>
    <t>SFNC</t>
  </si>
  <si>
    <t>SHW</t>
  </si>
  <si>
    <t>SJM</t>
  </si>
  <si>
    <t>SJW</t>
  </si>
  <si>
    <t>SLGN</t>
  </si>
  <si>
    <t>SMBC</t>
  </si>
  <si>
    <t>SMG</t>
  </si>
  <si>
    <t>SNA</t>
  </si>
  <si>
    <t>SO</t>
  </si>
  <si>
    <t>SON</t>
  </si>
  <si>
    <t>SPGI</t>
  </si>
  <si>
    <t>SPTN</t>
  </si>
  <si>
    <t>SR</t>
  </si>
  <si>
    <t>SRCE</t>
  </si>
  <si>
    <t>SRE</t>
  </si>
  <si>
    <t>SSB</t>
  </si>
  <si>
    <t>STAG</t>
  </si>
  <si>
    <t>STE</t>
  </si>
  <si>
    <t>STT</t>
  </si>
  <si>
    <t>SWK</t>
  </si>
  <si>
    <t>SWX</t>
  </si>
  <si>
    <t>SXI</t>
  </si>
  <si>
    <t>SXT</t>
  </si>
  <si>
    <t>SYBT</t>
  </si>
  <si>
    <t>SYK</t>
  </si>
  <si>
    <t>SYY</t>
  </si>
  <si>
    <t>TDS</t>
  </si>
  <si>
    <t>TEL</t>
  </si>
  <si>
    <t>TFC</t>
  </si>
  <si>
    <t>TGT</t>
  </si>
  <si>
    <t>THFF</t>
  </si>
  <si>
    <t>THG</t>
  </si>
  <si>
    <t>THO</t>
  </si>
  <si>
    <t>TMP</t>
  </si>
  <si>
    <t>TNC</t>
  </si>
  <si>
    <t>TOWN</t>
  </si>
  <si>
    <t>TR</t>
  </si>
  <si>
    <t>TRN</t>
  </si>
  <si>
    <t>TRNO</t>
  </si>
  <si>
    <t>TROW</t>
  </si>
  <si>
    <t>TRV</t>
  </si>
  <si>
    <t>TSCO</t>
  </si>
  <si>
    <t>TSN</t>
  </si>
  <si>
    <t>TT</t>
  </si>
  <si>
    <t>TTC</t>
  </si>
  <si>
    <t>TXN</t>
  </si>
  <si>
    <t>UBSI</t>
  </si>
  <si>
    <t>UDR</t>
  </si>
  <si>
    <t>UGI</t>
  </si>
  <si>
    <t>UHT</t>
  </si>
  <si>
    <t>UMBF</t>
  </si>
  <si>
    <t>UNH</t>
  </si>
  <si>
    <t>UNM</t>
  </si>
  <si>
    <t>UNP</t>
  </si>
  <si>
    <t>UPS</t>
  </si>
  <si>
    <t>USB</t>
  </si>
  <si>
    <t>UVV</t>
  </si>
  <si>
    <t>V</t>
  </si>
  <si>
    <t>VZ</t>
  </si>
  <si>
    <t>WABC</t>
  </si>
  <si>
    <t>WAFD</t>
  </si>
  <si>
    <t>WASH</t>
  </si>
  <si>
    <t>WBA</t>
  </si>
  <si>
    <t>WDFC</t>
  </si>
  <si>
    <t>WEC</t>
  </si>
  <si>
    <t>WHR</t>
  </si>
  <si>
    <t>WLK</t>
  </si>
  <si>
    <t>WM</t>
  </si>
  <si>
    <t>WMT</t>
  </si>
  <si>
    <t>WOR</t>
  </si>
  <si>
    <t>WPC</t>
  </si>
  <si>
    <t>WRB</t>
  </si>
  <si>
    <t>WSBC</t>
  </si>
  <si>
    <t>WSM</t>
  </si>
  <si>
    <t>WST</t>
  </si>
  <si>
    <t>WTRG</t>
  </si>
  <si>
    <t>XEL</t>
  </si>
  <si>
    <t>XOM</t>
  </si>
  <si>
    <t>XYL</t>
  </si>
  <si>
    <t>YORW</t>
  </si>
  <si>
    <t>Healthcare</t>
  </si>
  <si>
    <t>Industrials</t>
  </si>
  <si>
    <t>Technology</t>
  </si>
  <si>
    <t>Consumer Defensive</t>
  </si>
  <si>
    <t>Financial Services</t>
  </si>
  <si>
    <t>Utilities</t>
  </si>
  <si>
    <t>Basic Materials</t>
  </si>
  <si>
    <t>Real Estate</t>
  </si>
  <si>
    <t>Consumer Cyclical</t>
  </si>
  <si>
    <t>N/A</t>
  </si>
  <si>
    <t>Communication Services</t>
  </si>
  <si>
    <t>Energy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</si>
  <si>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</si>
  <si>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</si>
  <si>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</si>
  <si>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</si>
  <si>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</si>
  <si>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</si>
  <si>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</si>
  <si>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</si>
  <si>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</si>
  <si>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2023-03-12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</si>
</sst>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HYPERLINK("https://www.suredividend.com/sure-analysis-ABC/","Amerisource Bergen Corp.")</f>
        <v>0</v>
      </c>
      <c r="C2" t="s">
        <v>384</v>
      </c>
      <c r="D2">
        <v>149.6</v>
      </c>
      <c r="E2">
        <v>0.01296791443850267</v>
      </c>
      <c r="F2">
        <v>0.05434782608695654</v>
      </c>
      <c r="G2">
        <v>0.05000563166277994</v>
      </c>
      <c r="H2">
        <v>1.877082589788038</v>
      </c>
      <c r="I2">
        <v>31582.616056</v>
      </c>
      <c r="J2">
        <v>18.26154756756445</v>
      </c>
      <c r="K2">
        <v>0.2278012851684512</v>
      </c>
      <c r="M2">
        <v>174.09</v>
      </c>
      <c r="N2">
        <v>133.89</v>
      </c>
    </row>
    <row r="3" spans="1:14">
      <c r="A3" s="1" t="s">
        <v>15</v>
      </c>
      <c r="B3">
        <f>HYPERLINK("https://www.suredividend.com/sure-analysis-ABM/","ABM Industries Inc.")</f>
        <v>0</v>
      </c>
      <c r="C3" t="s">
        <v>385</v>
      </c>
      <c r="D3">
        <v>44.75</v>
      </c>
      <c r="E3">
        <v>0.01966480446927374</v>
      </c>
      <c r="F3">
        <v>0.1282051282051282</v>
      </c>
      <c r="G3">
        <v>0.04683184708394994</v>
      </c>
      <c r="H3">
        <v>0.7994499334318951</v>
      </c>
      <c r="I3">
        <v>3226.863595</v>
      </c>
      <c r="J3">
        <v>14.0054843546007</v>
      </c>
      <c r="K3">
        <v>0.2344427957278284</v>
      </c>
      <c r="M3">
        <v>53.24</v>
      </c>
      <c r="N3">
        <v>37.32</v>
      </c>
    </row>
    <row r="4" spans="1:14">
      <c r="A4" s="1" t="s">
        <v>16</v>
      </c>
      <c r="B4">
        <f>HYPERLINK("https://www.suredividend.com/sure-analysis-ABT/","Abbott Laboratories")</f>
        <v>0</v>
      </c>
      <c r="C4" t="s">
        <v>384</v>
      </c>
      <c r="D4">
        <v>96.95999999999999</v>
      </c>
      <c r="E4">
        <v>0.02103960396039604</v>
      </c>
      <c r="F4">
        <v>0.08510638297872331</v>
      </c>
      <c r="G4">
        <v>0.127411418189695</v>
      </c>
      <c r="H4">
        <v>1.907188983280342</v>
      </c>
      <c r="I4">
        <v>181528.484037</v>
      </c>
      <c r="J4">
        <v>26.18325170010818</v>
      </c>
      <c r="K4">
        <v>0.4852898176285858</v>
      </c>
      <c r="M4">
        <v>122.66</v>
      </c>
      <c r="N4">
        <v>92.83</v>
      </c>
    </row>
    <row r="5" spans="1:14">
      <c r="A5" s="1" t="s">
        <v>17</v>
      </c>
      <c r="B5">
        <f>HYPERLINK("https://www.suredividend.com/sure-analysis-ACN/","Accenture plc")</f>
        <v>0</v>
      </c>
      <c r="C5" t="s">
        <v>386</v>
      </c>
      <c r="D5">
        <v>252.95</v>
      </c>
      <c r="E5">
        <v>0.01771101008104369</v>
      </c>
      <c r="F5" t="s">
        <v>393</v>
      </c>
      <c r="G5" t="s">
        <v>393</v>
      </c>
      <c r="H5">
        <v>4.155571743896671</v>
      </c>
      <c r="I5">
        <v>177238.1877</v>
      </c>
      <c r="J5">
        <v>25.136264324846</v>
      </c>
      <c r="K5">
        <v>0.3781229976248108</v>
      </c>
      <c r="M5">
        <v>340.14</v>
      </c>
      <c r="N5">
        <v>241.96</v>
      </c>
    </row>
    <row r="6" spans="1:14">
      <c r="A6" s="1" t="s">
        <v>18</v>
      </c>
      <c r="B6">
        <f>HYPERLINK("https://www.suredividend.com/sure-analysis-ADI/","Analog Devices Inc.")</f>
        <v>0</v>
      </c>
      <c r="C6" t="s">
        <v>386</v>
      </c>
      <c r="D6">
        <v>181.76</v>
      </c>
      <c r="E6">
        <v>0.01892605633802817</v>
      </c>
      <c r="F6">
        <v>0.131578947368421</v>
      </c>
      <c r="G6">
        <v>0.1237027476042598</v>
      </c>
      <c r="H6">
        <v>3.119125148978557</v>
      </c>
      <c r="I6">
        <v>94215.02793900001</v>
      </c>
      <c r="J6">
        <v>27.4682745207813</v>
      </c>
      <c r="K6">
        <v>0.4711669409333167</v>
      </c>
      <c r="M6">
        <v>195.5</v>
      </c>
      <c r="N6">
        <v>132.27</v>
      </c>
    </row>
    <row r="7" spans="1:14">
      <c r="A7" s="1" t="s">
        <v>19</v>
      </c>
      <c r="B7">
        <f>HYPERLINK("https://www.suredividend.com/sure-analysis-ADM/","Archer Daniels Midland Co.")</f>
        <v>0</v>
      </c>
      <c r="C7" t="s">
        <v>387</v>
      </c>
      <c r="D7">
        <v>76.66</v>
      </c>
      <c r="E7">
        <v>0.02348030263501174</v>
      </c>
      <c r="F7">
        <v>0.125</v>
      </c>
      <c r="G7">
        <v>0.06080007397849596</v>
      </c>
      <c r="H7">
        <v>1.638251872129853</v>
      </c>
      <c r="I7">
        <v>44421.583601</v>
      </c>
      <c r="J7">
        <v>10.23538792645161</v>
      </c>
      <c r="K7">
        <v>0.2124840301076333</v>
      </c>
      <c r="M7">
        <v>97.59</v>
      </c>
      <c r="N7">
        <v>69.02</v>
      </c>
    </row>
    <row r="8" spans="1:14">
      <c r="A8" s="1" t="s">
        <v>20</v>
      </c>
      <c r="B8">
        <f>HYPERLINK("https://www.suredividend.com/sure-analysis-ADP/","Automatic Data Processing Inc.")</f>
        <v>0</v>
      </c>
      <c r="C8" t="s">
        <v>385</v>
      </c>
      <c r="D8">
        <v>213.56</v>
      </c>
      <c r="E8">
        <v>0.02341262408690766</v>
      </c>
      <c r="F8">
        <v>0.2019230769230769</v>
      </c>
      <c r="G8">
        <v>0.1261913425989749</v>
      </c>
      <c r="H8">
        <v>4.341176810880759</v>
      </c>
      <c r="I8">
        <v>93125.50906500001</v>
      </c>
      <c r="J8">
        <v>29.60030166380598</v>
      </c>
      <c r="K8">
        <v>0.576517504765041</v>
      </c>
      <c r="M8">
        <v>274.92</v>
      </c>
      <c r="N8">
        <v>194.82</v>
      </c>
    </row>
    <row r="9" spans="1:14">
      <c r="A9" s="1" t="s">
        <v>21</v>
      </c>
      <c r="B9">
        <f>HYPERLINK("https://www.suredividend.com/sure-analysis-AEL/","American Equity Investment Life Holding Co")</f>
        <v>0</v>
      </c>
      <c r="C9" t="s">
        <v>388</v>
      </c>
      <c r="D9">
        <v>37.53</v>
      </c>
      <c r="E9">
        <v>0.009592326139088728</v>
      </c>
      <c r="F9" t="s">
        <v>393</v>
      </c>
      <c r="G9" t="s">
        <v>393</v>
      </c>
      <c r="H9">
        <v>0.360000014305114</v>
      </c>
      <c r="I9">
        <v>3582.819324</v>
      </c>
      <c r="J9">
        <v>3.043331068481375</v>
      </c>
      <c r="K9">
        <v>0.02799378027255941</v>
      </c>
      <c r="M9">
        <v>48.37</v>
      </c>
      <c r="N9">
        <v>28.05</v>
      </c>
    </row>
    <row r="10" spans="1:14">
      <c r="A10" s="1" t="s">
        <v>22</v>
      </c>
      <c r="B10">
        <f>HYPERLINK("https://www.suredividend.com/sure-analysis-AEP/","American Electric Power Company Inc.")</f>
        <v>0</v>
      </c>
      <c r="C10" t="s">
        <v>389</v>
      </c>
      <c r="D10">
        <v>87.53</v>
      </c>
      <c r="E10">
        <v>0.03792985262195819</v>
      </c>
      <c r="F10">
        <v>0.0641025641025641</v>
      </c>
      <c r="G10">
        <v>0.06007667938522787</v>
      </c>
      <c r="H10">
        <v>3.177709772920713</v>
      </c>
      <c r="I10">
        <v>45780.329156</v>
      </c>
      <c r="J10">
        <v>19.84237567453624</v>
      </c>
      <c r="K10">
        <v>0.7077304616749917</v>
      </c>
      <c r="M10">
        <v>103.66</v>
      </c>
      <c r="N10">
        <v>78.81999999999999</v>
      </c>
    </row>
    <row r="11" spans="1:14">
      <c r="A11" s="1" t="s">
        <v>23</v>
      </c>
      <c r="B11">
        <f>HYPERLINK("https://www.suredividend.com/sure-analysis-AFG/","American Financial Group Inc")</f>
        <v>0</v>
      </c>
      <c r="C11" t="s">
        <v>388</v>
      </c>
      <c r="D11">
        <v>122.23</v>
      </c>
      <c r="E11">
        <v>0.02127137363985928</v>
      </c>
      <c r="F11">
        <v>6.142857142857142</v>
      </c>
      <c r="G11">
        <v>0.1486983549970351</v>
      </c>
      <c r="H11">
        <v>2.242704460558548</v>
      </c>
      <c r="I11">
        <v>11315.428601</v>
      </c>
      <c r="J11">
        <v>12.60070000139198</v>
      </c>
      <c r="K11">
        <v>0.21298237992009</v>
      </c>
      <c r="M11">
        <v>143.91</v>
      </c>
      <c r="N11">
        <v>112.87</v>
      </c>
    </row>
    <row r="12" spans="1:14">
      <c r="A12" s="1" t="s">
        <v>24</v>
      </c>
      <c r="B12">
        <f>HYPERLINK("https://www.suredividend.com/sure-analysis-AFL/","Aflac Inc.")</f>
        <v>0</v>
      </c>
      <c r="C12" t="s">
        <v>388</v>
      </c>
      <c r="D12">
        <v>64.03</v>
      </c>
      <c r="E12">
        <v>0.02623770107761986</v>
      </c>
      <c r="F12">
        <v>0.04999999999999982</v>
      </c>
      <c r="G12">
        <v>0.1006650808520966</v>
      </c>
      <c r="H12">
        <v>1.605731211879853</v>
      </c>
      <c r="I12">
        <v>41899.559869</v>
      </c>
      <c r="J12">
        <v>9.973710990030945</v>
      </c>
      <c r="K12">
        <v>0.2436617923945149</v>
      </c>
      <c r="M12">
        <v>73.58</v>
      </c>
      <c r="N12">
        <v>51.13</v>
      </c>
    </row>
    <row r="13" spans="1:14">
      <c r="A13" s="1" t="s">
        <v>25</v>
      </c>
      <c r="B13">
        <f>HYPERLINK("https://www.suredividend.com/sure-analysis-AGM/","Federal Agricultural Mortgage Corp.")</f>
        <v>0</v>
      </c>
      <c r="C13" t="s">
        <v>388</v>
      </c>
      <c r="D13">
        <v>130.21</v>
      </c>
      <c r="E13">
        <v>0.02918362644958144</v>
      </c>
      <c r="F13">
        <v>0.07954545454545459</v>
      </c>
      <c r="G13">
        <v>0.1037205338828775</v>
      </c>
      <c r="H13">
        <v>3.750781193328896</v>
      </c>
      <c r="I13">
        <v>1496.288565</v>
      </c>
      <c r="J13">
        <v>9.910574088449389</v>
      </c>
      <c r="K13">
        <v>0.2704240225904035</v>
      </c>
      <c r="M13">
        <v>148.5</v>
      </c>
      <c r="N13">
        <v>88.53</v>
      </c>
    </row>
    <row r="14" spans="1:14">
      <c r="A14" s="1" t="s">
        <v>26</v>
      </c>
      <c r="B14">
        <f>HYPERLINK("https://www.suredividend.com/sure-analysis-AGO/","Assured Guaranty Ltd")</f>
        <v>0</v>
      </c>
      <c r="C14" t="s">
        <v>388</v>
      </c>
      <c r="D14">
        <v>53.51</v>
      </c>
      <c r="E14">
        <v>0.0194356195103719</v>
      </c>
      <c r="F14">
        <v>0.1200000000000001</v>
      </c>
      <c r="G14">
        <v>0.1184269147201447</v>
      </c>
      <c r="H14">
        <v>0.9935037213176721</v>
      </c>
      <c r="I14">
        <v>3514.438449</v>
      </c>
      <c r="J14">
        <v>28.57267031845528</v>
      </c>
      <c r="K14">
        <v>0.5174498548529542</v>
      </c>
      <c r="M14">
        <v>67.13</v>
      </c>
      <c r="N14">
        <v>45.72</v>
      </c>
    </row>
    <row r="15" spans="1:14">
      <c r="A15" s="1" t="s">
        <v>27</v>
      </c>
      <c r="B15">
        <f>HYPERLINK("https://www.suredividend.com/sure-analysis-AIT/","Applied Industrial Technologies Inc.")</f>
        <v>0</v>
      </c>
      <c r="C15" t="s">
        <v>385</v>
      </c>
      <c r="D15">
        <v>138.8</v>
      </c>
      <c r="E15">
        <v>0.0100864553314121</v>
      </c>
      <c r="F15">
        <v>0.02941176470588247</v>
      </c>
      <c r="G15">
        <v>0.03131030647754507</v>
      </c>
      <c r="H15">
        <v>1.364728432675255</v>
      </c>
      <c r="I15">
        <v>5571.864818</v>
      </c>
      <c r="J15">
        <v>18.28303566935515</v>
      </c>
      <c r="K15">
        <v>0.1751897859660148</v>
      </c>
      <c r="M15">
        <v>149.06</v>
      </c>
      <c r="N15">
        <v>87.39</v>
      </c>
    </row>
    <row r="16" spans="1:14">
      <c r="A16" s="1" t="s">
        <v>28</v>
      </c>
      <c r="B16">
        <f>HYPERLINK("https://www.suredividend.com/sure-analysis-AIZ/","Assurant Inc")</f>
        <v>0</v>
      </c>
      <c r="C16" t="s">
        <v>388</v>
      </c>
      <c r="D16">
        <v>116.75</v>
      </c>
      <c r="E16">
        <v>0.02398286937901499</v>
      </c>
      <c r="F16">
        <v>0.02941176470588247</v>
      </c>
      <c r="G16">
        <v>0.04563955259127317</v>
      </c>
      <c r="H16">
        <v>2.745978750084026</v>
      </c>
      <c r="I16">
        <v>6691.172052</v>
      </c>
      <c r="J16">
        <v>24.19078832986262</v>
      </c>
      <c r="K16">
        <v>0.5437581683334706</v>
      </c>
      <c r="M16">
        <v>191.54</v>
      </c>
      <c r="N16">
        <v>118.36</v>
      </c>
    </row>
    <row r="17" spans="1:14">
      <c r="A17" s="1" t="s">
        <v>29</v>
      </c>
      <c r="B17">
        <f>HYPERLINK("https://www.suredividend.com/sure-analysis-AJG/","Arthur J. Gallagher &amp; Co.")</f>
        <v>0</v>
      </c>
      <c r="C17" t="s">
        <v>388</v>
      </c>
      <c r="D17">
        <v>182.76</v>
      </c>
      <c r="E17">
        <v>0.01203764499890567</v>
      </c>
      <c r="F17">
        <v>0.07843137254901977</v>
      </c>
      <c r="G17">
        <v>0.06051243834129849</v>
      </c>
      <c r="H17">
        <v>2.071488858807449</v>
      </c>
      <c r="I17">
        <v>40092.12882</v>
      </c>
      <c r="J17">
        <v>35.98288352180937</v>
      </c>
      <c r="K17">
        <v>0.3991308013116472</v>
      </c>
      <c r="M17">
        <v>201.78</v>
      </c>
      <c r="N17">
        <v>146.82</v>
      </c>
    </row>
    <row r="18" spans="1:14">
      <c r="A18" s="1" t="s">
        <v>30</v>
      </c>
      <c r="B18">
        <f>HYPERLINK("https://www.suredividend.com/sure-analysis-ALB/","Albemarle Corp.")</f>
        <v>0</v>
      </c>
      <c r="C18" t="s">
        <v>390</v>
      </c>
      <c r="D18">
        <v>225.13</v>
      </c>
      <c r="E18">
        <v>0.007018167281126461</v>
      </c>
      <c r="F18">
        <v>0.01282051282051277</v>
      </c>
      <c r="G18">
        <v>0.03349994468245687</v>
      </c>
      <c r="H18">
        <v>1.576483568438062</v>
      </c>
      <c r="I18">
        <v>30397.639294</v>
      </c>
      <c r="J18">
        <v>11.30101066187799</v>
      </c>
      <c r="K18">
        <v>0.06902292331164896</v>
      </c>
      <c r="M18">
        <v>334.02</v>
      </c>
      <c r="N18">
        <v>168.91</v>
      </c>
    </row>
    <row r="19" spans="1:14">
      <c r="A19" s="1" t="s">
        <v>31</v>
      </c>
      <c r="B19">
        <f>HYPERLINK("https://www.suredividend.com/sure-analysis-ALE/","Allete, Inc.")</f>
        <v>0</v>
      </c>
      <c r="C19" t="s">
        <v>389</v>
      </c>
      <c r="D19">
        <v>60.31</v>
      </c>
      <c r="E19">
        <v>0.04493450505720444</v>
      </c>
      <c r="F19">
        <v>0.04230769230769216</v>
      </c>
      <c r="G19">
        <v>0.03882945351236233</v>
      </c>
      <c r="H19">
        <v>2.585256811521593</v>
      </c>
      <c r="I19">
        <v>3563.990784</v>
      </c>
      <c r="J19">
        <v>18.82720963549921</v>
      </c>
      <c r="K19">
        <v>0.7648688791484004</v>
      </c>
      <c r="M19">
        <v>66.69</v>
      </c>
      <c r="N19">
        <v>46.73</v>
      </c>
    </row>
    <row r="20" spans="1:14">
      <c r="A20" s="1" t="s">
        <v>32</v>
      </c>
      <c r="B20">
        <f>HYPERLINK("https://www.suredividend.com/sure-analysis-ALL/","Allstate Corp (The)")</f>
        <v>0</v>
      </c>
      <c r="C20" t="s">
        <v>388</v>
      </c>
      <c r="D20">
        <v>118.2</v>
      </c>
      <c r="E20">
        <v>0.03011844331641286</v>
      </c>
      <c r="F20">
        <v>0.04705882352941182</v>
      </c>
      <c r="G20">
        <v>0.1411071720529757</v>
      </c>
      <c r="H20">
        <v>3.406193228684602</v>
      </c>
      <c r="I20">
        <v>33740.434461</v>
      </c>
      <c r="J20" t="s">
        <v>393</v>
      </c>
      <c r="K20" t="s">
        <v>393</v>
      </c>
      <c r="M20">
        <v>141.19</v>
      </c>
      <c r="N20">
        <v>109.63</v>
      </c>
    </row>
    <row r="21" spans="1:14">
      <c r="A21" s="1" t="s">
        <v>33</v>
      </c>
      <c r="B21">
        <f>HYPERLINK("https://www.suredividend.com/sure-analysis-AMGN/","AMGEN Inc.")</f>
        <v>0</v>
      </c>
      <c r="C21" t="s">
        <v>384</v>
      </c>
      <c r="D21">
        <v>227.87</v>
      </c>
      <c r="E21">
        <v>0.03738973976390047</v>
      </c>
      <c r="F21">
        <v>0.09793814432989678</v>
      </c>
      <c r="G21">
        <v>0.1004267384562354</v>
      </c>
      <c r="H21">
        <v>7.858178584860549</v>
      </c>
      <c r="I21">
        <v>125382.960445</v>
      </c>
      <c r="J21">
        <v>19.13659347447802</v>
      </c>
      <c r="K21">
        <v>0.6488999657192857</v>
      </c>
      <c r="M21">
        <v>292.06</v>
      </c>
      <c r="N21">
        <v>219.1</v>
      </c>
    </row>
    <row r="22" spans="1:14">
      <c r="A22" s="1" t="s">
        <v>34</v>
      </c>
      <c r="B22">
        <f>HYPERLINK("https://www.suredividend.com/sure-analysis-AMP/","Ameriprise Financial Inc")</f>
        <v>0</v>
      </c>
      <c r="C22" t="s">
        <v>388</v>
      </c>
      <c r="D22">
        <v>301.79</v>
      </c>
      <c r="E22">
        <v>0.01656781205474005</v>
      </c>
      <c r="F22">
        <v>0.1061946902654869</v>
      </c>
      <c r="G22">
        <v>0.06790716584560208</v>
      </c>
      <c r="H22">
        <v>4.97086412503968</v>
      </c>
      <c r="I22">
        <v>36706.484451</v>
      </c>
      <c r="J22">
        <v>14.34407364246581</v>
      </c>
      <c r="K22">
        <v>0.2208291481581377</v>
      </c>
      <c r="M22">
        <v>357.46</v>
      </c>
      <c r="N22">
        <v>217.31</v>
      </c>
    </row>
    <row r="23" spans="1:14">
      <c r="A23" s="1" t="s">
        <v>35</v>
      </c>
      <c r="B23">
        <f>HYPERLINK("https://www.suredividend.com/sure-analysis-ANDE/","Andersons Inc.")</f>
        <v>0</v>
      </c>
      <c r="C23" t="s">
        <v>387</v>
      </c>
      <c r="D23">
        <v>41.72</v>
      </c>
      <c r="E23">
        <v>0.01773729626078619</v>
      </c>
      <c r="F23">
        <v>0.0277777777777779</v>
      </c>
      <c r="G23">
        <v>0.02314587308046168</v>
      </c>
      <c r="H23">
        <v>0.719106123364027</v>
      </c>
      <c r="I23">
        <v>1553.574514</v>
      </c>
      <c r="J23">
        <v>11.85210950442478</v>
      </c>
      <c r="K23">
        <v>0.1887417646624743</v>
      </c>
      <c r="M23">
        <v>58.03</v>
      </c>
      <c r="N23">
        <v>29.03</v>
      </c>
    </row>
    <row r="24" spans="1:14">
      <c r="A24" s="1" t="s">
        <v>36</v>
      </c>
      <c r="B24">
        <f>HYPERLINK("https://www.suredividend.com/sure-analysis-ANTM/","Anthem Inc")</f>
        <v>0</v>
      </c>
      <c r="C24" t="s">
        <v>384</v>
      </c>
      <c r="D24">
        <v>482.58</v>
      </c>
      <c r="E24">
        <v>0.009949524828726001</v>
      </c>
      <c r="F24" t="s">
        <v>393</v>
      </c>
      <c r="G24" t="s">
        <v>393</v>
      </c>
      <c r="H24">
        <v>4.801441691846593</v>
      </c>
      <c r="I24">
        <v>116342.693132</v>
      </c>
      <c r="J24">
        <v>18.63271831076233</v>
      </c>
      <c r="K24">
        <v>0.1890331374742753</v>
      </c>
      <c r="L24">
        <v>0.6881875553722741</v>
      </c>
      <c r="M24">
        <v>532.3099999999999</v>
      </c>
      <c r="N24">
        <v>352.54</v>
      </c>
    </row>
    <row r="25" spans="1:14">
      <c r="A25" s="1" t="s">
        <v>37</v>
      </c>
      <c r="B25">
        <f>HYPERLINK("https://www.suredividend.com/sure-analysis-AON/","Aon plc.")</f>
        <v>0</v>
      </c>
      <c r="C25" t="s">
        <v>388</v>
      </c>
      <c r="D25">
        <v>294.24</v>
      </c>
      <c r="E25">
        <v>0.007612833061446438</v>
      </c>
      <c r="F25" t="s">
        <v>393</v>
      </c>
      <c r="G25" t="s">
        <v>393</v>
      </c>
      <c r="H25">
        <v>2.233805205552484</v>
      </c>
      <c r="I25">
        <v>62377.643183</v>
      </c>
      <c r="J25">
        <v>0</v>
      </c>
      <c r="K25" t="s">
        <v>393</v>
      </c>
      <c r="M25">
        <v>339.47</v>
      </c>
      <c r="N25">
        <v>244.83</v>
      </c>
    </row>
    <row r="26" spans="1:14">
      <c r="A26" s="1" t="s">
        <v>38</v>
      </c>
      <c r="B26">
        <f>HYPERLINK("https://www.suredividend.com/sure-analysis-AOS/","A.O. Smith Corp.")</f>
        <v>0</v>
      </c>
      <c r="C26" t="s">
        <v>385</v>
      </c>
      <c r="D26">
        <v>66.09999999999999</v>
      </c>
      <c r="E26">
        <v>0.01815431164901664</v>
      </c>
      <c r="F26">
        <v>0.0714285714285714</v>
      </c>
      <c r="G26">
        <v>0.1075663432482901</v>
      </c>
      <c r="H26">
        <v>1.151223839387144</v>
      </c>
      <c r="I26">
        <v>10408.596655</v>
      </c>
      <c r="J26">
        <v>36.12422476966483</v>
      </c>
      <c r="K26">
        <v>0.7623998936338703</v>
      </c>
      <c r="M26">
        <v>71.87</v>
      </c>
      <c r="N26">
        <v>46.08</v>
      </c>
    </row>
    <row r="27" spans="1:14">
      <c r="A27" s="1" t="s">
        <v>39</v>
      </c>
      <c r="B27">
        <f>HYPERLINK("https://www.suredividend.com/sure-analysis-APD/","Air Products &amp; Chemicals Inc.")</f>
        <v>0</v>
      </c>
      <c r="C27" t="s">
        <v>390</v>
      </c>
      <c r="D27">
        <v>281.27</v>
      </c>
      <c r="E27">
        <v>0.02488711913819462</v>
      </c>
      <c r="F27">
        <v>0.08000000000000007</v>
      </c>
      <c r="G27">
        <v>0.08049924032577382</v>
      </c>
      <c r="H27">
        <v>6.421524823091209</v>
      </c>
      <c r="I27">
        <v>65465.582818</v>
      </c>
      <c r="J27">
        <v>28.86616818103973</v>
      </c>
      <c r="K27">
        <v>0.630179079793053</v>
      </c>
      <c r="M27">
        <v>326.85</v>
      </c>
      <c r="N27">
        <v>210.83</v>
      </c>
    </row>
    <row r="28" spans="1:14">
      <c r="A28" s="1" t="s">
        <v>40</v>
      </c>
      <c r="B28">
        <f>HYPERLINK("https://www.suredividend.com/sure-analysis-APH/","Amphenol Corp.")</f>
        <v>0</v>
      </c>
      <c r="C28" t="s">
        <v>386</v>
      </c>
      <c r="D28">
        <v>76.5</v>
      </c>
      <c r="E28">
        <v>0.01098039215686275</v>
      </c>
      <c r="F28" t="s">
        <v>393</v>
      </c>
      <c r="G28" t="s">
        <v>393</v>
      </c>
      <c r="H28">
        <v>0.806644015314628</v>
      </c>
      <c r="I28">
        <v>47068.893328</v>
      </c>
      <c r="J28">
        <v>24.74314951807812</v>
      </c>
      <c r="K28">
        <v>0.2636091553315778</v>
      </c>
      <c r="M28">
        <v>82.64</v>
      </c>
      <c r="N28">
        <v>61.33</v>
      </c>
    </row>
    <row r="29" spans="1:14">
      <c r="A29" s="1" t="s">
        <v>41</v>
      </c>
      <c r="B29">
        <f>HYPERLINK("https://www.suredividend.com/sure-analysis-APOG/","Apogee Enterprises Inc.")</f>
        <v>0</v>
      </c>
      <c r="C29" t="s">
        <v>385</v>
      </c>
      <c r="D29">
        <v>43.51</v>
      </c>
      <c r="E29">
        <v>0.02206389335784877</v>
      </c>
      <c r="F29">
        <v>0.09090909090909083</v>
      </c>
      <c r="G29">
        <v>0.087892885777757</v>
      </c>
      <c r="H29">
        <v>0.892971833036555</v>
      </c>
      <c r="I29">
        <v>1061.601803</v>
      </c>
      <c r="J29">
        <v>15.70114923313564</v>
      </c>
      <c r="K29">
        <v>0.3037319159988283</v>
      </c>
      <c r="M29">
        <v>49.39</v>
      </c>
      <c r="N29">
        <v>35.38</v>
      </c>
    </row>
    <row r="30" spans="1:14">
      <c r="A30" s="1" t="s">
        <v>42</v>
      </c>
      <c r="B30">
        <f>HYPERLINK("https://www.suredividend.com/sure-analysis-ARE/","Alexandria Real Estate Equities Inc.")</f>
        <v>0</v>
      </c>
      <c r="C30" t="s">
        <v>391</v>
      </c>
      <c r="D30">
        <v>126.8</v>
      </c>
      <c r="E30">
        <v>0.03817034700315457</v>
      </c>
      <c r="F30">
        <v>0.0521739130434784</v>
      </c>
      <c r="G30">
        <v>0.06098335879266292</v>
      </c>
      <c r="H30">
        <v>4.661855391292268</v>
      </c>
      <c r="I30">
        <v>24895.115723</v>
      </c>
      <c r="J30">
        <v>48.5031518099901</v>
      </c>
      <c r="K30">
        <v>1.465992261412663</v>
      </c>
      <c r="M30">
        <v>201.73</v>
      </c>
      <c r="N30">
        <v>125.67</v>
      </c>
    </row>
    <row r="31" spans="1:14">
      <c r="A31" s="1" t="s">
        <v>43</v>
      </c>
      <c r="B31">
        <f>HYPERLINK("https://www.suredividend.com/sure-analysis-ASB/","Associated Banc-Corp.")</f>
        <v>0</v>
      </c>
      <c r="C31" t="s">
        <v>388</v>
      </c>
      <c r="D31">
        <v>20.44</v>
      </c>
      <c r="E31">
        <v>0.0410958904109589</v>
      </c>
      <c r="F31">
        <v>0.04999999999999982</v>
      </c>
      <c r="G31">
        <v>0.06961037572506878</v>
      </c>
      <c r="H31">
        <v>0.8092308577737251</v>
      </c>
      <c r="I31">
        <v>3476.012379</v>
      </c>
      <c r="J31">
        <v>9.863518388018536</v>
      </c>
      <c r="K31">
        <v>0.3458251528947543</v>
      </c>
      <c r="M31">
        <v>25.06</v>
      </c>
      <c r="N31">
        <v>16.98</v>
      </c>
    </row>
    <row r="32" spans="1:14">
      <c r="A32" s="1" t="s">
        <v>44</v>
      </c>
      <c r="B32">
        <f>HYPERLINK("https://www.suredividend.com/sure-analysis-research-database/","Ashland Inc")</f>
        <v>0</v>
      </c>
      <c r="C32" t="s">
        <v>390</v>
      </c>
      <c r="D32">
        <v>97.37</v>
      </c>
      <c r="E32">
        <v>0.012862562319461</v>
      </c>
      <c r="F32">
        <v>0.1166666666666665</v>
      </c>
      <c r="G32">
        <v>0.0602809527753625</v>
      </c>
      <c r="H32">
        <v>1.333590461281734</v>
      </c>
      <c r="I32">
        <v>5626.87814</v>
      </c>
      <c r="J32">
        <v>6.122827138367792</v>
      </c>
      <c r="K32">
        <v>0.08019184974634601</v>
      </c>
      <c r="M32">
        <v>113.98</v>
      </c>
      <c r="N32">
        <v>82.48999999999999</v>
      </c>
    </row>
    <row r="33" spans="1:14">
      <c r="A33" s="1" t="s">
        <v>45</v>
      </c>
      <c r="B33">
        <f>HYPERLINK("https://www.suredividend.com/sure-analysis-ATO/","Atmos Energy Corp.")</f>
        <v>0</v>
      </c>
      <c r="C33" t="s">
        <v>389</v>
      </c>
      <c r="D33">
        <v>109.16</v>
      </c>
      <c r="E33">
        <v>0.02711615976548186</v>
      </c>
      <c r="F33">
        <v>0.08823529411764697</v>
      </c>
      <c r="G33">
        <v>0.08817312612555162</v>
      </c>
      <c r="H33">
        <v>2.82281665753847</v>
      </c>
      <c r="I33">
        <v>16138.71088</v>
      </c>
      <c r="J33">
        <v>20.26101750018832</v>
      </c>
      <c r="K33">
        <v>0.4969747636511391</v>
      </c>
      <c r="M33">
        <v>120.73</v>
      </c>
      <c r="N33">
        <v>97.09</v>
      </c>
    </row>
    <row r="34" spans="1:14">
      <c r="A34" s="1" t="s">
        <v>46</v>
      </c>
      <c r="B34">
        <f>HYPERLINK("https://www.suredividend.com/sure-analysis-ATR/","Aptargroup Inc.")</f>
        <v>0</v>
      </c>
      <c r="C34" t="s">
        <v>392</v>
      </c>
      <c r="D34">
        <v>112.56</v>
      </c>
      <c r="E34">
        <v>0.01403695806680881</v>
      </c>
      <c r="F34">
        <v>0</v>
      </c>
      <c r="G34">
        <v>0.03496752704080697</v>
      </c>
      <c r="H34">
        <v>1.511933804507403</v>
      </c>
      <c r="I34">
        <v>7864.400866</v>
      </c>
      <c r="J34">
        <v>32.86583892944903</v>
      </c>
      <c r="K34">
        <v>0.4211514775786638</v>
      </c>
      <c r="M34">
        <v>121.28</v>
      </c>
      <c r="N34">
        <v>89.58</v>
      </c>
    </row>
    <row r="35" spans="1:14">
      <c r="A35" s="1" t="s">
        <v>47</v>
      </c>
      <c r="B35">
        <f>HYPERLINK("https://www.suredividend.com/sure-analysis-ATRI/","Atrion Corp.")</f>
        <v>0</v>
      </c>
      <c r="C35" t="s">
        <v>384</v>
      </c>
      <c r="D35">
        <v>605.25</v>
      </c>
      <c r="E35">
        <v>0.01420900454357703</v>
      </c>
      <c r="F35">
        <v>0.1025641025641024</v>
      </c>
      <c r="G35">
        <v>0.1237027476042598</v>
      </c>
      <c r="H35">
        <v>8.157522700227936</v>
      </c>
      <c r="I35">
        <v>1106.578094</v>
      </c>
      <c r="J35">
        <v>31.60929200125686</v>
      </c>
      <c r="K35">
        <v>0.4170512627928393</v>
      </c>
      <c r="M35">
        <v>775.63</v>
      </c>
      <c r="N35">
        <v>534.99</v>
      </c>
    </row>
    <row r="36" spans="1:14">
      <c r="A36" s="1" t="s">
        <v>48</v>
      </c>
      <c r="B36">
        <f>HYPERLINK("https://www.suredividend.com/sure-analysis-research-database/","Atlantic Union Bankshares Corp")</f>
        <v>0</v>
      </c>
      <c r="C36" t="s">
        <v>388</v>
      </c>
      <c r="D36">
        <v>36.16</v>
      </c>
      <c r="E36">
        <v>0.031123445397958</v>
      </c>
      <c r="F36">
        <v>0.0714285714285714</v>
      </c>
      <c r="G36">
        <v>0.05457794330579446</v>
      </c>
      <c r="H36">
        <v>1.158103403258046</v>
      </c>
      <c r="I36">
        <v>2780.384485</v>
      </c>
      <c r="J36">
        <v>12.48814008462015</v>
      </c>
      <c r="K36">
        <v>0.3899338058107899</v>
      </c>
      <c r="M36">
        <v>39.97</v>
      </c>
      <c r="N36">
        <v>29.5</v>
      </c>
    </row>
    <row r="37" spans="1:14">
      <c r="A37" s="1" t="s">
        <v>49</v>
      </c>
      <c r="B37">
        <f>HYPERLINK("https://www.suredividend.com/sure-analysis-AVA/","Avista Corp.")</f>
        <v>0</v>
      </c>
      <c r="C37" t="s">
        <v>389</v>
      </c>
      <c r="D37">
        <v>40.32</v>
      </c>
      <c r="E37">
        <v>0.04563492063492064</v>
      </c>
      <c r="F37">
        <v>0.04545454545454541</v>
      </c>
      <c r="G37">
        <v>0.04310087790766515</v>
      </c>
      <c r="H37">
        <v>1.750646441394686</v>
      </c>
      <c r="I37">
        <v>3116.001507</v>
      </c>
      <c r="J37">
        <v>20.0804345166134</v>
      </c>
      <c r="K37">
        <v>0.8257766232993802</v>
      </c>
      <c r="M37">
        <v>44.93</v>
      </c>
      <c r="N37">
        <v>34.91</v>
      </c>
    </row>
    <row r="38" spans="1:14">
      <c r="A38" s="1" t="s">
        <v>50</v>
      </c>
      <c r="B38">
        <f>HYPERLINK("https://www.suredividend.com/sure-analysis-AVGO/","Broadcom Inc")</f>
        <v>0</v>
      </c>
      <c r="C38" t="s">
        <v>386</v>
      </c>
      <c r="D38">
        <v>614.83</v>
      </c>
      <c r="E38">
        <v>0.02992697168322951</v>
      </c>
      <c r="F38">
        <v>0.1219512195121952</v>
      </c>
      <c r="G38">
        <v>0.2132322791678671</v>
      </c>
      <c r="H38">
        <v>16.73059780726953</v>
      </c>
      <c r="I38">
        <v>263812.617633</v>
      </c>
      <c r="J38">
        <v>23.50642587834269</v>
      </c>
      <c r="K38">
        <v>0.6306293934138535</v>
      </c>
      <c r="M38">
        <v>635.73</v>
      </c>
      <c r="N38">
        <v>411.63</v>
      </c>
    </row>
    <row r="39" spans="1:14">
      <c r="A39" s="1" t="s">
        <v>51</v>
      </c>
      <c r="B39">
        <f>HYPERLINK("https://www.suredividend.com/sure-analysis-AVNT/","Avient Corp")</f>
        <v>0</v>
      </c>
      <c r="C39" t="s">
        <v>393</v>
      </c>
      <c r="D39">
        <v>39.63</v>
      </c>
      <c r="E39">
        <v>0.02498107494322483</v>
      </c>
      <c r="F39">
        <v>0.04210526315789487</v>
      </c>
      <c r="G39">
        <v>0.07178439849804441</v>
      </c>
      <c r="H39">
        <v>0.95078422234125</v>
      </c>
      <c r="I39">
        <v>4039.81809</v>
      </c>
      <c r="J39">
        <v>5.745723354373489</v>
      </c>
      <c r="K39">
        <v>0.1246113004379096</v>
      </c>
      <c r="M39">
        <v>53.76</v>
      </c>
      <c r="N39">
        <v>27.45</v>
      </c>
    </row>
    <row r="40" spans="1:14">
      <c r="A40" s="1" t="s">
        <v>52</v>
      </c>
      <c r="B40">
        <f>HYPERLINK("https://www.suredividend.com/sure-analysis-AVY/","Avery Dennison Corp.")</f>
        <v>0</v>
      </c>
      <c r="C40" t="s">
        <v>385</v>
      </c>
      <c r="D40">
        <v>170.74</v>
      </c>
      <c r="E40">
        <v>0.01757057514349303</v>
      </c>
      <c r="F40" t="s">
        <v>393</v>
      </c>
      <c r="G40" t="s">
        <v>393</v>
      </c>
      <c r="H40">
        <v>2.984866656831224</v>
      </c>
      <c r="I40">
        <v>14817.636617</v>
      </c>
      <c r="J40">
        <v>19.57157128101968</v>
      </c>
      <c r="K40">
        <v>0.3240897564420439</v>
      </c>
      <c r="M40">
        <v>202.73</v>
      </c>
      <c r="N40">
        <v>150.4</v>
      </c>
    </row>
    <row r="41" spans="1:14">
      <c r="A41" s="1" t="s">
        <v>53</v>
      </c>
      <c r="B41">
        <f>HYPERLINK("https://www.suredividend.com/sure-analysis-AWK/","American Water Works Co. Inc.")</f>
        <v>0</v>
      </c>
      <c r="C41" t="s">
        <v>389</v>
      </c>
      <c r="D41">
        <v>133.65</v>
      </c>
      <c r="E41">
        <v>0.01960344182566405</v>
      </c>
      <c r="F41">
        <v>0.08713692946058083</v>
      </c>
      <c r="G41">
        <v>0.07558808018541208</v>
      </c>
      <c r="H41">
        <v>2.602904216039304</v>
      </c>
      <c r="I41">
        <v>25420.724241</v>
      </c>
      <c r="J41">
        <v>31.0008832207317</v>
      </c>
      <c r="K41">
        <v>0.5771406243989587</v>
      </c>
      <c r="M41">
        <v>170.85</v>
      </c>
      <c r="N41">
        <v>121.68</v>
      </c>
    </row>
    <row r="42" spans="1:14">
      <c r="A42" s="1" t="s">
        <v>54</v>
      </c>
      <c r="B42">
        <f>HYPERLINK("https://www.suredividend.com/sure-analysis-AWR/","American States Water Co.")</f>
        <v>0</v>
      </c>
      <c r="C42" t="s">
        <v>389</v>
      </c>
      <c r="D42">
        <v>84.73999999999999</v>
      </c>
      <c r="E42">
        <v>0.01876327590276139</v>
      </c>
      <c r="F42">
        <v>0.08904109589041109</v>
      </c>
      <c r="G42">
        <v>0.09284706567232748</v>
      </c>
      <c r="H42">
        <v>1.547614571957539</v>
      </c>
      <c r="I42">
        <v>3223.751038</v>
      </c>
      <c r="J42">
        <v>41.22496500466758</v>
      </c>
      <c r="K42">
        <v>0.7334666217808242</v>
      </c>
      <c r="M42">
        <v>100.07</v>
      </c>
      <c r="N42">
        <v>70.29000000000001</v>
      </c>
    </row>
    <row r="43" spans="1:14">
      <c r="A43" s="1" t="s">
        <v>55</v>
      </c>
      <c r="B43">
        <f>HYPERLINK("https://www.suredividend.com/sure-analysis-AXS/","Axis Capital Holdings Ltd")</f>
        <v>0</v>
      </c>
      <c r="C43" t="s">
        <v>388</v>
      </c>
      <c r="D43">
        <v>56.39</v>
      </c>
      <c r="E43">
        <v>0.03121120766093279</v>
      </c>
      <c r="F43">
        <v>0.02325581395348841</v>
      </c>
      <c r="G43">
        <v>0.02441897433224605</v>
      </c>
      <c r="H43">
        <v>1.709024972380181</v>
      </c>
      <c r="I43">
        <v>5131.771904</v>
      </c>
      <c r="J43">
        <v>26.61251914330016</v>
      </c>
      <c r="K43">
        <v>0.7595666543911916</v>
      </c>
      <c r="M43">
        <v>63.99</v>
      </c>
      <c r="N43">
        <v>47.78</v>
      </c>
    </row>
    <row r="44" spans="1:14">
      <c r="A44" s="1" t="s">
        <v>56</v>
      </c>
      <c r="B44">
        <f>HYPERLINK("https://www.suredividend.com/sure-analysis-BANF/","Bancfirst Corp.")</f>
        <v>0</v>
      </c>
      <c r="C44" t="s">
        <v>388</v>
      </c>
      <c r="D44">
        <v>87.05</v>
      </c>
      <c r="E44">
        <v>0.01883974727168294</v>
      </c>
      <c r="F44">
        <v>0.1111111111111112</v>
      </c>
      <c r="G44">
        <v>0.137543830351883</v>
      </c>
      <c r="H44">
        <v>1.510451822488914</v>
      </c>
      <c r="I44">
        <v>2960.84998</v>
      </c>
      <c r="J44">
        <v>15.33324692118074</v>
      </c>
      <c r="K44">
        <v>0.2617767456653231</v>
      </c>
      <c r="M44">
        <v>117.02</v>
      </c>
      <c r="N44">
        <v>73.73999999999999</v>
      </c>
    </row>
    <row r="45" spans="1:14">
      <c r="A45" s="1" t="s">
        <v>57</v>
      </c>
      <c r="B45">
        <f>HYPERLINK("https://www.suredividend.com/sure-analysis-BBY/","Best Buy Co. Inc.")</f>
        <v>0</v>
      </c>
      <c r="C45" t="s">
        <v>392</v>
      </c>
      <c r="D45">
        <v>78.61</v>
      </c>
      <c r="E45">
        <v>0.04681338252130773</v>
      </c>
      <c r="F45">
        <v>0.2571428571428571</v>
      </c>
      <c r="G45">
        <v>0.1435470336492659</v>
      </c>
      <c r="H45">
        <v>3.460082091614306</v>
      </c>
      <c r="I45">
        <v>18422.47844</v>
      </c>
      <c r="J45">
        <v>11.88546996131613</v>
      </c>
      <c r="K45">
        <v>0.5133652954917368</v>
      </c>
      <c r="M45">
        <v>104.42</v>
      </c>
      <c r="N45">
        <v>60.13</v>
      </c>
    </row>
    <row r="46" spans="1:14">
      <c r="A46" s="1" t="s">
        <v>58</v>
      </c>
      <c r="B46">
        <f>HYPERLINK("https://www.suredividend.com/sure-analysis-research-database/","Balchem Corp.")</f>
        <v>0</v>
      </c>
      <c r="C46" t="s">
        <v>390</v>
      </c>
      <c r="D46">
        <v>124.82</v>
      </c>
      <c r="E46">
        <v>0.005350011141152001</v>
      </c>
      <c r="F46" t="s">
        <v>393</v>
      </c>
      <c r="G46" t="s">
        <v>393</v>
      </c>
      <c r="H46">
        <v>0.7099999785423271</v>
      </c>
      <c r="I46">
        <v>4269.207311</v>
      </c>
      <c r="J46">
        <v>40.51749894530546</v>
      </c>
      <c r="K46">
        <v>0.2184615318591776</v>
      </c>
      <c r="M46">
        <v>143.04</v>
      </c>
      <c r="N46">
        <v>109.5</v>
      </c>
    </row>
    <row r="47" spans="1:14">
      <c r="A47" s="1" t="s">
        <v>59</v>
      </c>
      <c r="B47">
        <f>HYPERLINK("https://www.suredividend.com/sure-analysis-BDX/","Becton, Dickinson And Co.")</f>
        <v>0</v>
      </c>
      <c r="C47" t="s">
        <v>384</v>
      </c>
      <c r="D47">
        <v>229.71</v>
      </c>
      <c r="E47">
        <v>0.01584606677985286</v>
      </c>
      <c r="F47">
        <v>0.04597701149425282</v>
      </c>
      <c r="G47">
        <v>0.03943186329943948</v>
      </c>
      <c r="H47">
        <v>3.48091099720736</v>
      </c>
      <c r="I47">
        <v>67347.147515</v>
      </c>
      <c r="J47">
        <v>44.249111376636</v>
      </c>
      <c r="K47">
        <v>0.6567756598504453</v>
      </c>
      <c r="M47">
        <v>274.41</v>
      </c>
      <c r="N47">
        <v>215.1</v>
      </c>
    </row>
    <row r="48" spans="1:14">
      <c r="A48" s="1" t="s">
        <v>60</v>
      </c>
      <c r="B48">
        <f>HYPERLINK("https://www.suredividend.com/sure-analysis-BEN/","Franklin Resources, Inc.")</f>
        <v>0</v>
      </c>
      <c r="C48" t="s">
        <v>388</v>
      </c>
      <c r="D48">
        <v>27.57</v>
      </c>
      <c r="E48">
        <v>0.04352557127312296</v>
      </c>
      <c r="F48">
        <v>0.03448275862068995</v>
      </c>
      <c r="G48">
        <v>0.05457794330579446</v>
      </c>
      <c r="H48">
        <v>1.1494802436171</v>
      </c>
      <c r="I48">
        <v>14802.635759</v>
      </c>
      <c r="J48">
        <v>15.3905549580786</v>
      </c>
      <c r="K48">
        <v>0.5834925094503045</v>
      </c>
      <c r="M48">
        <v>34.37</v>
      </c>
      <c r="N48">
        <v>20.01</v>
      </c>
    </row>
    <row r="49" spans="1:14">
      <c r="A49" s="1" t="s">
        <v>61</v>
      </c>
      <c r="B49">
        <f>HYPERLINK("https://www.suredividend.com/sure-analysis-BIP/","Brookfield Infrastructure Partners L.P")</f>
        <v>0</v>
      </c>
      <c r="C49" t="s">
        <v>389</v>
      </c>
      <c r="D49">
        <v>32.08</v>
      </c>
      <c r="E49">
        <v>0.04769326683291771</v>
      </c>
      <c r="F49" t="s">
        <v>393</v>
      </c>
      <c r="G49" t="s">
        <v>393</v>
      </c>
      <c r="H49">
        <v>1.533146699105875</v>
      </c>
      <c r="I49">
        <v>15420.007585</v>
      </c>
      <c r="J49">
        <v>0</v>
      </c>
      <c r="K49" t="s">
        <v>393</v>
      </c>
      <c r="M49">
        <v>44.28</v>
      </c>
      <c r="N49">
        <v>29.69</v>
      </c>
    </row>
    <row r="50" spans="1:14">
      <c r="A50" s="1" t="s">
        <v>62</v>
      </c>
      <c r="B50">
        <f>HYPERLINK("https://www.suredividend.com/sure-analysis-BK/","Bank Of New York Mellon Corp")</f>
        <v>0</v>
      </c>
      <c r="C50" t="s">
        <v>388</v>
      </c>
      <c r="D50">
        <v>47.31</v>
      </c>
      <c r="E50">
        <v>0.03128302684421898</v>
      </c>
      <c r="F50">
        <v>0.08823529411764697</v>
      </c>
      <c r="G50">
        <v>0.0904307661344419</v>
      </c>
      <c r="H50">
        <v>1.432718275053774</v>
      </c>
      <c r="I50">
        <v>41047.367232</v>
      </c>
      <c r="J50">
        <v>17.37822490775614</v>
      </c>
      <c r="K50">
        <v>0.4940407845013013</v>
      </c>
      <c r="M50">
        <v>52.26</v>
      </c>
      <c r="N50">
        <v>35.63</v>
      </c>
    </row>
    <row r="51" spans="1:14">
      <c r="A51" s="1" t="s">
        <v>63</v>
      </c>
      <c r="B51">
        <f>HYPERLINK("https://www.suredividend.com/sure-analysis-BKH/","Black Hills Corporation")</f>
        <v>0</v>
      </c>
      <c r="C51" t="s">
        <v>389</v>
      </c>
      <c r="D51">
        <v>59.88</v>
      </c>
      <c r="E51">
        <v>0.041750167000668</v>
      </c>
      <c r="F51">
        <v>0.05042016806722693</v>
      </c>
      <c r="G51">
        <v>0.05642162229904302</v>
      </c>
      <c r="H51">
        <v>2.406983487102942</v>
      </c>
      <c r="I51">
        <v>4116.263575</v>
      </c>
      <c r="J51">
        <v>15.93061405976307</v>
      </c>
      <c r="K51">
        <v>0.6062930697992297</v>
      </c>
      <c r="M51">
        <v>78.27</v>
      </c>
      <c r="N51">
        <v>57.96</v>
      </c>
    </row>
    <row r="52" spans="1:14">
      <c r="A52" s="1" t="s">
        <v>64</v>
      </c>
      <c r="B52">
        <f>HYPERLINK("https://www.suredividend.com/sure-analysis-BLK/","Blackrock Inc.")</f>
        <v>0</v>
      </c>
      <c r="C52" t="s">
        <v>388</v>
      </c>
      <c r="D52">
        <v>635.03</v>
      </c>
      <c r="E52">
        <v>0.03149457505944601</v>
      </c>
      <c r="F52">
        <v>0.02459016393442615</v>
      </c>
      <c r="G52">
        <v>0.1166459711038099</v>
      </c>
      <c r="H52">
        <v>14.57317717186121</v>
      </c>
      <c r="I52">
        <v>104450.335965</v>
      </c>
      <c r="J52">
        <v>20.17194591821553</v>
      </c>
      <c r="K52">
        <v>0.4288751374885582</v>
      </c>
      <c r="M52">
        <v>781.77</v>
      </c>
      <c r="N52">
        <v>499.68</v>
      </c>
    </row>
    <row r="53" spans="1:14">
      <c r="A53" s="1" t="s">
        <v>65</v>
      </c>
      <c r="B53">
        <f>HYPERLINK("https://www.suredividend.com/sure-analysis-BMI/","Badger Meter Inc.")</f>
        <v>0</v>
      </c>
      <c r="C53" t="s">
        <v>385</v>
      </c>
      <c r="D53">
        <v>115.51</v>
      </c>
      <c r="E53">
        <v>0.007791533200588694</v>
      </c>
      <c r="F53">
        <v>0.125</v>
      </c>
      <c r="G53">
        <v>0.1159579570439235</v>
      </c>
      <c r="H53">
        <v>0.8724900806150421</v>
      </c>
      <c r="I53">
        <v>3625.588669</v>
      </c>
      <c r="J53">
        <v>54.52340996511068</v>
      </c>
      <c r="K53">
        <v>0.3860575577942664</v>
      </c>
      <c r="M53">
        <v>124.35</v>
      </c>
      <c r="N53">
        <v>72.75</v>
      </c>
    </row>
    <row r="54" spans="1:14">
      <c r="A54" s="1" t="s">
        <v>66</v>
      </c>
      <c r="B54">
        <f>HYPERLINK("https://www.suredividend.com/sure-analysis-BMRC/","Bank of Marin Bancorp")</f>
        <v>0</v>
      </c>
      <c r="C54" t="s">
        <v>388</v>
      </c>
      <c r="D54">
        <v>26.31</v>
      </c>
      <c r="E54">
        <v>0.03800836183960472</v>
      </c>
      <c r="F54">
        <v>0.04166666666666674</v>
      </c>
      <c r="G54" t="s">
        <v>393</v>
      </c>
      <c r="H54">
        <v>0.9786202991906421</v>
      </c>
      <c r="I54">
        <v>488.07157</v>
      </c>
      <c r="J54">
        <v>11.24096755682996</v>
      </c>
      <c r="K54">
        <v>0.359786874702442</v>
      </c>
      <c r="M54">
        <v>36.22</v>
      </c>
      <c r="N54">
        <v>28.77</v>
      </c>
    </row>
    <row r="55" spans="1:14">
      <c r="A55" s="1" t="s">
        <v>67</v>
      </c>
      <c r="B55">
        <f>HYPERLINK("https://www.suredividend.com/sure-analysis-BMY/","Bristol-Myers Squibb Co.")</f>
        <v>0</v>
      </c>
      <c r="C55" t="s">
        <v>384</v>
      </c>
      <c r="D55">
        <v>65.70999999999999</v>
      </c>
      <c r="E55">
        <v>0.03469791508141835</v>
      </c>
      <c r="F55">
        <v>0.05555555555555558</v>
      </c>
      <c r="G55">
        <v>0.07340341554655661</v>
      </c>
      <c r="H55">
        <v>2.165518037152859</v>
      </c>
      <c r="I55">
        <v>145445.175275</v>
      </c>
      <c r="J55">
        <v>22.98801569075391</v>
      </c>
      <c r="K55">
        <v>0.7340739108992742</v>
      </c>
      <c r="M55">
        <v>80.8</v>
      </c>
      <c r="N55">
        <v>64.94</v>
      </c>
    </row>
    <row r="56" spans="1:14">
      <c r="A56" s="1" t="s">
        <v>68</v>
      </c>
      <c r="B56">
        <f>HYPERLINK("https://www.suredividend.com/sure-analysis-BOKF/","BOK Financial Corp.")</f>
        <v>0</v>
      </c>
      <c r="C56" t="s">
        <v>388</v>
      </c>
      <c r="D56">
        <v>94.42</v>
      </c>
      <c r="E56">
        <v>0.02287650921414955</v>
      </c>
      <c r="F56">
        <v>0.01886792452830188</v>
      </c>
      <c r="G56">
        <v>0.03713728933664817</v>
      </c>
      <c r="H56">
        <v>2.123229449449054</v>
      </c>
      <c r="I56">
        <v>6949.66545</v>
      </c>
      <c r="J56">
        <v>13.45608738182276</v>
      </c>
      <c r="K56">
        <v>0.2764621678970123</v>
      </c>
      <c r="M56">
        <v>109.7</v>
      </c>
      <c r="N56">
        <v>69.09</v>
      </c>
    </row>
    <row r="57" spans="1:14">
      <c r="A57" s="1" t="s">
        <v>69</v>
      </c>
      <c r="B57">
        <f>HYPERLINK("https://www.suredividend.com/sure-analysis-BR/","Broadridge Financial Solutions, Inc.")</f>
        <v>0</v>
      </c>
      <c r="C57" t="s">
        <v>386</v>
      </c>
      <c r="D57">
        <v>136.99</v>
      </c>
      <c r="E57">
        <v>0.02116942842543251</v>
      </c>
      <c r="F57">
        <v>0.1328125</v>
      </c>
      <c r="G57">
        <v>0.1471204666826835</v>
      </c>
      <c r="H57">
        <v>2.711506079509004</v>
      </c>
      <c r="I57">
        <v>16960.740536</v>
      </c>
      <c r="J57">
        <v>31.85115593569953</v>
      </c>
      <c r="K57">
        <v>0.6038989041222725</v>
      </c>
      <c r="M57">
        <v>181.63</v>
      </c>
      <c r="N57">
        <v>130.69</v>
      </c>
    </row>
    <row r="58" spans="1:14">
      <c r="A58" s="1" t="s">
        <v>70</v>
      </c>
      <c r="B58">
        <f>HYPERLINK("https://www.suredividend.com/sure-analysis-BRC/","Brady Corp.")</f>
        <v>0</v>
      </c>
      <c r="C58" t="s">
        <v>385</v>
      </c>
      <c r="D58">
        <v>52.78</v>
      </c>
      <c r="E58">
        <v>0.01743084501705191</v>
      </c>
      <c r="F58">
        <v>0.02222222222222214</v>
      </c>
      <c r="G58">
        <v>0.02080302181960847</v>
      </c>
      <c r="H58">
        <v>0.9032600256029931</v>
      </c>
      <c r="I58">
        <v>2586.938108</v>
      </c>
      <c r="J58">
        <v>16.40063719933559</v>
      </c>
      <c r="K58">
        <v>0.2895064184624978</v>
      </c>
      <c r="M58">
        <v>56.35</v>
      </c>
      <c r="N58">
        <v>40.32</v>
      </c>
    </row>
    <row r="59" spans="1:14">
      <c r="A59" s="1" t="s">
        <v>71</v>
      </c>
      <c r="B59">
        <f>HYPERLINK("https://www.suredividend.com/sure-analysis-BRO/","Brown &amp; Brown, Inc.")</f>
        <v>0</v>
      </c>
      <c r="C59" t="s">
        <v>388</v>
      </c>
      <c r="D59">
        <v>54.92</v>
      </c>
      <c r="E59">
        <v>0.008375819373634377</v>
      </c>
      <c r="F59" t="s">
        <v>393</v>
      </c>
      <c r="G59" t="s">
        <v>393</v>
      </c>
      <c r="H59">
        <v>0.43380932859894</v>
      </c>
      <c r="I59">
        <v>16136.55582</v>
      </c>
      <c r="J59">
        <v>24.48271251706873</v>
      </c>
      <c r="K59">
        <v>0.1830419108012405</v>
      </c>
      <c r="M59">
        <v>73.47</v>
      </c>
      <c r="N59">
        <v>52.62</v>
      </c>
    </row>
    <row r="60" spans="1:14">
      <c r="A60" s="1" t="s">
        <v>72</v>
      </c>
      <c r="B60">
        <f>HYPERLINK("https://www.suredividend.com/sure-analysis-CAH/","Cardinal Health, Inc.")</f>
        <v>0</v>
      </c>
      <c r="C60" t="s">
        <v>384</v>
      </c>
      <c r="D60">
        <v>71.19</v>
      </c>
      <c r="E60">
        <v>0.02781289506953224</v>
      </c>
      <c r="F60">
        <v>0.009983700081499514</v>
      </c>
      <c r="G60">
        <v>0.01400528535156087</v>
      </c>
      <c r="H60">
        <v>1.956809231659648</v>
      </c>
      <c r="I60">
        <v>19374.457237</v>
      </c>
      <c r="J60" t="s">
        <v>393</v>
      </c>
      <c r="K60" t="s">
        <v>393</v>
      </c>
      <c r="M60">
        <v>81.05</v>
      </c>
      <c r="N60">
        <v>48.57</v>
      </c>
    </row>
    <row r="61" spans="1:14">
      <c r="A61" s="1" t="s">
        <v>73</v>
      </c>
      <c r="B61">
        <f>HYPERLINK("https://www.suredividend.com/sure-analysis-CASS/","Cass Information Systems Inc")</f>
        <v>0</v>
      </c>
      <c r="C61" t="s">
        <v>385</v>
      </c>
      <c r="D61">
        <v>45.88</v>
      </c>
      <c r="E61">
        <v>0.02528334786399302</v>
      </c>
      <c r="F61">
        <v>0.03571428571428559</v>
      </c>
      <c r="G61">
        <v>0.0220800938152379</v>
      </c>
      <c r="H61">
        <v>1.129114183125937</v>
      </c>
      <c r="I61">
        <v>669.0652260000001</v>
      </c>
      <c r="J61">
        <v>19.16872640385056</v>
      </c>
      <c r="K61">
        <v>0.4462901909588683</v>
      </c>
      <c r="M61">
        <v>51.17</v>
      </c>
      <c r="N61">
        <v>30.95</v>
      </c>
    </row>
    <row r="62" spans="1:14">
      <c r="A62" s="1" t="s">
        <v>74</v>
      </c>
      <c r="B62">
        <f>HYPERLINK("https://www.suredividend.com/sure-analysis-CASY/","Casey`s General Stores, Inc.")</f>
        <v>0</v>
      </c>
      <c r="C62" t="s">
        <v>387</v>
      </c>
      <c r="D62">
        <v>211.72</v>
      </c>
      <c r="E62">
        <v>0.007179293406385793</v>
      </c>
      <c r="F62">
        <v>0.08571428571428563</v>
      </c>
      <c r="G62">
        <v>0.07885244396237145</v>
      </c>
      <c r="H62">
        <v>1.48631868691096</v>
      </c>
      <c r="I62">
        <v>7942.793038</v>
      </c>
      <c r="J62">
        <v>19.17219955721517</v>
      </c>
      <c r="K62">
        <v>0.1342654640389304</v>
      </c>
      <c r="M62">
        <v>249.49</v>
      </c>
      <c r="N62">
        <v>169.65</v>
      </c>
    </row>
    <row r="63" spans="1:14">
      <c r="A63" s="1" t="s">
        <v>75</v>
      </c>
      <c r="B63">
        <f>HYPERLINK("https://www.suredividend.com/sure-analysis-CAT/","Caterpillar Inc.")</f>
        <v>0</v>
      </c>
      <c r="C63" t="s">
        <v>385</v>
      </c>
      <c r="D63">
        <v>227.01</v>
      </c>
      <c r="E63">
        <v>0.02114444297608035</v>
      </c>
      <c r="F63">
        <v>0.08108108108108092</v>
      </c>
      <c r="G63">
        <v>0.08997698704834534</v>
      </c>
      <c r="H63">
        <v>4.670468570311398</v>
      </c>
      <c r="I63">
        <v>131828.167052</v>
      </c>
      <c r="J63">
        <v>19.66117331124534</v>
      </c>
      <c r="K63">
        <v>0.369499095752484</v>
      </c>
      <c r="M63">
        <v>266.04</v>
      </c>
      <c r="N63">
        <v>158.78</v>
      </c>
    </row>
    <row r="64" spans="1:14">
      <c r="A64" s="1" t="s">
        <v>76</v>
      </c>
      <c r="B64">
        <f>HYPERLINK("https://www.suredividend.com/sure-analysis-CB/","Chubb Limited")</f>
        <v>0</v>
      </c>
      <c r="C64" t="s">
        <v>388</v>
      </c>
      <c r="D64">
        <v>198.4</v>
      </c>
      <c r="E64">
        <v>0.01673387096774193</v>
      </c>
      <c r="F64">
        <v>0.03750000000000009</v>
      </c>
      <c r="G64">
        <v>0.03172498707259508</v>
      </c>
      <c r="H64">
        <v>3.270304337105089</v>
      </c>
      <c r="I64">
        <v>85637.158044</v>
      </c>
      <c r="J64">
        <v>16.11841860410314</v>
      </c>
      <c r="K64">
        <v>0.2607898195458604</v>
      </c>
      <c r="M64">
        <v>231.37</v>
      </c>
      <c r="N64">
        <v>173.11</v>
      </c>
    </row>
    <row r="65" spans="1:14">
      <c r="A65" s="1" t="s">
        <v>77</v>
      </c>
      <c r="B65">
        <f>HYPERLINK("https://www.suredividend.com/sure-analysis-CBOE/","Cboe Global Markets Inc.")</f>
        <v>0</v>
      </c>
      <c r="C65" t="s">
        <v>388</v>
      </c>
      <c r="D65">
        <v>118.65</v>
      </c>
      <c r="E65">
        <v>0.01685630004214075</v>
      </c>
      <c r="F65">
        <v>0.04166666666666674</v>
      </c>
      <c r="G65">
        <v>0.1311527300905295</v>
      </c>
      <c r="H65">
        <v>1.968399960117828</v>
      </c>
      <c r="I65">
        <v>13366.925605</v>
      </c>
      <c r="J65">
        <v>57.09921232584366</v>
      </c>
      <c r="K65">
        <v>0.8988127671770905</v>
      </c>
      <c r="M65">
        <v>131.5</v>
      </c>
      <c r="N65">
        <v>102.13</v>
      </c>
    </row>
    <row r="66" spans="1:14">
      <c r="A66" s="1" t="s">
        <v>78</v>
      </c>
      <c r="B66">
        <f>HYPERLINK("https://www.suredividend.com/sure-analysis-CBSH/","Commerce Bancshares, Inc.")</f>
        <v>0</v>
      </c>
      <c r="C66" t="s">
        <v>388</v>
      </c>
      <c r="D66">
        <v>60.63</v>
      </c>
      <c r="E66">
        <v>0.01781296387926769</v>
      </c>
      <c r="F66">
        <v>0.01886792452830188</v>
      </c>
      <c r="G66">
        <v>0.02815639324725039</v>
      </c>
      <c r="H66">
        <v>1.021166613638765</v>
      </c>
      <c r="I66">
        <v>8239.425201</v>
      </c>
      <c r="J66">
        <v>17.02539978621714</v>
      </c>
      <c r="K66">
        <v>0.2652380814646143</v>
      </c>
      <c r="M66">
        <v>72.59999999999999</v>
      </c>
      <c r="N66">
        <v>59.81</v>
      </c>
    </row>
    <row r="67" spans="1:14">
      <c r="A67" s="1" t="s">
        <v>79</v>
      </c>
      <c r="B67">
        <f>HYPERLINK("https://www.suredividend.com/sure-analysis-research-database/","Cabot Corp.")</f>
        <v>0</v>
      </c>
      <c r="C67" t="s">
        <v>390</v>
      </c>
      <c r="D67">
        <v>74.31</v>
      </c>
      <c r="E67">
        <v>0.017561685770707</v>
      </c>
      <c r="F67">
        <v>0</v>
      </c>
      <c r="G67">
        <v>0.02314587308046168</v>
      </c>
      <c r="H67">
        <v>1.46921063157735</v>
      </c>
      <c r="I67">
        <v>4712.028695</v>
      </c>
      <c r="J67">
        <v>13.54031234183908</v>
      </c>
      <c r="K67">
        <v>0.2400670966629657</v>
      </c>
      <c r="M67">
        <v>83.73999999999999</v>
      </c>
      <c r="N67">
        <v>58.78</v>
      </c>
    </row>
    <row r="68" spans="1:14">
      <c r="A68" s="1" t="s">
        <v>80</v>
      </c>
      <c r="B68">
        <f>HYPERLINK("https://www.suredividend.com/sure-analysis-CBU/","Community Bank System, Inc.")</f>
        <v>0</v>
      </c>
      <c r="C68" t="s">
        <v>388</v>
      </c>
      <c r="D68">
        <v>54.21</v>
      </c>
      <c r="E68">
        <v>0.032466334624608</v>
      </c>
      <c r="F68">
        <v>0.02325581395348841</v>
      </c>
      <c r="G68">
        <v>0.05291848906511043</v>
      </c>
      <c r="H68">
        <v>1.72188143733727</v>
      </c>
      <c r="I68">
        <v>3208.130351</v>
      </c>
      <c r="J68">
        <v>17.10564949218333</v>
      </c>
      <c r="K68">
        <v>0.4976535946061474</v>
      </c>
      <c r="M68">
        <v>72.08</v>
      </c>
      <c r="N68">
        <v>54.63</v>
      </c>
    </row>
    <row r="69" spans="1:14">
      <c r="A69" s="1" t="s">
        <v>81</v>
      </c>
      <c r="B69">
        <f>HYPERLINK("https://www.suredividend.com/sure-analysis-CE/","Celanese Corp")</f>
        <v>0</v>
      </c>
      <c r="C69" t="s">
        <v>390</v>
      </c>
      <c r="D69">
        <v>109.14</v>
      </c>
      <c r="E69">
        <v>0.02565512186182884</v>
      </c>
      <c r="F69">
        <v>0.02941176470588247</v>
      </c>
      <c r="G69">
        <v>0.05327276858309049</v>
      </c>
      <c r="H69">
        <v>2.734267417910586</v>
      </c>
      <c r="I69">
        <v>13509.367901</v>
      </c>
      <c r="J69">
        <v>7.132718004815207</v>
      </c>
      <c r="K69">
        <v>0.1576855488991111</v>
      </c>
      <c r="M69">
        <v>158.33</v>
      </c>
      <c r="N69">
        <v>85.56999999999999</v>
      </c>
    </row>
    <row r="70" spans="1:14">
      <c r="A70" s="1" t="s">
        <v>82</v>
      </c>
      <c r="B70">
        <f>HYPERLINK("https://www.suredividend.com/sure-analysis-CFR/","Cullen Frost Bankers Inc.")</f>
        <v>0</v>
      </c>
      <c r="C70" t="s">
        <v>388</v>
      </c>
      <c r="D70">
        <v>118.75</v>
      </c>
      <c r="E70">
        <v>0.02930526315789474</v>
      </c>
      <c r="F70">
        <v>0.1599999999999999</v>
      </c>
      <c r="G70">
        <v>0.05363184912971142</v>
      </c>
      <c r="H70">
        <v>3.329040576135964</v>
      </c>
      <c r="I70">
        <v>8510.364188</v>
      </c>
      <c r="J70">
        <v>15.00244892244366</v>
      </c>
      <c r="K70">
        <v>0.3787304409710994</v>
      </c>
      <c r="M70">
        <v>158.59</v>
      </c>
      <c r="N70">
        <v>110.52</v>
      </c>
    </row>
    <row r="71" spans="1:14">
      <c r="A71" s="1" t="s">
        <v>83</v>
      </c>
      <c r="B71">
        <f>HYPERLINK("https://www.suredividend.com/sure-analysis-research-database/","City Holding Co.")</f>
        <v>0</v>
      </c>
      <c r="C71" t="s">
        <v>388</v>
      </c>
      <c r="D71">
        <v>92.28</v>
      </c>
      <c r="E71">
        <v>0.025337660161011</v>
      </c>
      <c r="F71">
        <v>0.08333333333333326</v>
      </c>
      <c r="G71">
        <v>0.07159605222536181</v>
      </c>
      <c r="H71">
        <v>2.473969138121132</v>
      </c>
      <c r="I71">
        <v>1439.169564</v>
      </c>
      <c r="J71">
        <v>14.23327924559651</v>
      </c>
      <c r="K71">
        <v>0.3638189909001665</v>
      </c>
      <c r="M71">
        <v>102.27</v>
      </c>
      <c r="N71">
        <v>71.58</v>
      </c>
    </row>
    <row r="72" spans="1:14">
      <c r="A72" s="1" t="s">
        <v>84</v>
      </c>
      <c r="B72">
        <f>HYPERLINK("https://www.suredividend.com/sure-analysis-CHD/","Church &amp; Dwight Co., Inc.")</f>
        <v>0</v>
      </c>
      <c r="C72" t="s">
        <v>387</v>
      </c>
      <c r="D72">
        <v>83.88</v>
      </c>
      <c r="E72">
        <v>0.01299475441106343</v>
      </c>
      <c r="F72">
        <v>0.03809523809523818</v>
      </c>
      <c r="G72">
        <v>0.04611986494485665</v>
      </c>
      <c r="H72">
        <v>1.054800746289309</v>
      </c>
      <c r="I72">
        <v>20553.108175</v>
      </c>
      <c r="J72">
        <v>49.65718331746799</v>
      </c>
      <c r="K72">
        <v>0.6278575870769696</v>
      </c>
      <c r="M72">
        <v>103.97</v>
      </c>
      <c r="N72">
        <v>69.68000000000001</v>
      </c>
    </row>
    <row r="73" spans="1:14">
      <c r="A73" s="1" t="s">
        <v>85</v>
      </c>
      <c r="B73">
        <f>HYPERLINK("https://www.suredividend.com/sure-analysis-research-database/","Churchill Downs, Inc.")</f>
        <v>0</v>
      </c>
      <c r="C73" t="s">
        <v>392</v>
      </c>
      <c r="D73">
        <v>239.27</v>
      </c>
      <c r="E73">
        <v>0.002877523824803</v>
      </c>
      <c r="F73" t="s">
        <v>393</v>
      </c>
      <c r="G73" t="s">
        <v>393</v>
      </c>
      <c r="H73">
        <v>0.713999986648559</v>
      </c>
      <c r="I73">
        <v>9275.716995999999</v>
      </c>
      <c r="J73">
        <v>21.10996130079654</v>
      </c>
      <c r="K73">
        <v>0.06257668594641183</v>
      </c>
      <c r="M73">
        <v>253.29</v>
      </c>
      <c r="N73">
        <v>172.19</v>
      </c>
    </row>
    <row r="74" spans="1:14">
      <c r="A74" s="1" t="s">
        <v>86</v>
      </c>
      <c r="B74">
        <f>HYPERLINK("https://www.suredividend.com/sure-analysis-research-database/","Chemed Corp.")</f>
        <v>0</v>
      </c>
      <c r="C74" t="s">
        <v>384</v>
      </c>
      <c r="D74">
        <v>503.5</v>
      </c>
      <c r="E74">
        <v>0.002871559259993</v>
      </c>
      <c r="F74">
        <v>0.05555555555555558</v>
      </c>
      <c r="G74">
        <v>0.04841317128472133</v>
      </c>
      <c r="H74">
        <v>1.497460722901545</v>
      </c>
      <c r="I74">
        <v>7795.205066</v>
      </c>
      <c r="J74">
        <v>31.2277868567125</v>
      </c>
      <c r="K74">
        <v>0.09059048535399546</v>
      </c>
      <c r="M74">
        <v>539.13</v>
      </c>
      <c r="N74">
        <v>429.18</v>
      </c>
    </row>
    <row r="75" spans="1:14">
      <c r="A75" s="1" t="s">
        <v>87</v>
      </c>
      <c r="B75">
        <f>HYPERLINK("https://www.suredividend.com/sure-analysis-CHRW/","C.H. Robinson Worldwide, Inc.")</f>
        <v>0</v>
      </c>
      <c r="C75" t="s">
        <v>385</v>
      </c>
      <c r="D75">
        <v>102.32</v>
      </c>
      <c r="E75">
        <v>0.0238467552775606</v>
      </c>
      <c r="F75">
        <v>0.1090909090909089</v>
      </c>
      <c r="G75">
        <v>0.05806999970214632</v>
      </c>
      <c r="H75">
        <v>2.241942877390161</v>
      </c>
      <c r="I75">
        <v>11690.656346</v>
      </c>
      <c r="J75">
        <v>12.42993942261973</v>
      </c>
      <c r="K75">
        <v>0.3029652537013731</v>
      </c>
      <c r="L75">
        <v>0.7505753287846411</v>
      </c>
      <c r="M75">
        <v>119.91</v>
      </c>
      <c r="N75">
        <v>86.06999999999999</v>
      </c>
    </row>
    <row r="76" spans="1:14">
      <c r="A76" s="1" t="s">
        <v>88</v>
      </c>
      <c r="B76">
        <f>HYPERLINK("https://www.suredividend.com/sure-analysis-CINF/","Cincinnati Financial Corp.")</f>
        <v>0</v>
      </c>
      <c r="C76" t="s">
        <v>388</v>
      </c>
      <c r="D76">
        <v>112.57</v>
      </c>
      <c r="E76">
        <v>0.02665008439193391</v>
      </c>
      <c r="F76">
        <v>0.09523809523809534</v>
      </c>
      <c r="G76">
        <v>0.05417968868186729</v>
      </c>
      <c r="H76">
        <v>2.733139092982854</v>
      </c>
      <c r="I76">
        <v>19035.541709</v>
      </c>
      <c r="J76" t="s">
        <v>393</v>
      </c>
      <c r="K76" t="s">
        <v>393</v>
      </c>
      <c r="M76">
        <v>140.48</v>
      </c>
      <c r="N76">
        <v>88.09</v>
      </c>
    </row>
    <row r="77" spans="1:14">
      <c r="A77" s="1" t="s">
        <v>89</v>
      </c>
      <c r="B77">
        <f>HYPERLINK("https://www.suredividend.com/sure-analysis-CL/","Colgate-Palmolive Co.")</f>
        <v>0</v>
      </c>
      <c r="C77" t="s">
        <v>387</v>
      </c>
      <c r="D77">
        <v>71.31</v>
      </c>
      <c r="E77">
        <v>0.02636376384798766</v>
      </c>
      <c r="F77">
        <v>0.04444444444444451</v>
      </c>
      <c r="G77">
        <v>0.02275053066212362</v>
      </c>
      <c r="H77">
        <v>1.862255252757989</v>
      </c>
      <c r="I77">
        <v>61406.511521</v>
      </c>
      <c r="J77">
        <v>34.40140701428572</v>
      </c>
      <c r="K77">
        <v>0.8742982407314502</v>
      </c>
      <c r="M77">
        <v>82.73999999999999</v>
      </c>
      <c r="N77">
        <v>66.97</v>
      </c>
    </row>
    <row r="78" spans="1:14">
      <c r="A78" s="1" t="s">
        <v>90</v>
      </c>
      <c r="B78">
        <f>HYPERLINK("https://www.suredividend.com/sure-analysis-CLX/","Clorox Co.")</f>
        <v>0</v>
      </c>
      <c r="C78" t="s">
        <v>387</v>
      </c>
      <c r="D78">
        <v>150.13</v>
      </c>
      <c r="E78">
        <v>0.03143941917005262</v>
      </c>
      <c r="F78">
        <v>0.01724137931034475</v>
      </c>
      <c r="G78">
        <v>0.0421306158714021</v>
      </c>
      <c r="H78">
        <v>4.642052470367682</v>
      </c>
      <c r="I78">
        <v>19248.88953</v>
      </c>
      <c r="J78">
        <v>44.25032075917242</v>
      </c>
      <c r="K78">
        <v>1.322522071329824</v>
      </c>
      <c r="M78">
        <v>157.77</v>
      </c>
      <c r="N78">
        <v>117.54</v>
      </c>
    </row>
    <row r="79" spans="1:14">
      <c r="A79" s="1" t="s">
        <v>91</v>
      </c>
      <c r="B79">
        <f>HYPERLINK("https://www.suredividend.com/sure-analysis-CMCSA/","Comcast Corp")</f>
        <v>0</v>
      </c>
      <c r="C79" t="s">
        <v>394</v>
      </c>
      <c r="D79">
        <v>35.31</v>
      </c>
      <c r="E79">
        <v>0.03285188331917303</v>
      </c>
      <c r="F79">
        <v>0.08000000000000007</v>
      </c>
      <c r="G79">
        <v>0.07280807218764251</v>
      </c>
      <c r="H79">
        <v>1.075239806190308</v>
      </c>
      <c r="I79">
        <v>156612.16301</v>
      </c>
      <c r="J79">
        <v>29.15884621303109</v>
      </c>
      <c r="K79">
        <v>0.8886279390002547</v>
      </c>
      <c r="M79">
        <v>47.99</v>
      </c>
      <c r="N79">
        <v>28.39</v>
      </c>
    </row>
    <row r="80" spans="1:14">
      <c r="A80" s="1" t="s">
        <v>92</v>
      </c>
      <c r="B80">
        <f>HYPERLINK("https://www.suredividend.com/sure-analysis-CME/","CME Group Inc")</f>
        <v>0</v>
      </c>
      <c r="C80" t="s">
        <v>388</v>
      </c>
      <c r="D80">
        <v>174.67</v>
      </c>
      <c r="E80">
        <v>0.02519035896261522</v>
      </c>
      <c r="F80">
        <v>0.1000000000000001</v>
      </c>
      <c r="G80">
        <v>0.0796084730466029</v>
      </c>
      <c r="H80">
        <v>8.365051555486657</v>
      </c>
      <c r="I80">
        <v>66651.994985</v>
      </c>
      <c r="J80">
        <v>25.08354470313488</v>
      </c>
      <c r="K80">
        <v>1.130412372363062</v>
      </c>
      <c r="M80">
        <v>241.62</v>
      </c>
      <c r="N80">
        <v>161.33</v>
      </c>
    </row>
    <row r="81" spans="1:14">
      <c r="A81" s="1" t="s">
        <v>93</v>
      </c>
      <c r="B81">
        <f>HYPERLINK("https://www.suredividend.com/sure-analysis-CMI/","Cummins Inc.")</f>
        <v>0</v>
      </c>
      <c r="C81" t="s">
        <v>385</v>
      </c>
      <c r="D81">
        <v>241.82</v>
      </c>
      <c r="E81">
        <v>0.02596972955090563</v>
      </c>
      <c r="F81">
        <v>0.08275862068965534</v>
      </c>
      <c r="G81">
        <v>0.07769329136442726</v>
      </c>
      <c r="H81">
        <v>6.102568098150506</v>
      </c>
      <c r="I81">
        <v>36483.298563</v>
      </c>
      <c r="J81">
        <v>16.96108719821478</v>
      </c>
      <c r="K81">
        <v>0.4036090012004303</v>
      </c>
      <c r="M81">
        <v>258.5</v>
      </c>
      <c r="N81">
        <v>180.73</v>
      </c>
    </row>
    <row r="82" spans="1:14">
      <c r="A82" s="1" t="s">
        <v>94</v>
      </c>
      <c r="B82">
        <f>HYPERLINK("https://www.suredividend.com/sure-analysis-CMS/","CMS Energy Corporation")</f>
        <v>0</v>
      </c>
      <c r="C82" t="s">
        <v>389</v>
      </c>
      <c r="D82">
        <v>58.08</v>
      </c>
      <c r="E82">
        <v>0.03357438016528926</v>
      </c>
      <c r="F82">
        <v>0.05978260869565233</v>
      </c>
      <c r="G82">
        <v>0.06399531281508364</v>
      </c>
      <c r="H82">
        <v>1.846018086250389</v>
      </c>
      <c r="I82">
        <v>17449.363268</v>
      </c>
      <c r="J82">
        <v>21.09959282766626</v>
      </c>
      <c r="K82">
        <v>0.6477256442983821</v>
      </c>
      <c r="M82">
        <v>71.61</v>
      </c>
      <c r="N82">
        <v>51.57</v>
      </c>
    </row>
    <row r="83" spans="1:14">
      <c r="A83" s="1" t="s">
        <v>95</v>
      </c>
      <c r="B83">
        <f>HYPERLINK("https://www.suredividend.com/sure-analysis-research-database/","Cohen &amp; Steers Inc.")</f>
        <v>0</v>
      </c>
      <c r="C83" t="s">
        <v>388</v>
      </c>
      <c r="D83">
        <v>64.91</v>
      </c>
      <c r="E83">
        <v>0.030392807880791</v>
      </c>
      <c r="F83">
        <v>0.03636363636363638</v>
      </c>
      <c r="G83">
        <v>0.09626227935295417</v>
      </c>
      <c r="H83">
        <v>2.178860396973968</v>
      </c>
      <c r="I83">
        <v>3520.207189</v>
      </c>
      <c r="J83">
        <v>20.58095198413255</v>
      </c>
      <c r="K83">
        <v>0.6279136590703078</v>
      </c>
      <c r="M83">
        <v>84.67</v>
      </c>
      <c r="N83">
        <v>50.99</v>
      </c>
    </row>
    <row r="84" spans="1:14">
      <c r="A84" s="1" t="s">
        <v>96</v>
      </c>
      <c r="B84">
        <f>HYPERLINK("https://www.suredividend.com/sure-analysis-COST/","Costco Wholesale Corp")</f>
        <v>0</v>
      </c>
      <c r="C84" t="s">
        <v>387</v>
      </c>
      <c r="D84">
        <v>471.14</v>
      </c>
      <c r="E84">
        <v>0.007641040879568706</v>
      </c>
      <c r="F84">
        <v>0.139240506329114</v>
      </c>
      <c r="G84">
        <v>0.09565425774785385</v>
      </c>
      <c r="H84">
        <v>3.590524641960494</v>
      </c>
      <c r="I84">
        <v>210886.661649</v>
      </c>
      <c r="J84">
        <v>35.84069708520734</v>
      </c>
      <c r="K84">
        <v>0.2713926411156836</v>
      </c>
      <c r="M84">
        <v>608.0599999999999</v>
      </c>
      <c r="N84">
        <v>404.37</v>
      </c>
    </row>
    <row r="85" spans="1:14">
      <c r="A85" s="1" t="s">
        <v>97</v>
      </c>
      <c r="B85">
        <f>HYPERLINK("https://www.suredividend.com/sure-analysis-CPK/","Chesapeake Utilities Corp")</f>
        <v>0</v>
      </c>
      <c r="C85" t="s">
        <v>389</v>
      </c>
      <c r="D85">
        <v>123.81</v>
      </c>
      <c r="E85">
        <v>0.01728454890558113</v>
      </c>
      <c r="F85">
        <v>0.1145833333333335</v>
      </c>
      <c r="G85">
        <v>0.1048265042492955</v>
      </c>
      <c r="H85">
        <v>2.07176049228358</v>
      </c>
      <c r="I85">
        <v>2295.207247</v>
      </c>
      <c r="J85">
        <v>25.56023928304156</v>
      </c>
      <c r="K85">
        <v>0.4110635897388055</v>
      </c>
      <c r="M85">
        <v>140.55</v>
      </c>
      <c r="N85">
        <v>105.32</v>
      </c>
    </row>
    <row r="86" spans="1:14">
      <c r="A86" s="1" t="s">
        <v>98</v>
      </c>
      <c r="B86">
        <f>HYPERLINK("https://www.suredividend.com/sure-analysis-CSCO/","Cisco Systems, Inc.")</f>
        <v>0</v>
      </c>
      <c r="C86" t="s">
        <v>386</v>
      </c>
      <c r="D86">
        <v>48.56</v>
      </c>
      <c r="E86">
        <v>0.03212520593080725</v>
      </c>
      <c r="F86">
        <v>0.02702702702702697</v>
      </c>
      <c r="G86">
        <v>0.02861755351046824</v>
      </c>
      <c r="H86">
        <v>1.504024367613984</v>
      </c>
      <c r="I86">
        <v>201842.173062</v>
      </c>
      <c r="J86">
        <v>17.85897832788533</v>
      </c>
      <c r="K86">
        <v>0.5509246767816791</v>
      </c>
      <c r="M86">
        <v>55.59</v>
      </c>
      <c r="N86">
        <v>38.3</v>
      </c>
    </row>
    <row r="87" spans="1:14">
      <c r="A87" s="1" t="s">
        <v>99</v>
      </c>
      <c r="B87">
        <f>HYPERLINK("https://www.suredividend.com/sure-analysis-CSL/","Carlisle Companies Inc.")</f>
        <v>0</v>
      </c>
      <c r="C87" t="s">
        <v>385</v>
      </c>
      <c r="D87">
        <v>243.1</v>
      </c>
      <c r="E87">
        <v>0.01234060057589469</v>
      </c>
      <c r="F87">
        <v>0.3888888888888888</v>
      </c>
      <c r="G87">
        <v>0.1517862983700349</v>
      </c>
      <c r="H87">
        <v>2.778872311081122</v>
      </c>
      <c r="I87">
        <v>13576.84271</v>
      </c>
      <c r="J87">
        <v>14.69355271636364</v>
      </c>
      <c r="K87">
        <v>0.1578904722205183</v>
      </c>
      <c r="M87">
        <v>316.06</v>
      </c>
      <c r="N87">
        <v>215.63</v>
      </c>
    </row>
    <row r="88" spans="1:14">
      <c r="A88" s="1" t="s">
        <v>100</v>
      </c>
      <c r="B88">
        <f>HYPERLINK("https://www.suredividend.com/sure-analysis-CSX/","CSX Corp.")</f>
        <v>0</v>
      </c>
      <c r="C88" t="s">
        <v>385</v>
      </c>
      <c r="D88">
        <v>29.49</v>
      </c>
      <c r="E88">
        <v>0.01492031197015938</v>
      </c>
      <c r="F88">
        <v>0.09999999999999987</v>
      </c>
      <c r="G88" t="s">
        <v>393</v>
      </c>
      <c r="H88">
        <v>0.407994624789446</v>
      </c>
      <c r="I88">
        <v>64250.159269</v>
      </c>
      <c r="J88">
        <v>15.42250582551608</v>
      </c>
      <c r="K88">
        <v>0.2092280127125364</v>
      </c>
      <c r="M88">
        <v>38.13</v>
      </c>
      <c r="N88">
        <v>25.63</v>
      </c>
    </row>
    <row r="89" spans="1:14">
      <c r="A89" s="1" t="s">
        <v>101</v>
      </c>
      <c r="B89">
        <f>HYPERLINK("https://www.suredividend.com/sure-analysis-CTAS/","Cintas Corporation")</f>
        <v>0</v>
      </c>
      <c r="C89" t="s">
        <v>385</v>
      </c>
      <c r="D89">
        <v>428.3</v>
      </c>
      <c r="E89">
        <v>0.01074013541909876</v>
      </c>
      <c r="F89" t="s">
        <v>393</v>
      </c>
      <c r="G89" t="s">
        <v>393</v>
      </c>
      <c r="H89">
        <v>4.383700498777509</v>
      </c>
      <c r="I89">
        <v>44901.008646</v>
      </c>
      <c r="J89">
        <v>35.0754328642002</v>
      </c>
      <c r="K89">
        <v>0.3566884051080154</v>
      </c>
      <c r="M89">
        <v>469.02</v>
      </c>
      <c r="N89">
        <v>341.17</v>
      </c>
    </row>
    <row r="90" spans="1:14">
      <c r="A90" s="1" t="s">
        <v>102</v>
      </c>
      <c r="B90">
        <f>HYPERLINK("https://www.suredividend.com/sure-analysis-CTBI/","Community Trust Bancorp, Inc.")</f>
        <v>0</v>
      </c>
      <c r="C90" t="s">
        <v>388</v>
      </c>
      <c r="D90">
        <v>40.43</v>
      </c>
      <c r="E90">
        <v>0.04353203067029433</v>
      </c>
      <c r="F90">
        <v>0.09999999999999987</v>
      </c>
      <c r="G90">
        <v>0.05922384104881218</v>
      </c>
      <c r="H90">
        <v>1.656213850640909</v>
      </c>
      <c r="I90">
        <v>767.785797</v>
      </c>
      <c r="J90">
        <v>9.384528279023151</v>
      </c>
      <c r="K90">
        <v>0.3616187446814212</v>
      </c>
      <c r="M90">
        <v>47.6</v>
      </c>
      <c r="N90">
        <v>38.33</v>
      </c>
    </row>
    <row r="91" spans="1:14">
      <c r="A91" s="1" t="s">
        <v>103</v>
      </c>
      <c r="B91">
        <f>HYPERLINK("https://www.suredividend.com/sure-analysis-CUBE/","CubeSmart")</f>
        <v>0</v>
      </c>
      <c r="C91" t="s">
        <v>391</v>
      </c>
      <c r="D91">
        <v>45.62</v>
      </c>
      <c r="E91">
        <v>0.04296361245067953</v>
      </c>
      <c r="F91">
        <v>0.1395348837209303</v>
      </c>
      <c r="G91">
        <v>0.1031002044005829</v>
      </c>
      <c r="H91">
        <v>1.751213120229793</v>
      </c>
      <c r="I91">
        <v>10928.319897</v>
      </c>
      <c r="J91">
        <v>37.52045366747578</v>
      </c>
      <c r="K91">
        <v>1.357529550565731</v>
      </c>
      <c r="M91">
        <v>53.17</v>
      </c>
      <c r="N91">
        <v>36.38</v>
      </c>
    </row>
    <row r="92" spans="1:14">
      <c r="A92" s="1" t="s">
        <v>104</v>
      </c>
      <c r="B92">
        <f>HYPERLINK("https://www.suredividend.com/sure-analysis-CVX/","Chevron Corp.")</f>
        <v>0</v>
      </c>
      <c r="C92" t="s">
        <v>395</v>
      </c>
      <c r="D92">
        <v>159.67</v>
      </c>
      <c r="E92">
        <v>0.03782802029185195</v>
      </c>
      <c r="F92">
        <v>0.06338028169014098</v>
      </c>
      <c r="G92">
        <v>0.06157769502902544</v>
      </c>
      <c r="H92">
        <v>5.698485004240697</v>
      </c>
      <c r="I92">
        <v>314524.950298</v>
      </c>
      <c r="J92">
        <v>8.86860144644692</v>
      </c>
      <c r="K92">
        <v>0.3117333153304539</v>
      </c>
      <c r="M92">
        <v>186.57</v>
      </c>
      <c r="N92">
        <v>129.2</v>
      </c>
    </row>
    <row r="93" spans="1:14">
      <c r="A93" s="1" t="s">
        <v>105</v>
      </c>
      <c r="B93">
        <f>HYPERLINK("https://www.suredividend.com/sure-analysis-CWT/","California Water Service Group")</f>
        <v>0</v>
      </c>
      <c r="C93" t="s">
        <v>389</v>
      </c>
      <c r="D93">
        <v>54.67</v>
      </c>
      <c r="E93">
        <v>0.01829156758734224</v>
      </c>
      <c r="F93">
        <v>0.04000000000000004</v>
      </c>
      <c r="G93">
        <v>0.06756521663494941</v>
      </c>
      <c r="H93">
        <v>1.003819079838496</v>
      </c>
      <c r="I93">
        <v>3160.35544</v>
      </c>
      <c r="J93">
        <v>32.91659747528929</v>
      </c>
      <c r="K93">
        <v>0.5671294236375684</v>
      </c>
      <c r="M93">
        <v>65.84999999999999</v>
      </c>
      <c r="N93">
        <v>47.86</v>
      </c>
    </row>
    <row r="94" spans="1:14">
      <c r="A94" s="1" t="s">
        <v>106</v>
      </c>
      <c r="B94">
        <f>HYPERLINK("https://www.suredividend.com/sure-analysis-DCI/","Donaldson Co. Inc.")</f>
        <v>0</v>
      </c>
      <c r="C94" t="s">
        <v>385</v>
      </c>
      <c r="D94">
        <v>64.09999999999999</v>
      </c>
      <c r="E94">
        <v>0.01435257410296412</v>
      </c>
      <c r="F94">
        <v>0.04545454545454541</v>
      </c>
      <c r="G94">
        <v>0.03895047748988278</v>
      </c>
      <c r="H94">
        <v>0.91483222617516</v>
      </c>
      <c r="I94">
        <v>8139.638079</v>
      </c>
      <c r="J94">
        <v>23.73764385768446</v>
      </c>
      <c r="K94">
        <v>0.3326662640636945</v>
      </c>
      <c r="M94">
        <v>66.95999999999999</v>
      </c>
      <c r="N94">
        <v>45.47</v>
      </c>
    </row>
    <row r="95" spans="1:14">
      <c r="A95" s="1" t="s">
        <v>107</v>
      </c>
      <c r="B95">
        <f>HYPERLINK("https://www.suredividend.com/sure-analysis-DDS/","Dillard`s Inc.")</f>
        <v>0</v>
      </c>
      <c r="C95" t="s">
        <v>392</v>
      </c>
      <c r="D95">
        <v>335.82</v>
      </c>
      <c r="E95">
        <v>0.002382228574831755</v>
      </c>
      <c r="F95">
        <v>0</v>
      </c>
      <c r="G95">
        <v>0.1486983549970351</v>
      </c>
      <c r="H95">
        <v>0.7716368075744</v>
      </c>
      <c r="I95">
        <v>4741.487199</v>
      </c>
      <c r="J95">
        <v>5.133196273732233</v>
      </c>
      <c r="K95">
        <v>0.01512420242207762</v>
      </c>
      <c r="M95">
        <v>417.86</v>
      </c>
      <c r="N95">
        <v>183.88</v>
      </c>
    </row>
    <row r="96" spans="1:14">
      <c r="A96" s="1" t="s">
        <v>108</v>
      </c>
      <c r="B96">
        <f>HYPERLINK("https://www.suredividend.com/sure-analysis-DFS/","Discover Financial Services")</f>
        <v>0</v>
      </c>
      <c r="C96" t="s">
        <v>388</v>
      </c>
      <c r="D96">
        <v>102.14</v>
      </c>
      <c r="E96">
        <v>0.02349716075974153</v>
      </c>
      <c r="F96" t="s">
        <v>393</v>
      </c>
      <c r="G96" t="s">
        <v>393</v>
      </c>
      <c r="H96">
        <v>2.38008055230927</v>
      </c>
      <c r="I96">
        <v>30062.215908</v>
      </c>
      <c r="J96">
        <v>6.984715592086431</v>
      </c>
      <c r="K96">
        <v>0.1537519736633895</v>
      </c>
      <c r="M96">
        <v>119.25</v>
      </c>
      <c r="N96">
        <v>86.55</v>
      </c>
    </row>
    <row r="97" spans="1:14">
      <c r="A97" s="1" t="s">
        <v>109</v>
      </c>
      <c r="B97">
        <f>HYPERLINK("https://www.suredividend.com/sure-analysis-DGX/","Quest Diagnostics, Inc.")</f>
        <v>0</v>
      </c>
      <c r="C97" t="s">
        <v>384</v>
      </c>
      <c r="D97">
        <v>134.31</v>
      </c>
      <c r="E97">
        <v>0.02114511205420296</v>
      </c>
      <c r="F97">
        <v>0.06451612903225823</v>
      </c>
      <c r="G97">
        <v>0.05709686837461603</v>
      </c>
      <c r="H97">
        <v>2.632899023263872</v>
      </c>
      <c r="I97">
        <v>15674.278822</v>
      </c>
      <c r="J97">
        <v>16.63936180721868</v>
      </c>
      <c r="K97">
        <v>0.3299372209603849</v>
      </c>
      <c r="M97">
        <v>158.34</v>
      </c>
      <c r="N97">
        <v>119.75</v>
      </c>
    </row>
    <row r="98" spans="1:14">
      <c r="A98" s="1" t="s">
        <v>110</v>
      </c>
      <c r="B98">
        <f>HYPERLINK("https://www.suredividend.com/sure-analysis-DLR/","Digital Realty Trust Inc")</f>
        <v>0</v>
      </c>
      <c r="C98" t="s">
        <v>391</v>
      </c>
      <c r="D98">
        <v>102.54</v>
      </c>
      <c r="E98">
        <v>0.04759118392822313</v>
      </c>
      <c r="F98">
        <v>0.05172413793103448</v>
      </c>
      <c r="G98">
        <v>0.03850284678617966</v>
      </c>
      <c r="H98">
        <v>4.80384910607919</v>
      </c>
      <c r="I98">
        <v>30862.658112</v>
      </c>
      <c r="J98">
        <v>91.59145925925928</v>
      </c>
      <c r="K98">
        <v>4.251193899185124</v>
      </c>
      <c r="M98">
        <v>148.83</v>
      </c>
      <c r="N98">
        <v>84.81999999999999</v>
      </c>
    </row>
    <row r="99" spans="1:14">
      <c r="A99" s="1" t="s">
        <v>111</v>
      </c>
      <c r="B99">
        <f>HYPERLINK("https://www.suredividend.com/sure-analysis-DOV/","Dover Corp.")</f>
        <v>0</v>
      </c>
      <c r="C99" t="s">
        <v>385</v>
      </c>
      <c r="D99">
        <v>145.8</v>
      </c>
      <c r="E99">
        <v>0.01385459533607682</v>
      </c>
      <c r="F99">
        <v>0.01000000000000001</v>
      </c>
      <c r="G99">
        <v>0.01446882147577422</v>
      </c>
      <c r="H99">
        <v>2.004263522986496</v>
      </c>
      <c r="I99">
        <v>21606.64638</v>
      </c>
      <c r="J99">
        <v>20.28077071381372</v>
      </c>
      <c r="K99">
        <v>0.2701163777609832</v>
      </c>
      <c r="M99">
        <v>160.49</v>
      </c>
      <c r="N99">
        <v>113.69</v>
      </c>
    </row>
    <row r="100" spans="1:14">
      <c r="A100" s="1" t="s">
        <v>112</v>
      </c>
      <c r="B100">
        <f>HYPERLINK("https://www.suredividend.com/sure-analysis-DTE/","DTE Energy Co.")</f>
        <v>0</v>
      </c>
      <c r="C100" t="s">
        <v>389</v>
      </c>
      <c r="D100">
        <v>104.48</v>
      </c>
      <c r="E100">
        <v>0.03646630934150077</v>
      </c>
      <c r="F100">
        <v>0.07627118644067798</v>
      </c>
      <c r="G100">
        <v>0.01538338830106301</v>
      </c>
      <c r="H100">
        <v>3.567896330738384</v>
      </c>
      <c r="I100">
        <v>22492.045567</v>
      </c>
      <c r="J100">
        <v>20.8259681175</v>
      </c>
      <c r="K100">
        <v>0.6475310945078737</v>
      </c>
      <c r="M100">
        <v>137.14</v>
      </c>
      <c r="N100">
        <v>99.84</v>
      </c>
    </row>
    <row r="101" spans="1:14">
      <c r="A101" s="1" t="s">
        <v>113</v>
      </c>
      <c r="B101">
        <f>HYPERLINK("https://www.suredividend.com/sure-analysis-DUK/","Duke Energy Corp.")</f>
        <v>0</v>
      </c>
      <c r="C101" t="s">
        <v>389</v>
      </c>
      <c r="D101">
        <v>92.83</v>
      </c>
      <c r="E101">
        <v>0.04330496606700419</v>
      </c>
      <c r="F101">
        <v>0.02030456852791862</v>
      </c>
      <c r="G101">
        <v>0.02460202771658837</v>
      </c>
      <c r="H101">
        <v>3.940651512531383</v>
      </c>
      <c r="I101">
        <v>73457.958386</v>
      </c>
      <c r="J101">
        <v>30.05644778484042</v>
      </c>
      <c r="K101">
        <v>1.243107732659742</v>
      </c>
      <c r="M101">
        <v>111.92</v>
      </c>
      <c r="N101">
        <v>82.06</v>
      </c>
    </row>
    <row r="102" spans="1:14">
      <c r="A102" s="1" t="s">
        <v>114</v>
      </c>
      <c r="B102">
        <f>HYPERLINK("https://www.suredividend.com/sure-analysis-ECL/","Ecolab, Inc.")</f>
        <v>0</v>
      </c>
      <c r="C102" t="s">
        <v>390</v>
      </c>
      <c r="D102">
        <v>158.07</v>
      </c>
      <c r="E102">
        <v>0.0134117795913203</v>
      </c>
      <c r="F102">
        <v>0.03921568627450989</v>
      </c>
      <c r="G102">
        <v>0.05268492238527456</v>
      </c>
      <c r="H102">
        <v>2.049309122848232</v>
      </c>
      <c r="I102">
        <v>46481.105016</v>
      </c>
      <c r="J102">
        <v>42.57681140954475</v>
      </c>
      <c r="K102">
        <v>0.5378764101963863</v>
      </c>
      <c r="M102">
        <v>183.57</v>
      </c>
      <c r="N102">
        <v>130.56</v>
      </c>
    </row>
    <row r="103" spans="1:14">
      <c r="A103" s="1" t="s">
        <v>115</v>
      </c>
      <c r="B103">
        <f>HYPERLINK("https://www.suredividend.com/sure-analysis-ED/","Consolidated Edison, Inc.")</f>
        <v>0</v>
      </c>
      <c r="C103" t="s">
        <v>389</v>
      </c>
      <c r="D103">
        <v>90.62</v>
      </c>
      <c r="E103">
        <v>0.03575369675568307</v>
      </c>
      <c r="F103">
        <v>0.02531645569620244</v>
      </c>
      <c r="G103">
        <v>0.02526420565941589</v>
      </c>
      <c r="H103">
        <v>3.139349005446324</v>
      </c>
      <c r="I103">
        <v>32199.032954</v>
      </c>
      <c r="J103">
        <v>19.39700780390964</v>
      </c>
      <c r="K103">
        <v>0.6722374743996411</v>
      </c>
      <c r="M103">
        <v>100.42</v>
      </c>
      <c r="N103">
        <v>76.73</v>
      </c>
    </row>
    <row r="104" spans="1:14">
      <c r="A104" s="1" t="s">
        <v>116</v>
      </c>
      <c r="B104">
        <f>HYPERLINK("https://www.suredividend.com/sure-analysis-EGP/","Eastgroup Properties, Inc.")</f>
        <v>0</v>
      </c>
      <c r="C104" t="s">
        <v>391</v>
      </c>
      <c r="D104">
        <v>156.14</v>
      </c>
      <c r="E104">
        <v>0.03202254387088511</v>
      </c>
      <c r="F104">
        <v>0.1363636363636362</v>
      </c>
      <c r="G104">
        <v>0.1432626298183159</v>
      </c>
      <c r="H104">
        <v>4.644047232519034</v>
      </c>
      <c r="I104">
        <v>7164.690575</v>
      </c>
      <c r="J104">
        <v>38.48218718780548</v>
      </c>
      <c r="K104">
        <v>1.065148447825466</v>
      </c>
      <c r="M104">
        <v>212.25</v>
      </c>
      <c r="N104">
        <v>136.29</v>
      </c>
    </row>
    <row r="105" spans="1:14">
      <c r="A105" s="1" t="s">
        <v>117</v>
      </c>
      <c r="B105">
        <f>HYPERLINK("https://www.suredividend.com/sure-analysis-EIX/","Edison International")</f>
        <v>0</v>
      </c>
      <c r="C105" t="s">
        <v>389</v>
      </c>
      <c r="D105">
        <v>66.23</v>
      </c>
      <c r="E105">
        <v>0.04454174845236298</v>
      </c>
      <c r="F105">
        <v>0.0535714285714286</v>
      </c>
      <c r="G105">
        <v>0.04040236321329971</v>
      </c>
      <c r="H105">
        <v>2.790304675978272</v>
      </c>
      <c r="I105">
        <v>25746.723162</v>
      </c>
      <c r="J105">
        <v>42.06980908790849</v>
      </c>
      <c r="K105">
        <v>1.74394042248642</v>
      </c>
      <c r="M105">
        <v>70.93000000000001</v>
      </c>
      <c r="N105">
        <v>53.83</v>
      </c>
    </row>
    <row r="106" spans="1:14">
      <c r="A106" s="1" t="s">
        <v>118</v>
      </c>
      <c r="B106">
        <f>HYPERLINK("https://www.suredividend.com/sure-analysis-ELS/","Equity Lifestyle Properties Inc.")</f>
        <v>0</v>
      </c>
      <c r="C106" t="s">
        <v>391</v>
      </c>
      <c r="D106">
        <v>63.52</v>
      </c>
      <c r="E106">
        <v>0.0281801007556675</v>
      </c>
      <c r="F106">
        <v>0.1310344827586207</v>
      </c>
      <c r="G106" t="s">
        <v>393</v>
      </c>
      <c r="H106">
        <v>1.624637017910494</v>
      </c>
      <c r="I106">
        <v>12673.199221</v>
      </c>
      <c r="J106">
        <v>44.52814269490638</v>
      </c>
      <c r="K106">
        <v>1.112765080760612</v>
      </c>
      <c r="M106">
        <v>82.26000000000001</v>
      </c>
      <c r="N106">
        <v>56.55</v>
      </c>
    </row>
    <row r="107" spans="1:14">
      <c r="A107" s="1" t="s">
        <v>119</v>
      </c>
      <c r="B107">
        <f>HYPERLINK("https://www.suredividend.com/sure-analysis-EMN/","Eastman Chemical Co")</f>
        <v>0</v>
      </c>
      <c r="C107" t="s">
        <v>390</v>
      </c>
      <c r="D107">
        <v>80.75</v>
      </c>
      <c r="E107">
        <v>0.03913312693498452</v>
      </c>
      <c r="F107">
        <v>0.03947368421052633</v>
      </c>
      <c r="G107">
        <v>0.07124254564338495</v>
      </c>
      <c r="H107">
        <v>3.030143630418541</v>
      </c>
      <c r="I107">
        <v>10366.214614</v>
      </c>
      <c r="J107">
        <v>13.0721495768222</v>
      </c>
      <c r="K107">
        <v>0.4771879732942585</v>
      </c>
      <c r="M107">
        <v>112.03</v>
      </c>
      <c r="N107">
        <v>69.28</v>
      </c>
    </row>
    <row r="108" spans="1:14">
      <c r="A108" s="1" t="s">
        <v>120</v>
      </c>
      <c r="B108">
        <f>HYPERLINK("https://www.suredividend.com/sure-analysis-EMR/","Emerson Electric Co.")</f>
        <v>0</v>
      </c>
      <c r="C108" t="s">
        <v>385</v>
      </c>
      <c r="D108">
        <v>82.17</v>
      </c>
      <c r="E108">
        <v>0.02531337471096507</v>
      </c>
      <c r="F108">
        <v>0.009708737864077666</v>
      </c>
      <c r="G108">
        <v>0.01403354261880141</v>
      </c>
      <c r="H108">
        <v>2.043059874816431</v>
      </c>
      <c r="I108">
        <v>48877.556</v>
      </c>
      <c r="J108">
        <v>15.46268775703891</v>
      </c>
      <c r="K108">
        <v>0.3862116965626523</v>
      </c>
      <c r="M108">
        <v>99.06</v>
      </c>
      <c r="N108">
        <v>71.15000000000001</v>
      </c>
    </row>
    <row r="109" spans="1:14">
      <c r="A109" s="1" t="s">
        <v>121</v>
      </c>
      <c r="B109">
        <f>HYPERLINK("https://www.suredividend.com/sure-analysis-research-database/","Ensign Group Inc")</f>
        <v>0</v>
      </c>
      <c r="C109" t="s">
        <v>384</v>
      </c>
      <c r="D109">
        <v>87.59</v>
      </c>
      <c r="E109">
        <v>0.002430650229525</v>
      </c>
      <c r="F109">
        <v>0.04545454545454541</v>
      </c>
      <c r="G109">
        <v>0.05024607263868264</v>
      </c>
      <c r="H109">
        <v>0.222282963490107</v>
      </c>
      <c r="I109">
        <v>5096.701825</v>
      </c>
      <c r="J109">
        <v>22.68416922347684</v>
      </c>
      <c r="K109">
        <v>0.05627416797217899</v>
      </c>
      <c r="M109">
        <v>99.52</v>
      </c>
      <c r="N109">
        <v>70.15000000000001</v>
      </c>
    </row>
    <row r="110" spans="1:14">
      <c r="A110" s="1" t="s">
        <v>122</v>
      </c>
      <c r="B110">
        <f>HYPERLINK("https://www.suredividend.com/sure-analysis-EPD/","Enterprise Products Partners L P")</f>
        <v>0</v>
      </c>
      <c r="C110" t="s">
        <v>395</v>
      </c>
      <c r="D110">
        <v>25.6</v>
      </c>
      <c r="E110">
        <v>0.07656249999999999</v>
      </c>
      <c r="F110">
        <v>0.05376344086021501</v>
      </c>
      <c r="G110">
        <v>0.02646826009095271</v>
      </c>
      <c r="H110">
        <v>1.853415750495794</v>
      </c>
      <c r="I110">
        <v>56636.337593</v>
      </c>
      <c r="J110">
        <v>10.4091780175023</v>
      </c>
      <c r="K110">
        <v>0.7503707491885805</v>
      </c>
      <c r="M110">
        <v>27.1</v>
      </c>
      <c r="N110">
        <v>21.68</v>
      </c>
    </row>
    <row r="111" spans="1:14">
      <c r="A111" s="1" t="s">
        <v>123</v>
      </c>
      <c r="B111">
        <f>HYPERLINK("https://www.suredividend.com/sure-analysis-ERIE/","Erie Indemnity Co.")</f>
        <v>0</v>
      </c>
      <c r="C111" t="s">
        <v>388</v>
      </c>
      <c r="D111">
        <v>226.81</v>
      </c>
      <c r="E111">
        <v>0.01957585644371941</v>
      </c>
      <c r="F111">
        <v>0.072072072072072</v>
      </c>
      <c r="G111">
        <v>0.07214502590085092</v>
      </c>
      <c r="H111">
        <v>4.493101621293572</v>
      </c>
      <c r="I111">
        <v>10885.377656</v>
      </c>
      <c r="J111">
        <v>36.45849922651045</v>
      </c>
      <c r="K111">
        <v>0.7868829459358271</v>
      </c>
      <c r="M111">
        <v>285.1</v>
      </c>
      <c r="N111">
        <v>156.92</v>
      </c>
    </row>
    <row r="112" spans="1:14">
      <c r="A112" s="1" t="s">
        <v>124</v>
      </c>
      <c r="B112">
        <f>HYPERLINK("https://www.suredividend.com/sure-analysis-ES/","Eversource Energy")</f>
        <v>0</v>
      </c>
      <c r="C112" t="s">
        <v>389</v>
      </c>
      <c r="D112">
        <v>72.88</v>
      </c>
      <c r="E112">
        <v>0.03704720087815588</v>
      </c>
      <c r="F112">
        <v>0.05882352941176472</v>
      </c>
      <c r="G112">
        <v>0.0597476908802026</v>
      </c>
      <c r="H112">
        <v>2.556442378746316</v>
      </c>
      <c r="I112">
        <v>26289.589582</v>
      </c>
      <c r="J112">
        <v>18.71311652780496</v>
      </c>
      <c r="K112">
        <v>0.6312203404311892</v>
      </c>
      <c r="M112">
        <v>92.2</v>
      </c>
      <c r="N112">
        <v>69.39</v>
      </c>
    </row>
    <row r="113" spans="1:14">
      <c r="A113" s="1" t="s">
        <v>125</v>
      </c>
      <c r="B113">
        <f>HYPERLINK("https://www.suredividend.com/sure-analysis-ESS/","Essex Property Trust, Inc.")</f>
        <v>0</v>
      </c>
      <c r="C113" t="s">
        <v>391</v>
      </c>
      <c r="D113">
        <v>211.37</v>
      </c>
      <c r="E113">
        <v>0.04371481288735393</v>
      </c>
      <c r="F113">
        <v>0.05263157894736858</v>
      </c>
      <c r="G113">
        <v>0.03414621632574555</v>
      </c>
      <c r="H113">
        <v>8.675102264251006</v>
      </c>
      <c r="I113">
        <v>14979.864002</v>
      </c>
      <c r="J113">
        <v>36.68702840199356</v>
      </c>
      <c r="K113">
        <v>1.383588877870974</v>
      </c>
      <c r="M113">
        <v>353.43</v>
      </c>
      <c r="N113">
        <v>203.13</v>
      </c>
    </row>
    <row r="114" spans="1:14">
      <c r="A114" s="1" t="s">
        <v>126</v>
      </c>
      <c r="B114">
        <f>HYPERLINK("https://www.suredividend.com/sure-analysis-ETN/","Eaton Corporation plc")</f>
        <v>0</v>
      </c>
      <c r="C114" t="s">
        <v>385</v>
      </c>
      <c r="D114">
        <v>170.3</v>
      </c>
      <c r="E114">
        <v>0.02019964768056371</v>
      </c>
      <c r="F114">
        <v>0.06172839506172823</v>
      </c>
      <c r="G114">
        <v>0.05436481112522373</v>
      </c>
      <c r="H114">
        <v>4.058423344147887</v>
      </c>
      <c r="I114">
        <v>70664.89999999999</v>
      </c>
      <c r="J114">
        <v>28.70223395613323</v>
      </c>
      <c r="K114">
        <v>0.6609810006755518</v>
      </c>
      <c r="M114">
        <v>177.66</v>
      </c>
      <c r="N114">
        <v>120.62</v>
      </c>
    </row>
    <row r="115" spans="1:14">
      <c r="A115" s="1" t="s">
        <v>127</v>
      </c>
      <c r="B115">
        <f>HYPERLINK("https://www.suredividend.com/sure-analysis-EVR/","Evercore Inc")</f>
        <v>0</v>
      </c>
      <c r="C115" t="s">
        <v>388</v>
      </c>
      <c r="D115">
        <v>118.62</v>
      </c>
      <c r="E115">
        <v>0.02427921092564491</v>
      </c>
      <c r="F115" t="s">
        <v>393</v>
      </c>
      <c r="G115" t="s">
        <v>393</v>
      </c>
      <c r="H115">
        <v>2.853272064393366</v>
      </c>
      <c r="I115">
        <v>5109.382692</v>
      </c>
      <c r="J115">
        <v>10.72228383228406</v>
      </c>
      <c r="K115">
        <v>0.2457598677341401</v>
      </c>
      <c r="M115">
        <v>136.63</v>
      </c>
      <c r="N115">
        <v>77.70999999999999</v>
      </c>
    </row>
    <row r="116" spans="1:14">
      <c r="A116" s="1" t="s">
        <v>128</v>
      </c>
      <c r="B116">
        <f>HYPERLINK("https://www.suredividend.com/sure-analysis-EVRG/","Evergy Inc")</f>
        <v>0</v>
      </c>
      <c r="C116" t="s">
        <v>389</v>
      </c>
      <c r="D116">
        <v>57.56</v>
      </c>
      <c r="E116">
        <v>0.0425642807505212</v>
      </c>
      <c r="F116" t="s">
        <v>393</v>
      </c>
      <c r="G116" t="s">
        <v>393</v>
      </c>
      <c r="H116">
        <v>0</v>
      </c>
      <c r="I116">
        <v>13666.186612</v>
      </c>
      <c r="J116">
        <v>18.15621975793809</v>
      </c>
      <c r="K116">
        <v>0</v>
      </c>
      <c r="M116">
        <v>71.18000000000001</v>
      </c>
      <c r="N116">
        <v>53.56</v>
      </c>
    </row>
    <row r="117" spans="1:14">
      <c r="A117" s="1" t="s">
        <v>129</v>
      </c>
      <c r="B117">
        <f>HYPERLINK("https://www.suredividend.com/sure-analysis-EXPD/","Expeditors International Of Washington, Inc.")</f>
        <v>0</v>
      </c>
      <c r="C117" t="s">
        <v>385</v>
      </c>
      <c r="D117">
        <v>107.39</v>
      </c>
      <c r="E117">
        <v>0.01247788434677344</v>
      </c>
      <c r="F117" t="s">
        <v>393</v>
      </c>
      <c r="G117" t="s">
        <v>393</v>
      </c>
      <c r="H117">
        <v>1.336046762423824</v>
      </c>
      <c r="I117">
        <v>16891.146014</v>
      </c>
      <c r="J117">
        <v>12.44375899319213</v>
      </c>
      <c r="K117">
        <v>0.1617490027147487</v>
      </c>
      <c r="M117">
        <v>119.9</v>
      </c>
      <c r="N117">
        <v>85.56999999999999</v>
      </c>
    </row>
    <row r="118" spans="1:14">
      <c r="A118" s="1" t="s">
        <v>130</v>
      </c>
      <c r="B118">
        <f>HYPERLINK("https://www.suredividend.com/sure-analysis-EXR/","Extra Space Storage Inc.")</f>
        <v>0</v>
      </c>
      <c r="C118" t="s">
        <v>391</v>
      </c>
      <c r="D118">
        <v>153.55</v>
      </c>
      <c r="E118">
        <v>0.04220123738196027</v>
      </c>
      <c r="F118">
        <v>0.2</v>
      </c>
      <c r="G118">
        <v>0.1397230490720158</v>
      </c>
      <c r="H118">
        <v>5.920659057210023</v>
      </c>
      <c r="I118">
        <v>22827.319269</v>
      </c>
      <c r="J118">
        <v>26.55923739259581</v>
      </c>
      <c r="K118">
        <v>0.9753968792767748</v>
      </c>
      <c r="M118">
        <v>216.5</v>
      </c>
      <c r="N118">
        <v>139.97</v>
      </c>
    </row>
    <row r="119" spans="1:14">
      <c r="A119" s="1" t="s">
        <v>131</v>
      </c>
      <c r="B119">
        <f>HYPERLINK("https://www.suredividend.com/sure-analysis-FAF/","First American Financial Corp")</f>
        <v>0</v>
      </c>
      <c r="C119" t="s">
        <v>388</v>
      </c>
      <c r="D119">
        <v>52.99</v>
      </c>
      <c r="E119">
        <v>0.03925268918663899</v>
      </c>
      <c r="F119">
        <v>0.01960784313725483</v>
      </c>
      <c r="G119">
        <v>0.06474093044470108</v>
      </c>
      <c r="H119">
        <v>2.0301647074653</v>
      </c>
      <c r="I119">
        <v>5631.080036</v>
      </c>
      <c r="J119">
        <v>21.41095070874525</v>
      </c>
      <c r="K119">
        <v>0.8286386561082857</v>
      </c>
      <c r="M119">
        <v>67.78</v>
      </c>
      <c r="N119">
        <v>43.1</v>
      </c>
    </row>
    <row r="120" spans="1:14">
      <c r="A120" s="1" t="s">
        <v>132</v>
      </c>
      <c r="B120">
        <f>HYPERLINK("https://www.suredividend.com/sure-analysis-FAST/","Fastenal Co.")</f>
        <v>0</v>
      </c>
      <c r="C120" t="s">
        <v>385</v>
      </c>
      <c r="D120">
        <v>51.52</v>
      </c>
      <c r="E120">
        <v>0.02717391304347826</v>
      </c>
      <c r="F120">
        <v>0.1290322580645162</v>
      </c>
      <c r="G120" t="s">
        <v>393</v>
      </c>
      <c r="H120">
        <v>1.267554347719525</v>
      </c>
      <c r="I120">
        <v>30649.169463</v>
      </c>
      <c r="J120">
        <v>28.19870223888122</v>
      </c>
      <c r="K120">
        <v>0.6706636760420767</v>
      </c>
      <c r="M120">
        <v>59.21</v>
      </c>
      <c r="N120">
        <v>43.14</v>
      </c>
    </row>
    <row r="121" spans="1:14">
      <c r="A121" s="1" t="s">
        <v>133</v>
      </c>
      <c r="B121">
        <f>HYPERLINK("https://www.suredividend.com/sure-analysis-research-database/","First Community Bankshares Inc.")</f>
        <v>0</v>
      </c>
      <c r="C121" t="s">
        <v>388</v>
      </c>
      <c r="D121">
        <v>28.37</v>
      </c>
      <c r="E121">
        <v>0.036860003594186</v>
      </c>
      <c r="F121">
        <v>0.07407407407407396</v>
      </c>
      <c r="G121">
        <v>0.100082101138866</v>
      </c>
      <c r="H121">
        <v>1.125704509766467</v>
      </c>
      <c r="I121">
        <v>495.611121</v>
      </c>
      <c r="J121">
        <v>10.62130044747332</v>
      </c>
      <c r="K121">
        <v>0.3991859963710876</v>
      </c>
      <c r="M121">
        <v>39.04</v>
      </c>
      <c r="N121">
        <v>25.58</v>
      </c>
    </row>
    <row r="122" spans="1:14">
      <c r="A122" s="1" t="s">
        <v>134</v>
      </c>
      <c r="B122">
        <f>HYPERLINK("https://www.suredividend.com/sure-analysis-FDS/","Factset Research Systems Inc.")</f>
        <v>0</v>
      </c>
      <c r="C122" t="s">
        <v>388</v>
      </c>
      <c r="D122">
        <v>395.63</v>
      </c>
      <c r="E122">
        <v>0.00899830649849607</v>
      </c>
      <c r="F122">
        <v>0.08536585365853644</v>
      </c>
      <c r="G122">
        <v>0.06817400924869643</v>
      </c>
      <c r="H122">
        <v>3.549078666673798</v>
      </c>
      <c r="I122">
        <v>16111.669954</v>
      </c>
      <c r="J122">
        <v>37.81478532440831</v>
      </c>
      <c r="K122">
        <v>0.3232312082580873</v>
      </c>
      <c r="M122">
        <v>473.13</v>
      </c>
      <c r="N122">
        <v>343.82</v>
      </c>
    </row>
    <row r="123" spans="1:14">
      <c r="A123" s="1" t="s">
        <v>135</v>
      </c>
      <c r="B123">
        <f>HYPERLINK("https://www.suredividend.com/sure-analysis-FELE/","Franklin Electric Co., Inc.")</f>
        <v>0</v>
      </c>
      <c r="C123" t="s">
        <v>385</v>
      </c>
      <c r="D123">
        <v>90.76000000000001</v>
      </c>
      <c r="E123">
        <v>0.009916262670780079</v>
      </c>
      <c r="F123">
        <v>0.1538461538461537</v>
      </c>
      <c r="G123">
        <v>0.1339665776330272</v>
      </c>
      <c r="H123">
        <v>0.8071897565210561</v>
      </c>
      <c r="I123">
        <v>4469.367662</v>
      </c>
      <c r="J123">
        <v>23.15326658567921</v>
      </c>
      <c r="K123">
        <v>0.196396534433347</v>
      </c>
      <c r="M123">
        <v>100</v>
      </c>
      <c r="N123">
        <v>67.59999999999999</v>
      </c>
    </row>
    <row r="124" spans="1:14">
      <c r="A124" s="1" t="s">
        <v>136</v>
      </c>
      <c r="B124">
        <f>HYPERLINK("https://www.suredividend.com/sure-analysis-research-database/","First Financial Bankshares, Inc.")</f>
        <v>0</v>
      </c>
      <c r="C124" t="s">
        <v>388</v>
      </c>
      <c r="D124">
        <v>32.88</v>
      </c>
      <c r="E124">
        <v>0.018009967711876</v>
      </c>
      <c r="F124">
        <v>0.1333333333333335</v>
      </c>
      <c r="G124" t="s">
        <v>393</v>
      </c>
      <c r="H124">
        <v>0.65574292438944</v>
      </c>
      <c r="I124">
        <v>5195.744029</v>
      </c>
      <c r="J124">
        <v>22.15905332751892</v>
      </c>
      <c r="K124">
        <v>0.3998432465789268</v>
      </c>
      <c r="M124">
        <v>46.85</v>
      </c>
      <c r="N124">
        <v>32.53</v>
      </c>
    </row>
    <row r="125" spans="1:14">
      <c r="A125" s="1" t="s">
        <v>137</v>
      </c>
      <c r="B125">
        <f>HYPERLINK("https://www.suredividend.com/sure-analysis-research-database/","Financial Institutions Inc.")</f>
        <v>0</v>
      </c>
      <c r="C125" t="s">
        <v>388</v>
      </c>
      <c r="D125">
        <v>22.48</v>
      </c>
      <c r="E125">
        <v>0.04603773993244401</v>
      </c>
      <c r="F125">
        <v>0.07407407407407396</v>
      </c>
      <c r="G125">
        <v>0.03857377308425858</v>
      </c>
      <c r="H125">
        <v>1.139894440727334</v>
      </c>
      <c r="I125">
        <v>379.695417</v>
      </c>
      <c r="J125">
        <v>6.061839121924741</v>
      </c>
      <c r="K125">
        <v>0.2842629527998339</v>
      </c>
      <c r="M125">
        <v>32.97</v>
      </c>
      <c r="N125">
        <v>22.64</v>
      </c>
    </row>
    <row r="126" spans="1:14">
      <c r="A126" s="1" t="s">
        <v>138</v>
      </c>
      <c r="B126">
        <f>HYPERLINK("https://www.suredividend.com/sure-analysis-FITB/","Fifth Third Bancorp")</f>
        <v>0</v>
      </c>
      <c r="C126" t="s">
        <v>388</v>
      </c>
      <c r="D126">
        <v>30.37</v>
      </c>
      <c r="E126">
        <v>0.04346394468225222</v>
      </c>
      <c r="F126">
        <v>0.09999999999999987</v>
      </c>
      <c r="G126">
        <v>0.1557896243650145</v>
      </c>
      <c r="H126">
        <v>1.242066112586541</v>
      </c>
      <c r="I126">
        <v>24585.139622</v>
      </c>
      <c r="J126">
        <v>10.5606269854811</v>
      </c>
      <c r="K126">
        <v>0.3707660037571764</v>
      </c>
      <c r="M126">
        <v>46.35</v>
      </c>
      <c r="N126">
        <v>30.61</v>
      </c>
    </row>
    <row r="127" spans="1:14">
      <c r="A127" s="1" t="s">
        <v>139</v>
      </c>
      <c r="B127">
        <f>HYPERLINK("https://www.suredividend.com/sure-analysis-FLIC/","First Of Long Island Corp.")</f>
        <v>0</v>
      </c>
      <c r="C127" t="s">
        <v>388</v>
      </c>
      <c r="D127">
        <v>15.41</v>
      </c>
      <c r="E127">
        <v>0.054510058403634</v>
      </c>
      <c r="F127">
        <v>0.04999999999999982</v>
      </c>
      <c r="G127">
        <v>0.06961037572506878</v>
      </c>
      <c r="H127">
        <v>0.806108411746954</v>
      </c>
      <c r="I127">
        <v>385.875651</v>
      </c>
      <c r="J127">
        <v>8.38131302041703</v>
      </c>
      <c r="K127">
        <v>0.4071254604782596</v>
      </c>
      <c r="M127">
        <v>20.72</v>
      </c>
      <c r="N127">
        <v>15.94</v>
      </c>
    </row>
    <row r="128" spans="1:14">
      <c r="A128" s="1" t="s">
        <v>140</v>
      </c>
      <c r="B128">
        <f>HYPERLINK("https://www.suredividend.com/sure-analysis-FLO/","Flowers Foods, Inc.")</f>
        <v>0</v>
      </c>
      <c r="C128" t="s">
        <v>387</v>
      </c>
      <c r="D128">
        <v>27.2</v>
      </c>
      <c r="E128">
        <v>0.03235294117647059</v>
      </c>
      <c r="F128">
        <v>0.04761904761904767</v>
      </c>
      <c r="G128">
        <v>0.04095039696925684</v>
      </c>
      <c r="H128">
        <v>0.8698017689593041</v>
      </c>
      <c r="I128">
        <v>5909.355485</v>
      </c>
      <c r="J128">
        <v>25.87351456132823</v>
      </c>
      <c r="K128">
        <v>0.8128988494946766</v>
      </c>
      <c r="M128">
        <v>29.92</v>
      </c>
      <c r="N128">
        <v>23.53</v>
      </c>
    </row>
    <row r="129" spans="1:14">
      <c r="A129" s="1" t="s">
        <v>141</v>
      </c>
      <c r="B129">
        <f>HYPERLINK("https://www.suredividend.com/sure-analysis-FNF/","Fidelity National Financial Inc")</f>
        <v>0</v>
      </c>
      <c r="C129" t="s">
        <v>388</v>
      </c>
      <c r="D129">
        <v>35.29</v>
      </c>
      <c r="E129">
        <v>0.04987248512326438</v>
      </c>
      <c r="F129">
        <v>0.02272727272727271</v>
      </c>
      <c r="G129">
        <v>0.08447177119769855</v>
      </c>
      <c r="H129">
        <v>1.739631992638533</v>
      </c>
      <c r="I129">
        <v>10373.805531</v>
      </c>
      <c r="J129">
        <v>9.131871065713028</v>
      </c>
      <c r="K129">
        <v>0.4243004860093983</v>
      </c>
      <c r="M129">
        <v>48.77</v>
      </c>
      <c r="N129">
        <v>33.8</v>
      </c>
    </row>
    <row r="130" spans="1:14">
      <c r="A130" s="1" t="s">
        <v>142</v>
      </c>
      <c r="B130">
        <f>HYPERLINK("https://www.suredividend.com/sure-analysis-research-database/","First Merchants Corp.")</f>
        <v>0</v>
      </c>
      <c r="C130" t="s">
        <v>388</v>
      </c>
      <c r="D130">
        <v>37.39</v>
      </c>
      <c r="E130">
        <v>0.030974962033097</v>
      </c>
      <c r="F130">
        <v>0.1034482758620692</v>
      </c>
      <c r="G130">
        <v>0.07781806771272581</v>
      </c>
      <c r="H130">
        <v>1.265327199052044</v>
      </c>
      <c r="I130">
        <v>2436.308216</v>
      </c>
      <c r="J130">
        <v>11.03985452345672</v>
      </c>
      <c r="K130">
        <v>0.3321068763916126</v>
      </c>
      <c r="M130">
        <v>44.36</v>
      </c>
      <c r="N130">
        <v>33.29</v>
      </c>
    </row>
    <row r="131" spans="1:14">
      <c r="A131" s="1" t="s">
        <v>143</v>
      </c>
      <c r="B131">
        <f>HYPERLINK("https://www.suredividend.com/sure-analysis-FRT/","Federal Realty Investment Trust.")</f>
        <v>0</v>
      </c>
      <c r="C131" t="s">
        <v>391</v>
      </c>
      <c r="D131">
        <v>96.5</v>
      </c>
      <c r="E131">
        <v>0.04476683937823835</v>
      </c>
      <c r="F131">
        <v>0.009345794392523477</v>
      </c>
      <c r="G131">
        <v>0.01551127839748156</v>
      </c>
      <c r="H131">
        <v>4.242230857101854</v>
      </c>
      <c r="I131">
        <v>8725.128554999999</v>
      </c>
      <c r="J131">
        <v>0</v>
      </c>
      <c r="K131" t="s">
        <v>393</v>
      </c>
      <c r="M131">
        <v>125.35</v>
      </c>
      <c r="N131">
        <v>85.52</v>
      </c>
    </row>
    <row r="132" spans="1:14">
      <c r="A132" s="1" t="s">
        <v>144</v>
      </c>
      <c r="B132">
        <f>HYPERLINK("https://www.suredividend.com/sure-analysis-FUL/","H.B. Fuller Company")</f>
        <v>0</v>
      </c>
      <c r="C132" t="s">
        <v>390</v>
      </c>
      <c r="D132">
        <v>66.8</v>
      </c>
      <c r="E132">
        <v>0.01137724550898204</v>
      </c>
      <c r="F132" t="s">
        <v>393</v>
      </c>
      <c r="G132" t="s">
        <v>393</v>
      </c>
      <c r="H132">
        <v>0.7568629131014071</v>
      </c>
      <c r="I132">
        <v>3884.891212</v>
      </c>
      <c r="J132">
        <v>21.54526413658472</v>
      </c>
      <c r="K132">
        <v>0.2321665377611678</v>
      </c>
      <c r="M132">
        <v>81.2</v>
      </c>
      <c r="N132">
        <v>56.9</v>
      </c>
    </row>
    <row r="133" spans="1:14">
      <c r="A133" s="1" t="s">
        <v>145</v>
      </c>
      <c r="B133">
        <f>HYPERLINK("https://www.suredividend.com/sure-analysis-GATX/","GATX Corp.")</f>
        <v>0</v>
      </c>
      <c r="C133" t="s">
        <v>385</v>
      </c>
      <c r="D133">
        <v>102.68</v>
      </c>
      <c r="E133">
        <v>0.02142578885858979</v>
      </c>
      <c r="F133">
        <v>0.05769230769230771</v>
      </c>
      <c r="G133">
        <v>0.04563955259127317</v>
      </c>
      <c r="H133">
        <v>2.094599945962349</v>
      </c>
      <c r="I133">
        <v>3799.339</v>
      </c>
      <c r="J133">
        <v>24.37035920461834</v>
      </c>
      <c r="K133">
        <v>0.4826267156595274</v>
      </c>
      <c r="M133">
        <v>125</v>
      </c>
      <c r="N133">
        <v>84.14</v>
      </c>
    </row>
    <row r="134" spans="1:14">
      <c r="A134" s="1" t="s">
        <v>146</v>
      </c>
      <c r="B134">
        <f>HYPERLINK("https://www.suredividend.com/sure-analysis-GD/","General Dynamics Corp.")</f>
        <v>0</v>
      </c>
      <c r="C134" t="s">
        <v>385</v>
      </c>
      <c r="D134">
        <v>220.93</v>
      </c>
      <c r="E134">
        <v>0.02389897252523424</v>
      </c>
      <c r="F134">
        <v>0.05882352941176472</v>
      </c>
      <c r="G134">
        <v>0.06261885889987062</v>
      </c>
      <c r="H134">
        <v>4.998809653600768</v>
      </c>
      <c r="I134">
        <v>63404.319676</v>
      </c>
      <c r="J134">
        <v>18.70333913751032</v>
      </c>
      <c r="K134">
        <v>0.4100746229368964</v>
      </c>
      <c r="M134">
        <v>255.49</v>
      </c>
      <c r="N134">
        <v>204.68</v>
      </c>
    </row>
    <row r="135" spans="1:14">
      <c r="A135" s="1" t="s">
        <v>147</v>
      </c>
      <c r="B135">
        <f>HYPERLINK("https://www.suredividend.com/sure-analysis-research-database/","Griffon Corp.")</f>
        <v>0</v>
      </c>
      <c r="C135" t="s">
        <v>385</v>
      </c>
      <c r="D135">
        <v>33.7</v>
      </c>
      <c r="E135">
        <v>0.009792034971601001</v>
      </c>
      <c r="F135">
        <v>0.1111111111111112</v>
      </c>
      <c r="G135">
        <v>0.07394092378577932</v>
      </c>
      <c r="H135">
        <v>0.372195249270578</v>
      </c>
      <c r="I135">
        <v>2173.648298</v>
      </c>
      <c r="J135" t="s">
        <v>393</v>
      </c>
      <c r="K135" t="s">
        <v>393</v>
      </c>
      <c r="M135">
        <v>43.62</v>
      </c>
      <c r="N135">
        <v>16.14</v>
      </c>
    </row>
    <row r="136" spans="1:14">
      <c r="A136" s="1" t="s">
        <v>148</v>
      </c>
      <c r="B136">
        <f>HYPERLINK("https://www.suredividend.com/sure-analysis-GGG/","Graco Inc.")</f>
        <v>0</v>
      </c>
      <c r="C136" t="s">
        <v>385</v>
      </c>
      <c r="D136">
        <v>67.65000000000001</v>
      </c>
      <c r="E136">
        <v>0.0138950480413895</v>
      </c>
      <c r="F136">
        <v>0.1190476190476191</v>
      </c>
      <c r="G136">
        <v>0.1214254213452666</v>
      </c>
      <c r="H136">
        <v>0.8627943368147181</v>
      </c>
      <c r="I136">
        <v>11925.558169</v>
      </c>
      <c r="J136">
        <v>25.8888258184068</v>
      </c>
      <c r="K136">
        <v>0.3243587732386158</v>
      </c>
      <c r="M136">
        <v>72.87</v>
      </c>
      <c r="N136">
        <v>56.08</v>
      </c>
    </row>
    <row r="137" spans="1:14">
      <c r="A137" s="1" t="s">
        <v>149</v>
      </c>
      <c r="B137">
        <f>HYPERLINK("https://www.suredividend.com/sure-analysis-GL/","Globe Life Inc")</f>
        <v>0</v>
      </c>
      <c r="C137" t="s">
        <v>388</v>
      </c>
      <c r="D137">
        <v>113.97</v>
      </c>
      <c r="E137">
        <v>0.007896814951302974</v>
      </c>
      <c r="F137">
        <v>0.05063291139240511</v>
      </c>
      <c r="G137">
        <v>0.05336679400581579</v>
      </c>
      <c r="H137">
        <v>0.8276765243109501</v>
      </c>
      <c r="I137">
        <v>11635.683864</v>
      </c>
      <c r="J137">
        <v>15.73018918872954</v>
      </c>
      <c r="K137">
        <v>0.1108000701888822</v>
      </c>
      <c r="M137">
        <v>123.85</v>
      </c>
      <c r="N137">
        <v>87.36</v>
      </c>
    </row>
    <row r="138" spans="1:14">
      <c r="A138" s="1" t="s">
        <v>150</v>
      </c>
      <c r="B138">
        <f>HYPERLINK("https://www.suredividend.com/sure-analysis-GLW/","Corning, Inc.")</f>
        <v>0</v>
      </c>
      <c r="C138" t="s">
        <v>386</v>
      </c>
      <c r="D138">
        <v>33.26</v>
      </c>
      <c r="E138">
        <v>0.03367408298256164</v>
      </c>
      <c r="F138">
        <v>0.03703703703703698</v>
      </c>
      <c r="G138">
        <v>0.09238846414037316</v>
      </c>
      <c r="H138">
        <v>1.076983073194189</v>
      </c>
      <c r="I138">
        <v>29858.291894</v>
      </c>
      <c r="J138">
        <v>22.68867165193009</v>
      </c>
      <c r="K138">
        <v>0.6993396579183045</v>
      </c>
      <c r="M138">
        <v>37.6</v>
      </c>
      <c r="N138">
        <v>28.51</v>
      </c>
    </row>
    <row r="139" spans="1:14">
      <c r="A139" s="1" t="s">
        <v>151</v>
      </c>
      <c r="B139">
        <f>HYPERLINK("https://www.suredividend.com/sure-analysis-GNTX/","Gentex Corp.")</f>
        <v>0</v>
      </c>
      <c r="C139" t="s">
        <v>392</v>
      </c>
      <c r="D139">
        <v>26.94</v>
      </c>
      <c r="E139">
        <v>0.0178173719376392</v>
      </c>
      <c r="F139">
        <v>0</v>
      </c>
      <c r="G139">
        <v>0.01755457717558762</v>
      </c>
      <c r="H139">
        <v>0.476806287301167</v>
      </c>
      <c r="I139">
        <v>6732.612095</v>
      </c>
      <c r="J139">
        <v>21.44948027412633</v>
      </c>
      <c r="K139">
        <v>0.3505928583096817</v>
      </c>
      <c r="M139">
        <v>31.06</v>
      </c>
      <c r="N139">
        <v>23.18</v>
      </c>
    </row>
    <row r="140" spans="1:14">
      <c r="A140" s="1" t="s">
        <v>152</v>
      </c>
      <c r="B140">
        <f>HYPERLINK("https://www.suredividend.com/sure-analysis-GPC/","Genuine Parts Co.")</f>
        <v>0</v>
      </c>
      <c r="C140" t="s">
        <v>392</v>
      </c>
      <c r="D140">
        <v>162.99</v>
      </c>
      <c r="E140">
        <v>0.02331431376158046</v>
      </c>
      <c r="F140">
        <v>0.06145251396648055</v>
      </c>
      <c r="G140">
        <v>0.05700787217295233</v>
      </c>
      <c r="H140">
        <v>3.606252160183648</v>
      </c>
      <c r="I140">
        <v>23261.638705</v>
      </c>
      <c r="J140">
        <v>19.66823288827861</v>
      </c>
      <c r="K140">
        <v>0.4339653622362994</v>
      </c>
      <c r="M140">
        <v>186.68</v>
      </c>
      <c r="N140">
        <v>118.8</v>
      </c>
    </row>
    <row r="141" spans="1:14">
      <c r="A141" s="1" t="s">
        <v>153</v>
      </c>
      <c r="B141">
        <f>HYPERLINK("https://www.suredividend.com/sure-analysis-GRC/","Gorman-Rupp Co.")</f>
        <v>0</v>
      </c>
      <c r="C141" t="s">
        <v>385</v>
      </c>
      <c r="D141">
        <v>25.18</v>
      </c>
      <c r="E141">
        <v>0.02779984114376489</v>
      </c>
      <c r="F141">
        <v>0.02941176470588247</v>
      </c>
      <c r="G141">
        <v>0.06961037572506878</v>
      </c>
      <c r="H141">
        <v>0.683677604870488</v>
      </c>
      <c r="I141">
        <v>727.785785</v>
      </c>
      <c r="J141">
        <v>47.53352392724185</v>
      </c>
      <c r="K141">
        <v>1.165293343907428</v>
      </c>
      <c r="M141">
        <v>38.95</v>
      </c>
      <c r="N141">
        <v>22.39</v>
      </c>
    </row>
    <row r="142" spans="1:14">
      <c r="A142" s="1" t="s">
        <v>154</v>
      </c>
      <c r="B142">
        <f>HYPERLINK("https://www.suredividend.com/sure-analysis-GS/","Goldman Sachs Group, Inc.")</f>
        <v>0</v>
      </c>
      <c r="C142" t="s">
        <v>388</v>
      </c>
      <c r="D142">
        <v>327.67</v>
      </c>
      <c r="E142">
        <v>0.03051850947599719</v>
      </c>
      <c r="F142">
        <v>0.25</v>
      </c>
      <c r="G142">
        <v>0.2559432157547901</v>
      </c>
      <c r="H142">
        <v>9.406340936548958</v>
      </c>
      <c r="I142">
        <v>119776.302269</v>
      </c>
      <c r="J142">
        <v>11.12748999154682</v>
      </c>
      <c r="K142">
        <v>0.312918860164636</v>
      </c>
      <c r="M142">
        <v>384.29</v>
      </c>
      <c r="N142">
        <v>272.01</v>
      </c>
    </row>
    <row r="143" spans="1:14">
      <c r="A143" s="1" t="s">
        <v>155</v>
      </c>
      <c r="B143">
        <f>HYPERLINK("https://www.suredividend.com/sure-analysis-GWW/","W.W. Grainger Inc.")</f>
        <v>0</v>
      </c>
      <c r="C143" t="s">
        <v>385</v>
      </c>
      <c r="D143">
        <v>677.88</v>
      </c>
      <c r="E143">
        <v>0.01014928895969788</v>
      </c>
      <c r="F143">
        <v>0</v>
      </c>
      <c r="G143">
        <v>0.04808838399458915</v>
      </c>
      <c r="H143">
        <v>6.836668533206117</v>
      </c>
      <c r="I143">
        <v>35121.919256</v>
      </c>
      <c r="J143">
        <v>22.70324450904977</v>
      </c>
      <c r="K143">
        <v>0.2258562449027459</v>
      </c>
      <c r="M143">
        <v>709.21</v>
      </c>
      <c r="N143">
        <v>435.43</v>
      </c>
    </row>
    <row r="144" spans="1:14">
      <c r="A144" s="1" t="s">
        <v>156</v>
      </c>
      <c r="B144">
        <f>HYPERLINK("https://www.suredividend.com/sure-analysis-HBAN/","Huntington Bancshares, Inc.")</f>
        <v>0</v>
      </c>
      <c r="C144" t="s">
        <v>388</v>
      </c>
      <c r="D144">
        <v>13.37</v>
      </c>
      <c r="E144">
        <v>0.04637247569184742</v>
      </c>
      <c r="F144">
        <v>0</v>
      </c>
      <c r="G144">
        <v>0.07099588603959828</v>
      </c>
      <c r="H144">
        <v>0.6095490815492071</v>
      </c>
      <c r="I144">
        <v>21962.716974</v>
      </c>
      <c r="J144">
        <v>10.33539622328471</v>
      </c>
      <c r="K144">
        <v>0.4203786769304876</v>
      </c>
      <c r="M144">
        <v>15.62</v>
      </c>
      <c r="N144">
        <v>11.41</v>
      </c>
    </row>
    <row r="145" spans="1:14">
      <c r="A145" s="1" t="s">
        <v>157</v>
      </c>
      <c r="B145">
        <f>HYPERLINK("https://www.suredividend.com/sure-analysis-research-database/","Horizon Bancorp Inc (IN)")</f>
        <v>0</v>
      </c>
      <c r="C145" t="s">
        <v>388</v>
      </c>
      <c r="D145">
        <v>13.05</v>
      </c>
      <c r="E145">
        <v>0.04102835564766601</v>
      </c>
      <c r="F145">
        <v>0.06666666666666665</v>
      </c>
      <c r="G145">
        <v>0.01299136822423641</v>
      </c>
      <c r="H145">
        <v>0.6211693045056711</v>
      </c>
      <c r="I145">
        <v>665.174219</v>
      </c>
      <c r="J145">
        <v>7.101403034761071</v>
      </c>
      <c r="K145">
        <v>0.2902660301428369</v>
      </c>
      <c r="M145">
        <v>20.25</v>
      </c>
      <c r="N145">
        <v>14.35</v>
      </c>
    </row>
    <row r="146" spans="1:14">
      <c r="A146" s="1" t="s">
        <v>158</v>
      </c>
      <c r="B146">
        <f>HYPERLINK("https://www.suredividend.com/sure-analysis-HCSG/","Healthcare Services Group, Inc.")</f>
        <v>0</v>
      </c>
      <c r="C146" t="s">
        <v>384</v>
      </c>
      <c r="D146">
        <v>12</v>
      </c>
      <c r="E146">
        <v>0.04881496216743</v>
      </c>
      <c r="F146" t="s">
        <v>393</v>
      </c>
      <c r="G146" t="s">
        <v>393</v>
      </c>
      <c r="H146">
        <v>0.631665610446552</v>
      </c>
      <c r="I146">
        <v>962.612397</v>
      </c>
      <c r="J146">
        <v>27.79706604447012</v>
      </c>
      <c r="K146">
        <v>1.356087613667995</v>
      </c>
      <c r="M146">
        <v>19.69</v>
      </c>
      <c r="N146">
        <v>11.55</v>
      </c>
    </row>
    <row r="147" spans="1:14">
      <c r="A147" s="1" t="s">
        <v>159</v>
      </c>
      <c r="B147">
        <f>HYPERLINK("https://www.suredividend.com/sure-analysis-HD/","Home Depot, Inc.")</f>
        <v>0</v>
      </c>
      <c r="C147" t="s">
        <v>392</v>
      </c>
      <c r="D147">
        <v>286.31</v>
      </c>
      <c r="E147">
        <v>0.02919911983514372</v>
      </c>
      <c r="F147">
        <v>0.09999999999999987</v>
      </c>
      <c r="G147">
        <v>0.1520247572913045</v>
      </c>
      <c r="H147">
        <v>7.529462513236031</v>
      </c>
      <c r="I147">
        <v>305531.156913</v>
      </c>
      <c r="J147">
        <v>17.87254500809301</v>
      </c>
      <c r="K147">
        <v>0.4541292227524748</v>
      </c>
      <c r="M147">
        <v>347.25</v>
      </c>
      <c r="N147">
        <v>261.21</v>
      </c>
    </row>
    <row r="148" spans="1:14">
      <c r="A148" s="1" t="s">
        <v>160</v>
      </c>
      <c r="B148">
        <f>HYPERLINK("https://www.suredividend.com/sure-analysis-HEI/","Heico Corp.")</f>
        <v>0</v>
      </c>
      <c r="C148" t="s">
        <v>385</v>
      </c>
      <c r="D148">
        <v>167.78</v>
      </c>
      <c r="E148">
        <v>0.001192037191560377</v>
      </c>
      <c r="F148" t="s">
        <v>393</v>
      </c>
      <c r="G148" t="s">
        <v>393</v>
      </c>
      <c r="H148">
        <v>0.189940837888936</v>
      </c>
      <c r="I148">
        <v>20840.067865</v>
      </c>
      <c r="J148">
        <v>58.24811229517498</v>
      </c>
      <c r="K148">
        <v>0.07333623084514904</v>
      </c>
      <c r="M148">
        <v>177.55</v>
      </c>
      <c r="N148">
        <v>126.78</v>
      </c>
    </row>
    <row r="149" spans="1:14">
      <c r="A149" s="1" t="s">
        <v>161</v>
      </c>
      <c r="B149">
        <f>HYPERLINK("https://www.suredividend.com/sure-analysis-research-database/","Heritage Financial Corp.")</f>
        <v>0</v>
      </c>
      <c r="C149" t="s">
        <v>388</v>
      </c>
      <c r="D149">
        <v>23.81</v>
      </c>
      <c r="E149">
        <v>0.032347437672077</v>
      </c>
      <c r="F149">
        <v>0.04761904761904767</v>
      </c>
      <c r="G149">
        <v>0.05291848906511043</v>
      </c>
      <c r="H149">
        <v>0.841033379474023</v>
      </c>
      <c r="I149">
        <v>912.774122</v>
      </c>
      <c r="J149">
        <v>11.14838622290076</v>
      </c>
      <c r="K149">
        <v>0.3640837140580186</v>
      </c>
      <c r="M149">
        <v>34.08</v>
      </c>
      <c r="N149">
        <v>22.95</v>
      </c>
    </row>
    <row r="150" spans="1:14">
      <c r="A150" s="1" t="s">
        <v>162</v>
      </c>
      <c r="B150">
        <f>HYPERLINK("https://www.suredividend.com/sure-analysis-HI/","Hillenbrand Inc")</f>
        <v>0</v>
      </c>
      <c r="C150" t="s">
        <v>385</v>
      </c>
      <c r="D150">
        <v>45.35</v>
      </c>
      <c r="E150">
        <v>0.01940463065049614</v>
      </c>
      <c r="F150">
        <v>0.01149425287356332</v>
      </c>
      <c r="G150">
        <v>0.01176794512623491</v>
      </c>
      <c r="H150">
        <v>0.8660312042655921</v>
      </c>
      <c r="I150">
        <v>3446.252835</v>
      </c>
      <c r="J150">
        <v>16.77825138734177</v>
      </c>
      <c r="K150">
        <v>0.3007052792588862</v>
      </c>
      <c r="M150">
        <v>53.3</v>
      </c>
      <c r="N150">
        <v>35.85</v>
      </c>
    </row>
    <row r="151" spans="1:14">
      <c r="A151" s="1" t="s">
        <v>163</v>
      </c>
      <c r="B151">
        <f>HYPERLINK("https://www.suredividend.com/sure-analysis-HIFS/","Hingham Institution For Savings")</f>
        <v>0</v>
      </c>
      <c r="C151" t="s">
        <v>388</v>
      </c>
      <c r="D151">
        <v>245.01</v>
      </c>
      <c r="E151">
        <v>0.01285661809722052</v>
      </c>
      <c r="F151">
        <v>0.1052631578947367</v>
      </c>
      <c r="G151">
        <v>0.106398021719422</v>
      </c>
      <c r="H151">
        <v>2.391845848965101</v>
      </c>
      <c r="I151">
        <v>595.998</v>
      </c>
      <c r="J151">
        <v>0</v>
      </c>
      <c r="K151" t="s">
        <v>393</v>
      </c>
      <c r="M151">
        <v>352.36</v>
      </c>
      <c r="N151">
        <v>241.82</v>
      </c>
    </row>
    <row r="152" spans="1:14">
      <c r="A152" s="1" t="s">
        <v>164</v>
      </c>
      <c r="B152">
        <f>HYPERLINK("https://www.suredividend.com/sure-analysis-research-database/","Horace Mann Educators Corp.")</f>
        <v>0</v>
      </c>
      <c r="C152" t="s">
        <v>388</v>
      </c>
      <c r="D152">
        <v>35.04</v>
      </c>
      <c r="E152">
        <v>0.034403489920149</v>
      </c>
      <c r="F152">
        <v>0.032258064516129</v>
      </c>
      <c r="G152">
        <v>0.0234367875071011</v>
      </c>
      <c r="H152">
        <v>1.263296149867886</v>
      </c>
      <c r="I152">
        <v>1499.500013</v>
      </c>
      <c r="J152" t="s">
        <v>393</v>
      </c>
      <c r="K152" t="s">
        <v>393</v>
      </c>
      <c r="M152">
        <v>41.51</v>
      </c>
      <c r="N152">
        <v>32.03</v>
      </c>
    </row>
    <row r="153" spans="1:14">
      <c r="A153" s="1" t="s">
        <v>165</v>
      </c>
      <c r="B153">
        <f>HYPERLINK("https://www.suredividend.com/sure-analysis-HNI/","HNI Corp.")</f>
        <v>0</v>
      </c>
      <c r="C153" t="s">
        <v>385</v>
      </c>
      <c r="D153">
        <v>28.06</v>
      </c>
      <c r="E153">
        <v>0.04561653599429794</v>
      </c>
      <c r="F153">
        <v>0.032258064516129</v>
      </c>
      <c r="G153">
        <v>0.01640219077828098</v>
      </c>
      <c r="H153">
        <v>1.260612549163632</v>
      </c>
      <c r="I153">
        <v>1335.376427</v>
      </c>
      <c r="J153">
        <v>10.77785655569007</v>
      </c>
      <c r="K153">
        <v>0.4287797786270857</v>
      </c>
      <c r="M153">
        <v>38.27</v>
      </c>
      <c r="N153">
        <v>25.96</v>
      </c>
    </row>
    <row r="154" spans="1:14">
      <c r="A154" s="1" t="s">
        <v>166</v>
      </c>
      <c r="B154">
        <f>HYPERLINK("https://www.suredividend.com/sure-analysis-research-database/","Home Bancshares Inc")</f>
        <v>0</v>
      </c>
      <c r="C154" t="s">
        <v>388</v>
      </c>
      <c r="D154">
        <v>21.93</v>
      </c>
      <c r="E154">
        <v>0.027589102616217</v>
      </c>
      <c r="F154">
        <v>0.09090909090909083</v>
      </c>
      <c r="G154">
        <v>0.1035092145999348</v>
      </c>
      <c r="H154">
        <v>0.6682080653647831</v>
      </c>
      <c r="I154">
        <v>4931.364955</v>
      </c>
      <c r="J154">
        <v>16.15453268018948</v>
      </c>
      <c r="K154">
        <v>0.4256102327164223</v>
      </c>
      <c r="M154">
        <v>25.88</v>
      </c>
      <c r="N154">
        <v>19.27</v>
      </c>
    </row>
    <row r="155" spans="1:14">
      <c r="A155" s="1" t="s">
        <v>167</v>
      </c>
      <c r="B155">
        <f>HYPERLINK("https://www.suredividend.com/sure-analysis-HON/","Honeywell International Inc")</f>
        <v>0</v>
      </c>
      <c r="C155" t="s">
        <v>385</v>
      </c>
      <c r="D155">
        <v>193.33</v>
      </c>
      <c r="E155">
        <v>0.02131071225365954</v>
      </c>
      <c r="F155">
        <v>0.05102040816326525</v>
      </c>
      <c r="G155">
        <v>0.06693064751987632</v>
      </c>
      <c r="H155">
        <v>3.975311707848845</v>
      </c>
      <c r="I155">
        <v>131503.364399</v>
      </c>
      <c r="J155">
        <v>26.48607540758107</v>
      </c>
      <c r="K155">
        <v>0.5468104137343666</v>
      </c>
      <c r="M155">
        <v>219.8</v>
      </c>
      <c r="N155">
        <v>164.02</v>
      </c>
    </row>
    <row r="156" spans="1:14">
      <c r="A156" s="1" t="s">
        <v>168</v>
      </c>
      <c r="B156">
        <f>HYPERLINK("https://www.suredividend.com/sure-analysis-HPQ/","HP Inc")</f>
        <v>0</v>
      </c>
      <c r="C156" t="s">
        <v>386</v>
      </c>
      <c r="D156">
        <v>27.45</v>
      </c>
      <c r="E156">
        <v>0.03825136612021858</v>
      </c>
      <c r="F156">
        <v>0.05000000000000004</v>
      </c>
      <c r="G156">
        <v>0.1351039586341305</v>
      </c>
      <c r="H156">
        <v>0.999817004118383</v>
      </c>
      <c r="I156">
        <v>28190.236426</v>
      </c>
      <c r="J156">
        <v>10.82574363518433</v>
      </c>
      <c r="K156">
        <v>0.393628741778891</v>
      </c>
      <c r="M156">
        <v>40.48</v>
      </c>
      <c r="N156">
        <v>23.86</v>
      </c>
    </row>
    <row r="157" spans="1:14">
      <c r="A157" s="1" t="s">
        <v>169</v>
      </c>
      <c r="B157">
        <f>HYPERLINK("https://www.suredividend.com/sure-analysis-HRL/","Hormel Foods Corp.")</f>
        <v>0</v>
      </c>
      <c r="C157" t="s">
        <v>387</v>
      </c>
      <c r="D157">
        <v>39.18</v>
      </c>
      <c r="E157">
        <v>0.02807554874936192</v>
      </c>
      <c r="F157">
        <v>0.05769230769230771</v>
      </c>
      <c r="G157">
        <v>0.0796084730466029</v>
      </c>
      <c r="H157">
        <v>1.046085118391836</v>
      </c>
      <c r="I157">
        <v>22205.632661</v>
      </c>
      <c r="J157">
        <v>22.70201215730957</v>
      </c>
      <c r="K157">
        <v>0.5876882687594585</v>
      </c>
      <c r="M157">
        <v>54.18</v>
      </c>
      <c r="N157">
        <v>40.06</v>
      </c>
    </row>
    <row r="158" spans="1:14">
      <c r="A158" s="1" t="s">
        <v>170</v>
      </c>
      <c r="B158">
        <f>HYPERLINK("https://www.suredividend.com/sure-analysis-HSY/","Hershey Company")</f>
        <v>0</v>
      </c>
      <c r="C158" t="s">
        <v>387</v>
      </c>
      <c r="D158">
        <v>237.74</v>
      </c>
      <c r="E158">
        <v>0.01741398166063767</v>
      </c>
      <c r="F158">
        <v>0.1498335183129855</v>
      </c>
      <c r="G158">
        <v>0.0956987929182207</v>
      </c>
      <c r="H158">
        <v>3.983062677313973</v>
      </c>
      <c r="I158">
        <v>48891.072</v>
      </c>
      <c r="J158">
        <v>21.29492063469675</v>
      </c>
      <c r="K158">
        <v>0.6108991836371125</v>
      </c>
      <c r="M158">
        <v>244.38</v>
      </c>
      <c r="N158">
        <v>198.71</v>
      </c>
    </row>
    <row r="159" spans="1:14">
      <c r="A159" s="1" t="s">
        <v>171</v>
      </c>
      <c r="B159">
        <f>HYPERLINK("https://www.suredividend.com/sure-analysis-HUBB/","Hubbell Inc.")</f>
        <v>0</v>
      </c>
      <c r="C159" t="s">
        <v>385</v>
      </c>
      <c r="D159">
        <v>239.29</v>
      </c>
      <c r="E159">
        <v>0.01872205273935392</v>
      </c>
      <c r="F159">
        <v>0.06666666666666665</v>
      </c>
      <c r="G159">
        <v>0.07781806771272581</v>
      </c>
      <c r="H159">
        <v>4.311215847988771</v>
      </c>
      <c r="I159">
        <v>13563.0938</v>
      </c>
      <c r="J159">
        <v>24.90926317663912</v>
      </c>
      <c r="K159">
        <v>0.4285502831002755</v>
      </c>
      <c r="M159">
        <v>262.14</v>
      </c>
      <c r="N159">
        <v>167.86</v>
      </c>
    </row>
    <row r="160" spans="1:14">
      <c r="A160" s="1" t="s">
        <v>172</v>
      </c>
      <c r="B160">
        <f>HYPERLINK("https://www.suredividend.com/sure-analysis-HUM/","Humana Inc.")</f>
        <v>0</v>
      </c>
      <c r="C160" t="s">
        <v>384</v>
      </c>
      <c r="D160">
        <v>479.66</v>
      </c>
      <c r="E160">
        <v>0.007380227661260058</v>
      </c>
      <c r="F160">
        <v>0.125</v>
      </c>
      <c r="G160">
        <v>0.09510588196866943</v>
      </c>
      <c r="H160">
        <v>3.142544418699091</v>
      </c>
      <c r="I160">
        <v>62513.566175</v>
      </c>
      <c r="J160">
        <v>22.27853391839985</v>
      </c>
      <c r="K160">
        <v>0.1423253812816618</v>
      </c>
      <c r="M160">
        <v>570.4299999999999</v>
      </c>
      <c r="N160">
        <v>408.89</v>
      </c>
    </row>
    <row r="161" spans="1:14">
      <c r="A161" s="1" t="s">
        <v>173</v>
      </c>
      <c r="B161">
        <f>HYPERLINK("https://www.suredividend.com/sure-analysis-HWKN/","Hawkins Inc")</f>
        <v>0</v>
      </c>
      <c r="C161" t="s">
        <v>390</v>
      </c>
      <c r="D161">
        <v>38.84</v>
      </c>
      <c r="E161">
        <v>0.01544799176107106</v>
      </c>
      <c r="F161">
        <v>0.0714285714285714</v>
      </c>
      <c r="G161" t="s">
        <v>393</v>
      </c>
      <c r="H161">
        <v>0.5671140727991001</v>
      </c>
      <c r="I161">
        <v>887.353476</v>
      </c>
      <c r="J161">
        <v>15.03861495720702</v>
      </c>
      <c r="K161">
        <v>0.2018199547327758</v>
      </c>
      <c r="M161">
        <v>47.45</v>
      </c>
      <c r="N161">
        <v>32.94</v>
      </c>
    </row>
    <row r="162" spans="1:14">
      <c r="A162" s="1" t="s">
        <v>174</v>
      </c>
      <c r="B162">
        <f>HYPERLINK("https://www.suredividend.com/sure-analysis-IBM/","International Business Machines Corp.")</f>
        <v>0</v>
      </c>
      <c r="C162" t="s">
        <v>386</v>
      </c>
      <c r="D162">
        <v>125.45</v>
      </c>
      <c r="E162">
        <v>0.05261060183339976</v>
      </c>
      <c r="F162">
        <v>0.006097560975609539</v>
      </c>
      <c r="G162">
        <v>0.00998949894044987</v>
      </c>
      <c r="H162">
        <v>6.481483654901445</v>
      </c>
      <c r="I162">
        <v>117210.941699</v>
      </c>
      <c r="J162">
        <v>71.4265336376112</v>
      </c>
      <c r="K162">
        <v>3.600824252723025</v>
      </c>
      <c r="M162">
        <v>151.35</v>
      </c>
      <c r="N162">
        <v>112.8</v>
      </c>
    </row>
    <row r="163" spans="1:14">
      <c r="A163" s="1" t="s">
        <v>175</v>
      </c>
      <c r="B163">
        <f>HYPERLINK("https://www.suredividend.com/sure-analysis-research-database/","International Bancshares Corp.")</f>
        <v>0</v>
      </c>
      <c r="C163" t="s">
        <v>388</v>
      </c>
      <c r="D163">
        <v>45.04</v>
      </c>
      <c r="E163">
        <v>0.024850402045681</v>
      </c>
      <c r="F163" t="s">
        <v>393</v>
      </c>
      <c r="G163" t="s">
        <v>393</v>
      </c>
      <c r="H163">
        <v>1.221894268586158</v>
      </c>
      <c r="I163">
        <v>3055.649441</v>
      </c>
      <c r="J163">
        <v>10.17762743854752</v>
      </c>
      <c r="K163">
        <v>0.2556264160222088</v>
      </c>
      <c r="M163">
        <v>52.98</v>
      </c>
      <c r="N163">
        <v>36.99</v>
      </c>
    </row>
    <row r="164" spans="1:14">
      <c r="A164" s="1" t="s">
        <v>176</v>
      </c>
      <c r="B164">
        <f>HYPERLINK("https://www.suredividend.com/sure-analysis-IDA/","Idacorp, Inc.")</f>
        <v>0</v>
      </c>
      <c r="C164" t="s">
        <v>389</v>
      </c>
      <c r="D164">
        <v>101.68</v>
      </c>
      <c r="E164">
        <v>0.03107789142407553</v>
      </c>
      <c r="F164">
        <v>0.05333333333333345</v>
      </c>
      <c r="G164">
        <v>0.0601199707922162</v>
      </c>
      <c r="H164">
        <v>3.047240724252267</v>
      </c>
      <c r="I164">
        <v>5217.829831</v>
      </c>
      <c r="J164">
        <v>20.14746133345175</v>
      </c>
      <c r="K164">
        <v>0.5963289088556295</v>
      </c>
      <c r="M164">
        <v>115.55</v>
      </c>
      <c r="N164">
        <v>92.15000000000001</v>
      </c>
    </row>
    <row r="165" spans="1:14">
      <c r="A165" s="1" t="s">
        <v>177</v>
      </c>
      <c r="B165">
        <f>HYPERLINK("https://www.suredividend.com/sure-analysis-IEX/","Idex Corporation")</f>
        <v>0</v>
      </c>
      <c r="C165" t="s">
        <v>385</v>
      </c>
      <c r="D165">
        <v>219.93</v>
      </c>
      <c r="E165">
        <v>0.01091256308825535</v>
      </c>
      <c r="F165">
        <v>0.1111111111111112</v>
      </c>
      <c r="G165">
        <v>0.06889872481155268</v>
      </c>
      <c r="H165">
        <v>2.389856622659186</v>
      </c>
      <c r="I165">
        <v>17236.273968</v>
      </c>
      <c r="J165">
        <v>29.36833185891975</v>
      </c>
      <c r="K165">
        <v>0.3095669200335733</v>
      </c>
      <c r="M165">
        <v>245.6</v>
      </c>
      <c r="N165">
        <v>170.67</v>
      </c>
    </row>
    <row r="166" spans="1:14">
      <c r="A166" s="1" t="s">
        <v>178</v>
      </c>
      <c r="B166">
        <f>HYPERLINK("https://www.suredividend.com/sure-analysis-IFF/","International Flavors &amp; Fragrances Inc.")</f>
        <v>0</v>
      </c>
      <c r="C166" t="s">
        <v>390</v>
      </c>
      <c r="D166">
        <v>84.64</v>
      </c>
      <c r="E166">
        <v>0.03827977315689982</v>
      </c>
      <c r="F166">
        <v>0.02531645569620244</v>
      </c>
      <c r="G166">
        <v>0.03258826616987553</v>
      </c>
      <c r="H166">
        <v>3.163252089662517</v>
      </c>
      <c r="I166">
        <v>23919.687258</v>
      </c>
      <c r="J166" t="s">
        <v>393</v>
      </c>
      <c r="K166" t="s">
        <v>393</v>
      </c>
      <c r="M166">
        <v>132.11</v>
      </c>
      <c r="N166">
        <v>82.48999999999999</v>
      </c>
    </row>
    <row r="167" spans="1:14">
      <c r="A167" s="1" t="s">
        <v>179</v>
      </c>
      <c r="B167">
        <f>HYPERLINK("https://www.suredividend.com/sure-analysis-research-database/","Independent Bank Corp.")</f>
        <v>0</v>
      </c>
      <c r="C167" t="s">
        <v>388</v>
      </c>
      <c r="D167">
        <v>70.59</v>
      </c>
      <c r="E167">
        <v>0.026412716246623</v>
      </c>
      <c r="F167">
        <v>0.1458333333333335</v>
      </c>
      <c r="G167">
        <v>0.07675232594309245</v>
      </c>
      <c r="H167">
        <v>2.060191867236661</v>
      </c>
      <c r="I167">
        <v>3515.058378</v>
      </c>
      <c r="J167">
        <v>13.32405293901362</v>
      </c>
      <c r="K167">
        <v>0.3620723844001161</v>
      </c>
      <c r="M167">
        <v>91.05</v>
      </c>
      <c r="N167">
        <v>73.8</v>
      </c>
    </row>
    <row r="168" spans="1:14">
      <c r="A168" s="1" t="s">
        <v>180</v>
      </c>
      <c r="B168">
        <f>HYPERLINK("https://www.suredividend.com/sure-analysis-INGR/","Ingredion Inc")</f>
        <v>0</v>
      </c>
      <c r="C168" t="s">
        <v>387</v>
      </c>
      <c r="D168">
        <v>95.88</v>
      </c>
      <c r="E168">
        <v>0.02962035878181059</v>
      </c>
      <c r="F168">
        <v>0.0923076923076922</v>
      </c>
      <c r="G168">
        <v>0.03424021252947318</v>
      </c>
      <c r="H168">
        <v>2.689853716627718</v>
      </c>
      <c r="I168">
        <v>6624.489968</v>
      </c>
      <c r="J168">
        <v>13.46441050317073</v>
      </c>
      <c r="K168">
        <v>0.3664650840092259</v>
      </c>
      <c r="M168">
        <v>105.24</v>
      </c>
      <c r="N168">
        <v>77.58</v>
      </c>
    </row>
    <row r="169" spans="1:14">
      <c r="A169" s="1" t="s">
        <v>181</v>
      </c>
      <c r="B169">
        <f>HYPERLINK("https://www.suredividend.com/sure-analysis-INTU/","Intuit Inc")</f>
        <v>0</v>
      </c>
      <c r="C169" t="s">
        <v>386</v>
      </c>
      <c r="D169">
        <v>392.61</v>
      </c>
      <c r="E169">
        <v>0.007946817452433712</v>
      </c>
      <c r="F169">
        <v>0.1470588235294117</v>
      </c>
      <c r="G169">
        <v>0.1486983549970351</v>
      </c>
      <c r="H169">
        <v>2.912000723008868</v>
      </c>
      <c r="I169">
        <v>114608.812877</v>
      </c>
      <c r="J169">
        <v>58.89455954618705</v>
      </c>
      <c r="K169">
        <v>0.4257310998550977</v>
      </c>
      <c r="M169">
        <v>504.2</v>
      </c>
      <c r="N169">
        <v>337.48</v>
      </c>
    </row>
    <row r="170" spans="1:14">
      <c r="A170" s="1" t="s">
        <v>182</v>
      </c>
      <c r="B170">
        <f>HYPERLINK("https://www.suredividend.com/sure-analysis-ITT/","ITT Inc")</f>
        <v>0</v>
      </c>
      <c r="C170" t="s">
        <v>385</v>
      </c>
      <c r="D170">
        <v>86.47</v>
      </c>
      <c r="E170">
        <v>0.01341505724528738</v>
      </c>
      <c r="F170">
        <v>0.0984848484848484</v>
      </c>
      <c r="G170">
        <v>0.1669671742705283</v>
      </c>
      <c r="H170">
        <v>1.050529494189955</v>
      </c>
      <c r="I170">
        <v>7759.741</v>
      </c>
      <c r="J170">
        <v>21.14370844686648</v>
      </c>
      <c r="K170">
        <v>0.2398469164817249</v>
      </c>
      <c r="M170">
        <v>95.18000000000001</v>
      </c>
      <c r="N170">
        <v>63.33</v>
      </c>
    </row>
    <row r="171" spans="1:14">
      <c r="A171" s="1" t="s">
        <v>183</v>
      </c>
      <c r="B171">
        <f>HYPERLINK("https://www.suredividend.com/sure-analysis-ITW/","Illinois Tool Works, Inc.")</f>
        <v>0</v>
      </c>
      <c r="C171" t="s">
        <v>385</v>
      </c>
      <c r="D171">
        <v>230.27</v>
      </c>
      <c r="E171">
        <v>0.02275589525339819</v>
      </c>
      <c r="F171">
        <v>0.07377049180327866</v>
      </c>
      <c r="G171">
        <v>0.1092650726196118</v>
      </c>
      <c r="H171">
        <v>5.01282567958981</v>
      </c>
      <c r="I171">
        <v>72889.93092899999</v>
      </c>
      <c r="J171">
        <v>24.02436747828939</v>
      </c>
      <c r="K171">
        <v>0.5130834881872887</v>
      </c>
      <c r="M171">
        <v>253.37</v>
      </c>
      <c r="N171">
        <v>171.29</v>
      </c>
    </row>
    <row r="172" spans="1:14">
      <c r="A172" s="1" t="s">
        <v>184</v>
      </c>
      <c r="B172">
        <f>HYPERLINK("https://www.suredividend.com/sure-analysis-JBHT/","J.B. Hunt Transport Services, Inc.")</f>
        <v>0</v>
      </c>
      <c r="C172" t="s">
        <v>385</v>
      </c>
      <c r="D172">
        <v>175.45</v>
      </c>
      <c r="E172">
        <v>0.009575377600455971</v>
      </c>
      <c r="F172">
        <v>0.04999999999999982</v>
      </c>
      <c r="G172">
        <v>0.1184269147201447</v>
      </c>
      <c r="H172">
        <v>1.614654241777349</v>
      </c>
      <c r="I172">
        <v>19367.70111</v>
      </c>
      <c r="J172">
        <v>19.98007028438615</v>
      </c>
      <c r="K172">
        <v>0.1753153356978663</v>
      </c>
      <c r="M172">
        <v>216.2</v>
      </c>
      <c r="N172">
        <v>152.88</v>
      </c>
    </row>
    <row r="173" spans="1:14">
      <c r="A173" s="1" t="s">
        <v>185</v>
      </c>
      <c r="B173">
        <f>HYPERLINK("https://www.suredividend.com/sure-analysis-JJSF/","J&amp;J Snack Foods Corp.")</f>
        <v>0</v>
      </c>
      <c r="C173" t="s">
        <v>387</v>
      </c>
      <c r="D173">
        <v>139.46</v>
      </c>
      <c r="E173">
        <v>0.02007744156030403</v>
      </c>
      <c r="F173">
        <v>0.1058451816745656</v>
      </c>
      <c r="G173">
        <v>0.09238846414037294</v>
      </c>
      <c r="H173">
        <v>2.647544598446039</v>
      </c>
      <c r="I173">
        <v>2762.100961</v>
      </c>
      <c r="J173">
        <v>64.56976789396171</v>
      </c>
      <c r="K173">
        <v>1.192587656957675</v>
      </c>
      <c r="M173">
        <v>165.14</v>
      </c>
      <c r="N173">
        <v>115.74</v>
      </c>
    </row>
    <row r="174" spans="1:14">
      <c r="A174" s="1" t="s">
        <v>186</v>
      </c>
      <c r="B174">
        <f>HYPERLINK("https://www.suredividend.com/sure-analysis-JKHY/","Jack Henry &amp; Associates, Inc.")</f>
        <v>0</v>
      </c>
      <c r="C174" t="s">
        <v>386</v>
      </c>
      <c r="D174">
        <v>158.08</v>
      </c>
      <c r="E174">
        <v>0.0131578947368421</v>
      </c>
      <c r="F174">
        <v>0.06122448979591844</v>
      </c>
      <c r="G174">
        <v>0.07043505702569441</v>
      </c>
      <c r="H174">
        <v>1.952392519049744</v>
      </c>
      <c r="I174">
        <v>12120.840126</v>
      </c>
      <c r="J174">
        <v>34.38965466787344</v>
      </c>
      <c r="K174">
        <v>0.405060688599532</v>
      </c>
      <c r="M174">
        <v>211.53</v>
      </c>
      <c r="N174">
        <v>162.06</v>
      </c>
    </row>
    <row r="175" spans="1:14">
      <c r="A175" s="1" t="s">
        <v>187</v>
      </c>
      <c r="B175">
        <f>HYPERLINK("https://www.suredividend.com/sure-analysis-JNJ/","Johnson &amp; Johnson")</f>
        <v>0</v>
      </c>
      <c r="C175" t="s">
        <v>384</v>
      </c>
      <c r="D175">
        <v>151.61</v>
      </c>
      <c r="E175">
        <v>0.02981333685113119</v>
      </c>
      <c r="F175">
        <v>0.06603773584905648</v>
      </c>
      <c r="G175">
        <v>0.04656736199533262</v>
      </c>
      <c r="H175">
        <v>4.473961450455023</v>
      </c>
      <c r="I175">
        <v>401112.176388</v>
      </c>
      <c r="J175">
        <v>22.35729203433811</v>
      </c>
      <c r="K175">
        <v>0.6647788187897508</v>
      </c>
      <c r="M175">
        <v>181.77</v>
      </c>
      <c r="N175">
        <v>151.23</v>
      </c>
    </row>
    <row r="176" spans="1:14">
      <c r="A176" s="1" t="s">
        <v>188</v>
      </c>
      <c r="B176">
        <f>HYPERLINK("https://www.suredividend.com/sure-analysis-JPM/","JPMorgan Chase &amp; Co.")</f>
        <v>0</v>
      </c>
      <c r="C176" t="s">
        <v>388</v>
      </c>
      <c r="D176">
        <v>133.65</v>
      </c>
      <c r="E176">
        <v>0.02992891881780771</v>
      </c>
      <c r="F176">
        <v>0</v>
      </c>
      <c r="G176">
        <v>0.1229551070568209</v>
      </c>
      <c r="H176">
        <v>3.960398331290456</v>
      </c>
      <c r="I176">
        <v>422842.44524</v>
      </c>
      <c r="J176">
        <v>11.78096637802129</v>
      </c>
      <c r="K176">
        <v>0.327847543980998</v>
      </c>
      <c r="M176">
        <v>144.34</v>
      </c>
      <c r="N176">
        <v>100.54</v>
      </c>
    </row>
    <row r="177" spans="1:14">
      <c r="A177" s="1" t="s">
        <v>189</v>
      </c>
      <c r="B177">
        <f>HYPERLINK("https://www.suredividend.com/sure-analysis-K/","Kellogg Co")</f>
        <v>0</v>
      </c>
      <c r="C177" t="s">
        <v>387</v>
      </c>
      <c r="D177">
        <v>63.89</v>
      </c>
      <c r="E177">
        <v>0.03693848802629519</v>
      </c>
      <c r="F177">
        <v>0.01724137931034475</v>
      </c>
      <c r="G177">
        <v>0.01786844354535022</v>
      </c>
      <c r="H177">
        <v>2.320571391028842</v>
      </c>
      <c r="I177">
        <v>22222.7874</v>
      </c>
      <c r="J177">
        <v>23.26582424925</v>
      </c>
      <c r="K177">
        <v>0.8317460182899075</v>
      </c>
      <c r="M177">
        <v>75.87</v>
      </c>
      <c r="N177">
        <v>58.07</v>
      </c>
    </row>
    <row r="178" spans="1:14">
      <c r="A178" s="1" t="s">
        <v>190</v>
      </c>
      <c r="B178">
        <f>HYPERLINK("https://www.suredividend.com/sure-analysis-KALU/","Kaiser Aluminum Corp")</f>
        <v>0</v>
      </c>
      <c r="C178" t="s">
        <v>390</v>
      </c>
      <c r="D178">
        <v>71.28</v>
      </c>
      <c r="E178">
        <v>0.04320987654320987</v>
      </c>
      <c r="F178">
        <v>0</v>
      </c>
      <c r="G178">
        <v>0.06961037572506878</v>
      </c>
      <c r="H178">
        <v>3.036053546029503</v>
      </c>
      <c r="I178">
        <v>1344.283953</v>
      </c>
      <c r="J178" t="s">
        <v>393</v>
      </c>
      <c r="K178" t="s">
        <v>393</v>
      </c>
      <c r="M178">
        <v>104.27</v>
      </c>
      <c r="N178">
        <v>58.12</v>
      </c>
    </row>
    <row r="179" spans="1:14">
      <c r="A179" s="1" t="s">
        <v>191</v>
      </c>
      <c r="B179">
        <f>HYPERLINK("https://www.suredividend.com/sure-analysis-KEY/","Keycorp")</f>
        <v>0</v>
      </c>
      <c r="C179" t="s">
        <v>388</v>
      </c>
      <c r="D179">
        <v>15.66</v>
      </c>
      <c r="E179">
        <v>0.05236270753512132</v>
      </c>
      <c r="F179">
        <v>0.05128205128205132</v>
      </c>
      <c r="G179">
        <v>0.1130496130561056</v>
      </c>
      <c r="H179">
        <v>0.787169714660778</v>
      </c>
      <c r="I179">
        <v>17071.043325</v>
      </c>
      <c r="J179">
        <v>9.489184727559756</v>
      </c>
      <c r="K179">
        <v>0.4078599557827865</v>
      </c>
      <c r="M179">
        <v>23.68</v>
      </c>
      <c r="N179">
        <v>14.92</v>
      </c>
    </row>
    <row r="180" spans="1:14">
      <c r="A180" s="1" t="s">
        <v>192</v>
      </c>
      <c r="B180">
        <f>HYPERLINK("https://www.suredividend.com/sure-analysis-KLAC/","KLA Corp.")</f>
        <v>0</v>
      </c>
      <c r="C180" t="s">
        <v>386</v>
      </c>
      <c r="D180">
        <v>367.51</v>
      </c>
      <c r="E180">
        <v>0.01414927484966396</v>
      </c>
      <c r="F180">
        <v>0.2380952380952381</v>
      </c>
      <c r="G180">
        <v>0.1162884154841741</v>
      </c>
      <c r="H180">
        <v>4.926600563708927</v>
      </c>
      <c r="I180">
        <v>52834.184359</v>
      </c>
      <c r="J180">
        <v>14.9218253058746</v>
      </c>
      <c r="K180">
        <v>0.2034944470759573</v>
      </c>
      <c r="M180">
        <v>428.08</v>
      </c>
      <c r="N180">
        <v>248.54</v>
      </c>
    </row>
    <row r="181" spans="1:14">
      <c r="A181" s="1" t="s">
        <v>193</v>
      </c>
      <c r="B181">
        <f>HYPERLINK("https://www.suredividend.com/sure-analysis-KMB/","Kimberly-Clark Corp.")</f>
        <v>0</v>
      </c>
      <c r="C181" t="s">
        <v>387</v>
      </c>
      <c r="D181">
        <v>122.34</v>
      </c>
      <c r="E181">
        <v>0.03858100376001308</v>
      </c>
      <c r="F181">
        <v>0.01724137931034475</v>
      </c>
      <c r="G181">
        <v>0.03365688434519343</v>
      </c>
      <c r="H181">
        <v>3.449843789823295</v>
      </c>
      <c r="I181">
        <v>42684.525343</v>
      </c>
      <c r="J181">
        <v>22.07059221481902</v>
      </c>
      <c r="K181">
        <v>0.6031195436754013</v>
      </c>
      <c r="M181">
        <v>140.74</v>
      </c>
      <c r="N181">
        <v>107.82</v>
      </c>
    </row>
    <row r="182" spans="1:14">
      <c r="A182" s="1" t="s">
        <v>194</v>
      </c>
      <c r="B182">
        <f>HYPERLINK("https://www.suredividend.com/sure-analysis-KO/","Coca-Cola Co")</f>
        <v>0</v>
      </c>
      <c r="C182" t="s">
        <v>387</v>
      </c>
      <c r="D182">
        <v>59.21</v>
      </c>
      <c r="E182">
        <v>0.03107583178517143</v>
      </c>
      <c r="F182">
        <v>0.04761904761904767</v>
      </c>
      <c r="G182">
        <v>0.02441897433224605</v>
      </c>
      <c r="H182">
        <v>1.741268720121097</v>
      </c>
      <c r="I182">
        <v>257178.559582</v>
      </c>
      <c r="J182">
        <v>26.95226992051142</v>
      </c>
      <c r="K182">
        <v>0.7950998722014142</v>
      </c>
      <c r="M182">
        <v>65.77</v>
      </c>
      <c r="N182">
        <v>53.63</v>
      </c>
    </row>
    <row r="183" spans="1:14">
      <c r="A183" s="1" t="s">
        <v>195</v>
      </c>
      <c r="B183">
        <f>HYPERLINK("https://www.suredividend.com/sure-analysis-KR/","Kroger Co.")</f>
        <v>0</v>
      </c>
      <c r="C183" t="s">
        <v>387</v>
      </c>
      <c r="D183">
        <v>47.1</v>
      </c>
      <c r="E183">
        <v>0.02208067940552017</v>
      </c>
      <c r="F183">
        <v>0.2380952380952381</v>
      </c>
      <c r="G183">
        <v>0.1577443413531583</v>
      </c>
      <c r="H183">
        <v>0.9820483566500021</v>
      </c>
      <c r="I183">
        <v>32913.489813</v>
      </c>
      <c r="J183">
        <v>13.9582229908821</v>
      </c>
      <c r="K183">
        <v>0.3049839616925472</v>
      </c>
      <c r="M183">
        <v>61.49</v>
      </c>
      <c r="N183">
        <v>41.34</v>
      </c>
    </row>
    <row r="184" spans="1:14">
      <c r="A184" s="1" t="s">
        <v>196</v>
      </c>
      <c r="B184">
        <f>HYPERLINK("https://www.suredividend.com/sure-analysis-research-database/","Kennedy-Wilson Holdings Inc")</f>
        <v>0</v>
      </c>
      <c r="C184" t="s">
        <v>391</v>
      </c>
      <c r="D184">
        <v>16.89</v>
      </c>
      <c r="E184">
        <v>0.056149573275548</v>
      </c>
      <c r="F184">
        <v>0</v>
      </c>
      <c r="G184">
        <v>0.04783168830275741</v>
      </c>
      <c r="H184">
        <v>0.9388208651671661</v>
      </c>
      <c r="I184">
        <v>2306.81033</v>
      </c>
      <c r="J184">
        <v>35.59892484567901</v>
      </c>
      <c r="K184">
        <v>2.00774350976725</v>
      </c>
      <c r="M184">
        <v>24.16</v>
      </c>
      <c r="N184">
        <v>13.75</v>
      </c>
    </row>
    <row r="185" spans="1:14">
      <c r="A185" s="1" t="s">
        <v>197</v>
      </c>
      <c r="B185">
        <f>HYPERLINK("https://www.suredividend.com/sure-analysis-KWR/","Quaker Houghton")</f>
        <v>0</v>
      </c>
      <c r="C185" t="s">
        <v>390</v>
      </c>
      <c r="D185">
        <v>186.06</v>
      </c>
      <c r="E185">
        <v>0.009351821992905514</v>
      </c>
      <c r="F185">
        <v>0.04819277108433728</v>
      </c>
      <c r="G185">
        <v>0.04148298890674518</v>
      </c>
      <c r="H185">
        <v>1.693253077927537</v>
      </c>
      <c r="I185">
        <v>3585.479941</v>
      </c>
      <c r="J185" t="s">
        <v>393</v>
      </c>
      <c r="K185" t="s">
        <v>393</v>
      </c>
      <c r="M185">
        <v>216.45</v>
      </c>
      <c r="N185">
        <v>128.36</v>
      </c>
    </row>
    <row r="186" spans="1:14">
      <c r="A186" s="1" t="s">
        <v>198</v>
      </c>
      <c r="B186">
        <f>HYPERLINK("https://www.suredividend.com/sure-analysis-LAD/","Lithia Motors, Inc.")</f>
        <v>0</v>
      </c>
      <c r="C186" t="s">
        <v>392</v>
      </c>
      <c r="D186">
        <v>246.02</v>
      </c>
      <c r="E186">
        <v>0.00682871311275506</v>
      </c>
      <c r="F186">
        <v>0</v>
      </c>
      <c r="G186">
        <v>0.07688730806165611</v>
      </c>
      <c r="H186">
        <v>1.602685410796734</v>
      </c>
      <c r="I186">
        <v>7158.836304</v>
      </c>
      <c r="J186">
        <v>5.722491050727418</v>
      </c>
      <c r="K186">
        <v>0.03625985092300303</v>
      </c>
      <c r="M186">
        <v>338.6</v>
      </c>
      <c r="N186">
        <v>179.28</v>
      </c>
    </row>
    <row r="187" spans="1:14">
      <c r="A187" s="1" t="s">
        <v>199</v>
      </c>
      <c r="B187">
        <f>HYPERLINK("https://www.suredividend.com/sure-analysis-LANC/","Lancaster Colony Corp.")</f>
        <v>0</v>
      </c>
      <c r="C187" t="s">
        <v>387</v>
      </c>
      <c r="D187">
        <v>186.59</v>
      </c>
      <c r="E187">
        <v>0.01822176965539418</v>
      </c>
      <c r="F187">
        <v>0.0625</v>
      </c>
      <c r="G187">
        <v>0.07214502590085092</v>
      </c>
      <c r="H187">
        <v>3.227365427867739</v>
      </c>
      <c r="I187">
        <v>5240.69568</v>
      </c>
      <c r="J187">
        <v>51.45453338700651</v>
      </c>
      <c r="K187">
        <v>0.8699098188322746</v>
      </c>
      <c r="M187">
        <v>213.11</v>
      </c>
      <c r="N187">
        <v>115.2</v>
      </c>
    </row>
    <row r="188" spans="1:14">
      <c r="A188" s="1" t="s">
        <v>200</v>
      </c>
      <c r="B188">
        <f>HYPERLINK("https://www.suredividend.com/sure-analysis-research-database/","Lakeland Bancorp, Inc.")</f>
        <v>0</v>
      </c>
      <c r="C188" t="s">
        <v>388</v>
      </c>
      <c r="D188">
        <v>17.17</v>
      </c>
      <c r="E188">
        <v>0.029791213766941</v>
      </c>
      <c r="F188" t="s">
        <v>393</v>
      </c>
      <c r="G188" t="s">
        <v>393</v>
      </c>
      <c r="H188">
        <v>0.573182952875954</v>
      </c>
      <c r="I188">
        <v>1248.552017</v>
      </c>
      <c r="J188">
        <v>11.76403208653293</v>
      </c>
      <c r="K188">
        <v>0.351645983359481</v>
      </c>
      <c r="M188">
        <v>20.02</v>
      </c>
      <c r="N188">
        <v>13.57</v>
      </c>
    </row>
    <row r="189" spans="1:14">
      <c r="A189" s="1" t="s">
        <v>201</v>
      </c>
      <c r="B189">
        <f>HYPERLINK("https://www.suredividend.com/sure-analysis-LECO/","Lincoln Electric Holdings, Inc.")</f>
        <v>0</v>
      </c>
      <c r="C189" t="s">
        <v>385</v>
      </c>
      <c r="D189">
        <v>166.53</v>
      </c>
      <c r="E189">
        <v>0.01537260553653996</v>
      </c>
      <c r="F189" t="s">
        <v>393</v>
      </c>
      <c r="G189" t="s">
        <v>393</v>
      </c>
      <c r="H189">
        <v>2.305094427244403</v>
      </c>
      <c r="I189">
        <v>9986.942818</v>
      </c>
      <c r="J189">
        <v>21.14874046621942</v>
      </c>
      <c r="K189">
        <v>0.2867032869706969</v>
      </c>
      <c r="M189">
        <v>176.52</v>
      </c>
      <c r="N189">
        <v>117.12</v>
      </c>
    </row>
    <row r="190" spans="1:14">
      <c r="A190" s="1" t="s">
        <v>202</v>
      </c>
      <c r="B190">
        <f>HYPERLINK("https://www.suredividend.com/sure-analysis-LEG/","Leggett &amp; Platt, Inc.")</f>
        <v>0</v>
      </c>
      <c r="C190" t="s">
        <v>392</v>
      </c>
      <c r="D190">
        <v>31.78</v>
      </c>
      <c r="E190">
        <v>0.05538074260541221</v>
      </c>
      <c r="F190">
        <v>0.04761904761904767</v>
      </c>
      <c r="G190">
        <v>0.04095039696925684</v>
      </c>
      <c r="H190">
        <v>1.708210534387782</v>
      </c>
      <c r="I190">
        <v>4620.384188</v>
      </c>
      <c r="J190">
        <v>14.91408711491285</v>
      </c>
      <c r="K190">
        <v>0.7525156539153225</v>
      </c>
      <c r="M190">
        <v>40.91</v>
      </c>
      <c r="N190">
        <v>29.89</v>
      </c>
    </row>
    <row r="191" spans="1:14">
      <c r="A191" s="1" t="s">
        <v>203</v>
      </c>
      <c r="B191">
        <f>HYPERLINK("https://www.suredividend.com/sure-analysis-research-database/","Littelfuse, Inc.")</f>
        <v>0</v>
      </c>
      <c r="C191" t="s">
        <v>386</v>
      </c>
      <c r="D191">
        <v>260.4</v>
      </c>
      <c r="E191">
        <v>0.008506255035436</v>
      </c>
      <c r="F191">
        <v>0.1320754716981134</v>
      </c>
      <c r="G191">
        <v>0.1015137056700963</v>
      </c>
      <c r="H191">
        <v>2.321867374472832</v>
      </c>
      <c r="I191">
        <v>6762.266548</v>
      </c>
      <c r="J191">
        <v>18.11454020969392</v>
      </c>
      <c r="K191">
        <v>0.1554128095363341</v>
      </c>
      <c r="M191">
        <v>279.72</v>
      </c>
      <c r="N191">
        <v>191.27</v>
      </c>
    </row>
    <row r="192" spans="1:14">
      <c r="A192" s="1" t="s">
        <v>204</v>
      </c>
      <c r="B192">
        <f>HYPERLINK("https://www.suredividend.com/sure-analysis-LHX/","L3Harris Technologies Inc")</f>
        <v>0</v>
      </c>
      <c r="C192" t="s">
        <v>385</v>
      </c>
      <c r="D192">
        <v>203.37</v>
      </c>
      <c r="E192">
        <v>0.02242218616315091</v>
      </c>
      <c r="F192">
        <v>0.01785714285714279</v>
      </c>
      <c r="G192">
        <v>0.1486983549970351</v>
      </c>
      <c r="H192">
        <v>4.446928951705528</v>
      </c>
      <c r="I192">
        <v>40709.546975</v>
      </c>
      <c r="J192">
        <v>38.33290675593221</v>
      </c>
      <c r="K192">
        <v>0.8100052735347046</v>
      </c>
      <c r="M192">
        <v>274.44</v>
      </c>
      <c r="N192">
        <v>189.73</v>
      </c>
    </row>
    <row r="193" spans="1:14">
      <c r="A193" s="1" t="s">
        <v>205</v>
      </c>
      <c r="B193">
        <f>HYPERLINK("https://www.suredividend.com/sure-analysis-LII/","Lennox International Inc")</f>
        <v>0</v>
      </c>
      <c r="C193" t="s">
        <v>385</v>
      </c>
      <c r="D193">
        <v>245.29</v>
      </c>
      <c r="E193">
        <v>0.01728566186962371</v>
      </c>
      <c r="F193">
        <v>0.1521739130434783</v>
      </c>
      <c r="G193">
        <v>0.1575696665803663</v>
      </c>
      <c r="H193">
        <v>4.073182724169526</v>
      </c>
      <c r="I193">
        <v>9306.263326</v>
      </c>
      <c r="J193">
        <v>18.72110908541541</v>
      </c>
      <c r="K193">
        <v>0.2932456964844871</v>
      </c>
      <c r="M193">
        <v>278.84</v>
      </c>
      <c r="N193">
        <v>180.3</v>
      </c>
    </row>
    <row r="194" spans="1:14">
      <c r="A194" s="1" t="s">
        <v>206</v>
      </c>
      <c r="B194">
        <f>HYPERLINK("https://www.suredividend.com/sure-analysis-research-database/","Lakeland Financial Corp.")</f>
        <v>0</v>
      </c>
      <c r="C194" t="s">
        <v>388</v>
      </c>
      <c r="D194">
        <v>65.77</v>
      </c>
      <c r="E194">
        <v>0.023012451983148</v>
      </c>
      <c r="F194">
        <v>0.1499999999999999</v>
      </c>
      <c r="G194">
        <v>0.1208742617958329</v>
      </c>
      <c r="H194">
        <v>1.646080690354585</v>
      </c>
      <c r="I194">
        <v>1852.255759</v>
      </c>
      <c r="J194">
        <v>17.8415457901885</v>
      </c>
      <c r="K194">
        <v>0.4074457154343032</v>
      </c>
      <c r="M194">
        <v>83.05</v>
      </c>
      <c r="N194">
        <v>62.95</v>
      </c>
    </row>
    <row r="195" spans="1:14">
      <c r="A195" s="1" t="s">
        <v>207</v>
      </c>
      <c r="B195">
        <f>HYPERLINK("https://www.suredividend.com/sure-analysis-research-database/","Lemaitre Vascular Inc")</f>
        <v>0</v>
      </c>
      <c r="C195" t="s">
        <v>384</v>
      </c>
      <c r="D195">
        <v>47.97</v>
      </c>
      <c r="E195">
        <v>0.009822939432615</v>
      </c>
      <c r="F195">
        <v>0.1200000000000001</v>
      </c>
      <c r="G195">
        <v>0.1486983549970351</v>
      </c>
      <c r="H195">
        <v>0.498023029233589</v>
      </c>
      <c r="I195">
        <v>1120.333313</v>
      </c>
      <c r="J195">
        <v>0</v>
      </c>
      <c r="K195" t="s">
        <v>393</v>
      </c>
      <c r="M195">
        <v>56.09</v>
      </c>
      <c r="N195">
        <v>38.01</v>
      </c>
    </row>
    <row r="196" spans="1:14">
      <c r="A196" s="1" t="s">
        <v>208</v>
      </c>
      <c r="B196">
        <f>HYPERLINK("https://www.suredividend.com/sure-analysis-LMT/","Lockheed Martin Corp.")</f>
        <v>0</v>
      </c>
      <c r="C196" t="s">
        <v>385</v>
      </c>
      <c r="D196">
        <v>475.5</v>
      </c>
      <c r="E196">
        <v>0.02523659305993691</v>
      </c>
      <c r="F196">
        <v>0.0714285714285714</v>
      </c>
      <c r="G196">
        <v>0.08447177119769855</v>
      </c>
      <c r="H196">
        <v>11.49349332397175</v>
      </c>
      <c r="I196">
        <v>122004.025741</v>
      </c>
      <c r="J196">
        <v>21.28472186692603</v>
      </c>
      <c r="K196">
        <v>0.5306321940891852</v>
      </c>
      <c r="M196">
        <v>495.83</v>
      </c>
      <c r="N196">
        <v>366.6</v>
      </c>
    </row>
    <row r="197" spans="1:14">
      <c r="A197" s="1" t="s">
        <v>209</v>
      </c>
      <c r="B197">
        <f>HYPERLINK("https://www.suredividend.com/sure-analysis-LNC/","Lincoln National Corp.")</f>
        <v>0</v>
      </c>
      <c r="C197" t="s">
        <v>388</v>
      </c>
      <c r="D197">
        <v>25.66</v>
      </c>
      <c r="E197">
        <v>0.07014809041309431</v>
      </c>
      <c r="F197">
        <v>0</v>
      </c>
      <c r="G197">
        <v>0.06399531281508364</v>
      </c>
      <c r="H197">
        <v>1.7686195628374</v>
      </c>
      <c r="I197">
        <v>5315.231264</v>
      </c>
      <c r="J197" t="s">
        <v>393</v>
      </c>
      <c r="K197" t="s">
        <v>393</v>
      </c>
      <c r="M197">
        <v>67.65000000000001</v>
      </c>
      <c r="N197">
        <v>28.21</v>
      </c>
    </row>
    <row r="198" spans="1:14">
      <c r="A198" s="1" t="s">
        <v>210</v>
      </c>
      <c r="B198">
        <f>HYPERLINK("https://www.suredividend.com/sure-analysis-LNN/","Lindsay Corporation")</f>
        <v>0</v>
      </c>
      <c r="C198" t="s">
        <v>385</v>
      </c>
      <c r="D198">
        <v>144.27</v>
      </c>
      <c r="E198">
        <v>0.009426769252096763</v>
      </c>
      <c r="F198" t="s">
        <v>393</v>
      </c>
      <c r="G198" t="s">
        <v>393</v>
      </c>
      <c r="H198">
        <v>1.345779331310518</v>
      </c>
      <c r="I198">
        <v>1736.220834</v>
      </c>
      <c r="J198">
        <v>22.9098216596952</v>
      </c>
      <c r="K198">
        <v>0.1961777450889968</v>
      </c>
      <c r="M198">
        <v>182.68</v>
      </c>
      <c r="N198">
        <v>116.04</v>
      </c>
    </row>
    <row r="199" spans="1:14">
      <c r="A199" s="1" t="s">
        <v>211</v>
      </c>
      <c r="B199">
        <f>HYPERLINK("https://www.suredividend.com/sure-analysis-LNT/","Alliant Energy Corp.")</f>
        <v>0</v>
      </c>
      <c r="C199" t="s">
        <v>389</v>
      </c>
      <c r="D199">
        <v>50.19</v>
      </c>
      <c r="E199">
        <v>0.03606296074915322</v>
      </c>
      <c r="F199">
        <v>0.05847953216374258</v>
      </c>
      <c r="G199">
        <v>0.06197613016497328</v>
      </c>
      <c r="H199">
        <v>1.714153888766668</v>
      </c>
      <c r="I199">
        <v>13076.730771</v>
      </c>
      <c r="J199">
        <v>19.06228975297376</v>
      </c>
      <c r="K199">
        <v>0.6278951973504279</v>
      </c>
      <c r="M199">
        <v>63.54</v>
      </c>
      <c r="N199">
        <v>46.4</v>
      </c>
    </row>
    <row r="200" spans="1:14">
      <c r="A200" s="1" t="s">
        <v>212</v>
      </c>
      <c r="B200">
        <f>HYPERLINK("https://www.suredividend.com/sure-analysis-LOW/","Lowe`s Cos., Inc.")</f>
        <v>0</v>
      </c>
      <c r="C200" t="s">
        <v>392</v>
      </c>
      <c r="D200">
        <v>196.66</v>
      </c>
      <c r="E200">
        <v>0.02135665615783586</v>
      </c>
      <c r="F200">
        <v>0.3125</v>
      </c>
      <c r="G200">
        <v>0.2069272376856006</v>
      </c>
      <c r="H200">
        <v>3.92045425163089</v>
      </c>
      <c r="I200">
        <v>123550.447861</v>
      </c>
      <c r="J200">
        <v>18.54833326247561</v>
      </c>
      <c r="K200">
        <v>0.3821105508412174</v>
      </c>
      <c r="M200">
        <v>233.55</v>
      </c>
      <c r="N200">
        <v>167.36</v>
      </c>
    </row>
    <row r="201" spans="1:14">
      <c r="A201" s="1" t="s">
        <v>213</v>
      </c>
      <c r="B201">
        <f>HYPERLINK("https://www.suredividend.com/sure-analysis-LYB/","LyondellBasell Industries NV")</f>
        <v>0</v>
      </c>
      <c r="C201" t="s">
        <v>390</v>
      </c>
      <c r="D201">
        <v>88.93000000000001</v>
      </c>
      <c r="E201">
        <v>0.05352524457438434</v>
      </c>
      <c r="F201">
        <v>0</v>
      </c>
      <c r="G201">
        <v>0.03540293633542868</v>
      </c>
      <c r="H201">
        <v>4.701093701567581</v>
      </c>
      <c r="I201">
        <v>31699.478903</v>
      </c>
      <c r="J201">
        <v>8.17629066353366</v>
      </c>
      <c r="K201">
        <v>0.397723663415193</v>
      </c>
      <c r="M201">
        <v>109.7</v>
      </c>
      <c r="N201">
        <v>70.59</v>
      </c>
    </row>
    <row r="202" spans="1:14">
      <c r="A202" s="1" t="s">
        <v>214</v>
      </c>
      <c r="B202">
        <f>HYPERLINK("https://www.suredividend.com/sure-analysis-MA/","Mastercard Incorporated")</f>
        <v>0</v>
      </c>
      <c r="C202" t="s">
        <v>388</v>
      </c>
      <c r="D202">
        <v>347.11</v>
      </c>
      <c r="E202">
        <v>0.006568522946616345</v>
      </c>
      <c r="F202">
        <v>0.1632653061224492</v>
      </c>
      <c r="G202">
        <v>0.1791986393694678</v>
      </c>
      <c r="H202">
        <v>2.03529443941408</v>
      </c>
      <c r="I202">
        <v>341878.8645</v>
      </c>
      <c r="J202">
        <v>34.42888867069486</v>
      </c>
      <c r="K202">
        <v>0.1989535131392063</v>
      </c>
      <c r="M202">
        <v>390</v>
      </c>
      <c r="N202">
        <v>276.42</v>
      </c>
    </row>
    <row r="203" spans="1:14">
      <c r="A203" s="1" t="s">
        <v>215</v>
      </c>
      <c r="B203">
        <f>HYPERLINK("https://www.suredividend.com/sure-analysis-MAA/","Mid-America Apartment Communities, Inc.")</f>
        <v>0</v>
      </c>
      <c r="C203" t="s">
        <v>391</v>
      </c>
      <c r="D203">
        <v>149.05</v>
      </c>
      <c r="E203">
        <v>0.03757128480375712</v>
      </c>
      <c r="F203">
        <v>0.2873563218390804</v>
      </c>
      <c r="G203">
        <v>0.08700697834354432</v>
      </c>
      <c r="H203">
        <v>4.928355794140691</v>
      </c>
      <c r="I203">
        <v>18594.013985</v>
      </c>
      <c r="J203">
        <v>29.33975962822763</v>
      </c>
      <c r="K203">
        <v>0.8993349989307829</v>
      </c>
      <c r="M203">
        <v>211.19</v>
      </c>
      <c r="N203">
        <v>139.9</v>
      </c>
    </row>
    <row r="204" spans="1:14">
      <c r="A204" s="1" t="s">
        <v>216</v>
      </c>
      <c r="B204">
        <f>HYPERLINK("https://www.suredividend.com/sure-analysis-MAN/","ManpowerGroup")</f>
        <v>0</v>
      </c>
      <c r="C204" t="s">
        <v>385</v>
      </c>
      <c r="D204">
        <v>80.89</v>
      </c>
      <c r="E204">
        <v>0.03362591173198171</v>
      </c>
      <c r="F204" t="s">
        <v>393</v>
      </c>
      <c r="G204" t="s">
        <v>393</v>
      </c>
      <c r="H204">
        <v>2.698840425664753</v>
      </c>
      <c r="I204">
        <v>4334.647287</v>
      </c>
      <c r="J204">
        <v>11.5961671670947</v>
      </c>
      <c r="K204">
        <v>0.3811921505176205</v>
      </c>
      <c r="M204">
        <v>99.95</v>
      </c>
      <c r="N204">
        <v>63</v>
      </c>
    </row>
    <row r="205" spans="1:14">
      <c r="A205" s="1" t="s">
        <v>217</v>
      </c>
      <c r="B205">
        <f>HYPERLINK("https://www.suredividend.com/sure-analysis-MATW/","Matthews International Corp.")</f>
        <v>0</v>
      </c>
      <c r="C205" t="s">
        <v>385</v>
      </c>
      <c r="D205">
        <v>36.26</v>
      </c>
      <c r="E205">
        <v>0.0253723110865968</v>
      </c>
      <c r="F205">
        <v>0.04545454545454541</v>
      </c>
      <c r="G205">
        <v>0.03895047748988278</v>
      </c>
      <c r="H205">
        <v>0.8941110991297131</v>
      </c>
      <c r="I205">
        <v>1185.455904</v>
      </c>
      <c r="J205" t="s">
        <v>393</v>
      </c>
      <c r="K205" t="s">
        <v>393</v>
      </c>
      <c r="M205">
        <v>39.64</v>
      </c>
      <c r="N205">
        <v>21.99</v>
      </c>
    </row>
    <row r="206" spans="1:14">
      <c r="A206" s="1" t="s">
        <v>218</v>
      </c>
      <c r="B206">
        <f>HYPERLINK("https://www.suredividend.com/sure-analysis-MCD/","McDonald`s Corp")</f>
        <v>0</v>
      </c>
      <c r="C206" t="s">
        <v>392</v>
      </c>
      <c r="D206">
        <v>262.03</v>
      </c>
      <c r="E206">
        <v>0.02320344998664275</v>
      </c>
      <c r="F206">
        <v>0.1014492753623188</v>
      </c>
      <c r="G206">
        <v>0.08518665103512735</v>
      </c>
      <c r="H206">
        <v>5.752634179197277</v>
      </c>
      <c r="I206">
        <v>196823.884606</v>
      </c>
      <c r="J206">
        <v>31.8619297124308</v>
      </c>
      <c r="K206">
        <v>0.6905923384390489</v>
      </c>
      <c r="M206">
        <v>278.48</v>
      </c>
      <c r="N206">
        <v>212.86</v>
      </c>
    </row>
    <row r="207" spans="1:14">
      <c r="A207" s="1" t="s">
        <v>219</v>
      </c>
      <c r="B207">
        <f>HYPERLINK("https://www.suredividend.com/sure-analysis-MCHP/","Microchip Technology, Inc.")</f>
        <v>0</v>
      </c>
      <c r="C207" t="s">
        <v>386</v>
      </c>
      <c r="D207">
        <v>81.56999999999999</v>
      </c>
      <c r="E207">
        <v>0.01753095500796862</v>
      </c>
      <c r="F207">
        <v>0.4150197628458496</v>
      </c>
      <c r="G207" t="s">
        <v>393</v>
      </c>
      <c r="H207">
        <v>1.255482410986571</v>
      </c>
      <c r="I207">
        <v>45247.941092</v>
      </c>
      <c r="J207">
        <v>21.84202601477119</v>
      </c>
      <c r="K207">
        <v>0.3393195705369111</v>
      </c>
      <c r="M207">
        <v>87.39</v>
      </c>
      <c r="N207">
        <v>53.63</v>
      </c>
    </row>
    <row r="208" spans="1:14">
      <c r="A208" s="1" t="s">
        <v>220</v>
      </c>
      <c r="B208">
        <f>HYPERLINK("https://www.suredividend.com/sure-analysis-MCK/","Mckesson Corporation")</f>
        <v>0</v>
      </c>
      <c r="C208" t="s">
        <v>384</v>
      </c>
      <c r="D208">
        <v>336.2</v>
      </c>
      <c r="E208">
        <v>0.006424747174301012</v>
      </c>
      <c r="F208">
        <v>0.1489361702127661</v>
      </c>
      <c r="G208">
        <v>0.06724918187953888</v>
      </c>
      <c r="H208">
        <v>2.085523025922373</v>
      </c>
      <c r="I208">
        <v>47335.782597</v>
      </c>
      <c r="J208">
        <v>15.07029054348615</v>
      </c>
      <c r="K208">
        <v>0.09659671264114743</v>
      </c>
      <c r="M208">
        <v>400.6</v>
      </c>
      <c r="N208">
        <v>269.92</v>
      </c>
    </row>
    <row r="209" spans="1:14">
      <c r="A209" s="1" t="s">
        <v>221</v>
      </c>
      <c r="B209">
        <f>HYPERLINK("https://www.suredividend.com/sure-analysis-MCO/","Moody`s Corp.")</f>
        <v>0</v>
      </c>
      <c r="C209" t="s">
        <v>388</v>
      </c>
      <c r="D209">
        <v>285.09</v>
      </c>
      <c r="E209">
        <v>0.01080360587884528</v>
      </c>
      <c r="F209">
        <v>0.09999999999999987</v>
      </c>
      <c r="G209">
        <v>0.1184269147201447</v>
      </c>
      <c r="H209">
        <v>2.855862306293494</v>
      </c>
      <c r="I209">
        <v>54707.184</v>
      </c>
      <c r="J209">
        <v>39.816</v>
      </c>
      <c r="K209">
        <v>0.3838524605233191</v>
      </c>
      <c r="M209">
        <v>341.95</v>
      </c>
      <c r="N209">
        <v>228.39</v>
      </c>
    </row>
    <row r="210" spans="1:14">
      <c r="A210" s="1" t="s">
        <v>222</v>
      </c>
      <c r="B210">
        <f>HYPERLINK("https://www.suredividend.com/sure-analysis-MCY/","Mercury General Corp.")</f>
        <v>0</v>
      </c>
      <c r="C210" t="s">
        <v>388</v>
      </c>
      <c r="D210">
        <v>30.49</v>
      </c>
      <c r="E210">
        <v>0.04165300098392916</v>
      </c>
      <c r="F210" t="s">
        <v>393</v>
      </c>
      <c r="G210" t="s">
        <v>393</v>
      </c>
      <c r="H210">
        <v>1.870115824214888</v>
      </c>
      <c r="I210">
        <v>1837.767705</v>
      </c>
      <c r="J210" t="s">
        <v>393</v>
      </c>
      <c r="K210" t="s">
        <v>393</v>
      </c>
      <c r="M210">
        <v>54.41</v>
      </c>
      <c r="N210">
        <v>27.64</v>
      </c>
    </row>
    <row r="211" spans="1:14">
      <c r="A211" s="1" t="s">
        <v>223</v>
      </c>
      <c r="B211">
        <f>HYPERLINK("https://www.suredividend.com/sure-analysis-MDT/","Medtronic Plc")</f>
        <v>0</v>
      </c>
      <c r="C211" t="s">
        <v>384</v>
      </c>
      <c r="D211">
        <v>76.72</v>
      </c>
      <c r="E211">
        <v>0.03545359749739312</v>
      </c>
      <c r="F211">
        <v>0.07936507936507953</v>
      </c>
      <c r="G211">
        <v>0.08130999208865752</v>
      </c>
      <c r="H211">
        <v>2.63743394349721</v>
      </c>
      <c r="I211">
        <v>110970.641484</v>
      </c>
      <c r="J211">
        <v>27.29905079564083</v>
      </c>
      <c r="K211">
        <v>0.8675769550977663</v>
      </c>
      <c r="M211">
        <v>111.55</v>
      </c>
      <c r="N211">
        <v>75.09999999999999</v>
      </c>
    </row>
    <row r="212" spans="1:14">
      <c r="A212" s="1" t="s">
        <v>224</v>
      </c>
      <c r="B212">
        <f>HYPERLINK("https://www.suredividend.com/sure-analysis-MDU/","MDU Resources Group Inc")</f>
        <v>0</v>
      </c>
      <c r="C212" t="s">
        <v>390</v>
      </c>
      <c r="D212">
        <v>29.85</v>
      </c>
      <c r="E212">
        <v>0.02981574539363484</v>
      </c>
      <c r="F212" t="s">
        <v>393</v>
      </c>
      <c r="G212" t="s">
        <v>393</v>
      </c>
      <c r="H212">
        <v>0.8654386111464371</v>
      </c>
      <c r="I212">
        <v>6442.659975</v>
      </c>
      <c r="J212">
        <v>17.53157230425945</v>
      </c>
      <c r="K212">
        <v>0.4781428790864293</v>
      </c>
      <c r="M212">
        <v>32.53</v>
      </c>
      <c r="N212">
        <v>24.37</v>
      </c>
    </row>
    <row r="213" spans="1:14">
      <c r="A213" s="1" t="s">
        <v>225</v>
      </c>
      <c r="B213">
        <f>HYPERLINK("https://www.suredividend.com/sure-analysis-MGEE/","MGE Energy, Inc.")</f>
        <v>0</v>
      </c>
      <c r="C213" t="s">
        <v>389</v>
      </c>
      <c r="D213">
        <v>69.59</v>
      </c>
      <c r="E213">
        <v>0.0234229055898836</v>
      </c>
      <c r="F213">
        <v>0.05161290322580658</v>
      </c>
      <c r="G213">
        <v>0.04789936894460256</v>
      </c>
      <c r="H213">
        <v>1.59653675134066</v>
      </c>
      <c r="I213">
        <v>2576.640113</v>
      </c>
      <c r="J213">
        <v>23.22301637194463</v>
      </c>
      <c r="K213">
        <v>0.5200445444106385</v>
      </c>
      <c r="M213">
        <v>84.83</v>
      </c>
      <c r="N213">
        <v>60.96</v>
      </c>
    </row>
    <row r="214" spans="1:14">
      <c r="A214" s="1" t="s">
        <v>226</v>
      </c>
      <c r="B214">
        <f>HYPERLINK("https://www.suredividend.com/sure-analysis-MGRC/","McGrath Rentcorp")</f>
        <v>0</v>
      </c>
      <c r="C214" t="s">
        <v>385</v>
      </c>
      <c r="D214">
        <v>96.2</v>
      </c>
      <c r="E214">
        <v>0.01933471933471934</v>
      </c>
      <c r="F214">
        <v>0.04597701149425282</v>
      </c>
      <c r="G214">
        <v>0.06000153927394081</v>
      </c>
      <c r="H214">
        <v>1.806244549160992</v>
      </c>
      <c r="I214">
        <v>2457.537927</v>
      </c>
      <c r="J214">
        <v>21.34428187913634</v>
      </c>
      <c r="K214">
        <v>0.3843073508853175</v>
      </c>
      <c r="M214">
        <v>111.7</v>
      </c>
      <c r="N214">
        <v>72.13</v>
      </c>
    </row>
    <row r="215" spans="1:14">
      <c r="A215" s="1" t="s">
        <v>227</v>
      </c>
      <c r="B215">
        <f>HYPERLINK("https://www.suredividend.com/sure-analysis-MKC/","McCormick &amp; Co., Inc.")</f>
        <v>0</v>
      </c>
      <c r="C215" t="s">
        <v>387</v>
      </c>
      <c r="D215">
        <v>70.95</v>
      </c>
      <c r="E215">
        <v>0.02198731501057083</v>
      </c>
      <c r="F215">
        <v>0.05405405405405417</v>
      </c>
      <c r="G215" t="s">
        <v>393</v>
      </c>
      <c r="H215">
        <v>1.489397240505706</v>
      </c>
      <c r="I215">
        <v>19543.007792</v>
      </c>
      <c r="J215">
        <v>28.65543664530792</v>
      </c>
      <c r="K215">
        <v>0.5910306509943278</v>
      </c>
      <c r="M215">
        <v>105.45</v>
      </c>
      <c r="N215">
        <v>70.48999999999999</v>
      </c>
    </row>
    <row r="216" spans="1:14">
      <c r="A216" s="1" t="s">
        <v>228</v>
      </c>
      <c r="B216">
        <f>HYPERLINK("https://www.suredividend.com/sure-analysis-MKTX/","MarketAxess Holdings Inc.")</f>
        <v>0</v>
      </c>
      <c r="C216" t="s">
        <v>388</v>
      </c>
      <c r="D216">
        <v>346.73</v>
      </c>
      <c r="E216">
        <v>0.00830617483344389</v>
      </c>
      <c r="F216">
        <v>0.02857142857142847</v>
      </c>
      <c r="G216">
        <v>0.1138241786028791</v>
      </c>
      <c r="H216">
        <v>2.809871162611004</v>
      </c>
      <c r="I216">
        <v>13897.112874</v>
      </c>
      <c r="J216">
        <v>55.5386888311273</v>
      </c>
      <c r="K216">
        <v>0.4225370169339855</v>
      </c>
      <c r="M216">
        <v>388.77</v>
      </c>
      <c r="N216">
        <v>216.37</v>
      </c>
    </row>
    <row r="217" spans="1:14">
      <c r="A217" s="1" t="s">
        <v>229</v>
      </c>
      <c r="B217">
        <f>HYPERLINK("https://www.suredividend.com/sure-analysis-MMC/","Marsh &amp; McLennan Cos., Inc.")</f>
        <v>0</v>
      </c>
      <c r="C217" t="s">
        <v>388</v>
      </c>
      <c r="D217">
        <v>157.2</v>
      </c>
      <c r="E217">
        <v>0.01501272264631043</v>
      </c>
      <c r="F217">
        <v>0.1028037383177569</v>
      </c>
      <c r="G217">
        <v>0.09487401536266371</v>
      </c>
      <c r="H217">
        <v>2.293001703540544</v>
      </c>
      <c r="I217">
        <v>80946.509385</v>
      </c>
      <c r="J217">
        <v>26.53983914267868</v>
      </c>
      <c r="K217">
        <v>0.3796360436325404</v>
      </c>
      <c r="M217">
        <v>181.15</v>
      </c>
      <c r="N217">
        <v>141.77</v>
      </c>
    </row>
    <row r="218" spans="1:14">
      <c r="A218" s="1" t="s">
        <v>230</v>
      </c>
      <c r="B218">
        <f>HYPERLINK("https://www.suredividend.com/sure-analysis-MMM/","3M Co.")</f>
        <v>0</v>
      </c>
      <c r="C218" t="s">
        <v>385</v>
      </c>
      <c r="D218">
        <v>104.06</v>
      </c>
      <c r="E218">
        <v>0.05765904285988852</v>
      </c>
      <c r="F218">
        <v>0.006711409395973256</v>
      </c>
      <c r="G218">
        <v>0.01978934521903875</v>
      </c>
      <c r="H218">
        <v>5.862785485013029</v>
      </c>
      <c r="I218">
        <v>61248.63</v>
      </c>
      <c r="J218">
        <v>10.60398718836565</v>
      </c>
      <c r="K218">
        <v>0.5759121301584509</v>
      </c>
      <c r="M218">
        <v>147.85</v>
      </c>
      <c r="N218">
        <v>104.45</v>
      </c>
    </row>
    <row r="219" spans="1:14">
      <c r="A219" s="1" t="s">
        <v>231</v>
      </c>
      <c r="B219">
        <f>HYPERLINK("https://www.suredividend.com/sure-analysis-MMP/","Magellan Midstream Partners L.P.")</f>
        <v>0</v>
      </c>
      <c r="C219" t="s">
        <v>395</v>
      </c>
      <c r="D219">
        <v>53.04</v>
      </c>
      <c r="E219">
        <v>0.07899698340874813</v>
      </c>
      <c r="F219">
        <v>0.009638554216867545</v>
      </c>
      <c r="G219">
        <v>0.02243698511910308</v>
      </c>
      <c r="H219">
        <v>4.04988855359416</v>
      </c>
      <c r="I219">
        <v>10953.471129</v>
      </c>
      <c r="J219">
        <v>10.56876797506754</v>
      </c>
      <c r="K219">
        <v>0.8198154966789797</v>
      </c>
      <c r="M219">
        <v>59.39</v>
      </c>
      <c r="N219">
        <v>42.2</v>
      </c>
    </row>
    <row r="220" spans="1:14">
      <c r="A220" s="1" t="s">
        <v>232</v>
      </c>
      <c r="B220">
        <f>HYPERLINK("https://www.suredividend.com/sure-analysis-research-database/","Monro Inc")</f>
        <v>0</v>
      </c>
      <c r="C220" t="s">
        <v>392</v>
      </c>
      <c r="D220">
        <v>48.07</v>
      </c>
      <c r="E220">
        <v>0.021544910125229</v>
      </c>
      <c r="F220">
        <v>0.07692307692307709</v>
      </c>
      <c r="G220">
        <v>0.06961037572506878</v>
      </c>
      <c r="H220">
        <v>1.090603350539127</v>
      </c>
      <c r="I220">
        <v>1589.283338</v>
      </c>
      <c r="J220">
        <v>33.99681993325918</v>
      </c>
      <c r="K220">
        <v>0.7734775535738488</v>
      </c>
      <c r="M220">
        <v>55.7</v>
      </c>
      <c r="N220">
        <v>36.84</v>
      </c>
    </row>
    <row r="221" spans="1:14">
      <c r="A221" s="1" t="s">
        <v>233</v>
      </c>
      <c r="B221">
        <f>HYPERLINK("https://www.suredividend.com/sure-analysis-MO/","Altria Group Inc.")</f>
        <v>0</v>
      </c>
      <c r="C221" t="s">
        <v>387</v>
      </c>
      <c r="D221">
        <v>46.61</v>
      </c>
      <c r="E221">
        <v>0.08066938425230637</v>
      </c>
      <c r="F221">
        <v>0.04444444444444451</v>
      </c>
      <c r="G221">
        <v>0.06073271303853334</v>
      </c>
      <c r="H221">
        <v>3.569500084064888</v>
      </c>
      <c r="I221">
        <v>83082.28487</v>
      </c>
      <c r="J221">
        <v>14.44658057212832</v>
      </c>
      <c r="K221">
        <v>1.118965543594009</v>
      </c>
      <c r="M221">
        <v>53.63</v>
      </c>
      <c r="N221">
        <v>39.29</v>
      </c>
    </row>
    <row r="222" spans="1:14">
      <c r="A222" s="1" t="s">
        <v>234</v>
      </c>
      <c r="B222">
        <f>HYPERLINK("https://www.suredividend.com/sure-analysis-MORN/","Morningstar Inc")</f>
        <v>0</v>
      </c>
      <c r="C222" t="s">
        <v>388</v>
      </c>
      <c r="D222">
        <v>191.26</v>
      </c>
      <c r="E222">
        <v>0.007842727177663914</v>
      </c>
      <c r="F222">
        <v>0.04166666666666674</v>
      </c>
      <c r="G222">
        <v>0.08447177119769855</v>
      </c>
      <c r="H222">
        <v>1.451412692355211</v>
      </c>
      <c r="I222">
        <v>8965.839564</v>
      </c>
      <c r="J222">
        <v>127.1750292774468</v>
      </c>
      <c r="K222">
        <v>0.8850077392409823</v>
      </c>
      <c r="M222">
        <v>292.21</v>
      </c>
      <c r="N222">
        <v>200.1</v>
      </c>
    </row>
    <row r="223" spans="1:14">
      <c r="A223" s="1" t="s">
        <v>235</v>
      </c>
      <c r="B223">
        <f>HYPERLINK("https://www.suredividend.com/sure-analysis-MRK/","Merck &amp; Co Inc")</f>
        <v>0</v>
      </c>
      <c r="C223" t="s">
        <v>384</v>
      </c>
      <c r="D223">
        <v>107.69</v>
      </c>
      <c r="E223">
        <v>0.02711486674714458</v>
      </c>
      <c r="F223">
        <v>0.05797101449275344</v>
      </c>
      <c r="G223">
        <v>0.08746759523109526</v>
      </c>
      <c r="H223">
        <v>2.76989191221934</v>
      </c>
      <c r="I223">
        <v>271324.762873</v>
      </c>
      <c r="J223">
        <v>18.68756545719127</v>
      </c>
      <c r="K223">
        <v>0.4850949058177478</v>
      </c>
      <c r="M223">
        <v>115.49</v>
      </c>
      <c r="N223">
        <v>73.70999999999999</v>
      </c>
    </row>
    <row r="224" spans="1:14">
      <c r="A224" s="1" t="s">
        <v>236</v>
      </c>
      <c r="B224">
        <f>HYPERLINK("https://www.suredividend.com/sure-analysis-MSA/","MSA Safety Inc")</f>
        <v>0</v>
      </c>
      <c r="C224" t="s">
        <v>385</v>
      </c>
      <c r="D224">
        <v>133.15</v>
      </c>
      <c r="E224">
        <v>0.013819001126549</v>
      </c>
      <c r="F224">
        <v>0.04545454545454541</v>
      </c>
      <c r="G224">
        <v>0.03895047748988278</v>
      </c>
      <c r="H224">
        <v>1.830714152274861</v>
      </c>
      <c r="I224">
        <v>5330.647846</v>
      </c>
      <c r="J224">
        <v>29.68744449233957</v>
      </c>
      <c r="K224">
        <v>0.4014724018146625</v>
      </c>
      <c r="M224">
        <v>145.84</v>
      </c>
      <c r="N224">
        <v>108.02</v>
      </c>
    </row>
    <row r="225" spans="1:14">
      <c r="A225" s="1" t="s">
        <v>237</v>
      </c>
      <c r="B225">
        <f>HYPERLINK("https://www.suredividend.com/sure-analysis-MSEX/","Middlesex Water Co.")</f>
        <v>0</v>
      </c>
      <c r="C225" t="s">
        <v>389</v>
      </c>
      <c r="D225">
        <v>72.98999999999999</v>
      </c>
      <c r="E225">
        <v>0.01712563364844499</v>
      </c>
      <c r="F225">
        <v>0.07758620689655182</v>
      </c>
      <c r="G225">
        <v>0.06909770076071187</v>
      </c>
      <c r="H225">
        <v>1.198800476343846</v>
      </c>
      <c r="I225">
        <v>1339.568222</v>
      </c>
      <c r="J225">
        <v>31.66154297454443</v>
      </c>
      <c r="K225">
        <v>0.5015901574660443</v>
      </c>
      <c r="M225">
        <v>108.03</v>
      </c>
      <c r="N225">
        <v>73.67</v>
      </c>
    </row>
    <row r="226" spans="1:14">
      <c r="A226" s="1" t="s">
        <v>238</v>
      </c>
      <c r="B226">
        <f>HYPERLINK("https://www.suredividend.com/sure-analysis-MSFT/","Microsoft Corporation")</f>
        <v>0</v>
      </c>
      <c r="C226" t="s">
        <v>386</v>
      </c>
      <c r="D226">
        <v>248.59</v>
      </c>
      <c r="E226">
        <v>0.01094171125145823</v>
      </c>
      <c r="F226">
        <v>0.09677419354838723</v>
      </c>
      <c r="G226">
        <v>0.1011637965442986</v>
      </c>
      <c r="H226">
        <v>2.59042075876791</v>
      </c>
      <c r="I226">
        <v>1900328.60394</v>
      </c>
      <c r="J226">
        <v>28.17430360627393</v>
      </c>
      <c r="K226">
        <v>0.2881446895181212</v>
      </c>
      <c r="M226">
        <v>312.88</v>
      </c>
      <c r="N226">
        <v>212.3</v>
      </c>
    </row>
    <row r="227" spans="1:14">
      <c r="A227" s="1" t="s">
        <v>239</v>
      </c>
      <c r="B227">
        <f>HYPERLINK("https://www.suredividend.com/sure-analysis-research-database/","Motorola Solutions Inc")</f>
        <v>0</v>
      </c>
      <c r="C227" t="s">
        <v>386</v>
      </c>
      <c r="D227">
        <v>261.48</v>
      </c>
      <c r="E227">
        <v>0.012132642034881</v>
      </c>
      <c r="F227">
        <v>0.1139240506329113</v>
      </c>
      <c r="G227">
        <v>0.1109534595426207</v>
      </c>
      <c r="H227">
        <v>3.234077060818107</v>
      </c>
      <c r="I227">
        <v>44582.178926</v>
      </c>
      <c r="J227">
        <v>32.70886201449743</v>
      </c>
      <c r="K227">
        <v>0.407828128728639</v>
      </c>
      <c r="M227">
        <v>274.25</v>
      </c>
      <c r="N227">
        <v>193.91</v>
      </c>
    </row>
    <row r="228" spans="1:14">
      <c r="A228" s="1" t="s">
        <v>240</v>
      </c>
      <c r="B228">
        <f>HYPERLINK("https://www.suredividend.com/sure-analysis-NDSN/","Nordson Corp.")</f>
        <v>0</v>
      </c>
      <c r="C228" t="s">
        <v>385</v>
      </c>
      <c r="D228">
        <v>212.92</v>
      </c>
      <c r="E228">
        <v>0.01221115912079654</v>
      </c>
      <c r="F228">
        <v>0.2745098039215685</v>
      </c>
      <c r="G228">
        <v>0.1672353193296932</v>
      </c>
      <c r="H228">
        <v>2.450623030921055</v>
      </c>
      <c r="I228">
        <v>12768.624369</v>
      </c>
      <c r="J228">
        <v>25.6937235147448</v>
      </c>
      <c r="K228">
        <v>0.2859536792206599</v>
      </c>
      <c r="M228">
        <v>250.59</v>
      </c>
      <c r="N228">
        <v>193.32</v>
      </c>
    </row>
    <row r="229" spans="1:14">
      <c r="A229" s="1" t="s">
        <v>241</v>
      </c>
      <c r="B229">
        <f>HYPERLINK("https://www.suredividend.com/sure-analysis-NEE/","NextEra Energy Inc")</f>
        <v>0</v>
      </c>
      <c r="C229" t="s">
        <v>389</v>
      </c>
      <c r="D229">
        <v>73.01000000000001</v>
      </c>
      <c r="E229">
        <v>0.02561292973565265</v>
      </c>
      <c r="F229">
        <v>0.1000000000000001</v>
      </c>
      <c r="G229" t="s">
        <v>393</v>
      </c>
      <c r="H229">
        <v>1.728030649600254</v>
      </c>
      <c r="I229">
        <v>147571.526471</v>
      </c>
      <c r="J229">
        <v>35.58512815782493</v>
      </c>
      <c r="K229">
        <v>0.8228717379048828</v>
      </c>
      <c r="M229">
        <v>90.02</v>
      </c>
      <c r="N229">
        <v>65.76000000000001</v>
      </c>
    </row>
    <row r="230" spans="1:14">
      <c r="A230" s="1" t="s">
        <v>242</v>
      </c>
      <c r="B230">
        <f>HYPERLINK("https://www.suredividend.com/sure-analysis-NFG/","National Fuel Gas Co.")</f>
        <v>0</v>
      </c>
      <c r="C230" t="s">
        <v>395</v>
      </c>
      <c r="D230">
        <v>55.34</v>
      </c>
      <c r="E230">
        <v>0.03433321286591977</v>
      </c>
      <c r="F230">
        <v>0.04395604395604402</v>
      </c>
      <c r="G230">
        <v>0.02737525815292696</v>
      </c>
      <c r="H230">
        <v>1.859545009718559</v>
      </c>
      <c r="I230">
        <v>5396.632753</v>
      </c>
      <c r="J230">
        <v>8.944922500571838</v>
      </c>
      <c r="K230">
        <v>0.2839000014837495</v>
      </c>
      <c r="M230">
        <v>74.31999999999999</v>
      </c>
      <c r="N230">
        <v>56.21</v>
      </c>
    </row>
    <row r="231" spans="1:14">
      <c r="A231" s="1" t="s">
        <v>243</v>
      </c>
      <c r="B231">
        <f>HYPERLINK("https://www.suredividend.com/sure-analysis-NHC/","National Healthcare Corp.")</f>
        <v>0</v>
      </c>
      <c r="C231" t="s">
        <v>384</v>
      </c>
      <c r="D231">
        <v>53.02</v>
      </c>
      <c r="E231">
        <v>0.04300264051301395</v>
      </c>
      <c r="F231">
        <v>0.03636363636363638</v>
      </c>
      <c r="G231">
        <v>0.03496752704080697</v>
      </c>
      <c r="H231">
        <v>2.230373557139307</v>
      </c>
      <c r="I231">
        <v>845.314164</v>
      </c>
      <c r="J231">
        <v>37.66158006014702</v>
      </c>
      <c r="K231">
        <v>1.538188660096074</v>
      </c>
      <c r="M231">
        <v>73.41</v>
      </c>
      <c r="N231">
        <v>54.82</v>
      </c>
    </row>
    <row r="232" spans="1:14">
      <c r="A232" s="1" t="s">
        <v>244</v>
      </c>
      <c r="B232">
        <f>HYPERLINK("https://www.suredividend.com/sure-analysis-research-database/","NiSource Inc")</f>
        <v>0</v>
      </c>
      <c r="C232" t="s">
        <v>389</v>
      </c>
      <c r="D232">
        <v>26.71</v>
      </c>
      <c r="E232">
        <v>0.034021031711917</v>
      </c>
      <c r="F232">
        <v>0.06382978723404253</v>
      </c>
      <c r="G232">
        <v>0.0509476404473832</v>
      </c>
      <c r="H232">
        <v>0.9423825784201121</v>
      </c>
      <c r="I232">
        <v>11426.470049</v>
      </c>
      <c r="J232">
        <v>15.25563424405874</v>
      </c>
      <c r="K232">
        <v>0.557622827467522</v>
      </c>
      <c r="M232">
        <v>31.48</v>
      </c>
      <c r="N232">
        <v>23.34</v>
      </c>
    </row>
    <row r="233" spans="1:14">
      <c r="A233" s="1" t="s">
        <v>245</v>
      </c>
      <c r="B233">
        <f>HYPERLINK("https://www.suredividend.com/sure-analysis-NJR/","New Jersey Resources Corporation")</f>
        <v>0</v>
      </c>
      <c r="C233" t="s">
        <v>389</v>
      </c>
      <c r="D233">
        <v>49.63</v>
      </c>
      <c r="E233">
        <v>0.03143260124924441</v>
      </c>
      <c r="F233">
        <v>0.07586206896551717</v>
      </c>
      <c r="G233">
        <v>0.0743347416121678</v>
      </c>
      <c r="H233">
        <v>1.487130311324189</v>
      </c>
      <c r="I233">
        <v>4975.198646</v>
      </c>
      <c r="J233">
        <v>17.79837887729805</v>
      </c>
      <c r="K233">
        <v>0.5145779623959131</v>
      </c>
      <c r="M233">
        <v>53.53</v>
      </c>
      <c r="N233">
        <v>37.78</v>
      </c>
    </row>
    <row r="234" spans="1:14">
      <c r="A234" s="1" t="s">
        <v>246</v>
      </c>
      <c r="B234">
        <f>HYPERLINK("https://www.suredividend.com/sure-analysis-NKE/","Nike, Inc.")</f>
        <v>0</v>
      </c>
      <c r="C234" t="s">
        <v>392</v>
      </c>
      <c r="D234">
        <v>117.49</v>
      </c>
      <c r="E234">
        <v>0.01157545323006213</v>
      </c>
      <c r="F234">
        <v>0.1147540983606559</v>
      </c>
      <c r="G234">
        <v>0.1119615859385787</v>
      </c>
      <c r="H234">
        <v>1.284569290489993</v>
      </c>
      <c r="I234">
        <v>188666.4</v>
      </c>
      <c r="J234">
        <v>26.73958351209443</v>
      </c>
      <c r="K234">
        <v>0.3628726809293766</v>
      </c>
      <c r="M234">
        <v>138.29</v>
      </c>
      <c r="N234">
        <v>81.73999999999999</v>
      </c>
    </row>
    <row r="235" spans="1:14">
      <c r="A235" s="1" t="s">
        <v>247</v>
      </c>
      <c r="B235">
        <f>HYPERLINK("https://www.suredividend.com/sure-analysis-NNN/","National Retail Properties Inc")</f>
        <v>0</v>
      </c>
      <c r="C235" t="s">
        <v>391</v>
      </c>
      <c r="D235">
        <v>42.85</v>
      </c>
      <c r="E235">
        <v>0.05134189031505251</v>
      </c>
      <c r="F235">
        <v>0.03773584905660377</v>
      </c>
      <c r="G235">
        <v>0.02975477857041309</v>
      </c>
      <c r="H235">
        <v>2.141074646918082</v>
      </c>
      <c r="I235">
        <v>8329.079498999999</v>
      </c>
      <c r="J235">
        <v>24.929004343753</v>
      </c>
      <c r="K235">
        <v>1.132843728528086</v>
      </c>
      <c r="M235">
        <v>47.75</v>
      </c>
      <c r="N235">
        <v>37.11</v>
      </c>
    </row>
    <row r="236" spans="1:14">
      <c r="A236" s="1" t="s">
        <v>248</v>
      </c>
      <c r="B236">
        <f>HYPERLINK("https://www.suredividend.com/sure-analysis-NOC/","Northrop Grumman Corp.")</f>
        <v>0</v>
      </c>
      <c r="C236" t="s">
        <v>385</v>
      </c>
      <c r="D236">
        <v>459.78</v>
      </c>
      <c r="E236">
        <v>0.01505067641045718</v>
      </c>
      <c r="F236">
        <v>0.1019108280254777</v>
      </c>
      <c r="G236">
        <v>0.07590263566280786</v>
      </c>
      <c r="H236">
        <v>6.895116902660688</v>
      </c>
      <c r="I236">
        <v>71534.084538</v>
      </c>
      <c r="J236">
        <v>14.61071988112337</v>
      </c>
      <c r="K236">
        <v>0.2191012679587127</v>
      </c>
      <c r="M236">
        <v>554.25</v>
      </c>
      <c r="N236">
        <v>411.74</v>
      </c>
    </row>
    <row r="237" spans="1:14">
      <c r="A237" s="1" t="s">
        <v>249</v>
      </c>
      <c r="B237">
        <f>HYPERLINK("https://www.suredividend.com/sure-analysis-research-database/","Neenah Inc")</f>
        <v>0</v>
      </c>
      <c r="C237" t="s">
        <v>390</v>
      </c>
      <c r="D237">
        <v>32</v>
      </c>
      <c r="E237">
        <v>0.058252615601215</v>
      </c>
      <c r="F237" t="s">
        <v>393</v>
      </c>
      <c r="G237" t="s">
        <v>393</v>
      </c>
      <c r="H237">
        <v>1.864083699238888</v>
      </c>
      <c r="I237">
        <v>537.253888</v>
      </c>
      <c r="J237" t="s">
        <v>393</v>
      </c>
      <c r="K237" t="s">
        <v>393</v>
      </c>
      <c r="L237">
        <v>0.7464642607469351</v>
      </c>
      <c r="M237">
        <v>55.11</v>
      </c>
      <c r="N237">
        <v>31.05</v>
      </c>
    </row>
    <row r="238" spans="1:14">
      <c r="A238" s="1" t="s">
        <v>250</v>
      </c>
      <c r="B238">
        <f>HYPERLINK("https://www.suredividend.com/sure-analysis-NSP/","Insperity Inc")</f>
        <v>0</v>
      </c>
      <c r="C238" t="s">
        <v>385</v>
      </c>
      <c r="D238">
        <v>118.56</v>
      </c>
      <c r="E238">
        <v>0.01754385964912281</v>
      </c>
      <c r="F238">
        <v>0.1555555555555557</v>
      </c>
      <c r="G238">
        <v>0.2105832751075947</v>
      </c>
      <c r="H238">
        <v>1.99659714660916</v>
      </c>
      <c r="I238">
        <v>4670.520893</v>
      </c>
      <c r="J238">
        <v>26.04137659788124</v>
      </c>
      <c r="K238">
        <v>0.4303011091830087</v>
      </c>
      <c r="M238">
        <v>125.95</v>
      </c>
      <c r="N238">
        <v>82.62</v>
      </c>
    </row>
    <row r="239" spans="1:14">
      <c r="A239" s="1" t="s">
        <v>251</v>
      </c>
      <c r="B239">
        <f>HYPERLINK("https://www.suredividend.com/sure-analysis-NUE/","Nucor Corp.")</f>
        <v>0</v>
      </c>
      <c r="C239" t="s">
        <v>390</v>
      </c>
      <c r="D239">
        <v>158.88</v>
      </c>
      <c r="E239">
        <v>0.01283987915407855</v>
      </c>
      <c r="F239">
        <v>0.02000000000000002</v>
      </c>
      <c r="G239">
        <v>0.06061390336787298</v>
      </c>
      <c r="H239">
        <v>1.997344488312796</v>
      </c>
      <c r="I239">
        <v>44936.623712</v>
      </c>
      <c r="J239">
        <v>5.931315343782772</v>
      </c>
      <c r="K239">
        <v>0.06937632818036804</v>
      </c>
      <c r="M239">
        <v>185.45</v>
      </c>
      <c r="N239">
        <v>99.28</v>
      </c>
    </row>
    <row r="240" spans="1:14">
      <c r="A240" s="1" t="s">
        <v>252</v>
      </c>
      <c r="B240">
        <f>HYPERLINK("https://www.suredividend.com/sure-analysis-NUS/","Nu Skin Enterprises, Inc.")</f>
        <v>0</v>
      </c>
      <c r="C240" t="s">
        <v>387</v>
      </c>
      <c r="D240">
        <v>39.24</v>
      </c>
      <c r="E240">
        <v>0.03975535168195719</v>
      </c>
      <c r="F240">
        <v>0.0129870129870131</v>
      </c>
      <c r="G240">
        <v>0.01333804570728625</v>
      </c>
      <c r="H240">
        <v>1.523232308307526</v>
      </c>
      <c r="I240">
        <v>2071.389867</v>
      </c>
      <c r="J240">
        <v>19.76932053942621</v>
      </c>
      <c r="K240">
        <v>0.7358610185060513</v>
      </c>
      <c r="M240">
        <v>49.91</v>
      </c>
      <c r="N240">
        <v>29.38</v>
      </c>
    </row>
    <row r="241" spans="1:14">
      <c r="A241" s="1" t="s">
        <v>253</v>
      </c>
      <c r="B241">
        <f>HYPERLINK("https://www.suredividend.com/sure-analysis-NWBI/","Northwest Bancshares Inc")</f>
        <v>0</v>
      </c>
      <c r="C241" t="s">
        <v>388</v>
      </c>
      <c r="D241">
        <v>12.76</v>
      </c>
      <c r="E241">
        <v>0.06269592476489029</v>
      </c>
      <c r="F241">
        <v>0</v>
      </c>
      <c r="G241">
        <v>0.03303780411393231</v>
      </c>
      <c r="H241">
        <v>0.7835484790091281</v>
      </c>
      <c r="I241">
        <v>1751.987838</v>
      </c>
      <c r="J241">
        <v>13.16482321413274</v>
      </c>
      <c r="K241">
        <v>0.74623664667536</v>
      </c>
      <c r="M241">
        <v>15.13</v>
      </c>
      <c r="N241">
        <v>11.55</v>
      </c>
    </row>
    <row r="242" spans="1:14">
      <c r="A242" s="1" t="s">
        <v>254</v>
      </c>
      <c r="B242">
        <f>HYPERLINK("https://www.suredividend.com/sure-analysis-NWE/","Northwestern Corp.")</f>
        <v>0</v>
      </c>
      <c r="C242" t="s">
        <v>389</v>
      </c>
      <c r="D242">
        <v>55.84</v>
      </c>
      <c r="E242">
        <v>0.04584527220630372</v>
      </c>
      <c r="F242">
        <v>0.0161290322580645</v>
      </c>
      <c r="G242">
        <v>0.02753251148110025</v>
      </c>
      <c r="H242">
        <v>2.478399485396339</v>
      </c>
      <c r="I242">
        <v>3448.626409</v>
      </c>
      <c r="J242">
        <v>18.8441292697587</v>
      </c>
      <c r="K242">
        <v>0.7625844570450274</v>
      </c>
      <c r="M242">
        <v>60.98</v>
      </c>
      <c r="N242">
        <v>48.16</v>
      </c>
    </row>
    <row r="243" spans="1:14">
      <c r="A243" s="1" t="s">
        <v>255</v>
      </c>
      <c r="B243">
        <f>HYPERLINK("https://www.suredividend.com/sure-analysis-NWN/","Northwest Natural Holding Co")</f>
        <v>0</v>
      </c>
      <c r="C243" t="s">
        <v>389</v>
      </c>
      <c r="D243">
        <v>45.63</v>
      </c>
      <c r="E243">
        <v>0.04251588866973482</v>
      </c>
      <c r="F243" t="s">
        <v>393</v>
      </c>
      <c r="G243" t="s">
        <v>393</v>
      </c>
      <c r="H243">
        <v>1.906884802942164</v>
      </c>
      <c r="I243">
        <v>1715.480177</v>
      </c>
      <c r="J243">
        <v>19.87741071272146</v>
      </c>
      <c r="K243">
        <v>0.7507420484024268</v>
      </c>
      <c r="M243">
        <v>55.43</v>
      </c>
      <c r="N243">
        <v>41.53</v>
      </c>
    </row>
    <row r="244" spans="1:14">
      <c r="A244" s="1" t="s">
        <v>256</v>
      </c>
      <c r="B244">
        <f>HYPERLINK("https://www.suredividend.com/sure-analysis-O/","Realty Income Corp.")</f>
        <v>0</v>
      </c>
      <c r="C244" t="s">
        <v>391</v>
      </c>
      <c r="D244">
        <v>61.38</v>
      </c>
      <c r="E244">
        <v>0.04969045291625936</v>
      </c>
      <c r="F244">
        <v>0.02620967741935476</v>
      </c>
      <c r="G244">
        <v>0.0156390136608302</v>
      </c>
      <c r="H244">
        <v>2.918925487852839</v>
      </c>
      <c r="I244">
        <v>42596.993228</v>
      </c>
      <c r="J244">
        <v>48.99540058055596</v>
      </c>
      <c r="K244">
        <v>2.055581329473831</v>
      </c>
      <c r="M244">
        <v>73.08</v>
      </c>
      <c r="N244">
        <v>54.43</v>
      </c>
    </row>
    <row r="245" spans="1:14">
      <c r="A245" s="1" t="s">
        <v>257</v>
      </c>
      <c r="B245">
        <f>HYPERLINK("https://www.suredividend.com/sure-analysis-OGE/","Oge Energy Corp.")</f>
        <v>0</v>
      </c>
      <c r="C245" t="s">
        <v>389</v>
      </c>
      <c r="D245">
        <v>34.4</v>
      </c>
      <c r="E245">
        <v>0.04825581395348837</v>
      </c>
      <c r="F245">
        <v>0.01000000000000001</v>
      </c>
      <c r="G245">
        <v>0.04487109745552287</v>
      </c>
      <c r="H245">
        <v>1.621376113973983</v>
      </c>
      <c r="I245">
        <v>7168.205897</v>
      </c>
      <c r="J245">
        <v>10.76792233288268</v>
      </c>
      <c r="K245">
        <v>0.488366299389754</v>
      </c>
      <c r="M245">
        <v>41.96</v>
      </c>
      <c r="N245">
        <v>32.92</v>
      </c>
    </row>
    <row r="246" spans="1:14">
      <c r="A246" s="1" t="s">
        <v>258</v>
      </c>
      <c r="B246">
        <f>HYPERLINK("https://www.suredividend.com/sure-analysis-ORCL/","Oracle Corp.")</f>
        <v>0</v>
      </c>
      <c r="C246" t="s">
        <v>386</v>
      </c>
      <c r="D246">
        <v>84.06999999999999</v>
      </c>
      <c r="E246">
        <v>0.01522540739859641</v>
      </c>
      <c r="F246">
        <v>0</v>
      </c>
      <c r="G246">
        <v>0.1098883056567086</v>
      </c>
      <c r="H246">
        <v>1.27174099536041</v>
      </c>
      <c r="I246">
        <v>240640.58025</v>
      </c>
      <c r="J246">
        <v>27.35795591746248</v>
      </c>
      <c r="K246">
        <v>0.4011801247193723</v>
      </c>
      <c r="M246">
        <v>91.22</v>
      </c>
      <c r="N246">
        <v>60.24</v>
      </c>
    </row>
    <row r="247" spans="1:14">
      <c r="A247" s="1" t="s">
        <v>259</v>
      </c>
      <c r="B247">
        <f>HYPERLINK("https://www.suredividend.com/sure-analysis-ORI/","Old Republic International Corp.")</f>
        <v>0</v>
      </c>
      <c r="C247" t="s">
        <v>388</v>
      </c>
      <c r="D247">
        <v>24.24</v>
      </c>
      <c r="E247">
        <v>0.04042904290429043</v>
      </c>
      <c r="F247">
        <v>0.06521739130434767</v>
      </c>
      <c r="G247">
        <v>0.04142312668144399</v>
      </c>
      <c r="H247">
        <v>0.9220140723461391</v>
      </c>
      <c r="I247">
        <v>7722.809856</v>
      </c>
      <c r="J247">
        <v>11.24954094049526</v>
      </c>
      <c r="K247">
        <v>0.407970828471743</v>
      </c>
      <c r="M247">
        <v>26.47</v>
      </c>
      <c r="N247">
        <v>19.9</v>
      </c>
    </row>
    <row r="248" spans="1:14">
      <c r="A248" s="1" t="s">
        <v>260</v>
      </c>
      <c r="B248">
        <f>HYPERLINK("https://www.suredividend.com/sure-analysis-OZK/","Bank OZK")</f>
        <v>0</v>
      </c>
      <c r="C248" t="s">
        <v>388</v>
      </c>
      <c r="D248">
        <v>36.61</v>
      </c>
      <c r="E248">
        <v>0.03714832013111172</v>
      </c>
      <c r="F248" t="s">
        <v>393</v>
      </c>
      <c r="G248" t="s">
        <v>393</v>
      </c>
      <c r="H248">
        <v>1.284605940276776</v>
      </c>
      <c r="I248">
        <v>5356.690419</v>
      </c>
      <c r="J248">
        <v>9.948389479801207</v>
      </c>
      <c r="K248">
        <v>0.2939601693997199</v>
      </c>
      <c r="M248">
        <v>49.52</v>
      </c>
      <c r="N248">
        <v>33.94</v>
      </c>
    </row>
    <row r="249" spans="1:14">
      <c r="A249" s="1" t="s">
        <v>261</v>
      </c>
      <c r="B249">
        <f>HYPERLINK("https://www.suredividend.com/sure-analysis-PAYX/","Paychex Inc.")</f>
        <v>0</v>
      </c>
      <c r="C249" t="s">
        <v>385</v>
      </c>
      <c r="D249">
        <v>107.83</v>
      </c>
      <c r="E249">
        <v>0.02930538811091533</v>
      </c>
      <c r="F249">
        <v>0.196969696969697</v>
      </c>
      <c r="G249">
        <v>0.07124254564338495</v>
      </c>
      <c r="H249">
        <v>3.128666574509183</v>
      </c>
      <c r="I249">
        <v>40635.393956</v>
      </c>
      <c r="J249">
        <v>27.70720984320197</v>
      </c>
      <c r="K249">
        <v>0.7744224194329661</v>
      </c>
      <c r="M249">
        <v>138.24</v>
      </c>
      <c r="N249">
        <v>104.23</v>
      </c>
    </row>
    <row r="250" spans="1:14">
      <c r="A250" s="1" t="s">
        <v>262</v>
      </c>
      <c r="B250">
        <f>HYPERLINK("https://www.suredividend.com/sure-analysis-PB/","Prosperity Bancshares Inc.")</f>
        <v>0</v>
      </c>
      <c r="C250" t="s">
        <v>388</v>
      </c>
      <c r="D250">
        <v>64.11</v>
      </c>
      <c r="E250">
        <v>0.03431601934175636</v>
      </c>
      <c r="F250">
        <v>0.05769230769230771</v>
      </c>
      <c r="G250">
        <v>0.08845890735664219</v>
      </c>
      <c r="H250">
        <v>2.086113506982922</v>
      </c>
      <c r="I250">
        <v>6126.808066</v>
      </c>
      <c r="J250">
        <v>11.68087926107116</v>
      </c>
      <c r="K250">
        <v>0.3640686748661295</v>
      </c>
      <c r="M250">
        <v>78.76000000000001</v>
      </c>
      <c r="N250">
        <v>63.21</v>
      </c>
    </row>
    <row r="251" spans="1:14">
      <c r="A251" s="1" t="s">
        <v>263</v>
      </c>
      <c r="B251">
        <f>HYPERLINK("https://www.suredividend.com/sure-analysis-PEG/","Public Service Enterprise Group Inc.")</f>
        <v>0</v>
      </c>
      <c r="C251" t="s">
        <v>389</v>
      </c>
      <c r="D251">
        <v>56.36</v>
      </c>
      <c r="E251">
        <v>0.04045422285308729</v>
      </c>
      <c r="F251">
        <v>0.05555555555555558</v>
      </c>
      <c r="G251">
        <v>0.04841317128472156</v>
      </c>
      <c r="H251">
        <v>2.132654535939173</v>
      </c>
      <c r="I251">
        <v>30110.739467</v>
      </c>
      <c r="J251">
        <v>29.20537290659553</v>
      </c>
      <c r="K251">
        <v>1.035269192203482</v>
      </c>
      <c r="M251">
        <v>73.75</v>
      </c>
      <c r="N251">
        <v>52.04</v>
      </c>
    </row>
    <row r="252" spans="1:14">
      <c r="A252" s="1" t="s">
        <v>264</v>
      </c>
      <c r="B252">
        <f>HYPERLINK("https://www.suredividend.com/sure-analysis-PEP/","PepsiCo Inc")</f>
        <v>0</v>
      </c>
      <c r="C252" t="s">
        <v>387</v>
      </c>
      <c r="D252">
        <v>172.03</v>
      </c>
      <c r="E252">
        <v>0.02941347439400105</v>
      </c>
      <c r="F252">
        <v>0.06976744186046502</v>
      </c>
      <c r="G252">
        <v>0.04394299489131082</v>
      </c>
      <c r="H252">
        <v>4.55510253226301</v>
      </c>
      <c r="I252">
        <v>238471.065365</v>
      </c>
      <c r="J252">
        <v>26.7644293339394</v>
      </c>
      <c r="K252">
        <v>0.709517528389877</v>
      </c>
      <c r="M252">
        <v>185.59</v>
      </c>
      <c r="N252">
        <v>149.35</v>
      </c>
    </row>
    <row r="253" spans="1:14">
      <c r="A253" s="1" t="s">
        <v>265</v>
      </c>
      <c r="B253">
        <f>HYPERLINK("https://www.suredividend.com/sure-analysis-PETS/","Petmed Express, Inc.")</f>
        <v>0</v>
      </c>
      <c r="C253" t="s">
        <v>384</v>
      </c>
      <c r="D253">
        <v>17.35</v>
      </c>
      <c r="E253">
        <v>0.06916426512968299</v>
      </c>
      <c r="F253">
        <v>0</v>
      </c>
      <c r="G253">
        <v>0.03713728933664817</v>
      </c>
      <c r="H253">
        <v>1.17342078155689</v>
      </c>
      <c r="I253">
        <v>385.209741</v>
      </c>
      <c r="J253">
        <v>33.7873643355846</v>
      </c>
      <c r="K253">
        <v>2.091286368841365</v>
      </c>
      <c r="M253">
        <v>27.83</v>
      </c>
      <c r="N253">
        <v>16.83</v>
      </c>
    </row>
    <row r="254" spans="1:14">
      <c r="A254" s="1" t="s">
        <v>266</v>
      </c>
      <c r="B254">
        <f>HYPERLINK("https://www.suredividend.com/sure-analysis-research-database/","Premier Financial Corp")</f>
        <v>0</v>
      </c>
      <c r="C254" t="s">
        <v>393</v>
      </c>
      <c r="D254">
        <v>22.04</v>
      </c>
      <c r="E254">
        <v>0.048065171660541</v>
      </c>
      <c r="F254">
        <v>0.03333333333333321</v>
      </c>
      <c r="G254">
        <v>0.006579515097667965</v>
      </c>
      <c r="H254">
        <v>1.180480615982904</v>
      </c>
      <c r="I254">
        <v>874.499103</v>
      </c>
      <c r="J254">
        <v>8.566465880647309</v>
      </c>
      <c r="K254">
        <v>0.4142037249062821</v>
      </c>
      <c r="M254">
        <v>31.12</v>
      </c>
      <c r="N254">
        <v>23.16</v>
      </c>
    </row>
    <row r="255" spans="1:14">
      <c r="A255" s="1" t="s">
        <v>267</v>
      </c>
      <c r="B255">
        <f>HYPERLINK("https://www.suredividend.com/sure-analysis-PFE/","Pfizer Inc.")</f>
        <v>0</v>
      </c>
      <c r="C255" t="s">
        <v>384</v>
      </c>
      <c r="D255">
        <v>39.39</v>
      </c>
      <c r="E255">
        <v>0.04163493272404163</v>
      </c>
      <c r="F255">
        <v>0.02499999999999991</v>
      </c>
      <c r="G255">
        <v>0.03815210271659408</v>
      </c>
      <c r="H255">
        <v>1.589321579345167</v>
      </c>
      <c r="I255">
        <v>231224.920654</v>
      </c>
      <c r="J255">
        <v>7.37018839939279</v>
      </c>
      <c r="K255">
        <v>0.2905523911051494</v>
      </c>
      <c r="M255">
        <v>54.46</v>
      </c>
      <c r="N255">
        <v>39.81</v>
      </c>
    </row>
    <row r="256" spans="1:14">
      <c r="A256" s="1" t="s">
        <v>268</v>
      </c>
      <c r="B256">
        <f>HYPERLINK("https://www.suredividend.com/sure-analysis-PFG/","Principal Financial Group Inc")</f>
        <v>0</v>
      </c>
      <c r="C256" t="s">
        <v>388</v>
      </c>
      <c r="D256">
        <v>77.01000000000001</v>
      </c>
      <c r="E256">
        <v>0.03324243604726659</v>
      </c>
      <c r="F256" t="s">
        <v>393</v>
      </c>
      <c r="G256" t="s">
        <v>393</v>
      </c>
      <c r="H256">
        <v>2.529866161715626</v>
      </c>
      <c r="I256">
        <v>21286.19701</v>
      </c>
      <c r="J256">
        <v>4.423933205145897</v>
      </c>
      <c r="K256">
        <v>0.1342104064570624</v>
      </c>
      <c r="M256">
        <v>95.48</v>
      </c>
      <c r="N256">
        <v>60.09</v>
      </c>
    </row>
    <row r="257" spans="1:14">
      <c r="A257" s="1" t="s">
        <v>269</v>
      </c>
      <c r="B257">
        <f>HYPERLINK("https://www.suredividend.com/sure-analysis-PG/","Procter &amp; Gamble Co.")</f>
        <v>0</v>
      </c>
      <c r="C257" t="s">
        <v>387</v>
      </c>
      <c r="D257">
        <v>137.19</v>
      </c>
      <c r="E257">
        <v>0.0266054377141191</v>
      </c>
      <c r="F257">
        <v>0.05001149689583806</v>
      </c>
      <c r="G257">
        <v>0.04952946419705073</v>
      </c>
      <c r="H257">
        <v>3.617497850516998</v>
      </c>
      <c r="I257">
        <v>332521.360331</v>
      </c>
      <c r="J257">
        <v>23.75661644146603</v>
      </c>
      <c r="K257">
        <v>0.648297105827419</v>
      </c>
      <c r="M257">
        <v>161.67</v>
      </c>
      <c r="N257">
        <v>120.56</v>
      </c>
    </row>
    <row r="258" spans="1:14">
      <c r="A258" s="1" t="s">
        <v>270</v>
      </c>
      <c r="B258">
        <f>HYPERLINK("https://www.suredividend.com/sure-analysis-PII/","Polaris Inc")</f>
        <v>0</v>
      </c>
      <c r="C258" t="s">
        <v>392</v>
      </c>
      <c r="D258">
        <v>111.52</v>
      </c>
      <c r="E258">
        <v>0.0233142037302726</v>
      </c>
      <c r="F258">
        <v>0.015625</v>
      </c>
      <c r="G258">
        <v>0.01613736474159566</v>
      </c>
      <c r="H258">
        <v>2.548409433963281</v>
      </c>
      <c r="I258">
        <v>6606.019295</v>
      </c>
      <c r="J258">
        <v>14.77526122853948</v>
      </c>
      <c r="K258">
        <v>0.3425281497262474</v>
      </c>
      <c r="M258">
        <v>121.79</v>
      </c>
      <c r="N258">
        <v>90.81999999999999</v>
      </c>
    </row>
    <row r="259" spans="1:14">
      <c r="A259" s="1" t="s">
        <v>271</v>
      </c>
      <c r="B259">
        <f>HYPERLINK("https://www.suredividend.com/sure-analysis-PKG/","Packaging Corp Of America")</f>
        <v>0</v>
      </c>
      <c r="C259" t="s">
        <v>392</v>
      </c>
      <c r="D259">
        <v>132.42</v>
      </c>
      <c r="E259">
        <v>0.03775864673010119</v>
      </c>
      <c r="F259">
        <v>0.25</v>
      </c>
      <c r="G259">
        <v>0.1468692082056793</v>
      </c>
      <c r="H259">
        <v>4.684159216088057</v>
      </c>
      <c r="I259">
        <v>12766.961545</v>
      </c>
      <c r="J259">
        <v>12.4933570262648</v>
      </c>
      <c r="K259">
        <v>0.425059819971693</v>
      </c>
      <c r="M259">
        <v>163.65</v>
      </c>
      <c r="N259">
        <v>108.49</v>
      </c>
    </row>
    <row r="260" spans="1:14">
      <c r="A260" s="1" t="s">
        <v>272</v>
      </c>
      <c r="B260">
        <f>HYPERLINK("https://www.suredividend.com/sure-analysis-research-database/","Douglas Dynamics Inc")</f>
        <v>0</v>
      </c>
      <c r="C260" t="s">
        <v>392</v>
      </c>
      <c r="D260">
        <v>33.07</v>
      </c>
      <c r="E260">
        <v>0.030479478861013</v>
      </c>
      <c r="F260">
        <v>0.01754385964912264</v>
      </c>
      <c r="G260">
        <v>0.01819374512778538</v>
      </c>
      <c r="H260">
        <v>1.144504431231039</v>
      </c>
      <c r="I260">
        <v>859.399077</v>
      </c>
      <c r="J260">
        <v>22.69459905857188</v>
      </c>
      <c r="K260">
        <v>0.6936390492309328</v>
      </c>
      <c r="M260">
        <v>41.4</v>
      </c>
      <c r="N260">
        <v>27.3</v>
      </c>
    </row>
    <row r="261" spans="1:14">
      <c r="A261" s="1" t="s">
        <v>273</v>
      </c>
      <c r="B261">
        <f>HYPERLINK("https://www.suredividend.com/sure-analysis-PM/","Philip Morris International Inc")</f>
        <v>0</v>
      </c>
      <c r="C261" t="s">
        <v>387</v>
      </c>
      <c r="D261">
        <v>98.34999999999999</v>
      </c>
      <c r="E261">
        <v>0.05165226232841891</v>
      </c>
      <c r="F261">
        <v>0.01600000000000001</v>
      </c>
      <c r="G261">
        <v>0.03486569022617725</v>
      </c>
      <c r="H261">
        <v>4.943318793118778</v>
      </c>
      <c r="I261">
        <v>153783.103184</v>
      </c>
      <c r="J261">
        <v>17.041567285461</v>
      </c>
      <c r="K261">
        <v>0.8508293964059859</v>
      </c>
      <c r="M261">
        <v>105.62</v>
      </c>
      <c r="N261">
        <v>81.81</v>
      </c>
    </row>
    <row r="262" spans="1:14">
      <c r="A262" s="1" t="s">
        <v>274</v>
      </c>
      <c r="B262">
        <f>HYPERLINK("https://www.suredividend.com/sure-analysis-PNC/","PNC Financial Services Group Inc")</f>
        <v>0</v>
      </c>
      <c r="C262" t="s">
        <v>388</v>
      </c>
      <c r="D262">
        <v>137.16</v>
      </c>
      <c r="E262">
        <v>0.04374453193350832</v>
      </c>
      <c r="F262">
        <v>0.2</v>
      </c>
      <c r="G262">
        <v>0.1486983549970351</v>
      </c>
      <c r="H262">
        <v>5.917078467363313</v>
      </c>
      <c r="I262">
        <v>61107.40529</v>
      </c>
      <c r="J262">
        <v>10.70557205492467</v>
      </c>
      <c r="K262">
        <v>0.4272258821200948</v>
      </c>
      <c r="M262">
        <v>192.31</v>
      </c>
      <c r="N262">
        <v>140.85</v>
      </c>
    </row>
    <row r="263" spans="1:14">
      <c r="A263" s="1" t="s">
        <v>275</v>
      </c>
      <c r="B263">
        <f>HYPERLINK("https://www.suredividend.com/sure-analysis-PNW/","Pinnacle West Capital Corp.")</f>
        <v>0</v>
      </c>
      <c r="C263" t="s">
        <v>389</v>
      </c>
      <c r="D263">
        <v>74.01000000000001</v>
      </c>
      <c r="E263">
        <v>0.04620997162545602</v>
      </c>
      <c r="F263">
        <v>0.01764705882352935</v>
      </c>
      <c r="G263">
        <v>0.04473527950049339</v>
      </c>
      <c r="H263">
        <v>3.369176444085391</v>
      </c>
      <c r="I263">
        <v>8610.392572999999</v>
      </c>
      <c r="J263">
        <v>17.80470836051133</v>
      </c>
      <c r="K263">
        <v>0.7908864892219228</v>
      </c>
      <c r="M263">
        <v>79.66</v>
      </c>
      <c r="N263">
        <v>57.6</v>
      </c>
    </row>
    <row r="264" spans="1:14">
      <c r="A264" s="1" t="s">
        <v>276</v>
      </c>
      <c r="B264">
        <f>HYPERLINK("https://www.suredividend.com/sure-analysis-POOL/","Pool Corporation")</f>
        <v>0</v>
      </c>
      <c r="C264" t="s">
        <v>392</v>
      </c>
      <c r="D264">
        <v>348.41</v>
      </c>
      <c r="E264">
        <v>0.01148072673000201</v>
      </c>
      <c r="F264">
        <v>0.25</v>
      </c>
      <c r="G264">
        <v>0.2199995070269016</v>
      </c>
      <c r="H264">
        <v>3.784082755494502</v>
      </c>
      <c r="I264">
        <v>14137.082608</v>
      </c>
      <c r="J264">
        <v>18.99351562391258</v>
      </c>
      <c r="K264">
        <v>0.2023573666039841</v>
      </c>
      <c r="M264">
        <v>484.64</v>
      </c>
      <c r="N264">
        <v>277.2</v>
      </c>
    </row>
    <row r="265" spans="1:14">
      <c r="A265" s="1" t="s">
        <v>277</v>
      </c>
      <c r="B265">
        <f>HYPERLINK("https://www.suredividend.com/sure-analysis-POR/","Portland General Electric Co")</f>
        <v>0</v>
      </c>
      <c r="C265" t="s">
        <v>389</v>
      </c>
      <c r="D265">
        <v>45.62</v>
      </c>
      <c r="E265">
        <v>0.0396755808855765</v>
      </c>
      <c r="F265">
        <v>0.05232558139534893</v>
      </c>
      <c r="G265">
        <v>0.05883413386416847</v>
      </c>
      <c r="H265">
        <v>1.763110905460479</v>
      </c>
      <c r="I265">
        <v>4261.112018</v>
      </c>
      <c r="J265">
        <v>18.28803441266095</v>
      </c>
      <c r="K265">
        <v>0.6781195790232613</v>
      </c>
      <c r="M265">
        <v>55.45</v>
      </c>
      <c r="N265">
        <v>41.19</v>
      </c>
    </row>
    <row r="266" spans="1:14">
      <c r="A266" s="1" t="s">
        <v>278</v>
      </c>
      <c r="B266">
        <f>HYPERLINK("https://www.suredividend.com/sure-analysis-PPG/","PPG Industries, Inc.")</f>
        <v>0</v>
      </c>
      <c r="C266" t="s">
        <v>390</v>
      </c>
      <c r="D266">
        <v>126</v>
      </c>
      <c r="E266">
        <v>0.01968253968253968</v>
      </c>
      <c r="F266">
        <v>0.05084745762711873</v>
      </c>
      <c r="G266">
        <v>0.06619302030280272</v>
      </c>
      <c r="H266">
        <v>2.432107683695252</v>
      </c>
      <c r="I266">
        <v>32327.841838</v>
      </c>
      <c r="J266">
        <v>31.50861777561404</v>
      </c>
      <c r="K266">
        <v>0.5629878897442713</v>
      </c>
      <c r="M266">
        <v>137.51</v>
      </c>
      <c r="N266">
        <v>105.47</v>
      </c>
    </row>
    <row r="267" spans="1:14">
      <c r="A267" s="1" t="s">
        <v>279</v>
      </c>
      <c r="B267">
        <f>HYPERLINK("https://www.suredividend.com/sure-analysis-PRGO/","Perrigo Company plc")</f>
        <v>0</v>
      </c>
      <c r="C267" t="s">
        <v>384</v>
      </c>
      <c r="D267">
        <v>35.85</v>
      </c>
      <c r="E267">
        <v>0.03040446304044631</v>
      </c>
      <c r="F267">
        <v>0.05000000000000004</v>
      </c>
      <c r="G267">
        <v>0.07518156458332026</v>
      </c>
      <c r="H267">
        <v>0.774013385047649</v>
      </c>
      <c r="I267">
        <v>5217.626469</v>
      </c>
      <c r="J267" t="s">
        <v>393</v>
      </c>
      <c r="K267" t="s">
        <v>393</v>
      </c>
      <c r="M267">
        <v>43.24</v>
      </c>
      <c r="N267">
        <v>30.65</v>
      </c>
    </row>
    <row r="268" spans="1:14">
      <c r="A268" s="1" t="s">
        <v>280</v>
      </c>
      <c r="B268">
        <f>HYPERLINK("https://www.suredividend.com/sure-analysis-PRI/","Primerica Inc")</f>
        <v>0</v>
      </c>
      <c r="C268" t="s">
        <v>388</v>
      </c>
      <c r="D268">
        <v>168.49</v>
      </c>
      <c r="E268">
        <v>0.01543118285951688</v>
      </c>
      <c r="F268">
        <v>0.1818181818181817</v>
      </c>
      <c r="G268">
        <v>0.2105832751075947</v>
      </c>
      <c r="H268">
        <v>2.287305639685133</v>
      </c>
      <c r="I268">
        <v>6944.235594</v>
      </c>
      <c r="J268">
        <v>18.70108258466908</v>
      </c>
      <c r="K268">
        <v>0.2348363079758864</v>
      </c>
      <c r="M268">
        <v>195.69</v>
      </c>
      <c r="N268">
        <v>108.94</v>
      </c>
    </row>
    <row r="269" spans="1:14">
      <c r="A269" s="1" t="s">
        <v>281</v>
      </c>
      <c r="B269">
        <f>HYPERLINK("https://www.suredividend.com/sure-analysis-PRU/","Prudential Financial Inc.")</f>
        <v>0</v>
      </c>
      <c r="C269" t="s">
        <v>388</v>
      </c>
      <c r="D269">
        <v>88.52</v>
      </c>
      <c r="E269">
        <v>0.05648441030275644</v>
      </c>
      <c r="F269">
        <v>0.04166666666666674</v>
      </c>
      <c r="G269">
        <v>0.06790716584560208</v>
      </c>
      <c r="H269">
        <v>4.766244994183903</v>
      </c>
      <c r="I269">
        <v>36263.28</v>
      </c>
      <c r="J269" t="s">
        <v>393</v>
      </c>
      <c r="K269" t="s">
        <v>393</v>
      </c>
      <c r="M269">
        <v>116.87</v>
      </c>
      <c r="N269">
        <v>83.48</v>
      </c>
    </row>
    <row r="270" spans="1:14">
      <c r="A270" s="1" t="s">
        <v>282</v>
      </c>
      <c r="B270">
        <f>HYPERLINK("https://www.suredividend.com/sure-analysis-QCOM/","Qualcomm, Inc.")</f>
        <v>0</v>
      </c>
      <c r="C270" t="s">
        <v>386</v>
      </c>
      <c r="D270">
        <v>115.19</v>
      </c>
      <c r="E270">
        <v>0.02604392742425558</v>
      </c>
      <c r="F270">
        <v>0.1029411764705881</v>
      </c>
      <c r="G270">
        <v>0.03880472124431766</v>
      </c>
      <c r="H270">
        <v>2.972760108938298</v>
      </c>
      <c r="I270">
        <v>137814</v>
      </c>
      <c r="J270">
        <v>11.70693170234455</v>
      </c>
      <c r="K270">
        <v>0.2863930740788341</v>
      </c>
      <c r="M270">
        <v>159.4</v>
      </c>
      <c r="N270">
        <v>100.67</v>
      </c>
    </row>
    <row r="271" spans="1:14">
      <c r="A271" s="1" t="s">
        <v>283</v>
      </c>
      <c r="B271">
        <f>HYPERLINK("https://www.suredividend.com/sure-analysis-R/","Ryder System, Inc.")</f>
        <v>0</v>
      </c>
      <c r="C271" t="s">
        <v>385</v>
      </c>
      <c r="D271">
        <v>90.98</v>
      </c>
      <c r="E271">
        <v>0.02725873818421631</v>
      </c>
      <c r="F271" t="s">
        <v>393</v>
      </c>
      <c r="G271" t="s">
        <v>393</v>
      </c>
      <c r="H271">
        <v>2.415991884152928</v>
      </c>
      <c r="I271">
        <v>4596.570983</v>
      </c>
      <c r="J271">
        <v>5.332448936658932</v>
      </c>
      <c r="K271">
        <v>0.1426205362546002</v>
      </c>
      <c r="M271">
        <v>101.72</v>
      </c>
      <c r="N271">
        <v>60</v>
      </c>
    </row>
    <row r="272" spans="1:14">
      <c r="A272" s="1" t="s">
        <v>284</v>
      </c>
      <c r="B272">
        <f>HYPERLINK("https://www.suredividend.com/sure-analysis-RBCAA/","Republic Bancorp, Inc. (KY)")</f>
        <v>0</v>
      </c>
      <c r="C272" t="s">
        <v>388</v>
      </c>
      <c r="D272">
        <v>41.68</v>
      </c>
      <c r="E272">
        <v>0.03598848368522073</v>
      </c>
      <c r="F272">
        <v>0.1071428571428572</v>
      </c>
      <c r="G272">
        <v>0.07099588603959828</v>
      </c>
      <c r="H272">
        <v>1.347486738668693</v>
      </c>
      <c r="I272">
        <v>773.667087</v>
      </c>
      <c r="J272">
        <v>8.780197317142372</v>
      </c>
      <c r="K272">
        <v>0.3163114410020406</v>
      </c>
      <c r="M272">
        <v>49.33</v>
      </c>
      <c r="N272">
        <v>37.86</v>
      </c>
    </row>
    <row r="273" spans="1:14">
      <c r="A273" s="1" t="s">
        <v>285</v>
      </c>
      <c r="B273">
        <f>HYPERLINK("https://www.suredividend.com/sure-analysis-RGA/","Reinsurance Group Of America, Inc.")</f>
        <v>0</v>
      </c>
      <c r="C273" t="s">
        <v>388</v>
      </c>
      <c r="D273">
        <v>133.74</v>
      </c>
      <c r="E273">
        <v>0.02392702258112756</v>
      </c>
      <c r="F273">
        <v>0.09589041095890427</v>
      </c>
      <c r="G273">
        <v>0.09856054330611785</v>
      </c>
      <c r="H273">
        <v>3.104128020163823</v>
      </c>
      <c r="I273">
        <v>9800.409304999999</v>
      </c>
      <c r="J273">
        <v>15.73099406898877</v>
      </c>
      <c r="K273">
        <v>0.3374052195830243</v>
      </c>
      <c r="M273">
        <v>152.55</v>
      </c>
      <c r="N273">
        <v>95.33</v>
      </c>
    </row>
    <row r="274" spans="1:14">
      <c r="A274" s="1" t="s">
        <v>286</v>
      </c>
      <c r="B274">
        <f>HYPERLINK("https://www.suredividend.com/sure-analysis-RGLD/","Royal Gold, Inc.")</f>
        <v>0</v>
      </c>
      <c r="C274" t="s">
        <v>390</v>
      </c>
      <c r="D274">
        <v>113.44</v>
      </c>
      <c r="E274">
        <v>0.0132228490832158</v>
      </c>
      <c r="F274">
        <v>0.0714285714285714</v>
      </c>
      <c r="G274">
        <v>0.08447177119769855</v>
      </c>
      <c r="H274">
        <v>1.418083372583349</v>
      </c>
      <c r="I274">
        <v>7350.827438</v>
      </c>
      <c r="J274">
        <v>30.75891672929342</v>
      </c>
      <c r="K274">
        <v>0.3895833441163047</v>
      </c>
      <c r="M274">
        <v>146.24</v>
      </c>
      <c r="N274">
        <v>83.97</v>
      </c>
    </row>
    <row r="275" spans="1:14">
      <c r="A275" s="1" t="s">
        <v>287</v>
      </c>
      <c r="B275">
        <f>HYPERLINK("https://www.suredividend.com/sure-analysis-RHI/","Robert Half International Inc.")</f>
        <v>0</v>
      </c>
      <c r="C275" t="s">
        <v>385</v>
      </c>
      <c r="D275">
        <v>77.41</v>
      </c>
      <c r="E275">
        <v>0.02480299702880765</v>
      </c>
      <c r="F275">
        <v>0.1162790697674418</v>
      </c>
      <c r="G275">
        <v>0.1138241786028789</v>
      </c>
      <c r="H275">
        <v>1.755211699313805</v>
      </c>
      <c r="I275">
        <v>8758.041776</v>
      </c>
      <c r="J275">
        <v>13.31173256288388</v>
      </c>
      <c r="K275">
        <v>0.2910798837999677</v>
      </c>
      <c r="M275">
        <v>119.63</v>
      </c>
      <c r="N275">
        <v>64.65000000000001</v>
      </c>
    </row>
    <row r="276" spans="1:14">
      <c r="A276" s="1" t="s">
        <v>288</v>
      </c>
      <c r="B276">
        <f>HYPERLINK("https://www.suredividend.com/sure-analysis-RJF/","Raymond James Financial, Inc.")</f>
        <v>0</v>
      </c>
      <c r="C276" t="s">
        <v>388</v>
      </c>
      <c r="D276">
        <v>94.84999999999999</v>
      </c>
      <c r="E276">
        <v>0.01771217712177122</v>
      </c>
      <c r="F276">
        <v>0.2352941176470587</v>
      </c>
      <c r="G276">
        <v>0.1093328057258516</v>
      </c>
      <c r="H276">
        <v>1.432418180976265</v>
      </c>
      <c r="I276">
        <v>23245.044256</v>
      </c>
      <c r="J276">
        <v>14.84357870762452</v>
      </c>
      <c r="K276">
        <v>0.1986710375833932</v>
      </c>
      <c r="M276">
        <v>125.51</v>
      </c>
      <c r="N276">
        <v>83.92</v>
      </c>
    </row>
    <row r="277" spans="1:14">
      <c r="A277" s="1" t="s">
        <v>289</v>
      </c>
      <c r="B277">
        <f>HYPERLINK("https://www.suredividend.com/sure-analysis-RLI/","RLI Corp.")</f>
        <v>0</v>
      </c>
      <c r="C277" t="s">
        <v>388</v>
      </c>
      <c r="D277">
        <v>131.99</v>
      </c>
      <c r="E277">
        <v>0.007879384801878929</v>
      </c>
      <c r="F277">
        <v>0</v>
      </c>
      <c r="G277">
        <v>0.02482356331085978</v>
      </c>
      <c r="H277">
        <v>1.036835379859781</v>
      </c>
      <c r="I277">
        <v>6181.737693</v>
      </c>
      <c r="J277">
        <v>10.59585385476105</v>
      </c>
      <c r="K277">
        <v>0.08138425273624654</v>
      </c>
      <c r="M277">
        <v>140.41</v>
      </c>
      <c r="N277">
        <v>100.56</v>
      </c>
    </row>
    <row r="278" spans="1:14">
      <c r="A278" s="1" t="s">
        <v>290</v>
      </c>
      <c r="B278">
        <f>HYPERLINK("https://www.suredividend.com/sure-analysis-RNR/","RenaissanceRe Holdings Ltd")</f>
        <v>0</v>
      </c>
      <c r="C278" t="s">
        <v>388</v>
      </c>
      <c r="D278">
        <v>194.3</v>
      </c>
      <c r="E278">
        <v>0.007822954194544518</v>
      </c>
      <c r="F278">
        <v>0.0277777777777779</v>
      </c>
      <c r="G278">
        <v>0.02314587308046168</v>
      </c>
      <c r="H278">
        <v>1.474938655171877</v>
      </c>
      <c r="I278">
        <v>9305.744956</v>
      </c>
      <c r="J278" t="s">
        <v>393</v>
      </c>
      <c r="K278" t="s">
        <v>393</v>
      </c>
      <c r="M278">
        <v>223.8</v>
      </c>
      <c r="N278">
        <v>123.61</v>
      </c>
    </row>
    <row r="279" spans="1:14">
      <c r="A279" s="1" t="s">
        <v>291</v>
      </c>
      <c r="B279">
        <f>HYPERLINK("https://www.suredividend.com/sure-analysis-ROK/","Rockwell Automation Inc")</f>
        <v>0</v>
      </c>
      <c r="C279" t="s">
        <v>385</v>
      </c>
      <c r="D279">
        <v>289.07</v>
      </c>
      <c r="E279">
        <v>0.01632822499740547</v>
      </c>
      <c r="F279">
        <v>0.05357142857142838</v>
      </c>
      <c r="G279">
        <v>0.05103901130952315</v>
      </c>
      <c r="H279">
        <v>4.555987490301711</v>
      </c>
      <c r="I279">
        <v>34732.020638</v>
      </c>
      <c r="J279">
        <v>32.42952440497665</v>
      </c>
      <c r="K279">
        <v>0.4946783377091977</v>
      </c>
      <c r="M279">
        <v>303.2</v>
      </c>
      <c r="N279">
        <v>186.77</v>
      </c>
    </row>
    <row r="280" spans="1:14">
      <c r="A280" s="1" t="s">
        <v>292</v>
      </c>
      <c r="B280">
        <f>HYPERLINK("https://www.suredividend.com/sure-analysis-ROP/","Roper Technologies Inc")</f>
        <v>0</v>
      </c>
      <c r="C280" t="s">
        <v>385</v>
      </c>
      <c r="D280">
        <v>420.33</v>
      </c>
      <c r="E280">
        <v>0.006494896866747556</v>
      </c>
      <c r="F280">
        <v>0.1008064516129032</v>
      </c>
      <c r="G280">
        <v>0.1059506305412523</v>
      </c>
      <c r="H280">
        <v>2.536620893955785</v>
      </c>
      <c r="I280">
        <v>45696.29501</v>
      </c>
      <c r="J280">
        <v>10.05485400802033</v>
      </c>
      <c r="K280">
        <v>0.05961506213762127</v>
      </c>
      <c r="M280">
        <v>485.92</v>
      </c>
      <c r="N280">
        <v>355.66</v>
      </c>
    </row>
    <row r="281" spans="1:14">
      <c r="A281" s="1" t="s">
        <v>293</v>
      </c>
      <c r="B281">
        <f>HYPERLINK("https://www.suredividend.com/sure-analysis-RPM/","RPM International, Inc.")</f>
        <v>0</v>
      </c>
      <c r="C281" t="s">
        <v>390</v>
      </c>
      <c r="D281">
        <v>85.31</v>
      </c>
      <c r="E281">
        <v>0.01969288477318017</v>
      </c>
      <c r="F281">
        <v>0.04999999999999982</v>
      </c>
      <c r="G281">
        <v>0.05589288248337687</v>
      </c>
      <c r="H281">
        <v>1.62843611416745</v>
      </c>
      <c r="I281">
        <v>11756.229852</v>
      </c>
      <c r="J281">
        <v>22.23551835534901</v>
      </c>
      <c r="K281">
        <v>0.3991264985704534</v>
      </c>
      <c r="M281">
        <v>105.98</v>
      </c>
      <c r="N281">
        <v>73.48999999999999</v>
      </c>
    </row>
    <row r="282" spans="1:14">
      <c r="A282" s="1" t="s">
        <v>294</v>
      </c>
      <c r="B282">
        <f>HYPERLINK("https://www.suredividend.com/sure-analysis-research-database/","Regal Rexnord Corp")</f>
        <v>0</v>
      </c>
      <c r="C282" t="s">
        <v>393</v>
      </c>
      <c r="D282">
        <v>150.92</v>
      </c>
      <c r="E282">
        <v>0.008480551328781</v>
      </c>
      <c r="F282" t="s">
        <v>393</v>
      </c>
      <c r="G282" t="s">
        <v>393</v>
      </c>
      <c r="H282">
        <v>1.374273342829054</v>
      </c>
      <c r="I282">
        <v>10732.745218</v>
      </c>
      <c r="J282">
        <v>21.95284356228268</v>
      </c>
      <c r="K282">
        <v>0.1885148618421199</v>
      </c>
      <c r="M282">
        <v>162.46</v>
      </c>
      <c r="N282">
        <v>107.37</v>
      </c>
    </row>
    <row r="283" spans="1:14">
      <c r="A283" s="1" t="s">
        <v>295</v>
      </c>
      <c r="B283">
        <f>HYPERLINK("https://www.suredividend.com/sure-analysis-RS/","Reliance Steel &amp; Aluminum Co.")</f>
        <v>0</v>
      </c>
      <c r="C283" t="s">
        <v>390</v>
      </c>
      <c r="D283">
        <v>249.63</v>
      </c>
      <c r="E283">
        <v>0.01602371509834555</v>
      </c>
      <c r="F283">
        <v>0.1428571428571428</v>
      </c>
      <c r="G283">
        <v>0.1486983549970351</v>
      </c>
      <c r="H283">
        <v>3.476781373921429</v>
      </c>
      <c r="I283">
        <v>16798.506499</v>
      </c>
      <c r="J283">
        <v>9.129126948948429</v>
      </c>
      <c r="K283">
        <v>0.1162025860267857</v>
      </c>
      <c r="M283">
        <v>264.42</v>
      </c>
      <c r="N283">
        <v>158.88</v>
      </c>
    </row>
    <row r="284" spans="1:14">
      <c r="A284" s="1" t="s">
        <v>296</v>
      </c>
      <c r="B284">
        <f>HYPERLINK("https://www.suredividend.com/sure-analysis-RSG/","Republic Services, Inc.")</f>
        <v>0</v>
      </c>
      <c r="C284" t="s">
        <v>385</v>
      </c>
      <c r="D284">
        <v>127.05</v>
      </c>
      <c r="E284">
        <v>0.01558441558441558</v>
      </c>
      <c r="F284">
        <v>0.07608695652173902</v>
      </c>
      <c r="G284">
        <v>0.07487316557532875</v>
      </c>
      <c r="H284">
        <v>1.899729413031072</v>
      </c>
      <c r="I284">
        <v>40750.047127</v>
      </c>
      <c r="J284">
        <v>27.39314810904813</v>
      </c>
      <c r="K284">
        <v>0.4050595763392478</v>
      </c>
      <c r="M284">
        <v>148.07</v>
      </c>
      <c r="N284">
        <v>118.42</v>
      </c>
    </row>
    <row r="285" spans="1:14">
      <c r="A285" s="1" t="s">
        <v>297</v>
      </c>
      <c r="B285">
        <f>HYPERLINK("https://www.suredividend.com/sure-analysis-RTX/","Raytheon Technologies Corporation")</f>
        <v>0</v>
      </c>
      <c r="C285" t="s">
        <v>385</v>
      </c>
      <c r="D285">
        <v>96</v>
      </c>
      <c r="E285">
        <v>0.02291666666666667</v>
      </c>
      <c r="F285">
        <v>0.07843137254901977</v>
      </c>
      <c r="G285" t="s">
        <v>393</v>
      </c>
      <c r="H285">
        <v>2.18144558827707</v>
      </c>
      <c r="I285">
        <v>145059.802908</v>
      </c>
      <c r="J285">
        <v>27.91221914713873</v>
      </c>
      <c r="K285">
        <v>0.6232701680791628</v>
      </c>
      <c r="M285">
        <v>108.24</v>
      </c>
      <c r="N285">
        <v>79.37</v>
      </c>
    </row>
    <row r="286" spans="1:14">
      <c r="A286" s="1" t="s">
        <v>298</v>
      </c>
      <c r="B286">
        <f>HYPERLINK("https://www.suredividend.com/sure-analysis-research-database/","Sandy Spring Bancorp")</f>
        <v>0</v>
      </c>
      <c r="C286" t="s">
        <v>388</v>
      </c>
      <c r="D286">
        <v>28.98</v>
      </c>
      <c r="E286">
        <v>0.044911011983218</v>
      </c>
      <c r="F286">
        <v>0</v>
      </c>
      <c r="G286">
        <v>0.03959498820755258</v>
      </c>
      <c r="H286">
        <v>1.340593707699087</v>
      </c>
      <c r="I286">
        <v>1333.520512</v>
      </c>
      <c r="J286">
        <v>8.051784902003407</v>
      </c>
      <c r="K286">
        <v>0.364291768396491</v>
      </c>
      <c r="M286">
        <v>44.7</v>
      </c>
      <c r="N286">
        <v>29.67</v>
      </c>
    </row>
    <row r="287" spans="1:14">
      <c r="A287" s="1" t="s">
        <v>299</v>
      </c>
      <c r="B287">
        <f>HYPERLINK("https://www.suredividend.com/sure-analysis-SBSI/","Southside Bancshares Inc")</f>
        <v>0</v>
      </c>
      <c r="C287" t="s">
        <v>388</v>
      </c>
      <c r="D287">
        <v>34.77</v>
      </c>
      <c r="E287">
        <v>0.04026459591601955</v>
      </c>
      <c r="F287">
        <v>0.02941176470588247</v>
      </c>
      <c r="G287">
        <v>0.02456913836308061</v>
      </c>
      <c r="H287">
        <v>1.357295512814345</v>
      </c>
      <c r="I287">
        <v>1195.930049</v>
      </c>
      <c r="J287">
        <v>11.3876409179204</v>
      </c>
      <c r="K287">
        <v>0.4163483168142162</v>
      </c>
      <c r="M287">
        <v>41.79</v>
      </c>
      <c r="N287">
        <v>30.86</v>
      </c>
    </row>
    <row r="288" spans="1:14">
      <c r="A288" s="1" t="s">
        <v>300</v>
      </c>
      <c r="B288">
        <f>HYPERLINK("https://www.suredividend.com/sure-analysis-SBUX/","Starbucks Corp.")</f>
        <v>0</v>
      </c>
      <c r="C288" t="s">
        <v>392</v>
      </c>
      <c r="D288">
        <v>99.38</v>
      </c>
      <c r="E288">
        <v>0.02133226001207487</v>
      </c>
      <c r="F288">
        <v>0.08163265306122458</v>
      </c>
      <c r="G288">
        <v>0.0804251218424088</v>
      </c>
      <c r="H288">
        <v>2.015510306868472</v>
      </c>
      <c r="I288">
        <v>120159.315</v>
      </c>
      <c r="J288">
        <v>36.18275618055346</v>
      </c>
      <c r="K288">
        <v>0.6998299676626639</v>
      </c>
      <c r="M288">
        <v>110.28</v>
      </c>
      <c r="N288">
        <v>66.89</v>
      </c>
    </row>
    <row r="289" spans="1:14">
      <c r="A289" s="1" t="s">
        <v>301</v>
      </c>
      <c r="B289">
        <f>HYPERLINK("https://www.suredividend.com/sure-analysis-SCI/","Service Corp. International")</f>
        <v>0</v>
      </c>
      <c r="C289" t="s">
        <v>392</v>
      </c>
      <c r="D289">
        <v>64.63</v>
      </c>
      <c r="E289">
        <v>0.01671050595698592</v>
      </c>
      <c r="F289">
        <v>0.173913043478261</v>
      </c>
      <c r="G289">
        <v>0.09694024046466465</v>
      </c>
      <c r="H289">
        <v>1.014143909913788</v>
      </c>
      <c r="I289">
        <v>10346.09719</v>
      </c>
      <c r="J289">
        <v>18.30072839610994</v>
      </c>
      <c r="K289">
        <v>0.2872928923268521</v>
      </c>
      <c r="M289">
        <v>74.66</v>
      </c>
      <c r="N289">
        <v>56.63</v>
      </c>
    </row>
    <row r="290" spans="1:14">
      <c r="A290" s="1" t="s">
        <v>302</v>
      </c>
      <c r="B290">
        <f>HYPERLINK("https://www.suredividend.com/sure-analysis-SCL/","Stepan Co.")</f>
        <v>0</v>
      </c>
      <c r="C290" t="s">
        <v>390</v>
      </c>
      <c r="D290">
        <v>96.64</v>
      </c>
      <c r="E290">
        <v>0.01510761589403973</v>
      </c>
      <c r="F290">
        <v>0.08955223880596996</v>
      </c>
      <c r="G290">
        <v>0.1015952871926673</v>
      </c>
      <c r="H290">
        <v>1.390553513864139</v>
      </c>
      <c r="I290">
        <v>2355.534011</v>
      </c>
      <c r="J290">
        <v>16.00738014651417</v>
      </c>
      <c r="K290">
        <v>0.2179550962169497</v>
      </c>
      <c r="M290">
        <v>115.12</v>
      </c>
      <c r="N290">
        <v>91.01000000000001</v>
      </c>
    </row>
    <row r="291" spans="1:14">
      <c r="A291" s="1" t="s">
        <v>303</v>
      </c>
      <c r="B291">
        <f>HYPERLINK("https://www.suredividend.com/sure-analysis-SEIC/","SEI Investments Co.")</f>
        <v>0</v>
      </c>
      <c r="C291" t="s">
        <v>388</v>
      </c>
      <c r="D291">
        <v>56.43</v>
      </c>
      <c r="E291">
        <v>0.0152401205032784</v>
      </c>
      <c r="F291" t="s">
        <v>393</v>
      </c>
      <c r="G291" t="s">
        <v>393</v>
      </c>
      <c r="H291">
        <v>0.8270816642788451</v>
      </c>
      <c r="I291">
        <v>8132.372782</v>
      </c>
      <c r="J291">
        <v>17.10396890143796</v>
      </c>
      <c r="K291">
        <v>0.2390409434331922</v>
      </c>
      <c r="M291">
        <v>64.69</v>
      </c>
      <c r="N291">
        <v>45.96</v>
      </c>
    </row>
    <row r="292" spans="1:14">
      <c r="A292" s="1" t="s">
        <v>304</v>
      </c>
      <c r="B292">
        <f>HYPERLINK("https://www.suredividend.com/sure-analysis-research-database/","Simmons First National Corp.")</f>
        <v>0</v>
      </c>
      <c r="C292" t="s">
        <v>388</v>
      </c>
      <c r="D292">
        <v>19.46</v>
      </c>
      <c r="E292">
        <v>0.034281952499175</v>
      </c>
      <c r="F292">
        <v>0.05555555555555558</v>
      </c>
      <c r="G292">
        <v>0.04841317128472156</v>
      </c>
      <c r="H292">
        <v>0.7500891206819511</v>
      </c>
      <c r="I292">
        <v>2782.12766</v>
      </c>
      <c r="J292">
        <v>10.85022409325617</v>
      </c>
      <c r="K292">
        <v>0.3641209323698792</v>
      </c>
      <c r="M292">
        <v>28.21</v>
      </c>
      <c r="N292">
        <v>19.34</v>
      </c>
    </row>
    <row r="293" spans="1:14">
      <c r="A293" s="1" t="s">
        <v>305</v>
      </c>
      <c r="B293">
        <f>HYPERLINK("https://www.suredividend.com/sure-analysis-SHW/","Sherwin-Williams Co.")</f>
        <v>0</v>
      </c>
      <c r="C293" t="s">
        <v>390</v>
      </c>
      <c r="D293">
        <v>214.1</v>
      </c>
      <c r="E293">
        <v>0.01130312937879496</v>
      </c>
      <c r="F293">
        <v>0.008333333333333082</v>
      </c>
      <c r="G293" t="s">
        <v>393</v>
      </c>
      <c r="H293">
        <v>2.395711905088</v>
      </c>
      <c r="I293">
        <v>56865.055088</v>
      </c>
      <c r="J293">
        <v>28.149623824776</v>
      </c>
      <c r="K293">
        <v>0.3103253763067358</v>
      </c>
      <c r="M293">
        <v>282.19</v>
      </c>
      <c r="N293">
        <v>194.23</v>
      </c>
    </row>
    <row r="294" spans="1:14">
      <c r="A294" s="1" t="s">
        <v>306</v>
      </c>
      <c r="B294">
        <f>HYPERLINK("https://www.suredividend.com/sure-analysis-SJM/","J.M. Smucker Co.")</f>
        <v>0</v>
      </c>
      <c r="C294" t="s">
        <v>387</v>
      </c>
      <c r="D294">
        <v>147.88</v>
      </c>
      <c r="E294">
        <v>0.02758993778739519</v>
      </c>
      <c r="F294">
        <v>0.03030303030303028</v>
      </c>
      <c r="G294">
        <v>0.03713728933664817</v>
      </c>
      <c r="H294">
        <v>3.987573762250028</v>
      </c>
      <c r="I294">
        <v>16080.722824</v>
      </c>
      <c r="J294">
        <v>22.64252720980006</v>
      </c>
      <c r="K294">
        <v>0.6032638066944067</v>
      </c>
      <c r="M294">
        <v>161.95</v>
      </c>
      <c r="N294">
        <v>116.48</v>
      </c>
    </row>
    <row r="295" spans="1:14">
      <c r="A295" s="1" t="s">
        <v>307</v>
      </c>
      <c r="B295">
        <f>HYPERLINK("https://www.suredividend.com/sure-analysis-SJW/","SJW Group")</f>
        <v>0</v>
      </c>
      <c r="C295" t="s">
        <v>389</v>
      </c>
      <c r="D295">
        <v>74.41</v>
      </c>
      <c r="E295">
        <v>0.02042736191372127</v>
      </c>
      <c r="F295">
        <v>0.05555555555555558</v>
      </c>
      <c r="G295">
        <v>0.06298004826234438</v>
      </c>
      <c r="H295">
        <v>1.449291274774109</v>
      </c>
      <c r="I295">
        <v>2337.553378</v>
      </c>
      <c r="J295">
        <v>31.66215226905781</v>
      </c>
      <c r="K295">
        <v>0.5964161624584809</v>
      </c>
      <c r="M295">
        <v>83.48999999999999</v>
      </c>
      <c r="N295">
        <v>54.89</v>
      </c>
    </row>
    <row r="296" spans="1:14">
      <c r="A296" s="1" t="s">
        <v>308</v>
      </c>
      <c r="B296">
        <f>HYPERLINK("https://www.suredividend.com/sure-analysis-SLGN/","Silgan Holdings Inc.")</f>
        <v>0</v>
      </c>
      <c r="C296" t="s">
        <v>392</v>
      </c>
      <c r="D296">
        <v>51.54</v>
      </c>
      <c r="E296">
        <v>0.01241753977493209</v>
      </c>
      <c r="F296">
        <v>0.1428571428571428</v>
      </c>
      <c r="G296">
        <v>0.09856054330611763</v>
      </c>
      <c r="H296">
        <v>0.319509630619105</v>
      </c>
      <c r="I296">
        <v>6018.019313</v>
      </c>
      <c r="J296">
        <v>17.65602060945055</v>
      </c>
      <c r="K296">
        <v>0.1040747982472655</v>
      </c>
      <c r="M296">
        <v>55.41</v>
      </c>
      <c r="N296">
        <v>38.34</v>
      </c>
    </row>
    <row r="297" spans="1:14">
      <c r="A297" s="1" t="s">
        <v>309</v>
      </c>
      <c r="B297">
        <f>HYPERLINK("https://www.suredividend.com/sure-analysis-research-database/","Southern Missouri Bancorp, Inc.")</f>
        <v>0</v>
      </c>
      <c r="C297" t="s">
        <v>388</v>
      </c>
      <c r="D297">
        <v>40.96</v>
      </c>
      <c r="E297">
        <v>0.017947675844044</v>
      </c>
      <c r="F297">
        <v>0.04999999999999982</v>
      </c>
      <c r="G297">
        <v>0.1380604263098537</v>
      </c>
      <c r="H297">
        <v>0.824875181792277</v>
      </c>
      <c r="I297">
        <v>519.67836</v>
      </c>
      <c r="J297">
        <v>0</v>
      </c>
      <c r="K297" t="s">
        <v>393</v>
      </c>
      <c r="M297">
        <v>55.57</v>
      </c>
      <c r="N297">
        <v>41.09</v>
      </c>
    </row>
    <row r="298" spans="1:14">
      <c r="A298" s="1" t="s">
        <v>310</v>
      </c>
      <c r="B298">
        <f>HYPERLINK("https://www.suredividend.com/sure-analysis-SMG/","Scotts Miracle-Gro Company")</f>
        <v>0</v>
      </c>
      <c r="C298" t="s">
        <v>390</v>
      </c>
      <c r="D298">
        <v>74.01000000000001</v>
      </c>
      <c r="E298">
        <v>0.0356708552898257</v>
      </c>
      <c r="F298">
        <v>0</v>
      </c>
      <c r="G298">
        <v>0.03713728933664817</v>
      </c>
      <c r="H298">
        <v>2.618375993327381</v>
      </c>
      <c r="I298">
        <v>4770.79219</v>
      </c>
      <c r="J298" t="s">
        <v>393</v>
      </c>
      <c r="K298" t="s">
        <v>393</v>
      </c>
      <c r="M298">
        <v>135.56</v>
      </c>
      <c r="N298">
        <v>38.74</v>
      </c>
    </row>
    <row r="299" spans="1:14">
      <c r="A299" s="1" t="s">
        <v>311</v>
      </c>
      <c r="B299">
        <f>HYPERLINK("https://www.suredividend.com/sure-analysis-SNA/","Snap-on, Inc.")</f>
        <v>0</v>
      </c>
      <c r="C299" t="s">
        <v>385</v>
      </c>
      <c r="D299">
        <v>240.16</v>
      </c>
      <c r="E299">
        <v>0.02698201199200533</v>
      </c>
      <c r="F299">
        <v>0.1408450704225352</v>
      </c>
      <c r="G299">
        <v>0.1458828839838071</v>
      </c>
      <c r="H299">
        <v>6.022539033396658</v>
      </c>
      <c r="I299">
        <v>13283.925196</v>
      </c>
      <c r="J299">
        <v>14.57050037896238</v>
      </c>
      <c r="K299">
        <v>0.358058206503963</v>
      </c>
      <c r="M299">
        <v>258.07</v>
      </c>
      <c r="N299">
        <v>186.37</v>
      </c>
    </row>
    <row r="300" spans="1:14">
      <c r="A300" s="1" t="s">
        <v>312</v>
      </c>
      <c r="B300">
        <f>HYPERLINK("https://www.suredividend.com/sure-analysis-SO/","Southern Company")</f>
        <v>0</v>
      </c>
      <c r="C300" t="s">
        <v>389</v>
      </c>
      <c r="D300">
        <v>63.94</v>
      </c>
      <c r="E300">
        <v>0.04253988113856741</v>
      </c>
      <c r="F300">
        <v>0.03030303030303028</v>
      </c>
      <c r="G300">
        <v>0.02534857565773274</v>
      </c>
      <c r="H300">
        <v>2.67902612844922</v>
      </c>
      <c r="I300">
        <v>70572.12222999999</v>
      </c>
      <c r="J300">
        <v>20.026141382063</v>
      </c>
      <c r="K300">
        <v>0.8217871559660185</v>
      </c>
      <c r="M300">
        <v>78.90000000000001</v>
      </c>
      <c r="N300">
        <v>58.24</v>
      </c>
    </row>
    <row r="301" spans="1:14">
      <c r="A301" s="1" t="s">
        <v>313</v>
      </c>
      <c r="B301">
        <f>HYPERLINK("https://www.suredividend.com/sure-analysis-SON/","Sonoco Products Co.")</f>
        <v>0</v>
      </c>
      <c r="C301" t="s">
        <v>392</v>
      </c>
      <c r="D301">
        <v>56.35</v>
      </c>
      <c r="E301">
        <v>0.03478260869565217</v>
      </c>
      <c r="F301">
        <v>0.0888888888888888</v>
      </c>
      <c r="G301">
        <v>0.03629271387620148</v>
      </c>
      <c r="H301">
        <v>1.947906813561678</v>
      </c>
      <c r="I301">
        <v>5901.814952</v>
      </c>
      <c r="J301">
        <v>12.65297339524952</v>
      </c>
      <c r="K301">
        <v>0.4126921215173047</v>
      </c>
      <c r="M301">
        <v>65.44</v>
      </c>
      <c r="N301">
        <v>50.68</v>
      </c>
    </row>
    <row r="302" spans="1:14">
      <c r="A302" s="1" t="s">
        <v>314</v>
      </c>
      <c r="B302">
        <f>HYPERLINK("https://www.suredividend.com/sure-analysis-SPGI/","S&amp;P Global Inc")</f>
        <v>0</v>
      </c>
      <c r="C302" t="s">
        <v>388</v>
      </c>
      <c r="D302">
        <v>326.54</v>
      </c>
      <c r="E302">
        <v>0.01102468304036259</v>
      </c>
      <c r="F302">
        <v>0.1688311688311688</v>
      </c>
      <c r="G302">
        <v>0.1247461131420948</v>
      </c>
      <c r="H302">
        <v>3.44145307875664</v>
      </c>
      <c r="I302">
        <v>115241.31</v>
      </c>
      <c r="J302">
        <v>34.30866379310345</v>
      </c>
      <c r="K302">
        <v>0.3373973606624157</v>
      </c>
      <c r="M302">
        <v>420.46</v>
      </c>
      <c r="N302">
        <v>278.59</v>
      </c>
    </row>
    <row r="303" spans="1:14">
      <c r="A303" s="1" t="s">
        <v>315</v>
      </c>
      <c r="B303">
        <f>HYPERLINK("https://www.suredividend.com/sure-analysis-SPTN/","SpartanNash Co")</f>
        <v>0</v>
      </c>
      <c r="C303" t="s">
        <v>387</v>
      </c>
      <c r="D303">
        <v>26.31</v>
      </c>
      <c r="E303">
        <v>0.03268719118206005</v>
      </c>
      <c r="F303">
        <v>0.04999999999999982</v>
      </c>
      <c r="G303">
        <v>0.03131030647754507</v>
      </c>
      <c r="H303">
        <v>0.831556940369184</v>
      </c>
      <c r="I303">
        <v>980.672001</v>
      </c>
      <c r="J303">
        <v>28.74690745793516</v>
      </c>
      <c r="K303">
        <v>0.8852000642635555</v>
      </c>
      <c r="M303">
        <v>37.5</v>
      </c>
      <c r="N303">
        <v>24.81</v>
      </c>
    </row>
    <row r="304" spans="1:14">
      <c r="A304" s="1" t="s">
        <v>316</v>
      </c>
      <c r="B304">
        <f>HYPERLINK("https://www.suredividend.com/sure-analysis-SR/","Spire Inc.")</f>
        <v>0</v>
      </c>
      <c r="C304" t="s">
        <v>389</v>
      </c>
      <c r="D304">
        <v>66.48</v>
      </c>
      <c r="E304">
        <v>0.04332129963898917</v>
      </c>
      <c r="F304">
        <v>0.05109489051094873</v>
      </c>
      <c r="G304">
        <v>0.05061112176150684</v>
      </c>
      <c r="H304">
        <v>2.734235741372004</v>
      </c>
      <c r="I304">
        <v>3677.179087</v>
      </c>
      <c r="J304">
        <v>15.25800451095436</v>
      </c>
      <c r="K304">
        <v>0.5931097052867688</v>
      </c>
      <c r="M304">
        <v>76.95</v>
      </c>
      <c r="N304">
        <v>60.88</v>
      </c>
    </row>
    <row r="305" spans="1:14">
      <c r="A305" s="1" t="s">
        <v>317</v>
      </c>
      <c r="B305">
        <f>HYPERLINK("https://www.suredividend.com/sure-analysis-SRCE/","1st Source Corp.")</f>
        <v>0</v>
      </c>
      <c r="C305" t="s">
        <v>388</v>
      </c>
      <c r="D305">
        <v>47.25</v>
      </c>
      <c r="E305">
        <v>0.02708994708994709</v>
      </c>
      <c r="F305">
        <v>0.032258064516129</v>
      </c>
      <c r="G305">
        <v>0.05922384104881218</v>
      </c>
      <c r="H305">
        <v>1.258495988534399</v>
      </c>
      <c r="I305">
        <v>1228.855746</v>
      </c>
      <c r="J305">
        <v>10.28210707950533</v>
      </c>
      <c r="K305">
        <v>0.260019832341818</v>
      </c>
      <c r="M305">
        <v>59.23</v>
      </c>
      <c r="N305">
        <v>41.51</v>
      </c>
    </row>
    <row r="306" spans="1:14">
      <c r="A306" s="1" t="s">
        <v>318</v>
      </c>
      <c r="B306">
        <f>HYPERLINK("https://www.suredividend.com/sure-analysis-SRE/","Sempra Energy")</f>
        <v>0</v>
      </c>
      <c r="C306" t="s">
        <v>389</v>
      </c>
      <c r="D306">
        <v>144.11</v>
      </c>
      <c r="E306">
        <v>0.03303032405801123</v>
      </c>
      <c r="F306">
        <v>0.04090909090909078</v>
      </c>
      <c r="G306">
        <v>0.05050104865141103</v>
      </c>
      <c r="H306">
        <v>4.530425004550722</v>
      </c>
      <c r="I306">
        <v>47465.394722</v>
      </c>
      <c r="J306">
        <v>22.66733272297516</v>
      </c>
      <c r="K306">
        <v>0.6843542302946709</v>
      </c>
      <c r="M306">
        <v>173.97</v>
      </c>
      <c r="N306">
        <v>133.82</v>
      </c>
    </row>
    <row r="307" spans="1:14">
      <c r="A307" s="1" t="s">
        <v>319</v>
      </c>
      <c r="B307">
        <f>HYPERLINK("https://www.suredividend.com/sure-analysis-research-database/","SouthState Corporation")</f>
        <v>0</v>
      </c>
      <c r="C307" t="s">
        <v>388</v>
      </c>
      <c r="D307">
        <v>75.72</v>
      </c>
      <c r="E307">
        <v>0.024630582539842</v>
      </c>
      <c r="F307">
        <v>0.02040816326530615</v>
      </c>
      <c r="G307">
        <v>0.07394092378577932</v>
      </c>
      <c r="H307">
        <v>1.964042651727077</v>
      </c>
      <c r="I307">
        <v>6048.041774</v>
      </c>
      <c r="J307">
        <v>12.19242811395648</v>
      </c>
      <c r="K307">
        <v>0.297582219958648</v>
      </c>
      <c r="M307">
        <v>90.88</v>
      </c>
      <c r="N307">
        <v>70.58</v>
      </c>
    </row>
    <row r="308" spans="1:14">
      <c r="A308" s="1" t="s">
        <v>320</v>
      </c>
      <c r="B308">
        <f>HYPERLINK("https://www.suredividend.com/sure-analysis-STAG/","STAG Industrial Inc")</f>
        <v>0</v>
      </c>
      <c r="C308" t="s">
        <v>391</v>
      </c>
      <c r="D308">
        <v>31.37</v>
      </c>
      <c r="E308">
        <v>0.0468600573796621</v>
      </c>
      <c r="F308">
        <v>0.00684655658477662</v>
      </c>
      <c r="G308">
        <v>0.002744078707042297</v>
      </c>
      <c r="H308">
        <v>1.431856553481617</v>
      </c>
      <c r="I308">
        <v>6134.846356</v>
      </c>
      <c r="J308">
        <v>34.44820486256872</v>
      </c>
      <c r="K308">
        <v>1.438762614028956</v>
      </c>
      <c r="M308">
        <v>40.78</v>
      </c>
      <c r="N308">
        <v>26.07</v>
      </c>
    </row>
    <row r="309" spans="1:14">
      <c r="A309" s="1" t="s">
        <v>321</v>
      </c>
      <c r="B309">
        <f>HYPERLINK("https://www.suredividend.com/sure-analysis-STE/","Steris Plc")</f>
        <v>0</v>
      </c>
      <c r="C309" t="s">
        <v>384</v>
      </c>
      <c r="D309">
        <v>177.5</v>
      </c>
      <c r="E309">
        <v>0.01059154929577465</v>
      </c>
      <c r="F309">
        <v>0.09302325581395365</v>
      </c>
      <c r="G309">
        <v>0.08679400183142283</v>
      </c>
      <c r="H309">
        <v>1.833983398848705</v>
      </c>
      <c r="I309">
        <v>18859.079948</v>
      </c>
      <c r="J309" t="s">
        <v>393</v>
      </c>
      <c r="K309" t="s">
        <v>393</v>
      </c>
      <c r="M309">
        <v>254.07</v>
      </c>
      <c r="N309">
        <v>158.36</v>
      </c>
    </row>
    <row r="310" spans="1:14">
      <c r="A310" s="1" t="s">
        <v>322</v>
      </c>
      <c r="B310">
        <f>HYPERLINK("https://www.suredividend.com/sure-analysis-STT/","State Street Corp.")</f>
        <v>0</v>
      </c>
      <c r="C310" t="s">
        <v>388</v>
      </c>
      <c r="D310">
        <v>79.87</v>
      </c>
      <c r="E310">
        <v>0.03155127081507449</v>
      </c>
      <c r="F310">
        <v>0.1052631578947367</v>
      </c>
      <c r="G310">
        <v>0.08447177119769855</v>
      </c>
      <c r="H310">
        <v>2.999245161984432</v>
      </c>
      <c r="I310">
        <v>31147.756007</v>
      </c>
      <c r="J310">
        <v>11.70968270925564</v>
      </c>
      <c r="K310">
        <v>0.4171411908184189</v>
      </c>
      <c r="M310">
        <v>94.73999999999999</v>
      </c>
      <c r="N310">
        <v>57.73</v>
      </c>
    </row>
    <row r="311" spans="1:14">
      <c r="A311" s="1" t="s">
        <v>323</v>
      </c>
      <c r="B311">
        <f>HYPERLINK("https://www.suredividend.com/sure-analysis-SWK/","Stanley Black &amp; Decker Inc")</f>
        <v>0</v>
      </c>
      <c r="C311" t="s">
        <v>385</v>
      </c>
      <c r="D311">
        <v>80.72</v>
      </c>
      <c r="E311">
        <v>0.03964321110009911</v>
      </c>
      <c r="F311">
        <v>0.01265822784810133</v>
      </c>
      <c r="G311">
        <v>0.04893816562469966</v>
      </c>
      <c r="H311">
        <v>3.136731898739138</v>
      </c>
      <c r="I311">
        <v>13352.864292</v>
      </c>
      <c r="J311">
        <v>12.62204772885906</v>
      </c>
      <c r="K311">
        <v>0.4640135944880382</v>
      </c>
      <c r="M311">
        <v>159.08</v>
      </c>
      <c r="N311">
        <v>69.54000000000001</v>
      </c>
    </row>
    <row r="312" spans="1:14">
      <c r="A312" s="1" t="s">
        <v>324</v>
      </c>
      <c r="B312">
        <f>HYPERLINK("https://www.suredividend.com/sure-analysis-SWX/","Southwest Gas Holdings Inc")</f>
        <v>0</v>
      </c>
      <c r="C312" t="s">
        <v>389</v>
      </c>
      <c r="D312">
        <v>59.29</v>
      </c>
      <c r="E312">
        <v>0.04182830156856131</v>
      </c>
      <c r="F312">
        <v>0.04201680672268915</v>
      </c>
      <c r="G312">
        <v>0.03580420358021419</v>
      </c>
      <c r="H312">
        <v>2.446265910328036</v>
      </c>
      <c r="I312">
        <v>4053.624968</v>
      </c>
      <c r="J312" t="s">
        <v>393</v>
      </c>
      <c r="K312" t="s">
        <v>393</v>
      </c>
      <c r="M312">
        <v>93.08</v>
      </c>
      <c r="N312">
        <v>57.93</v>
      </c>
    </row>
    <row r="313" spans="1:14">
      <c r="A313" s="1" t="s">
        <v>325</v>
      </c>
      <c r="B313">
        <f>HYPERLINK("https://www.suredividend.com/sure-analysis-SXI/","Standex International Corp.")</f>
        <v>0</v>
      </c>
      <c r="C313" t="s">
        <v>385</v>
      </c>
      <c r="D313">
        <v>114.5</v>
      </c>
      <c r="E313">
        <v>0.009781659388646289</v>
      </c>
      <c r="F313">
        <v>0.07692307692307709</v>
      </c>
      <c r="G313">
        <v>0.09238846414037316</v>
      </c>
      <c r="H313">
        <v>1.075990444047027</v>
      </c>
      <c r="I313">
        <v>1442.364927</v>
      </c>
      <c r="J313">
        <v>20.93296364681296</v>
      </c>
      <c r="K313">
        <v>0.1877819274078581</v>
      </c>
      <c r="M313">
        <v>121.57</v>
      </c>
      <c r="N313">
        <v>78.40000000000001</v>
      </c>
    </row>
    <row r="314" spans="1:14">
      <c r="A314" s="1" t="s">
        <v>326</v>
      </c>
      <c r="B314">
        <f>HYPERLINK("https://www.suredividend.com/sure-analysis-SXT/","Sensient Technologies Corp.")</f>
        <v>0</v>
      </c>
      <c r="C314" t="s">
        <v>390</v>
      </c>
      <c r="D314">
        <v>70.11</v>
      </c>
      <c r="E314">
        <v>0.02339181286549707</v>
      </c>
      <c r="F314">
        <v>0</v>
      </c>
      <c r="G314">
        <v>0.04436902690230249</v>
      </c>
      <c r="H314">
        <v>1.626675320511617</v>
      </c>
      <c r="I314">
        <v>3204.468775</v>
      </c>
      <c r="J314">
        <v>22.74495712805298</v>
      </c>
      <c r="K314">
        <v>0.4870285390753344</v>
      </c>
      <c r="M314">
        <v>88.33</v>
      </c>
      <c r="N314">
        <v>62.46</v>
      </c>
    </row>
    <row r="315" spans="1:14">
      <c r="A315" s="1" t="s">
        <v>327</v>
      </c>
      <c r="B315">
        <f>HYPERLINK("https://www.suredividend.com/sure-analysis-research-database/","Stock Yards Bancorp Inc")</f>
        <v>0</v>
      </c>
      <c r="C315" t="s">
        <v>388</v>
      </c>
      <c r="D315">
        <v>53.61</v>
      </c>
      <c r="E315">
        <v>0.019559629800785</v>
      </c>
      <c r="F315">
        <v>0.03571428571428559</v>
      </c>
      <c r="G315">
        <v>0.04745176373283</v>
      </c>
      <c r="H315">
        <v>1.132502565465457</v>
      </c>
      <c r="I315">
        <v>1694.227012</v>
      </c>
      <c r="J315">
        <v>18.22298124058856</v>
      </c>
      <c r="K315">
        <v>0.3528045375281798</v>
      </c>
      <c r="M315">
        <v>78.36</v>
      </c>
      <c r="N315">
        <v>49.91</v>
      </c>
    </row>
    <row r="316" spans="1:14">
      <c r="A316" s="1" t="s">
        <v>328</v>
      </c>
      <c r="B316">
        <f>HYPERLINK("https://www.suredividend.com/sure-analysis-SYK/","Stryker Corp.")</f>
        <v>0</v>
      </c>
      <c r="C316" t="s">
        <v>384</v>
      </c>
      <c r="D316">
        <v>264.69</v>
      </c>
      <c r="E316">
        <v>0.01133401337413578</v>
      </c>
      <c r="F316">
        <v>0.07913669064748197</v>
      </c>
      <c r="G316">
        <v>0.09797557995870743</v>
      </c>
      <c r="H316">
        <v>2.821423835006069</v>
      </c>
      <c r="I316">
        <v>102864.049041</v>
      </c>
      <c r="J316">
        <v>43.62343046690839</v>
      </c>
      <c r="K316">
        <v>0.4572810105358296</v>
      </c>
      <c r="M316">
        <v>284</v>
      </c>
      <c r="N316">
        <v>187.62</v>
      </c>
    </row>
    <row r="317" spans="1:14">
      <c r="A317" s="1" t="s">
        <v>329</v>
      </c>
      <c r="B317">
        <f>HYPERLINK("https://www.suredividend.com/sure-analysis-SYY/","Sysco Corp.")</f>
        <v>0</v>
      </c>
      <c r="C317" t="s">
        <v>387</v>
      </c>
      <c r="D317">
        <v>73.13</v>
      </c>
      <c r="E317">
        <v>0.02680158621632709</v>
      </c>
      <c r="F317">
        <v>0.04255319148936154</v>
      </c>
      <c r="G317">
        <v>0.06360094824680784</v>
      </c>
      <c r="H317">
        <v>1.921878276641909</v>
      </c>
      <c r="I317">
        <v>38709.882489</v>
      </c>
      <c r="J317">
        <v>27.25859939873164</v>
      </c>
      <c r="K317">
        <v>0.6913231210942118</v>
      </c>
      <c r="M317">
        <v>89.84</v>
      </c>
      <c r="N317">
        <v>69.7</v>
      </c>
    </row>
    <row r="318" spans="1:14">
      <c r="A318" s="1" t="s">
        <v>330</v>
      </c>
      <c r="B318">
        <f>HYPERLINK("https://www.suredividend.com/sure-analysis-TDS/","Telephone And Data Systems, Inc.")</f>
        <v>0</v>
      </c>
      <c r="C318" t="s">
        <v>394</v>
      </c>
      <c r="D318">
        <v>11.15</v>
      </c>
      <c r="E318">
        <v>0.0663677130044843</v>
      </c>
      <c r="F318">
        <v>0.02857142857142847</v>
      </c>
      <c r="G318">
        <v>0.02383625553960966</v>
      </c>
      <c r="H318">
        <v>0.7047005267306821</v>
      </c>
      <c r="I318">
        <v>1255.351085</v>
      </c>
      <c r="J318" t="s">
        <v>393</v>
      </c>
      <c r="K318" t="s">
        <v>393</v>
      </c>
      <c r="M318">
        <v>20.17</v>
      </c>
      <c r="N318">
        <v>9.49</v>
      </c>
    </row>
    <row r="319" spans="1:14">
      <c r="A319" s="1" t="s">
        <v>331</v>
      </c>
      <c r="B319">
        <f>HYPERLINK("https://www.suredividend.com/sure-analysis-TEL/","TE Connectivity Ltd")</f>
        <v>0</v>
      </c>
      <c r="C319" t="s">
        <v>386</v>
      </c>
      <c r="D319">
        <v>124.53</v>
      </c>
      <c r="E319">
        <v>0.0179876335019674</v>
      </c>
      <c r="F319">
        <v>0.1200000000000001</v>
      </c>
      <c r="G319">
        <v>0.04941452284458392</v>
      </c>
      <c r="H319">
        <v>2.225678226464759</v>
      </c>
      <c r="I319">
        <v>41291.259256</v>
      </c>
      <c r="J319">
        <v>18.27855655408588</v>
      </c>
      <c r="K319">
        <v>0.3175004602660141</v>
      </c>
      <c r="M319">
        <v>136.48</v>
      </c>
      <c r="N319">
        <v>103.85</v>
      </c>
    </row>
    <row r="320" spans="1:14">
      <c r="A320" s="1" t="s">
        <v>332</v>
      </c>
      <c r="B320">
        <f>HYPERLINK("https://www.suredividend.com/sure-analysis-TFC/","Truist Financial Corporation")</f>
        <v>0</v>
      </c>
      <c r="C320" t="s">
        <v>388</v>
      </c>
      <c r="D320">
        <v>38.84</v>
      </c>
      <c r="E320">
        <v>0.05355303810504634</v>
      </c>
      <c r="F320">
        <v>0.08333333333333348</v>
      </c>
      <c r="G320">
        <v>0.06756521663494941</v>
      </c>
      <c r="H320">
        <v>2.007595165018766</v>
      </c>
      <c r="I320">
        <v>61402.557568</v>
      </c>
      <c r="J320">
        <v>10.35980387509364</v>
      </c>
      <c r="K320">
        <v>0.4531817528259066</v>
      </c>
      <c r="M320">
        <v>58.53</v>
      </c>
      <c r="N320">
        <v>39.12</v>
      </c>
    </row>
    <row r="321" spans="1:14">
      <c r="A321" s="1" t="s">
        <v>333</v>
      </c>
      <c r="B321">
        <f>HYPERLINK("https://www.suredividend.com/sure-analysis-TGT/","Target Corp")</f>
        <v>0</v>
      </c>
      <c r="C321" t="s">
        <v>387</v>
      </c>
      <c r="D321">
        <v>158.18</v>
      </c>
      <c r="E321">
        <v>0.02731065874320394</v>
      </c>
      <c r="F321">
        <v>0.2</v>
      </c>
      <c r="G321">
        <v>0.11032151746146</v>
      </c>
      <c r="H321">
        <v>4.090397627509714</v>
      </c>
      <c r="I321">
        <v>76403.59658</v>
      </c>
      <c r="J321">
        <v>22.15881571345708</v>
      </c>
      <c r="K321">
        <v>0.5557605472159937</v>
      </c>
      <c r="M321">
        <v>247.48</v>
      </c>
      <c r="N321">
        <v>133.73</v>
      </c>
    </row>
    <row r="322" spans="1:14">
      <c r="A322" s="1" t="s">
        <v>334</v>
      </c>
      <c r="B322">
        <f>HYPERLINK("https://www.suredividend.com/sure-analysis-THFF/","First Financial Corp. - Indiana")</f>
        <v>0</v>
      </c>
      <c r="C322" t="s">
        <v>388</v>
      </c>
      <c r="D322">
        <v>40.05</v>
      </c>
      <c r="E322">
        <v>0.02696629213483146</v>
      </c>
      <c r="F322" t="s">
        <v>393</v>
      </c>
      <c r="G322" t="s">
        <v>393</v>
      </c>
      <c r="H322">
        <v>1.077643413049845</v>
      </c>
      <c r="I322">
        <v>525.0006530000001</v>
      </c>
      <c r="J322">
        <v>8.469664967250671</v>
      </c>
      <c r="K322">
        <v>0.215528682609969</v>
      </c>
      <c r="M322">
        <v>49.68</v>
      </c>
      <c r="N322">
        <v>40.82</v>
      </c>
    </row>
    <row r="323" spans="1:14">
      <c r="A323" s="1" t="s">
        <v>335</v>
      </c>
      <c r="B323">
        <f>HYPERLINK("https://www.suredividend.com/sure-analysis-THG/","Hanover Insurance Group Inc")</f>
        <v>0</v>
      </c>
      <c r="C323" t="s">
        <v>388</v>
      </c>
      <c r="D323">
        <v>129.61</v>
      </c>
      <c r="E323">
        <v>0.02499807113648638</v>
      </c>
      <c r="F323">
        <v>0.08000000000000007</v>
      </c>
      <c r="G323">
        <v>0.08447177119769855</v>
      </c>
      <c r="H323">
        <v>3.034701728868815</v>
      </c>
      <c r="I323">
        <v>4889.626685</v>
      </c>
      <c r="J323">
        <v>42.15195417982759</v>
      </c>
      <c r="K323">
        <v>0.9453899466881044</v>
      </c>
      <c r="M323">
        <v>152.99</v>
      </c>
      <c r="N323">
        <v>121.95</v>
      </c>
    </row>
    <row r="324" spans="1:14">
      <c r="A324" s="1" t="s">
        <v>336</v>
      </c>
      <c r="B324">
        <f>HYPERLINK("https://www.suredividend.com/sure-analysis-THO/","Thor Industries, Inc.")</f>
        <v>0</v>
      </c>
      <c r="C324" t="s">
        <v>392</v>
      </c>
      <c r="D324">
        <v>83.25</v>
      </c>
      <c r="E324">
        <v>0.02162162162162162</v>
      </c>
      <c r="F324">
        <v>0.04651162790697683</v>
      </c>
      <c r="G324">
        <v>0.03992533304330625</v>
      </c>
      <c r="H324">
        <v>2.194792909455928</v>
      </c>
      <c r="I324">
        <v>4926.399557</v>
      </c>
      <c r="J324">
        <v>4.774813550948052</v>
      </c>
      <c r="K324">
        <v>0.1165583063970222</v>
      </c>
      <c r="M324">
        <v>105.36</v>
      </c>
      <c r="N324">
        <v>65.11</v>
      </c>
    </row>
    <row r="325" spans="1:14">
      <c r="A325" s="1" t="s">
        <v>337</v>
      </c>
      <c r="B325">
        <f>HYPERLINK("https://www.suredividend.com/sure-analysis-TMP/","Tompkins Financial Corp")</f>
        <v>0</v>
      </c>
      <c r="C325" t="s">
        <v>388</v>
      </c>
      <c r="D325">
        <v>71.64</v>
      </c>
      <c r="E325">
        <v>0.03350083752093802</v>
      </c>
      <c r="F325">
        <v>0.05263157894736836</v>
      </c>
      <c r="G325">
        <v>0.04563955259127317</v>
      </c>
      <c r="H325">
        <v>2.314445069583625</v>
      </c>
      <c r="I325">
        <v>1082.63491</v>
      </c>
      <c r="J325">
        <v>12.76993288605803</v>
      </c>
      <c r="K325">
        <v>0.392944833545607</v>
      </c>
      <c r="M325">
        <v>84.34999999999999</v>
      </c>
      <c r="N325">
        <v>66.98999999999999</v>
      </c>
    </row>
    <row r="326" spans="1:14">
      <c r="A326" s="1" t="s">
        <v>338</v>
      </c>
      <c r="B326">
        <f>HYPERLINK("https://www.suredividend.com/sure-analysis-TNC/","Tennant Co.")</f>
        <v>0</v>
      </c>
      <c r="C326" t="s">
        <v>385</v>
      </c>
      <c r="D326">
        <v>67.52</v>
      </c>
      <c r="E326">
        <v>0.01569905213270142</v>
      </c>
      <c r="F326">
        <v>0.06000000000000005</v>
      </c>
      <c r="G326">
        <v>0.04762370263962179</v>
      </c>
      <c r="H326">
        <v>1.024062517992749</v>
      </c>
      <c r="I326">
        <v>1338.168992</v>
      </c>
      <c r="J326">
        <v>20.18354437647059</v>
      </c>
      <c r="K326">
        <v>0.2884683149275349</v>
      </c>
      <c r="M326">
        <v>83.97</v>
      </c>
      <c r="N326">
        <v>54.25</v>
      </c>
    </row>
    <row r="327" spans="1:14">
      <c r="A327" s="1" t="s">
        <v>339</v>
      </c>
      <c r="B327">
        <f>HYPERLINK("https://www.suredividend.com/sure-analysis-research-database/","Townebank Portsmouth VA")</f>
        <v>0</v>
      </c>
      <c r="C327" t="s">
        <v>388</v>
      </c>
      <c r="D327">
        <v>28.21</v>
      </c>
      <c r="E327">
        <v>0.029078607057883</v>
      </c>
      <c r="F327">
        <v>0.1499999999999999</v>
      </c>
      <c r="G327">
        <v>0.1043836287043816</v>
      </c>
      <c r="H327">
        <v>0.8799186495715481</v>
      </c>
      <c r="I327">
        <v>1563.796463</v>
      </c>
      <c r="J327">
        <v>0</v>
      </c>
      <c r="K327" t="s">
        <v>393</v>
      </c>
      <c r="M327">
        <v>33.18</v>
      </c>
      <c r="N327">
        <v>25.77</v>
      </c>
    </row>
    <row r="328" spans="1:14">
      <c r="A328" s="1" t="s">
        <v>340</v>
      </c>
      <c r="B328">
        <f>HYPERLINK("https://www.suredividend.com/sure-analysis-TR/","Tootsie Roll Industries, Inc.")</f>
        <v>0</v>
      </c>
      <c r="C328" t="s">
        <v>387</v>
      </c>
      <c r="D328">
        <v>42.44</v>
      </c>
      <c r="E328">
        <v>0.008482563619227144</v>
      </c>
      <c r="F328">
        <v>0</v>
      </c>
      <c r="G328">
        <v>0</v>
      </c>
      <c r="H328">
        <v>0.351000902506496</v>
      </c>
      <c r="I328">
        <v>1693.733308</v>
      </c>
      <c r="J328">
        <v>22.30445379248588</v>
      </c>
      <c r="K328">
        <v>0.31909172955136</v>
      </c>
      <c r="M328">
        <v>46.01</v>
      </c>
      <c r="N328">
        <v>29.85</v>
      </c>
    </row>
    <row r="329" spans="1:14">
      <c r="A329" s="1" t="s">
        <v>341</v>
      </c>
      <c r="B329">
        <f>HYPERLINK("https://www.suredividend.com/sure-analysis-TRN/","Trinity Industries, Inc.")</f>
        <v>0</v>
      </c>
      <c r="C329" t="s">
        <v>385</v>
      </c>
      <c r="D329">
        <v>25.01</v>
      </c>
      <c r="E329">
        <v>0.04158336665333866</v>
      </c>
      <c r="F329">
        <v>0.1304347826086956</v>
      </c>
      <c r="G329">
        <v>0.1486983549970351</v>
      </c>
      <c r="H329">
        <v>0.9364978480107051</v>
      </c>
      <c r="I329">
        <v>2276.383017</v>
      </c>
      <c r="J329">
        <v>37.87658930415974</v>
      </c>
      <c r="K329">
        <v>1.311989139830072</v>
      </c>
      <c r="M329">
        <v>34.05</v>
      </c>
      <c r="N329">
        <v>20.53</v>
      </c>
    </row>
    <row r="330" spans="1:14">
      <c r="A330" s="1" t="s">
        <v>342</v>
      </c>
      <c r="B330">
        <f>HYPERLINK("https://www.suredividend.com/sure-analysis-research-database/","Terreno Realty Corp")</f>
        <v>0</v>
      </c>
      <c r="C330" t="s">
        <v>391</v>
      </c>
      <c r="D330">
        <v>60.03</v>
      </c>
      <c r="E330">
        <v>0.022938287812698</v>
      </c>
      <c r="F330">
        <v>0.1764705882352942</v>
      </c>
      <c r="G330">
        <v>0.1270092020979254</v>
      </c>
      <c r="H330">
        <v>1.465297825475194</v>
      </c>
      <c r="I330">
        <v>5284.726731</v>
      </c>
      <c r="J330">
        <v>26.80425406451613</v>
      </c>
      <c r="K330">
        <v>0.5614167913698062</v>
      </c>
      <c r="M330">
        <v>79.36</v>
      </c>
      <c r="N330">
        <v>50</v>
      </c>
    </row>
    <row r="331" spans="1:14">
      <c r="A331" s="1" t="s">
        <v>343</v>
      </c>
      <c r="B331">
        <f>HYPERLINK("https://www.suredividend.com/sure-analysis-TROW/","T. Rowe Price Group Inc.")</f>
        <v>0</v>
      </c>
      <c r="C331" t="s">
        <v>388</v>
      </c>
      <c r="D331">
        <v>105.03</v>
      </c>
      <c r="E331">
        <v>0.0464629153575169</v>
      </c>
      <c r="F331">
        <v>0.1111111111111109</v>
      </c>
      <c r="G331">
        <v>0.1138241786028789</v>
      </c>
      <c r="H331">
        <v>4.725957099148772</v>
      </c>
      <c r="I331">
        <v>25467.033885</v>
      </c>
      <c r="J331">
        <v>16.73481001758444</v>
      </c>
      <c r="K331">
        <v>0.7053667312162346</v>
      </c>
      <c r="M331">
        <v>152.84</v>
      </c>
      <c r="N331">
        <v>92.58</v>
      </c>
    </row>
    <row r="332" spans="1:14">
      <c r="A332" s="1" t="s">
        <v>344</v>
      </c>
      <c r="B332">
        <f>HYPERLINK("https://www.suredividend.com/sure-analysis-TRV/","Travelers Companies Inc.")</f>
        <v>0</v>
      </c>
      <c r="C332" t="s">
        <v>388</v>
      </c>
      <c r="D332">
        <v>175.68</v>
      </c>
      <c r="E332">
        <v>0.02117486338797814</v>
      </c>
      <c r="F332">
        <v>0.05681818181818188</v>
      </c>
      <c r="G332">
        <v>0.03848073592670653</v>
      </c>
      <c r="H332">
        <v>3.641635440177124</v>
      </c>
      <c r="I332">
        <v>42610.187213</v>
      </c>
      <c r="J332">
        <v>15.09928675155564</v>
      </c>
      <c r="K332">
        <v>0.3093997825129247</v>
      </c>
      <c r="M332">
        <v>194.51</v>
      </c>
      <c r="N332">
        <v>148.91</v>
      </c>
    </row>
    <row r="333" spans="1:14">
      <c r="A333" s="1" t="s">
        <v>345</v>
      </c>
      <c r="B333">
        <f>HYPERLINK("https://www.suredividend.com/sure-analysis-TSCO/","Tractor Supply Co.")</f>
        <v>0</v>
      </c>
      <c r="C333" t="s">
        <v>392</v>
      </c>
      <c r="D333">
        <v>227.24</v>
      </c>
      <c r="E333">
        <v>0.01813061080795635</v>
      </c>
      <c r="F333">
        <v>0.1195652173913044</v>
      </c>
      <c r="G333">
        <v>0.2714377627029996</v>
      </c>
      <c r="H333">
        <v>3.765867490617373</v>
      </c>
      <c r="I333">
        <v>25334.322965</v>
      </c>
      <c r="J333">
        <v>23.26999515508233</v>
      </c>
      <c r="K333">
        <v>0.3878339331222835</v>
      </c>
      <c r="M333">
        <v>238.6</v>
      </c>
      <c r="N333">
        <v>164.3</v>
      </c>
    </row>
    <row r="334" spans="1:14">
      <c r="A334" s="1" t="s">
        <v>346</v>
      </c>
      <c r="B334">
        <f>HYPERLINK("https://www.suredividend.com/sure-analysis-TSN/","Tyson Foods, Inc.")</f>
        <v>0</v>
      </c>
      <c r="C334" t="s">
        <v>387</v>
      </c>
      <c r="D334">
        <v>56.98</v>
      </c>
      <c r="E334">
        <v>0.0336960336960337</v>
      </c>
      <c r="F334">
        <v>0.04347826086956519</v>
      </c>
      <c r="G334">
        <v>0.09856054330611763</v>
      </c>
      <c r="H334">
        <v>1.859567960262985</v>
      </c>
      <c r="I334">
        <v>21300.8849</v>
      </c>
      <c r="J334">
        <v>6.953149242277024</v>
      </c>
      <c r="K334">
        <v>0.2763102466958373</v>
      </c>
      <c r="M334">
        <v>97.45</v>
      </c>
      <c r="N334">
        <v>58.24</v>
      </c>
    </row>
    <row r="335" spans="1:14">
      <c r="A335" s="1" t="s">
        <v>347</v>
      </c>
      <c r="B335">
        <f>HYPERLINK("https://www.suredividend.com/sure-analysis-TT/","Trane Technologies plc")</f>
        <v>0</v>
      </c>
      <c r="C335" t="s">
        <v>385</v>
      </c>
      <c r="D335">
        <v>186.18</v>
      </c>
      <c r="E335">
        <v>0.0161134386077989</v>
      </c>
      <c r="F335">
        <v>0.1194029850746268</v>
      </c>
      <c r="G335">
        <v>0.1075663432482898</v>
      </c>
      <c r="H335">
        <v>2.743977615695551</v>
      </c>
      <c r="I335">
        <v>44465.69487</v>
      </c>
      <c r="J335">
        <v>25.31494157116425</v>
      </c>
      <c r="K335">
        <v>0.3668419272320255</v>
      </c>
      <c r="M335">
        <v>194.52</v>
      </c>
      <c r="N335">
        <v>119.18</v>
      </c>
    </row>
    <row r="336" spans="1:14">
      <c r="A336" s="1" t="s">
        <v>348</v>
      </c>
      <c r="B336">
        <f>HYPERLINK("https://www.suredividend.com/sure-analysis-TTC/","Toro Co.")</f>
        <v>0</v>
      </c>
      <c r="C336" t="s">
        <v>385</v>
      </c>
      <c r="D336">
        <v>109.29</v>
      </c>
      <c r="E336">
        <v>0.01244395644615244</v>
      </c>
      <c r="F336">
        <v>0.1333333333333333</v>
      </c>
      <c r="G336">
        <v>0.1119615859385787</v>
      </c>
      <c r="H336">
        <v>1.235266041734241</v>
      </c>
      <c r="I336">
        <v>11915.4997</v>
      </c>
      <c r="J336">
        <v>26.87654158545773</v>
      </c>
      <c r="K336">
        <v>0.2941109623176764</v>
      </c>
      <c r="M336">
        <v>117.66</v>
      </c>
      <c r="N336">
        <v>71.40000000000001</v>
      </c>
    </row>
    <row r="337" spans="1:14">
      <c r="A337" s="1" t="s">
        <v>349</v>
      </c>
      <c r="B337">
        <f>HYPERLINK("https://www.suredividend.com/sure-analysis-TXN/","Texas Instruments Inc.")</f>
        <v>0</v>
      </c>
      <c r="C337" t="s">
        <v>386</v>
      </c>
      <c r="D337">
        <v>171.64</v>
      </c>
      <c r="E337">
        <v>0.02889769284549056</v>
      </c>
      <c r="F337">
        <v>0.07826086956521738</v>
      </c>
      <c r="G337">
        <v>0.1486983549970351</v>
      </c>
      <c r="H337">
        <v>4.729473316450475</v>
      </c>
      <c r="I337">
        <v>159202.234066</v>
      </c>
      <c r="J337">
        <v>18.27809805575201</v>
      </c>
      <c r="K337">
        <v>0.5026007775186477</v>
      </c>
      <c r="M337">
        <v>185.99</v>
      </c>
      <c r="N337">
        <v>141.37</v>
      </c>
    </row>
    <row r="338" spans="1:14">
      <c r="A338" s="1" t="s">
        <v>350</v>
      </c>
      <c r="B338">
        <f>HYPERLINK("https://www.suredividend.com/sure-analysis-UBSI/","United Bankshares, Inc.")</f>
        <v>0</v>
      </c>
      <c r="C338" t="s">
        <v>388</v>
      </c>
      <c r="D338">
        <v>36.18</v>
      </c>
      <c r="E338">
        <v>0.03980099502487562</v>
      </c>
      <c r="F338">
        <v>0</v>
      </c>
      <c r="G338">
        <v>0.01149727415513624</v>
      </c>
      <c r="H338">
        <v>1.419924534732175</v>
      </c>
      <c r="I338">
        <v>5395.205576</v>
      </c>
      <c r="J338">
        <v>14.21185947195537</v>
      </c>
      <c r="K338">
        <v>0.5053112223246174</v>
      </c>
      <c r="M338">
        <v>43.76</v>
      </c>
      <c r="N338">
        <v>32.17</v>
      </c>
    </row>
    <row r="339" spans="1:14">
      <c r="A339" s="1" t="s">
        <v>351</v>
      </c>
      <c r="B339">
        <f>HYPERLINK("https://www.suredividend.com/sure-analysis-UDR/","UDR Inc")</f>
        <v>0</v>
      </c>
      <c r="C339" t="s">
        <v>391</v>
      </c>
      <c r="D339">
        <v>39.92</v>
      </c>
      <c r="E339">
        <v>0.04208416833667334</v>
      </c>
      <c r="F339">
        <v>0.04827586206896539</v>
      </c>
      <c r="G339">
        <v>0.03335792744906896</v>
      </c>
      <c r="H339">
        <v>1.878201633155976</v>
      </c>
      <c r="I339">
        <v>14147.537832</v>
      </c>
      <c r="J339">
        <v>171.4603673628078</v>
      </c>
      <c r="K339">
        <v>7.345332941556417</v>
      </c>
      <c r="M339">
        <v>58.35</v>
      </c>
      <c r="N339">
        <v>36.8</v>
      </c>
    </row>
    <row r="340" spans="1:14">
      <c r="A340" s="1" t="s">
        <v>352</v>
      </c>
      <c r="B340">
        <f>HYPERLINK("https://www.suredividend.com/sure-analysis-UGI/","UGI Corp.")</f>
        <v>0</v>
      </c>
      <c r="C340" t="s">
        <v>389</v>
      </c>
      <c r="D340">
        <v>35.12</v>
      </c>
      <c r="E340">
        <v>0.04100227790432802</v>
      </c>
      <c r="F340">
        <v>0.04347826086956519</v>
      </c>
      <c r="G340">
        <v>0.07565375693257015</v>
      </c>
      <c r="H340">
        <v>1.405670818952206</v>
      </c>
      <c r="I340">
        <v>7879.342598</v>
      </c>
      <c r="J340">
        <v>36.47843795555556</v>
      </c>
      <c r="K340">
        <v>1.405670818952206</v>
      </c>
      <c r="M340">
        <v>43.33</v>
      </c>
      <c r="N340">
        <v>30.9</v>
      </c>
    </row>
    <row r="341" spans="1:14">
      <c r="A341" s="1" t="s">
        <v>353</v>
      </c>
      <c r="B341">
        <f>HYPERLINK("https://www.suredividend.com/sure-analysis-UHT/","Universal Health Realty Income Trust")</f>
        <v>0</v>
      </c>
      <c r="C341" t="s">
        <v>391</v>
      </c>
      <c r="D341">
        <v>48.36</v>
      </c>
      <c r="E341">
        <v>0.05913978494623656</v>
      </c>
      <c r="F341">
        <v>0.01418439716312059</v>
      </c>
      <c r="G341">
        <v>0.01460472222032205</v>
      </c>
      <c r="H341">
        <v>2.780747944228887</v>
      </c>
      <c r="I341">
        <v>699.96727</v>
      </c>
      <c r="J341">
        <v>33.17066012605441</v>
      </c>
      <c r="K341">
        <v>1.817482316489468</v>
      </c>
      <c r="M341">
        <v>57.52</v>
      </c>
      <c r="N341">
        <v>40.35</v>
      </c>
    </row>
    <row r="342" spans="1:14">
      <c r="A342" s="1" t="s">
        <v>354</v>
      </c>
      <c r="B342">
        <f>HYPERLINK("https://www.suredividend.com/sure-analysis-UMBF/","UMB Financial Corp.")</f>
        <v>0</v>
      </c>
      <c r="C342" t="s">
        <v>388</v>
      </c>
      <c r="D342">
        <v>77.09</v>
      </c>
      <c r="E342">
        <v>0.01971721364638734</v>
      </c>
      <c r="F342">
        <v>0.02702702702702697</v>
      </c>
      <c r="G342">
        <v>0.05554589164848411</v>
      </c>
      <c r="H342">
        <v>1.480311409360208</v>
      </c>
      <c r="I342">
        <v>4309.575691</v>
      </c>
      <c r="J342">
        <v>9.983218412975292</v>
      </c>
      <c r="K342">
        <v>0.1670780371738384</v>
      </c>
      <c r="M342">
        <v>101.64</v>
      </c>
      <c r="N342">
        <v>76.97</v>
      </c>
    </row>
    <row r="343" spans="1:14">
      <c r="A343" s="1" t="s">
        <v>355</v>
      </c>
      <c r="B343">
        <f>HYPERLINK("https://www.suredividend.com/sure-analysis-UNH/","Unitedhealth Group Inc")</f>
        <v>0</v>
      </c>
      <c r="C343" t="s">
        <v>384</v>
      </c>
      <c r="D343">
        <v>460.33</v>
      </c>
      <c r="E343">
        <v>0.01433754046010471</v>
      </c>
      <c r="F343">
        <v>0.1379310344827587</v>
      </c>
      <c r="G343">
        <v>0.1288813207301975</v>
      </c>
      <c r="H343">
        <v>6.370615305271219</v>
      </c>
      <c r="I343">
        <v>446423.069853</v>
      </c>
      <c r="J343">
        <v>22.18802534061232</v>
      </c>
      <c r="K343">
        <v>0.3007844808909924</v>
      </c>
      <c r="M343">
        <v>556.38</v>
      </c>
      <c r="N343">
        <v>446.92</v>
      </c>
    </row>
    <row r="344" spans="1:14">
      <c r="A344" s="1" t="s">
        <v>356</v>
      </c>
      <c r="B344">
        <f>HYPERLINK("https://www.suredividend.com/sure-analysis-UNM/","Unum Group")</f>
        <v>0</v>
      </c>
      <c r="C344" t="s">
        <v>388</v>
      </c>
      <c r="D344">
        <v>40.37</v>
      </c>
      <c r="E344">
        <v>0.03269754768392371</v>
      </c>
      <c r="F344">
        <v>0.09999999999999987</v>
      </c>
      <c r="G344">
        <v>0.07487316557532875</v>
      </c>
      <c r="H344">
        <v>1.274765960503527</v>
      </c>
      <c r="I344">
        <v>8959.128805</v>
      </c>
      <c r="J344">
        <v>6.817173036539339</v>
      </c>
      <c r="K344">
        <v>0.1961178400774657</v>
      </c>
      <c r="M344">
        <v>46.27</v>
      </c>
      <c r="N344">
        <v>25.42</v>
      </c>
    </row>
    <row r="345" spans="1:14">
      <c r="A345" s="1" t="s">
        <v>357</v>
      </c>
      <c r="B345">
        <f>HYPERLINK("https://www.suredividend.com/sure-analysis-UNP/","Union Pacific Corp.")</f>
        <v>0</v>
      </c>
      <c r="C345" t="s">
        <v>385</v>
      </c>
      <c r="D345">
        <v>196.06</v>
      </c>
      <c r="E345">
        <v>0.02652249311435275</v>
      </c>
      <c r="F345">
        <v>0.1016949152542375</v>
      </c>
      <c r="G345">
        <v>0.1223391137583876</v>
      </c>
      <c r="H345">
        <v>5.150876025976506</v>
      </c>
      <c r="I345">
        <v>128101.727302</v>
      </c>
      <c r="J345">
        <v>18.30547689370677</v>
      </c>
      <c r="K345">
        <v>0.4594893867954064</v>
      </c>
      <c r="M345">
        <v>272.23</v>
      </c>
      <c r="N345">
        <v>181.35</v>
      </c>
    </row>
    <row r="346" spans="1:14">
      <c r="A346" s="1" t="s">
        <v>358</v>
      </c>
      <c r="B346">
        <f>HYPERLINK("https://www.suredividend.com/sure-analysis-UPS/","United Parcel Service, Inc.")</f>
        <v>0</v>
      </c>
      <c r="C346" t="s">
        <v>385</v>
      </c>
      <c r="D346">
        <v>181.54</v>
      </c>
      <c r="E346">
        <v>0.03569461275751901</v>
      </c>
      <c r="F346">
        <v>0.06578947368421062</v>
      </c>
      <c r="G346">
        <v>0.1222632056643747</v>
      </c>
      <c r="H346">
        <v>6.061632512623183</v>
      </c>
      <c r="I346">
        <v>160598.003577</v>
      </c>
      <c r="J346">
        <v>11.65412671852442</v>
      </c>
      <c r="K346">
        <v>0.4592145842896351</v>
      </c>
      <c r="M346">
        <v>214.55</v>
      </c>
      <c r="N346">
        <v>150.76</v>
      </c>
    </row>
    <row r="347" spans="1:14">
      <c r="A347" s="1" t="s">
        <v>359</v>
      </c>
      <c r="B347">
        <f>HYPERLINK("https://www.suredividend.com/sure-analysis-USB/","U.S. Bancorp.")</f>
        <v>0</v>
      </c>
      <c r="C347" t="s">
        <v>388</v>
      </c>
      <c r="D347">
        <v>40.62</v>
      </c>
      <c r="E347">
        <v>0.04726735598227474</v>
      </c>
      <c r="F347">
        <v>0.04347826086956519</v>
      </c>
      <c r="G347">
        <v>0.09856054330611763</v>
      </c>
      <c r="H347">
        <v>1.849543845671094</v>
      </c>
      <c r="I347">
        <v>72131.056228</v>
      </c>
      <c r="J347">
        <v>13.11235343168878</v>
      </c>
      <c r="K347">
        <v>0.5012313944908114</v>
      </c>
      <c r="M347">
        <v>55.61</v>
      </c>
      <c r="N347">
        <v>37.96</v>
      </c>
    </row>
    <row r="348" spans="1:14">
      <c r="A348" s="1" t="s">
        <v>360</v>
      </c>
      <c r="B348">
        <f>HYPERLINK("https://www.suredividend.com/sure-analysis-UVV/","Universal Corp.")</f>
        <v>0</v>
      </c>
      <c r="C348" t="s">
        <v>387</v>
      </c>
      <c r="D348">
        <v>50.09</v>
      </c>
      <c r="E348">
        <v>0.06308644440007985</v>
      </c>
      <c r="F348">
        <v>0.01282051282051277</v>
      </c>
      <c r="G348">
        <v>0.01044613160468888</v>
      </c>
      <c r="H348">
        <v>3.078816137406259</v>
      </c>
      <c r="I348">
        <v>1261.900002</v>
      </c>
      <c r="J348">
        <v>14.11600203355892</v>
      </c>
      <c r="K348">
        <v>0.8600045076553796</v>
      </c>
      <c r="M348">
        <v>61.29</v>
      </c>
      <c r="N348">
        <v>42.99</v>
      </c>
    </row>
    <row r="349" spans="1:14">
      <c r="A349" s="1" t="s">
        <v>361</v>
      </c>
      <c r="B349">
        <f>HYPERLINK("https://www.suredividend.com/sure-analysis-V/","Visa Inc")</f>
        <v>0</v>
      </c>
      <c r="C349" t="s">
        <v>388</v>
      </c>
      <c r="D349">
        <v>216.14</v>
      </c>
      <c r="E349">
        <v>0.008327935597298048</v>
      </c>
      <c r="F349">
        <v>0.2</v>
      </c>
      <c r="G349">
        <v>0.1247461131420948</v>
      </c>
      <c r="H349">
        <v>1.64255105849488</v>
      </c>
      <c r="I349">
        <v>423018.069</v>
      </c>
      <c r="J349">
        <v>23.9583561244831</v>
      </c>
      <c r="K349">
        <v>0.2297274207685147</v>
      </c>
      <c r="M349">
        <v>250.09</v>
      </c>
      <c r="N349">
        <v>173.47</v>
      </c>
    </row>
    <row r="350" spans="1:14">
      <c r="A350" s="1" t="s">
        <v>362</v>
      </c>
      <c r="B350">
        <f>HYPERLINK("https://www.suredividend.com/sure-analysis-VZ/","Verizon Communications Inc")</f>
        <v>0</v>
      </c>
      <c r="C350" t="s">
        <v>394</v>
      </c>
      <c r="D350">
        <v>36.68</v>
      </c>
      <c r="E350">
        <v>0.07115594329334787</v>
      </c>
      <c r="F350">
        <v>0.01953125</v>
      </c>
      <c r="G350">
        <v>0.02034185229948715</v>
      </c>
      <c r="H350">
        <v>2.526542929411256</v>
      </c>
      <c r="I350">
        <v>160687.52117</v>
      </c>
      <c r="J350">
        <v>7.559631217991155</v>
      </c>
      <c r="K350">
        <v>0.4993167844686277</v>
      </c>
      <c r="M350">
        <v>53.08</v>
      </c>
      <c r="N350">
        <v>32.79</v>
      </c>
    </row>
    <row r="351" spans="1:14">
      <c r="A351" s="1" t="s">
        <v>363</v>
      </c>
      <c r="B351">
        <f>HYPERLINK("https://www.suredividend.com/sure-analysis-WABC/","Westamerica Bancorporation")</f>
        <v>0</v>
      </c>
      <c r="C351" t="s">
        <v>388</v>
      </c>
      <c r="D351">
        <v>50.77</v>
      </c>
      <c r="E351">
        <v>0.03309040772109513</v>
      </c>
      <c r="F351">
        <v>0</v>
      </c>
      <c r="G351">
        <v>0.009805797673485328</v>
      </c>
      <c r="H351">
        <v>1.661814999590684</v>
      </c>
      <c r="I351">
        <v>1489.62193</v>
      </c>
      <c r="J351">
        <v>12.20661397807168</v>
      </c>
      <c r="K351">
        <v>0.3660385461653489</v>
      </c>
      <c r="M351">
        <v>63.38</v>
      </c>
      <c r="N351">
        <v>51.29</v>
      </c>
    </row>
    <row r="352" spans="1:14">
      <c r="A352" s="1" t="s">
        <v>364</v>
      </c>
      <c r="B352">
        <f>HYPERLINK("https://www.suredividend.com/sure-analysis-WAFD/","Washington Federal Inc.")</f>
        <v>0</v>
      </c>
      <c r="C352" t="s">
        <v>388</v>
      </c>
      <c r="D352">
        <v>31.69</v>
      </c>
      <c r="E352">
        <v>0.03029346797096876</v>
      </c>
      <c r="F352">
        <v>0.04166666666666674</v>
      </c>
      <c r="G352">
        <v>0.0801851873035635</v>
      </c>
      <c r="H352">
        <v>0.960041061447745</v>
      </c>
      <c r="I352">
        <v>2253.558394</v>
      </c>
      <c r="J352">
        <v>8.980717538546147</v>
      </c>
      <c r="K352">
        <v>0.2500106930853503</v>
      </c>
      <c r="M352">
        <v>38.63</v>
      </c>
      <c r="N352">
        <v>28.85</v>
      </c>
    </row>
    <row r="353" spans="1:14">
      <c r="A353" s="1" t="s">
        <v>365</v>
      </c>
      <c r="B353">
        <f>HYPERLINK("https://www.suredividend.com/sure-analysis-WASH/","Washington Trust Bancorp, Inc.")</f>
        <v>0</v>
      </c>
      <c r="C353" t="s">
        <v>388</v>
      </c>
      <c r="D353">
        <v>37.19</v>
      </c>
      <c r="E353">
        <v>0.06023124495832214</v>
      </c>
      <c r="F353">
        <v>0.03703703703703698</v>
      </c>
      <c r="G353">
        <v>0.05425073941302982</v>
      </c>
      <c r="H353">
        <v>2.703084475885298</v>
      </c>
      <c r="I353">
        <v>720.45808</v>
      </c>
      <c r="J353">
        <v>10.07929712936667</v>
      </c>
      <c r="K353">
        <v>0.6576847873200238</v>
      </c>
      <c r="M353">
        <v>54.65</v>
      </c>
      <c r="N353">
        <v>41.03</v>
      </c>
    </row>
    <row r="354" spans="1:14">
      <c r="A354" s="1" t="s">
        <v>366</v>
      </c>
      <c r="B354">
        <f>HYPERLINK("https://www.suredividend.com/sure-analysis-WBA/","Walgreens Boots Alliance Inc")</f>
        <v>0</v>
      </c>
      <c r="C354" t="s">
        <v>384</v>
      </c>
      <c r="D354">
        <v>33.26</v>
      </c>
      <c r="E354">
        <v>0.05772699939867709</v>
      </c>
      <c r="F354">
        <v>0.005235602094240788</v>
      </c>
      <c r="G354">
        <v>0.03713728933664817</v>
      </c>
      <c r="H354">
        <v>1.882260967344389</v>
      </c>
      <c r="I354">
        <v>31127.753264</v>
      </c>
      <c r="J354" t="s">
        <v>393</v>
      </c>
      <c r="K354" t="s">
        <v>393</v>
      </c>
      <c r="M354">
        <v>46.66</v>
      </c>
      <c r="N354">
        <v>29.64</v>
      </c>
    </row>
    <row r="355" spans="1:14">
      <c r="A355" s="1" t="s">
        <v>367</v>
      </c>
      <c r="B355">
        <f>HYPERLINK("https://www.suredividend.com/sure-analysis-WDFC/","WD-40 Co.")</f>
        <v>0</v>
      </c>
      <c r="C355" t="s">
        <v>390</v>
      </c>
      <c r="D355">
        <v>169.33</v>
      </c>
      <c r="E355">
        <v>0.01960668517096793</v>
      </c>
      <c r="F355">
        <v>0.0641025641025641</v>
      </c>
      <c r="G355">
        <v>0.08977506465822516</v>
      </c>
      <c r="H355">
        <v>3.147938182480959</v>
      </c>
      <c r="I355">
        <v>2349.974728</v>
      </c>
      <c r="J355">
        <v>37.58155650407805</v>
      </c>
      <c r="K355">
        <v>0.6873227472665849</v>
      </c>
      <c r="M355">
        <v>207.66</v>
      </c>
      <c r="N355">
        <v>144.45</v>
      </c>
    </row>
    <row r="356" spans="1:14">
      <c r="A356" s="1" t="s">
        <v>368</v>
      </c>
      <c r="B356">
        <f>HYPERLINK("https://www.suredividend.com/sure-analysis-WEC/","WEC Energy Group Inc")</f>
        <v>0</v>
      </c>
      <c r="C356" t="s">
        <v>389</v>
      </c>
      <c r="D356">
        <v>87.56999999999999</v>
      </c>
      <c r="E356">
        <v>0.03562863994518671</v>
      </c>
      <c r="F356">
        <v>0.07216494845360821</v>
      </c>
      <c r="G356">
        <v>0.07140202794100703</v>
      </c>
      <c r="H356">
        <v>2.911084845778485</v>
      </c>
      <c r="I356">
        <v>28259.779632</v>
      </c>
      <c r="J356">
        <v>20.06944082969249</v>
      </c>
      <c r="K356">
        <v>0.6541763698378619</v>
      </c>
      <c r="M356">
        <v>105.61</v>
      </c>
      <c r="N356">
        <v>78.88</v>
      </c>
    </row>
    <row r="357" spans="1:14">
      <c r="A357" s="1" t="s">
        <v>369</v>
      </c>
      <c r="B357">
        <f>HYPERLINK("https://www.suredividend.com/sure-analysis-WHR/","Whirlpool Corp.")</f>
        <v>0</v>
      </c>
      <c r="C357" t="s">
        <v>392</v>
      </c>
      <c r="D357">
        <v>131.39</v>
      </c>
      <c r="E357">
        <v>0.05327650506126799</v>
      </c>
      <c r="F357">
        <v>0</v>
      </c>
      <c r="G357">
        <v>0.08759710191515802</v>
      </c>
      <c r="H357">
        <v>6.874149209417631</v>
      </c>
      <c r="I357">
        <v>7561.676434</v>
      </c>
      <c r="J357" t="s">
        <v>393</v>
      </c>
      <c r="K357" t="s">
        <v>393</v>
      </c>
      <c r="M357">
        <v>194.3</v>
      </c>
      <c r="N357">
        <v>121.4</v>
      </c>
    </row>
    <row r="358" spans="1:14">
      <c r="A358" s="1" t="s">
        <v>370</v>
      </c>
      <c r="B358">
        <f>HYPERLINK("https://www.suredividend.com/sure-analysis-WLK/","Westlake Corporation")</f>
        <v>0</v>
      </c>
      <c r="C358" t="s">
        <v>390</v>
      </c>
      <c r="D358">
        <v>110.43</v>
      </c>
      <c r="E358">
        <v>0.01294937969754596</v>
      </c>
      <c r="F358">
        <v>0.2</v>
      </c>
      <c r="G358">
        <v>0.1119615859385787</v>
      </c>
      <c r="H358">
        <v>1.362350974738114</v>
      </c>
      <c r="I358">
        <v>15865.555469</v>
      </c>
      <c r="J358">
        <v>7.098682536675615</v>
      </c>
      <c r="K358">
        <v>0.07852167001372413</v>
      </c>
      <c r="M358">
        <v>139.52</v>
      </c>
      <c r="N358">
        <v>80.77</v>
      </c>
    </row>
    <row r="359" spans="1:14">
      <c r="A359" s="1" t="s">
        <v>371</v>
      </c>
      <c r="B359">
        <f>HYPERLINK("https://www.suredividend.com/sure-analysis-WM/","Waste Management, Inc.")</f>
        <v>0</v>
      </c>
      <c r="C359" t="s">
        <v>385</v>
      </c>
      <c r="D359">
        <v>149.33</v>
      </c>
      <c r="E359">
        <v>0.01875041853612804</v>
      </c>
      <c r="F359">
        <v>0.07692307692307709</v>
      </c>
      <c r="G359">
        <v>0.08524805815701431</v>
      </c>
      <c r="H359">
        <v>2.584952906394319</v>
      </c>
      <c r="I359">
        <v>61255.476473</v>
      </c>
      <c r="J359">
        <v>27.37063291910635</v>
      </c>
      <c r="K359">
        <v>0.4795830995165713</v>
      </c>
      <c r="M359">
        <v>174.64</v>
      </c>
      <c r="N359">
        <v>137.83</v>
      </c>
    </row>
    <row r="360" spans="1:14">
      <c r="A360" s="1" t="s">
        <v>372</v>
      </c>
      <c r="B360">
        <f>HYPERLINK("https://www.suredividend.com/sure-analysis-WMT/","Walmart Inc")</f>
        <v>0</v>
      </c>
      <c r="C360" t="s">
        <v>387</v>
      </c>
      <c r="D360">
        <v>136.97</v>
      </c>
      <c r="E360">
        <v>0.01664598087172373</v>
      </c>
      <c r="F360" t="s">
        <v>393</v>
      </c>
      <c r="G360" t="s">
        <v>393</v>
      </c>
      <c r="H360">
        <v>2.226840039871083</v>
      </c>
      <c r="I360">
        <v>372428.087457</v>
      </c>
      <c r="J360">
        <v>41.53318695855916</v>
      </c>
      <c r="K360">
        <v>0.6830797668316206</v>
      </c>
      <c r="M360">
        <v>159.88</v>
      </c>
      <c r="N360">
        <v>116.32</v>
      </c>
    </row>
    <row r="361" spans="1:14">
      <c r="A361" s="1" t="s">
        <v>373</v>
      </c>
      <c r="B361">
        <f>HYPERLINK("https://www.suredividend.com/sure-analysis-WOR/","Worthington Industries, Inc.")</f>
        <v>0</v>
      </c>
      <c r="C361" t="s">
        <v>390</v>
      </c>
      <c r="D361">
        <v>56.1</v>
      </c>
      <c r="E361">
        <v>0.02210338680926916</v>
      </c>
      <c r="F361">
        <v>0.107142857142857</v>
      </c>
      <c r="G361">
        <v>0.08100693430783124</v>
      </c>
      <c r="H361">
        <v>1.169702268842716</v>
      </c>
      <c r="I361">
        <v>3113.687133</v>
      </c>
      <c r="J361">
        <v>14.35580114415336</v>
      </c>
      <c r="K361">
        <v>0.2688970732971762</v>
      </c>
      <c r="M361">
        <v>62.83</v>
      </c>
      <c r="N361">
        <v>37.79</v>
      </c>
    </row>
    <row r="362" spans="1:14">
      <c r="A362" s="1" t="s">
        <v>374</v>
      </c>
      <c r="B362">
        <f>HYPERLINK("https://www.suredividend.com/sure-analysis-WPC/","W. P. Carey Inc")</f>
        <v>0</v>
      </c>
      <c r="C362" t="s">
        <v>391</v>
      </c>
      <c r="D362">
        <v>78.31</v>
      </c>
      <c r="E362">
        <v>0.05439918273528285</v>
      </c>
      <c r="F362">
        <v>0.009478672985782088</v>
      </c>
      <c r="G362">
        <v>0.009663631569345243</v>
      </c>
      <c r="H362">
        <v>4.155965742497832</v>
      </c>
      <c r="I362">
        <v>17351.037971</v>
      </c>
      <c r="J362">
        <v>28.95995415250885</v>
      </c>
      <c r="K362">
        <v>1.389955097825362</v>
      </c>
      <c r="M362">
        <v>87.13</v>
      </c>
      <c r="N362">
        <v>66.84999999999999</v>
      </c>
    </row>
    <row r="363" spans="1:14">
      <c r="A363" s="1" t="s">
        <v>375</v>
      </c>
      <c r="B363">
        <f>HYPERLINK("https://www.suredividend.com/sure-analysis-WRB/","W.R. Berkley Corp.")</f>
        <v>0</v>
      </c>
      <c r="C363" t="s">
        <v>388</v>
      </c>
      <c r="D363">
        <v>62.66</v>
      </c>
      <c r="E363">
        <v>0.006383657835939994</v>
      </c>
      <c r="F363" t="s">
        <v>393</v>
      </c>
      <c r="G363" t="s">
        <v>393</v>
      </c>
      <c r="H363">
        <v>0.397063962522672</v>
      </c>
      <c r="I363">
        <v>16836.854375</v>
      </c>
      <c r="J363">
        <v>12.191237160323</v>
      </c>
      <c r="K363">
        <v>0.08037732034871903</v>
      </c>
      <c r="M363">
        <v>76.23999999999999</v>
      </c>
      <c r="N363">
        <v>60.2</v>
      </c>
    </row>
    <row r="364" spans="1:14">
      <c r="A364" s="1" t="s">
        <v>376</v>
      </c>
      <c r="B364">
        <f>HYPERLINK("https://www.suredividend.com/sure-analysis-WSBC/","Wesbanco, Inc.")</f>
        <v>0</v>
      </c>
      <c r="C364" t="s">
        <v>388</v>
      </c>
      <c r="D364">
        <v>32.71</v>
      </c>
      <c r="E364">
        <v>0.04280036686028737</v>
      </c>
      <c r="F364">
        <v>0.02941176470588247</v>
      </c>
      <c r="G364">
        <v>0.0383266700886169</v>
      </c>
      <c r="H364">
        <v>1.350837136187868</v>
      </c>
      <c r="I364">
        <v>2117.678934</v>
      </c>
      <c r="J364">
        <v>11.6363657690617</v>
      </c>
      <c r="K364">
        <v>0.4472970649628702</v>
      </c>
      <c r="M364">
        <v>41</v>
      </c>
      <c r="N364">
        <v>28.95</v>
      </c>
    </row>
    <row r="365" spans="1:14">
      <c r="A365" s="1" t="s">
        <v>377</v>
      </c>
      <c r="B365">
        <f>HYPERLINK("https://www.suredividend.com/sure-analysis-WSM/","Williams-Sonoma, Inc.")</f>
        <v>0</v>
      </c>
      <c r="C365" t="s">
        <v>392</v>
      </c>
      <c r="D365">
        <v>120.6</v>
      </c>
      <c r="E365">
        <v>0.02587064676616916</v>
      </c>
      <c r="F365">
        <v>0.09859154929577474</v>
      </c>
      <c r="G365">
        <v>0.1264845234709517</v>
      </c>
      <c r="H365">
        <v>3.870531242988881</v>
      </c>
      <c r="I365">
        <v>8181.803559</v>
      </c>
      <c r="J365">
        <v>6.958191642111421</v>
      </c>
      <c r="K365">
        <v>0.2334457927013801</v>
      </c>
      <c r="M365">
        <v>174.6</v>
      </c>
      <c r="N365">
        <v>99.7</v>
      </c>
    </row>
    <row r="366" spans="1:14">
      <c r="A366" s="1" t="s">
        <v>378</v>
      </c>
      <c r="B366">
        <f>HYPERLINK("https://www.suredividend.com/sure-analysis-WST/","West Pharmaceutical Services, Inc.")</f>
        <v>0</v>
      </c>
      <c r="C366" t="s">
        <v>384</v>
      </c>
      <c r="D366">
        <v>314.55</v>
      </c>
      <c r="E366">
        <v>0.002416150055635034</v>
      </c>
      <c r="F366">
        <v>0.05555555555555558</v>
      </c>
      <c r="G366">
        <v>0.06298004826234438</v>
      </c>
      <c r="H366">
        <v>0.7391910859323381</v>
      </c>
      <c r="I366">
        <v>24409.87251</v>
      </c>
      <c r="J366">
        <v>41.66218213012459</v>
      </c>
      <c r="K366">
        <v>0.09562627243626624</v>
      </c>
      <c r="M366">
        <v>422.87</v>
      </c>
      <c r="N366">
        <v>205.87</v>
      </c>
    </row>
    <row r="367" spans="1:14">
      <c r="A367" s="1" t="s">
        <v>379</v>
      </c>
      <c r="B367">
        <f>HYPERLINK("https://www.suredividend.com/sure-analysis-WTRG/","Essential Utilities Inc")</f>
        <v>0</v>
      </c>
      <c r="C367" t="s">
        <v>389</v>
      </c>
      <c r="D367">
        <v>41.68</v>
      </c>
      <c r="E367">
        <v>0.02759117082533589</v>
      </c>
      <c r="F367">
        <v>0.0700969425801643</v>
      </c>
      <c r="G367">
        <v>0.05557125803060625</v>
      </c>
      <c r="H367">
        <v>1.11350449872271</v>
      </c>
      <c r="I367">
        <v>11096.574543</v>
      </c>
      <c r="J367">
        <v>23.85144462424528</v>
      </c>
      <c r="K367">
        <v>0.6290985868489888</v>
      </c>
      <c r="M367">
        <v>51.43</v>
      </c>
      <c r="N367">
        <v>37.77</v>
      </c>
    </row>
    <row r="368" spans="1:14">
      <c r="A368" s="1" t="s">
        <v>380</v>
      </c>
      <c r="B368">
        <f>HYPERLINK("https://www.suredividend.com/sure-analysis-XEL/","Xcel Energy, Inc.")</f>
        <v>0</v>
      </c>
      <c r="C368" t="s">
        <v>389</v>
      </c>
      <c r="D368">
        <v>63.22</v>
      </c>
      <c r="E368">
        <v>0.03290098070230939</v>
      </c>
      <c r="F368">
        <v>0.06557377049180335</v>
      </c>
      <c r="G368">
        <v>0.05108588665585678</v>
      </c>
      <c r="H368">
        <v>1.930321719255474</v>
      </c>
      <c r="I368">
        <v>35410.14899</v>
      </c>
      <c r="J368">
        <v>20.39755126129032</v>
      </c>
      <c r="K368">
        <v>0.6089342962951022</v>
      </c>
      <c r="M368">
        <v>76.63</v>
      </c>
      <c r="N368">
        <v>56.5</v>
      </c>
    </row>
    <row r="369" spans="1:14">
      <c r="A369" s="1" t="s">
        <v>381</v>
      </c>
      <c r="B369">
        <f>HYPERLINK("https://www.suredividend.com/sure-analysis-XOM/","Exxon Mobil Corp.")</f>
        <v>0</v>
      </c>
      <c r="C369" t="s">
        <v>395</v>
      </c>
      <c r="D369">
        <v>107.78</v>
      </c>
      <c r="E369">
        <v>0.03377249953609204</v>
      </c>
      <c r="F369">
        <v>0.03409090909090917</v>
      </c>
      <c r="G369">
        <v>0.02104646949148581</v>
      </c>
      <c r="H369">
        <v>3.537328257447028</v>
      </c>
      <c r="I369">
        <v>459247.816496</v>
      </c>
      <c r="J369">
        <v>8.239106862150699</v>
      </c>
      <c r="K369">
        <v>0.2667668369115406</v>
      </c>
      <c r="M369">
        <v>118.72</v>
      </c>
      <c r="N369">
        <v>73.59</v>
      </c>
    </row>
    <row r="370" spans="1:14">
      <c r="A370" s="1" t="s">
        <v>382</v>
      </c>
      <c r="B370">
        <f>HYPERLINK("https://www.suredividend.com/sure-analysis-XYL/","Xylem Inc")</f>
        <v>0</v>
      </c>
      <c r="C370" t="s">
        <v>385</v>
      </c>
      <c r="D370">
        <v>98.98</v>
      </c>
      <c r="E370">
        <v>0.01333602748029905</v>
      </c>
      <c r="F370">
        <v>0.09999999999999987</v>
      </c>
      <c r="G370">
        <v>0.09460878422315755</v>
      </c>
      <c r="H370">
        <v>1.227419254775343</v>
      </c>
      <c r="I370">
        <v>18734.528834</v>
      </c>
      <c r="J370">
        <v>52.77332065892958</v>
      </c>
      <c r="K370">
        <v>0.6262343136608893</v>
      </c>
      <c r="M370">
        <v>118.58</v>
      </c>
      <c r="N370">
        <v>71.65000000000001</v>
      </c>
    </row>
    <row r="371" spans="1:14">
      <c r="A371" s="1" t="s">
        <v>383</v>
      </c>
      <c r="B371">
        <f>HYPERLINK("https://www.suredividend.com/sure-analysis-YORW/","York Water Co.")</f>
        <v>0</v>
      </c>
      <c r="C371" t="s">
        <v>389</v>
      </c>
      <c r="D371">
        <v>44</v>
      </c>
      <c r="E371">
        <v>0.01840909090909091</v>
      </c>
      <c r="F371">
        <v>0.04002052334530526</v>
      </c>
      <c r="G371">
        <v>0.04000577367145808</v>
      </c>
      <c r="H371">
        <v>0.7898631510635761</v>
      </c>
      <c r="I371">
        <v>619.8778579999999</v>
      </c>
      <c r="J371">
        <v>33.3806062369413</v>
      </c>
      <c r="K371">
        <v>0.5807817287232178</v>
      </c>
      <c r="M371">
        <v>47.06</v>
      </c>
      <c r="N371">
        <v>36.52</v>
      </c>
    </row>
  </sheetData>
  <autoFilter ref="A1:O371"/>
  <conditionalFormatting sqref="A1:N1">
    <cfRule type="cellIs" dxfId="8" priority="15" operator="notEqual">
      <formula>-13.345</formula>
    </cfRule>
  </conditionalFormatting>
  <conditionalFormatting sqref="A2:A371">
    <cfRule type="cellIs" dxfId="0" priority="1" operator="notEqual">
      <formula>"None"</formula>
    </cfRule>
  </conditionalFormatting>
  <conditionalFormatting sqref="B2:B371">
    <cfRule type="cellIs" dxfId="1" priority="2" operator="notEqual">
      <formula>"None"</formula>
    </cfRule>
  </conditionalFormatting>
  <conditionalFormatting sqref="C2:C371">
    <cfRule type="cellIs" dxfId="0" priority="3" operator="notEqual">
      <formula>"None"</formula>
    </cfRule>
  </conditionalFormatting>
  <conditionalFormatting sqref="D2:D371">
    <cfRule type="cellIs" dxfId="2" priority="4" operator="notEqual">
      <formula>"None"</formula>
    </cfRule>
  </conditionalFormatting>
  <conditionalFormatting sqref="E2:E371">
    <cfRule type="cellIs" dxfId="3" priority="5" operator="notEqual">
      <formula>"None"</formula>
    </cfRule>
  </conditionalFormatting>
  <conditionalFormatting sqref="F2:F371">
    <cfRule type="cellIs" dxfId="4" priority="6" operator="notEqual">
      <formula>"None"</formula>
    </cfRule>
  </conditionalFormatting>
  <conditionalFormatting sqref="G2:G371">
    <cfRule type="cellIs" dxfId="3" priority="7" operator="notEqual">
      <formula>"None"</formula>
    </cfRule>
  </conditionalFormatting>
  <conditionalFormatting sqref="H2:H371">
    <cfRule type="cellIs" dxfId="2" priority="8" operator="notEqual">
      <formula>"None"</formula>
    </cfRule>
  </conditionalFormatting>
  <conditionalFormatting sqref="I2:I371">
    <cfRule type="cellIs" dxfId="5" priority="9" operator="notEqual">
      <formula>"None"</formula>
    </cfRule>
  </conditionalFormatting>
  <conditionalFormatting sqref="J2:J371">
    <cfRule type="cellIs" dxfId="6" priority="10" operator="notEqual">
      <formula>"None"</formula>
    </cfRule>
  </conditionalFormatting>
  <conditionalFormatting sqref="K2:K371">
    <cfRule type="cellIs" dxfId="3" priority="11" operator="notEqual">
      <formula>"None"</formula>
    </cfRule>
  </conditionalFormatting>
  <conditionalFormatting sqref="L2:L371">
    <cfRule type="cellIs" dxfId="7" priority="12" operator="notEqual">
      <formula>"None"</formula>
    </cfRule>
  </conditionalFormatting>
  <conditionalFormatting sqref="M2:M371">
    <cfRule type="cellIs" dxfId="2" priority="13" operator="notEqual">
      <formula>"None"</formula>
    </cfRule>
  </conditionalFormatting>
  <conditionalFormatting sqref="N2:N371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396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</row>
    <row r="2" spans="1:9">
      <c r="A2" s="1" t="s">
        <v>14</v>
      </c>
      <c r="B2">
        <f>HYPERLINK("https://www.suredividend.com/sure-analysis-ABC/","Amerisource Bergen Corp.")</f>
        <v>0</v>
      </c>
      <c r="C2">
        <v>-0.000629766448808</v>
      </c>
      <c r="D2">
        <v>-0.09976858604574999</v>
      </c>
      <c r="E2">
        <v>0.06699702689461101</v>
      </c>
      <c r="F2">
        <v>-0.05478665962876601</v>
      </c>
      <c r="G2">
        <v>0.07656393059247901</v>
      </c>
      <c r="H2">
        <v>0.56189203490076</v>
      </c>
      <c r="I2">
        <v>0.80732931936082</v>
      </c>
    </row>
    <row r="3" spans="1:9">
      <c r="A3" s="1" t="s">
        <v>15</v>
      </c>
      <c r="B3">
        <f>HYPERLINK("https://www.suredividend.com/sure-analysis-ABM/","ABM Industries Inc.")</f>
        <v>0</v>
      </c>
      <c r="C3">
        <v>0.016871485107269</v>
      </c>
      <c r="D3">
        <v>0.059848208548255</v>
      </c>
      <c r="E3">
        <v>0.09604910443673101</v>
      </c>
      <c r="F3">
        <v>0.104464915932166</v>
      </c>
      <c r="G3">
        <v>0.067318455295928</v>
      </c>
      <c r="H3">
        <v>0.137825592452408</v>
      </c>
      <c r="I3">
        <v>0.5928065956940061</v>
      </c>
    </row>
    <row r="4" spans="1:9">
      <c r="A4" s="1" t="s">
        <v>16</v>
      </c>
      <c r="B4">
        <f>HYPERLINK("https://www.suredividend.com/sure-analysis-ABT/","Abbott Laboratories")</f>
        <v>0</v>
      </c>
      <c r="C4">
        <v>-0.06565882458180501</v>
      </c>
      <c r="D4">
        <v>-0.029300352778923</v>
      </c>
      <c r="E4">
        <v>0.028468237119776</v>
      </c>
      <c r="F4">
        <v>-0.04433044116341901</v>
      </c>
      <c r="G4">
        <v>-0.124383631464848</v>
      </c>
      <c r="H4">
        <v>-0.06992606602322801</v>
      </c>
      <c r="I4">
        <v>0.906721260900439</v>
      </c>
    </row>
    <row r="5" spans="1:9">
      <c r="A5" s="1" t="s">
        <v>17</v>
      </c>
      <c r="B5">
        <f>HYPERLINK("https://www.suredividend.com/sure-analysis-ACN/","Accenture plc")</f>
        <v>0</v>
      </c>
      <c r="C5">
        <v>-0.069220662471475</v>
      </c>
      <c r="D5">
        <v>-0.09938633148136501</v>
      </c>
      <c r="E5">
        <v>-0.044238412100822</v>
      </c>
      <c r="F5">
        <v>0.012970690829454</v>
      </c>
      <c r="G5">
        <v>-0.130124012260986</v>
      </c>
      <c r="H5">
        <v>0.119152769757598</v>
      </c>
      <c r="I5">
        <v>0.8446543397343471</v>
      </c>
    </row>
    <row r="6" spans="1:9">
      <c r="A6" s="1" t="s">
        <v>18</v>
      </c>
      <c r="B6">
        <f>HYPERLINK("https://www.suredividend.com/sure-analysis-ADI/","Analog Devices Inc.")</f>
        <v>0</v>
      </c>
      <c r="C6">
        <v>0.04639769517213101</v>
      </c>
      <c r="D6">
        <v>0.109629619038086</v>
      </c>
      <c r="E6">
        <v>0.264548245655725</v>
      </c>
      <c r="F6">
        <v>0.140747056106993</v>
      </c>
      <c r="G6">
        <v>0.209650445118889</v>
      </c>
      <c r="H6">
        <v>0.335532330638366</v>
      </c>
      <c r="I6">
        <v>1.300919503026095</v>
      </c>
    </row>
    <row r="7" spans="1:9">
      <c r="A7" s="1" t="s">
        <v>19</v>
      </c>
      <c r="B7">
        <f>HYPERLINK("https://www.suredividend.com/sure-analysis-ADM/","Archer Daniels Midland Co.")</f>
        <v>0</v>
      </c>
      <c r="C7">
        <v>-0.009435172750057001</v>
      </c>
      <c r="D7">
        <v>-0.111288478215823</v>
      </c>
      <c r="E7">
        <v>-0.06573509106374301</v>
      </c>
      <c r="F7">
        <v>-0.122200022740932</v>
      </c>
      <c r="G7">
        <v>-0.002272151010651</v>
      </c>
      <c r="H7">
        <v>0.522259238532351</v>
      </c>
      <c r="I7">
        <v>1.204274759340838</v>
      </c>
    </row>
    <row r="8" spans="1:9">
      <c r="A8" s="1" t="s">
        <v>20</v>
      </c>
      <c r="B8">
        <f>HYPERLINK("https://www.suredividend.com/sure-analysis-ADP/","Automatic Data Processing Inc.")</f>
        <v>0</v>
      </c>
      <c r="C8">
        <v>-0.002485464471173</v>
      </c>
      <c r="D8">
        <v>-0.16324923631368</v>
      </c>
      <c r="E8">
        <v>-0.04891436589988701</v>
      </c>
      <c r="F8">
        <v>-0.05907225990119701</v>
      </c>
      <c r="G8">
        <v>0.09866688566678401</v>
      </c>
      <c r="H8">
        <v>0.36470753968278</v>
      </c>
      <c r="I8">
        <v>1.193089450727452</v>
      </c>
    </row>
    <row r="9" spans="1:9">
      <c r="A9" s="1" t="s">
        <v>21</v>
      </c>
      <c r="B9">
        <f>HYPERLINK("https://www.suredividend.com/sure-analysis-AEL/","American Equity Investment Life Holding Co")</f>
        <v>0</v>
      </c>
      <c r="C9">
        <v>-0.117192396072696</v>
      </c>
      <c r="D9">
        <v>-0.003771805752003</v>
      </c>
      <c r="E9">
        <v>0.111812680873454</v>
      </c>
      <c r="F9">
        <v>-0.073651907058307</v>
      </c>
      <c r="G9">
        <v>0.159078442128359</v>
      </c>
      <c r="H9">
        <v>0.460767369512616</v>
      </c>
      <c r="I9">
        <v>0.475043630017452</v>
      </c>
    </row>
    <row r="10" spans="1:9">
      <c r="A10" s="1" t="s">
        <v>22</v>
      </c>
      <c r="B10">
        <f>HYPERLINK("https://www.suredividend.com/sure-analysis-AEP/","American Electric Power Company Inc.")</f>
        <v>0</v>
      </c>
      <c r="C10">
        <v>-0.023822072424973</v>
      </c>
      <c r="D10">
        <v>-0.05471290711060801</v>
      </c>
      <c r="E10">
        <v>-0.10218864821395</v>
      </c>
      <c r="F10">
        <v>-0.05301983460532701</v>
      </c>
      <c r="G10">
        <v>-0.019000060562348</v>
      </c>
      <c r="H10">
        <v>0.250745828624376</v>
      </c>
      <c r="I10">
        <v>0.6185968769019741</v>
      </c>
    </row>
    <row r="11" spans="1:9">
      <c r="A11" s="1" t="s">
        <v>23</v>
      </c>
      <c r="B11">
        <f>HYPERLINK("https://www.suredividend.com/sure-analysis-AFG/","American Financial Group Inc")</f>
        <v>0</v>
      </c>
      <c r="C11">
        <v>0.012593179387046</v>
      </c>
      <c r="D11">
        <v>-0.030865485793178</v>
      </c>
      <c r="E11">
        <v>0.1007372229198</v>
      </c>
      <c r="F11">
        <v>0.000620066497046</v>
      </c>
      <c r="G11">
        <v>0.102537388395173</v>
      </c>
      <c r="H11">
        <v>0.716658868176213</v>
      </c>
      <c r="I11">
        <v>0.94645882552952</v>
      </c>
    </row>
    <row r="12" spans="1:9">
      <c r="A12" s="1" t="s">
        <v>24</v>
      </c>
      <c r="B12">
        <f>HYPERLINK("https://www.suredividend.com/sure-analysis-AFL/","Aflac Inc.")</f>
        <v>0</v>
      </c>
      <c r="C12">
        <v>-0.007822602624544001</v>
      </c>
      <c r="D12">
        <v>-0.048282556064973</v>
      </c>
      <c r="E12">
        <v>0.165831131643184</v>
      </c>
      <c r="F12">
        <v>-0.042991281488369</v>
      </c>
      <c r="G12">
        <v>0.168023729108605</v>
      </c>
      <c r="H12">
        <v>0.485036800444382</v>
      </c>
      <c r="I12">
        <v>0.734550864360859</v>
      </c>
    </row>
    <row r="13" spans="1:9">
      <c r="A13" s="1" t="s">
        <v>25</v>
      </c>
      <c r="B13">
        <f>HYPERLINK("https://www.suredividend.com/sure-analysis-AGM/","Federal Agricultural Mortgage Corp.")</f>
        <v>0</v>
      </c>
      <c r="C13">
        <v>0.09486342042755301</v>
      </c>
      <c r="D13">
        <v>0.186947918334764</v>
      </c>
      <c r="E13">
        <v>0.386919515415022</v>
      </c>
      <c r="F13">
        <v>0.308668263685564</v>
      </c>
      <c r="G13">
        <v>0.292350772913379</v>
      </c>
      <c r="H13">
        <v>0.8133335956007911</v>
      </c>
      <c r="I13">
        <v>1.230502384747295</v>
      </c>
    </row>
    <row r="14" spans="1:9">
      <c r="A14" s="1" t="s">
        <v>26</v>
      </c>
      <c r="B14">
        <f>HYPERLINK("https://www.suredividend.com/sure-analysis-AGO/","Assured Guaranty Ltd")</f>
        <v>0</v>
      </c>
      <c r="C14">
        <v>-0.039076376554174</v>
      </c>
      <c r="D14">
        <v>-0.102413273001508</v>
      </c>
      <c r="E14">
        <v>0.156569278519218</v>
      </c>
      <c r="F14">
        <v>-0.04416961130742</v>
      </c>
      <c r="G14">
        <v>0.004064512536886</v>
      </c>
      <c r="H14">
        <v>0.427731727505008</v>
      </c>
      <c r="I14">
        <v>0.8901664337441231</v>
      </c>
    </row>
    <row r="15" spans="1:9">
      <c r="A15" s="1" t="s">
        <v>27</v>
      </c>
      <c r="B15">
        <f>HYPERLINK("https://www.suredividend.com/sure-analysis-AIT/","Applied Industrial Technologies Inc.")</f>
        <v>0</v>
      </c>
      <c r="C15">
        <v>-0.002806786302219</v>
      </c>
      <c r="D15">
        <v>0.100651469771924</v>
      </c>
      <c r="E15">
        <v>0.382351673713292</v>
      </c>
      <c r="F15">
        <v>0.14816087455895</v>
      </c>
      <c r="G15">
        <v>0.452298021413724</v>
      </c>
      <c r="H15">
        <v>0.7157296813509031</v>
      </c>
      <c r="I15">
        <v>1.219642335429704</v>
      </c>
    </row>
    <row r="16" spans="1:9">
      <c r="A16" s="1" t="s">
        <v>28</v>
      </c>
      <c r="B16">
        <f>HYPERLINK("https://www.suredividend.com/sure-analysis-AIZ/","Assurant Inc")</f>
        <v>0</v>
      </c>
      <c r="C16">
        <v>-0.048610839395517</v>
      </c>
      <c r="D16">
        <v>-0.010475158183888</v>
      </c>
      <c r="E16">
        <v>-0.199910904346197</v>
      </c>
      <c r="F16">
        <v>0.016585033269763</v>
      </c>
      <c r="G16">
        <v>-0.243510699082508</v>
      </c>
      <c r="H16">
        <v>0.01278557685684</v>
      </c>
      <c r="I16">
        <v>0.584141545377436</v>
      </c>
    </row>
    <row r="17" spans="1:9">
      <c r="A17" s="1" t="s">
        <v>29</v>
      </c>
      <c r="B17">
        <f>HYPERLINK("https://www.suredividend.com/sure-analysis-AJG/","Arthur J. Gallagher &amp; Co.")</f>
        <v>0</v>
      </c>
      <c r="C17">
        <v>-0.020180558802384</v>
      </c>
      <c r="D17">
        <v>-0.058008028085842</v>
      </c>
      <c r="E17">
        <v>0.05320633717869001</v>
      </c>
      <c r="F17">
        <v>0.005543976789983001</v>
      </c>
      <c r="G17">
        <v>0.196066136389377</v>
      </c>
      <c r="H17">
        <v>0.606466318002655</v>
      </c>
      <c r="I17">
        <v>1.972267952243706</v>
      </c>
    </row>
    <row r="18" spans="1:9">
      <c r="A18" s="1" t="s">
        <v>30</v>
      </c>
      <c r="B18">
        <f>HYPERLINK("https://www.suredividend.com/sure-analysis-ALB/","Albemarle Corp.")</f>
        <v>0</v>
      </c>
      <c r="C18">
        <v>-0.09699543919507</v>
      </c>
      <c r="D18">
        <v>-0.08616868726372001</v>
      </c>
      <c r="E18">
        <v>0.000918064570155</v>
      </c>
      <c r="F18">
        <v>0.196025085308493</v>
      </c>
      <c r="G18">
        <v>0.4578858884043071</v>
      </c>
      <c r="H18">
        <v>0.8598444405085691</v>
      </c>
      <c r="I18">
        <v>1.914842806169752</v>
      </c>
    </row>
    <row r="19" spans="1:9">
      <c r="A19" s="1" t="s">
        <v>31</v>
      </c>
      <c r="B19">
        <f>HYPERLINK("https://www.suredividend.com/sure-analysis-ALE/","Allete, Inc.")</f>
        <v>0</v>
      </c>
      <c r="C19">
        <v>0.004863701740310001</v>
      </c>
      <c r="D19">
        <v>-0.04469302035072401</v>
      </c>
      <c r="E19">
        <v>0.05954561237481101</v>
      </c>
      <c r="F19">
        <v>-0.024108058280737</v>
      </c>
      <c r="G19">
        <v>0.001821786767261</v>
      </c>
      <c r="H19">
        <v>0.07202639682025701</v>
      </c>
      <c r="I19">
        <v>0.09037596513599401</v>
      </c>
    </row>
    <row r="20" spans="1:9">
      <c r="A20" s="1" t="s">
        <v>32</v>
      </c>
      <c r="B20">
        <f>HYPERLINK("https://www.suredividend.com/sure-analysis-ALL/","Allstate Corp (The)")</f>
        <v>0</v>
      </c>
      <c r="C20">
        <v>-0.017722846510857</v>
      </c>
      <c r="D20">
        <v>-0.014119185934674</v>
      </c>
      <c r="E20">
        <v>0.06876889301133701</v>
      </c>
      <c r="F20">
        <v>-0.048654283505923</v>
      </c>
      <c r="G20">
        <v>0.031435726653834</v>
      </c>
      <c r="H20">
        <v>0.234685676952341</v>
      </c>
      <c r="I20">
        <v>0.5620637821376361</v>
      </c>
    </row>
    <row r="21" spans="1:9">
      <c r="A21" s="1" t="s">
        <v>33</v>
      </c>
      <c r="B21">
        <f>HYPERLINK("https://www.suredividend.com/sure-analysis-AMGN/","AMGEN Inc.")</f>
        <v>0</v>
      </c>
      <c r="C21">
        <v>-0.033810262901046</v>
      </c>
      <c r="D21">
        <v>-0.170324315882383</v>
      </c>
      <c r="E21">
        <v>-0.015916495604921</v>
      </c>
      <c r="F21">
        <v>-0.098078274099547</v>
      </c>
      <c r="G21">
        <v>0.04025315883696801</v>
      </c>
      <c r="H21">
        <v>0.126867494568662</v>
      </c>
      <c r="I21">
        <v>0.483646151561774</v>
      </c>
    </row>
    <row r="22" spans="1:9">
      <c r="A22" s="1" t="s">
        <v>34</v>
      </c>
      <c r="B22">
        <f>HYPERLINK("https://www.suredividend.com/sure-analysis-AMP/","Ameriprise Financial Inc")</f>
        <v>0</v>
      </c>
      <c r="C22">
        <v>-0.022431946038628</v>
      </c>
      <c r="D22">
        <v>0.04838822430213301</v>
      </c>
      <c r="E22">
        <v>0.29486539864233</v>
      </c>
      <c r="F22">
        <v>0.11172169731505</v>
      </c>
      <c r="G22">
        <v>0.246230291565066</v>
      </c>
      <c r="H22">
        <v>0.640627712638774</v>
      </c>
      <c r="I22">
        <v>1.555237670513388</v>
      </c>
    </row>
    <row r="23" spans="1:9">
      <c r="A23" s="1" t="s">
        <v>35</v>
      </c>
      <c r="B23">
        <f>HYPERLINK("https://www.suredividend.com/sure-analysis-ANDE/","Andersons Inc.")</f>
        <v>0</v>
      </c>
      <c r="C23">
        <v>0.223454833597464</v>
      </c>
      <c r="D23">
        <v>0.278854994077841</v>
      </c>
      <c r="E23">
        <v>0.288513536068364</v>
      </c>
      <c r="F23">
        <v>0.323806801943412</v>
      </c>
      <c r="G23">
        <v>-0.021087201856383</v>
      </c>
      <c r="H23">
        <v>0.8715227132230831</v>
      </c>
      <c r="I23">
        <v>0.484149209543156</v>
      </c>
    </row>
    <row r="24" spans="1:9">
      <c r="A24" s="1" t="s">
        <v>36</v>
      </c>
      <c r="B24">
        <f>HYPERLINK("https://www.suredividend.com/sure-analysis-ANTM/","Anthem Inc")</f>
        <v>0</v>
      </c>
      <c r="C24">
        <v>-0.07055450096761801</v>
      </c>
      <c r="D24">
        <v>0.006370677989535001</v>
      </c>
      <c r="E24">
        <v>0.055850828743787</v>
      </c>
      <c r="F24">
        <v>0.046693895717118</v>
      </c>
      <c r="G24">
        <v>0.281523573203628</v>
      </c>
      <c r="H24">
        <v>0.933428179140786</v>
      </c>
      <c r="I24">
        <v>1.73652872878833</v>
      </c>
    </row>
    <row r="25" spans="1:9">
      <c r="A25" s="1" t="s">
        <v>37</v>
      </c>
      <c r="B25">
        <f>HYPERLINK("https://www.suredividend.com/sure-analysis-AON/","Aon plc.")</f>
        <v>0</v>
      </c>
      <c r="C25">
        <v>-0.030512689707945</v>
      </c>
      <c r="D25">
        <v>-0.007082703378733001</v>
      </c>
      <c r="E25">
        <v>0.09649415403855001</v>
      </c>
      <c r="F25">
        <v>0.014883647346373</v>
      </c>
      <c r="G25">
        <v>0.04283558543109901</v>
      </c>
      <c r="H25">
        <v>0.365437068291162</v>
      </c>
      <c r="I25">
        <v>0.9811688942084341</v>
      </c>
    </row>
    <row r="26" spans="1:9">
      <c r="A26" s="1" t="s">
        <v>38</v>
      </c>
      <c r="B26">
        <f>HYPERLINK("https://www.suredividend.com/sure-analysis-AOS/","A.O. Smith Corp.")</f>
        <v>0</v>
      </c>
      <c r="C26">
        <v>-0.013323678493845</v>
      </c>
      <c r="D26">
        <v>0.133989903445245</v>
      </c>
      <c r="E26">
        <v>0.22389148269971</v>
      </c>
      <c r="F26">
        <v>0.196197031015441</v>
      </c>
      <c r="G26">
        <v>0.01619831752282</v>
      </c>
      <c r="H26">
        <v>0.156617915439397</v>
      </c>
      <c r="I26">
        <v>0.205514258970579</v>
      </c>
    </row>
    <row r="27" spans="1:9">
      <c r="A27" s="1" t="s">
        <v>39</v>
      </c>
      <c r="B27">
        <f>HYPERLINK("https://www.suredividend.com/sure-analysis-APD/","Air Products &amp; Chemicals Inc.")</f>
        <v>0</v>
      </c>
      <c r="C27">
        <v>0.034243211002736</v>
      </c>
      <c r="D27">
        <v>-0.06945881633949201</v>
      </c>
      <c r="E27">
        <v>0.210430446444263</v>
      </c>
      <c r="F27">
        <v>-0.043729319405696</v>
      </c>
      <c r="G27">
        <v>0.323573189628193</v>
      </c>
      <c r="H27">
        <v>0.204393966508384</v>
      </c>
      <c r="I27">
        <v>1.074580164598279</v>
      </c>
    </row>
    <row r="28" spans="1:9">
      <c r="A28" s="1" t="s">
        <v>40</v>
      </c>
      <c r="B28">
        <f>HYPERLINK("https://www.suredividend.com/sure-analysis-APH/","Amphenol Corp.")</f>
        <v>0</v>
      </c>
      <c r="C28">
        <v>-0.030139671649105</v>
      </c>
      <c r="D28">
        <v>-0.015447376930922</v>
      </c>
      <c r="E28">
        <v>0.09663128058993001</v>
      </c>
      <c r="F28">
        <v>0.03966377725242901</v>
      </c>
      <c r="G28">
        <v>0.05021140877714501</v>
      </c>
      <c r="H28">
        <v>0.348228108750708</v>
      </c>
      <c r="I28">
        <v>0.8607362554445811</v>
      </c>
    </row>
    <row r="29" spans="1:9">
      <c r="A29" s="1" t="s">
        <v>41</v>
      </c>
      <c r="B29">
        <f>HYPERLINK("https://www.suredividend.com/sure-analysis-APOG/","Apogee Enterprises Inc.")</f>
        <v>0</v>
      </c>
      <c r="C29">
        <v>-0.005824838776783</v>
      </c>
      <c r="D29">
        <v>-0.006283763271382001</v>
      </c>
      <c r="E29">
        <v>0.217449343000239</v>
      </c>
      <c r="F29">
        <v>0.080661829052368</v>
      </c>
      <c r="G29">
        <v>0.08189484407719701</v>
      </c>
      <c r="H29">
        <v>0.325283830927171</v>
      </c>
      <c r="I29">
        <v>0.210995504695489</v>
      </c>
    </row>
    <row r="30" spans="1:9">
      <c r="A30" s="1" t="s">
        <v>42</v>
      </c>
      <c r="B30">
        <f>HYPERLINK("https://www.suredividend.com/sure-analysis-ARE/","Alexandria Real Estate Equities Inc.")</f>
        <v>0</v>
      </c>
      <c r="C30">
        <v>-0.142797544549734</v>
      </c>
      <c r="D30">
        <v>-0.05391618709082</v>
      </c>
      <c r="E30">
        <v>-0.027356815264743</v>
      </c>
      <c r="F30">
        <v>-0.012631289901832</v>
      </c>
      <c r="G30">
        <v>-0.238046500194951</v>
      </c>
      <c r="H30">
        <v>-0.038796326802565</v>
      </c>
      <c r="I30">
        <v>0.338262222354552</v>
      </c>
    </row>
    <row r="31" spans="1:9">
      <c r="A31" s="1" t="s">
        <v>43</v>
      </c>
      <c r="B31">
        <f>HYPERLINK("https://www.suredividend.com/sure-analysis-ASB/","Associated Banc-Corp.")</f>
        <v>0</v>
      </c>
      <c r="C31">
        <v>-0.0132141269787</v>
      </c>
      <c r="D31">
        <v>-0.045556193964145</v>
      </c>
      <c r="E31">
        <v>0.180253123147068</v>
      </c>
      <c r="F31">
        <v>0.009010741223048001</v>
      </c>
      <c r="G31">
        <v>0.012483940136722</v>
      </c>
      <c r="H31">
        <v>0.189133513583108</v>
      </c>
      <c r="I31">
        <v>0.082254125830204</v>
      </c>
    </row>
    <row r="32" spans="1:9">
      <c r="A32" s="1" t="s">
        <v>44</v>
      </c>
      <c r="B32">
        <f>HYPERLINK("https://www.suredividend.com/sure-analysis-research-database/","Ashland Inc")</f>
        <v>0</v>
      </c>
      <c r="C32">
        <v>-0.012235588671576</v>
      </c>
      <c r="D32">
        <v>-0.08415719141538601</v>
      </c>
      <c r="E32">
        <v>0.05030481936742601</v>
      </c>
      <c r="F32">
        <v>-0.032628269124905</v>
      </c>
      <c r="G32">
        <v>0.192388860456691</v>
      </c>
      <c r="H32">
        <v>0.254391823223671</v>
      </c>
      <c r="I32">
        <v>0.576503288943493</v>
      </c>
    </row>
    <row r="33" spans="1:9">
      <c r="A33" s="1" t="s">
        <v>45</v>
      </c>
      <c r="B33">
        <f>HYPERLINK("https://www.suredividend.com/sure-analysis-ATO/","Atmos Energy Corp.")</f>
        <v>0</v>
      </c>
      <c r="C33">
        <v>-0.031930077064308</v>
      </c>
      <c r="D33">
        <v>-0.026530561137386</v>
      </c>
      <c r="E33">
        <v>-0.009619160658168001</v>
      </c>
      <c r="F33">
        <v>0.012296988342376</v>
      </c>
      <c r="G33">
        <v>-0.011569537788416</v>
      </c>
      <c r="H33">
        <v>0.316394855398585</v>
      </c>
      <c r="I33">
        <v>0.56064618754058</v>
      </c>
    </row>
    <row r="34" spans="1:9">
      <c r="A34" s="1" t="s">
        <v>46</v>
      </c>
      <c r="B34">
        <f>HYPERLINK("https://www.suredividend.com/sure-analysis-ATR/","Aptargroup Inc.")</f>
        <v>0</v>
      </c>
      <c r="C34">
        <v>0.041847166868826</v>
      </c>
      <c r="D34">
        <v>0.116580265175045</v>
      </c>
      <c r="E34">
        <v>0.194091209701283</v>
      </c>
      <c r="F34">
        <v>0.09698536562225701</v>
      </c>
      <c r="G34">
        <v>0.014749093265779</v>
      </c>
      <c r="H34">
        <v>-0.053725567036756</v>
      </c>
      <c r="I34">
        <v>0.428931313856296</v>
      </c>
    </row>
    <row r="35" spans="1:9">
      <c r="A35" s="1" t="s">
        <v>47</v>
      </c>
      <c r="B35">
        <f>HYPERLINK("https://www.suredividend.com/sure-analysis-ATRI/","Atrion Corp.")</f>
        <v>0</v>
      </c>
      <c r="C35">
        <v>-0.081376305091685</v>
      </c>
      <c r="D35">
        <v>0.015108425168858</v>
      </c>
      <c r="E35">
        <v>0.04762481287053801</v>
      </c>
      <c r="F35">
        <v>0.122906425954061</v>
      </c>
      <c r="G35">
        <v>-0.121029339131481</v>
      </c>
      <c r="H35">
        <v>0.039099593679159</v>
      </c>
      <c r="I35">
        <v>0.156522798895264</v>
      </c>
    </row>
    <row r="36" spans="1:9">
      <c r="A36" s="1" t="s">
        <v>48</v>
      </c>
      <c r="B36">
        <f>HYPERLINK("https://www.suredividend.com/sure-analysis-research-database/","Atlantic Union Bankshares Corp")</f>
        <v>0</v>
      </c>
      <c r="C36">
        <v>-0.066552943832626</v>
      </c>
      <c r="D36">
        <v>0.034102309708222</v>
      </c>
      <c r="E36">
        <v>0.18570021955051</v>
      </c>
      <c r="F36">
        <v>0.067063553513767</v>
      </c>
      <c r="G36">
        <v>-0.004819444667319</v>
      </c>
      <c r="H36">
        <v>0.053161891445925</v>
      </c>
      <c r="I36">
        <v>0.010213445259517</v>
      </c>
    </row>
    <row r="37" spans="1:9">
      <c r="A37" s="1" t="s">
        <v>49</v>
      </c>
      <c r="B37">
        <f>HYPERLINK("https://www.suredividend.com/sure-analysis-AVA/","Avista Corp.")</f>
        <v>0</v>
      </c>
      <c r="C37">
        <v>0.013868985569517</v>
      </c>
      <c r="D37">
        <v>0.001543433174166</v>
      </c>
      <c r="E37">
        <v>0.045226889487328</v>
      </c>
      <c r="F37">
        <v>-0.052440883080377</v>
      </c>
      <c r="G37">
        <v>-0.06689254772261501</v>
      </c>
      <c r="H37">
        <v>0.104245215291921</v>
      </c>
      <c r="I37">
        <v>0.035839084530754</v>
      </c>
    </row>
    <row r="38" spans="1:9">
      <c r="A38" s="1" t="s">
        <v>50</v>
      </c>
      <c r="B38">
        <f>HYPERLINK("https://www.suredividend.com/sure-analysis-AVGO/","Broadcom Inc")</f>
        <v>0</v>
      </c>
      <c r="C38">
        <v>0.05879990629497001</v>
      </c>
      <c r="D38">
        <v>0.179807019997203</v>
      </c>
      <c r="E38">
        <v>0.286213372464228</v>
      </c>
      <c r="F38">
        <v>0.131686727594656</v>
      </c>
      <c r="G38">
        <v>0.08683106197389701</v>
      </c>
      <c r="H38">
        <v>0.503583950460335</v>
      </c>
      <c r="I38">
        <v>1.980238189211872</v>
      </c>
    </row>
    <row r="39" spans="1:9">
      <c r="A39" s="1" t="s">
        <v>51</v>
      </c>
      <c r="B39">
        <f>HYPERLINK("https://www.suredividend.com/sure-analysis-AVNT/","Avient Corp")</f>
        <v>0</v>
      </c>
      <c r="C39">
        <v>0.072964484174921</v>
      </c>
      <c r="D39">
        <v>0.25501965472123</v>
      </c>
      <c r="E39">
        <v>0.052731388747318</v>
      </c>
      <c r="F39">
        <v>0.315462085308056</v>
      </c>
      <c r="G39">
        <v>-0.094656413852715</v>
      </c>
      <c r="H39">
        <v>0.023689384841283</v>
      </c>
      <c r="I39">
        <v>0.131756197136078</v>
      </c>
    </row>
    <row r="40" spans="1:9">
      <c r="A40" s="1" t="s">
        <v>52</v>
      </c>
      <c r="B40">
        <f>HYPERLINK("https://www.suredividend.com/sure-analysis-AVY/","Avery Dennison Corp.")</f>
        <v>0</v>
      </c>
      <c r="C40">
        <v>0.01594433558249</v>
      </c>
      <c r="D40">
        <v>-0.04042836056821601</v>
      </c>
      <c r="E40">
        <v>-0.003593650131093</v>
      </c>
      <c r="F40">
        <v>0.017067065512145</v>
      </c>
      <c r="G40">
        <v>0.102771334802652</v>
      </c>
      <c r="H40">
        <v>0.08413279724948501</v>
      </c>
      <c r="I40">
        <v>0.7070293331942851</v>
      </c>
    </row>
    <row r="41" spans="1:9">
      <c r="A41" s="1" t="s">
        <v>53</v>
      </c>
      <c r="B41">
        <f>HYPERLINK("https://www.suredividend.com/sure-analysis-AWK/","American Water Works Co. Inc.")</f>
        <v>0</v>
      </c>
      <c r="C41">
        <v>-0.104228783944086</v>
      </c>
      <c r="D41">
        <v>-0.08750661345421501</v>
      </c>
      <c r="E41">
        <v>-0.048402071581689</v>
      </c>
      <c r="F41">
        <v>-0.07960403867376001</v>
      </c>
      <c r="G41">
        <v>-0.117167149265106</v>
      </c>
      <c r="H41">
        <v>0.069067745376683</v>
      </c>
      <c r="I41">
        <v>0.92789905923494</v>
      </c>
    </row>
    <row r="42" spans="1:9">
      <c r="A42" s="1" t="s">
        <v>54</v>
      </c>
      <c r="B42">
        <f>HYPERLINK("https://www.suredividend.com/sure-analysis-AWR/","American States Water Co.")</f>
        <v>0</v>
      </c>
      <c r="C42">
        <v>-0.105547452143711</v>
      </c>
      <c r="D42">
        <v>-0.108006865892105</v>
      </c>
      <c r="E42">
        <v>0.06147808388598301</v>
      </c>
      <c r="F42">
        <v>-0.05374551831306201</v>
      </c>
      <c r="G42">
        <v>0.007427466955339</v>
      </c>
      <c r="H42">
        <v>0.277694991347719</v>
      </c>
      <c r="I42">
        <v>0.8491147787105811</v>
      </c>
    </row>
    <row r="43" spans="1:9">
      <c r="A43" s="1" t="s">
        <v>55</v>
      </c>
      <c r="B43">
        <f>HYPERLINK("https://www.suredividend.com/sure-analysis-AXS/","Axis Capital Holdings Ltd")</f>
        <v>0</v>
      </c>
      <c r="C43">
        <v>0.005143520822963</v>
      </c>
      <c r="D43">
        <v>0.063727048131102</v>
      </c>
      <c r="E43">
        <v>0.150385677337516</v>
      </c>
      <c r="F43">
        <v>0.118331179619715</v>
      </c>
      <c r="G43">
        <v>0.166419891906878</v>
      </c>
      <c r="H43">
        <v>0.315686598153087</v>
      </c>
      <c r="I43">
        <v>0.4795132113349561</v>
      </c>
    </row>
    <row r="44" spans="1:9">
      <c r="A44" s="1" t="s">
        <v>56</v>
      </c>
      <c r="B44">
        <f>HYPERLINK("https://www.suredividend.com/sure-analysis-BANF/","Bancfirst Corp.")</f>
        <v>0</v>
      </c>
      <c r="C44">
        <v>0.04820680018630601</v>
      </c>
      <c r="D44">
        <v>-0.11393713304231</v>
      </c>
      <c r="E44">
        <v>-0.140630369866884</v>
      </c>
      <c r="F44">
        <v>0.020866409616693</v>
      </c>
      <c r="G44">
        <v>0.183355724460312</v>
      </c>
      <c r="H44">
        <v>0.390132867176062</v>
      </c>
      <c r="I44">
        <v>0.842697273209245</v>
      </c>
    </row>
    <row r="45" spans="1:9">
      <c r="A45" s="1" t="s">
        <v>57</v>
      </c>
      <c r="B45">
        <f>HYPERLINK("https://www.suredividend.com/sure-analysis-BBY/","Best Buy Co. Inc.")</f>
        <v>0</v>
      </c>
      <c r="C45">
        <v>-0.07816651904340101</v>
      </c>
      <c r="D45">
        <v>-0.028114184326794</v>
      </c>
      <c r="E45">
        <v>0.197604790419161</v>
      </c>
      <c r="F45">
        <v>0.038025183892282</v>
      </c>
      <c r="G45">
        <v>-0.179886232116033</v>
      </c>
      <c r="H45">
        <v>-0.09142991210026301</v>
      </c>
      <c r="I45">
        <v>0.324298961365335</v>
      </c>
    </row>
    <row r="46" spans="1:9">
      <c r="A46" s="1" t="s">
        <v>58</v>
      </c>
      <c r="B46">
        <f>HYPERLINK("https://www.suredividend.com/sure-analysis-research-database/","Balchem Corp.")</f>
        <v>0</v>
      </c>
      <c r="C46">
        <v>-0.050918973038689</v>
      </c>
      <c r="D46">
        <v>-0.053818485154197</v>
      </c>
      <c r="E46">
        <v>0.03318315547884401</v>
      </c>
      <c r="F46">
        <v>0.08680697731553501</v>
      </c>
      <c r="G46">
        <v>-0.05240782379398101</v>
      </c>
      <c r="H46">
        <v>0.101056420118858</v>
      </c>
      <c r="I46">
        <v>0.7699339292239821</v>
      </c>
    </row>
    <row r="47" spans="1:9">
      <c r="A47" s="1" t="s">
        <v>59</v>
      </c>
      <c r="B47">
        <f>HYPERLINK("https://www.suredividend.com/sure-analysis-BDX/","Becton, Dickinson And Co.")</f>
        <v>0</v>
      </c>
      <c r="C47">
        <v>-0.03506345590628</v>
      </c>
      <c r="D47">
        <v>-0.05658501432899501</v>
      </c>
      <c r="E47">
        <v>-0.055127017344844</v>
      </c>
      <c r="F47">
        <v>-0.06716476602438</v>
      </c>
      <c r="G47">
        <v>-0.105263038786519</v>
      </c>
      <c r="H47">
        <v>0.037052710361433</v>
      </c>
      <c r="I47">
        <v>0.188820615979669</v>
      </c>
    </row>
    <row r="48" spans="1:9">
      <c r="A48" s="1" t="s">
        <v>60</v>
      </c>
      <c r="B48">
        <f>HYPERLINK("https://www.suredividend.com/sure-analysis-BEN/","Franklin Resources, Inc.")</f>
        <v>0</v>
      </c>
      <c r="C48">
        <v>-0.110610159302675</v>
      </c>
      <c r="D48">
        <v>0.09846867749419901</v>
      </c>
      <c r="E48">
        <v>0.170907364172371</v>
      </c>
      <c r="F48">
        <v>0.121683093252463</v>
      </c>
      <c r="G48">
        <v>0.09877052071845201</v>
      </c>
      <c r="H48">
        <v>0.253346209887838</v>
      </c>
      <c r="I48">
        <v>-0.06853316796308101</v>
      </c>
    </row>
    <row r="49" spans="1:9">
      <c r="A49" s="1" t="s">
        <v>61</v>
      </c>
      <c r="B49">
        <f>HYPERLINK("https://www.suredividend.com/sure-analysis-BIP/","Brookfield Infrastructure Partners L.P")</f>
        <v>0</v>
      </c>
      <c r="C49">
        <v>-0.025467060265186</v>
      </c>
      <c r="D49">
        <v>-0.03759777079721401</v>
      </c>
      <c r="E49">
        <v>-0.16578632821993</v>
      </c>
      <c r="F49">
        <v>0.097803739842704</v>
      </c>
      <c r="G49">
        <v>-0.106635436086192</v>
      </c>
      <c r="H49">
        <v>0.057715284677591</v>
      </c>
      <c r="I49">
        <v>0.6993503672496181</v>
      </c>
    </row>
    <row r="50" spans="1:9">
      <c r="A50" s="1" t="s">
        <v>62</v>
      </c>
      <c r="B50">
        <f>HYPERLINK("https://www.suredividend.com/sure-analysis-BK/","Bank Of New York Mellon Corp")</f>
        <v>0</v>
      </c>
      <c r="C50">
        <v>0.021899263388413</v>
      </c>
      <c r="D50">
        <v>0.143767547573421</v>
      </c>
      <c r="E50">
        <v>0.269099540127577</v>
      </c>
      <c r="F50">
        <v>0.136230318511943</v>
      </c>
      <c r="G50">
        <v>0.04183369224805</v>
      </c>
      <c r="H50">
        <v>0.215060788546756</v>
      </c>
      <c r="I50">
        <v>0.06409443138425501</v>
      </c>
    </row>
    <row r="51" spans="1:9">
      <c r="A51" s="1" t="s">
        <v>63</v>
      </c>
      <c r="B51">
        <f>HYPERLINK("https://www.suredividend.com/sure-analysis-BKH/","Black Hills Corporation")</f>
        <v>0</v>
      </c>
      <c r="C51">
        <v>-0.126022821372931</v>
      </c>
      <c r="D51">
        <v>-0.114952428870715</v>
      </c>
      <c r="E51">
        <v>-0.162649346807323</v>
      </c>
      <c r="F51">
        <v>-0.106018689334675</v>
      </c>
      <c r="G51">
        <v>-0.114389779429437</v>
      </c>
      <c r="H51">
        <v>0.113495341809273</v>
      </c>
      <c r="I51">
        <v>0.428823830404324</v>
      </c>
    </row>
    <row r="52" spans="1:9">
      <c r="A52" s="1" t="s">
        <v>64</v>
      </c>
      <c r="B52">
        <f>HYPERLINK("https://www.suredividend.com/sure-analysis-BLK/","Blackrock Inc.")</f>
        <v>0</v>
      </c>
      <c r="C52">
        <v>-0.081779280469121</v>
      </c>
      <c r="D52">
        <v>-0.018159196778414</v>
      </c>
      <c r="E52">
        <v>0.063782744973831</v>
      </c>
      <c r="F52">
        <v>-0.018895615483397</v>
      </c>
      <c r="G52">
        <v>0.012137379553555</v>
      </c>
      <c r="H52">
        <v>0.05307689942437</v>
      </c>
      <c r="I52">
        <v>0.447787482356625</v>
      </c>
    </row>
    <row r="53" spans="1:9">
      <c r="A53" s="1" t="s">
        <v>65</v>
      </c>
      <c r="B53">
        <f>HYPERLINK("https://www.suredividend.com/sure-analysis-BMI/","Badger Meter Inc.")</f>
        <v>0</v>
      </c>
      <c r="C53">
        <v>0.024421574680887</v>
      </c>
      <c r="D53">
        <v>0.07578939317029701</v>
      </c>
      <c r="E53">
        <v>0.321614597236963</v>
      </c>
      <c r="F53">
        <v>0.137358795026387</v>
      </c>
      <c r="G53">
        <v>0.278989621965926</v>
      </c>
      <c r="H53">
        <v>0.285534747972039</v>
      </c>
      <c r="I53">
        <v>1.69492304108032</v>
      </c>
    </row>
    <row r="54" spans="1:9">
      <c r="A54" s="1" t="s">
        <v>66</v>
      </c>
      <c r="B54">
        <f>HYPERLINK("https://www.suredividend.com/sure-analysis-BMRC/","Bank of Marin Bancorp")</f>
        <v>0</v>
      </c>
      <c r="C54">
        <v>-0.019954940457032</v>
      </c>
      <c r="D54">
        <v>-0.131971664362376</v>
      </c>
      <c r="E54">
        <v>0.015907544072705</v>
      </c>
      <c r="F54">
        <v>-0.06623735050597901</v>
      </c>
      <c r="G54">
        <v>-0.103953199578607</v>
      </c>
      <c r="H54">
        <v>-0.159891075532551</v>
      </c>
      <c r="I54">
        <v>0.002852118010499</v>
      </c>
    </row>
    <row r="55" spans="1:9">
      <c r="A55" s="1" t="s">
        <v>67</v>
      </c>
      <c r="B55">
        <f>HYPERLINK("https://www.suredividend.com/sure-analysis-BMY/","Bristol-Myers Squibb Co.")</f>
        <v>0</v>
      </c>
      <c r="C55">
        <v>-0.069173942243116</v>
      </c>
      <c r="D55">
        <v>-0.139057709222642</v>
      </c>
      <c r="E55">
        <v>0.025800435188063</v>
      </c>
      <c r="F55">
        <v>-0.02921189656694</v>
      </c>
      <c r="G55">
        <v>0.029295563780678</v>
      </c>
      <c r="H55">
        <v>0.242187037876846</v>
      </c>
      <c r="I55">
        <v>0.212693912906527</v>
      </c>
    </row>
    <row r="56" spans="1:9">
      <c r="A56" s="1" t="s">
        <v>68</v>
      </c>
      <c r="B56">
        <f>HYPERLINK("https://www.suredividend.com/sure-analysis-BOKF/","BOK Financial Corp.")</f>
        <v>0</v>
      </c>
      <c r="C56">
        <v>0.007302628577419001</v>
      </c>
      <c r="D56">
        <v>-0.009060455238218001</v>
      </c>
      <c r="E56">
        <v>0.190895621906419</v>
      </c>
      <c r="F56">
        <v>0.005070389795295001</v>
      </c>
      <c r="G56">
        <v>0.06022230236922901</v>
      </c>
      <c r="H56">
        <v>0.188751026711099</v>
      </c>
      <c r="I56">
        <v>0.224804865698736</v>
      </c>
    </row>
    <row r="57" spans="1:9">
      <c r="A57" s="1" t="s">
        <v>69</v>
      </c>
      <c r="B57">
        <f>HYPERLINK("https://www.suredividend.com/sure-analysis-BR/","Broadridge Financial Solutions, Inc.")</f>
        <v>0</v>
      </c>
      <c r="C57">
        <v>-0.06166167469722601</v>
      </c>
      <c r="D57">
        <v>-0.027900228066708</v>
      </c>
      <c r="E57">
        <v>-0.126267158170441</v>
      </c>
      <c r="F57">
        <v>0.07440542757026701</v>
      </c>
      <c r="G57">
        <v>-0.004334746927884</v>
      </c>
      <c r="H57">
        <v>0.07062913112699401</v>
      </c>
      <c r="I57">
        <v>0.5311353521101321</v>
      </c>
    </row>
    <row r="58" spans="1:9">
      <c r="A58" s="1" t="s">
        <v>70</v>
      </c>
      <c r="B58">
        <f>HYPERLINK("https://www.suredividend.com/sure-analysis-BRC/","Brady Corp.")</f>
        <v>0</v>
      </c>
      <c r="C58">
        <v>0.024100785101332</v>
      </c>
      <c r="D58">
        <v>0.176877885018883</v>
      </c>
      <c r="E58">
        <v>0.243711043950074</v>
      </c>
      <c r="F58">
        <v>0.196617300069548</v>
      </c>
      <c r="G58">
        <v>0.239426535969665</v>
      </c>
      <c r="H58">
        <v>0.08518792963013801</v>
      </c>
      <c r="I58">
        <v>0.6329536985280421</v>
      </c>
    </row>
    <row r="59" spans="1:9">
      <c r="A59" s="1" t="s">
        <v>71</v>
      </c>
      <c r="B59">
        <f>HYPERLINK("https://www.suredividend.com/sure-analysis-BRO/","Brown &amp; Brown, Inc.")</f>
        <v>0</v>
      </c>
      <c r="C59">
        <v>-0.027915738996403</v>
      </c>
      <c r="D59">
        <v>-0.044489485344125</v>
      </c>
      <c r="E59">
        <v>-0.09391891244728101</v>
      </c>
      <c r="F59">
        <v>-0.001720080622183</v>
      </c>
      <c r="G59">
        <v>-0.164267887773957</v>
      </c>
      <c r="H59">
        <v>0.280882445862632</v>
      </c>
      <c r="I59">
        <v>1.26517198306309</v>
      </c>
    </row>
    <row r="60" spans="1:9">
      <c r="A60" s="1" t="s">
        <v>72</v>
      </c>
      <c r="B60">
        <f>HYPERLINK("https://www.suredividend.com/sure-analysis-CAH/","Cardinal Health, Inc.")</f>
        <v>0</v>
      </c>
      <c r="C60">
        <v>-0.04410830049574101</v>
      </c>
      <c r="D60">
        <v>-0.064258792172126</v>
      </c>
      <c r="E60">
        <v>0.07395739016929101</v>
      </c>
      <c r="F60">
        <v>-0.021724990243267</v>
      </c>
      <c r="G60">
        <v>0.437251180667442</v>
      </c>
      <c r="H60">
        <v>0.540437508833958</v>
      </c>
      <c r="I60">
        <v>0.309167129459568</v>
      </c>
    </row>
    <row r="61" spans="1:9">
      <c r="A61" s="1" t="s">
        <v>73</v>
      </c>
      <c r="B61">
        <f>HYPERLINK("https://www.suredividend.com/sure-analysis-CASS/","Cass Information Systems Inc")</f>
        <v>0</v>
      </c>
      <c r="C61">
        <v>-0.035315746295948</v>
      </c>
      <c r="D61">
        <v>0.13038845521299</v>
      </c>
      <c r="E61">
        <v>0.373591576055596</v>
      </c>
      <c r="F61">
        <v>0.07142543493725101</v>
      </c>
      <c r="G61">
        <v>0.26605923496814</v>
      </c>
      <c r="H61">
        <v>0.157390937249488</v>
      </c>
      <c r="I61">
        <v>-0.09121721026030601</v>
      </c>
    </row>
    <row r="62" spans="1:9">
      <c r="A62" s="1" t="s">
        <v>74</v>
      </c>
      <c r="B62">
        <f>HYPERLINK("https://www.suredividend.com/sure-analysis-CASY/","Casey`s General Stores, Inc.")</f>
        <v>0</v>
      </c>
      <c r="C62">
        <v>-0.04736795066583201</v>
      </c>
      <c r="D62">
        <v>-0.08793678962991201</v>
      </c>
      <c r="E62">
        <v>0.003017804765816</v>
      </c>
      <c r="F62">
        <v>-0.048218166005074</v>
      </c>
      <c r="G62">
        <v>0.127295321444152</v>
      </c>
      <c r="H62">
        <v>0.09454478427691901</v>
      </c>
      <c r="I62">
        <v>0.9817958874806981</v>
      </c>
    </row>
    <row r="63" spans="1:9">
      <c r="A63" s="1" t="s">
        <v>75</v>
      </c>
      <c r="B63">
        <f>HYPERLINK("https://www.suredividend.com/sure-analysis-CAT/","Caterpillar Inc.")</f>
        <v>0</v>
      </c>
      <c r="C63">
        <v>0.030473038424281</v>
      </c>
      <c r="D63">
        <v>0.08638300117612401</v>
      </c>
      <c r="E63">
        <v>0.428103962791322</v>
      </c>
      <c r="F63">
        <v>0.07082834744481301</v>
      </c>
      <c r="G63">
        <v>0.335427670567657</v>
      </c>
      <c r="H63">
        <v>0.253108721697564</v>
      </c>
      <c r="I63">
        <v>0.9635454720246101</v>
      </c>
    </row>
    <row r="64" spans="1:9">
      <c r="A64" s="1" t="s">
        <v>76</v>
      </c>
      <c r="B64">
        <f>HYPERLINK("https://www.suredividend.com/sure-analysis-CB/","Chubb Limited")</f>
        <v>0</v>
      </c>
      <c r="C64">
        <v>-0.013057567670606</v>
      </c>
      <c r="D64">
        <v>-0.05139679646025801</v>
      </c>
      <c r="E64">
        <v>0.09384168714648801</v>
      </c>
      <c r="F64">
        <v>-0.06119673617407</v>
      </c>
      <c r="G64">
        <v>0.024055665905671</v>
      </c>
      <c r="H64">
        <v>0.290643427191133</v>
      </c>
      <c r="I64">
        <v>0.6384701072165471</v>
      </c>
    </row>
    <row r="65" spans="1:9">
      <c r="A65" s="1" t="s">
        <v>77</v>
      </c>
      <c r="B65">
        <f>HYPERLINK("https://www.suredividend.com/sure-analysis-CBOE/","Cboe Global Markets Inc.")</f>
        <v>0</v>
      </c>
      <c r="C65">
        <v>0.021239948974357</v>
      </c>
      <c r="D65">
        <v>-0.011148728988572</v>
      </c>
      <c r="E65">
        <v>0.063436006238779</v>
      </c>
      <c r="F65">
        <v>0.011390848436988</v>
      </c>
      <c r="G65">
        <v>0.066260664926257</v>
      </c>
      <c r="H65">
        <v>0.328751744899846</v>
      </c>
      <c r="I65">
        <v>0.194721337225951</v>
      </c>
    </row>
    <row r="66" spans="1:9">
      <c r="A66" s="1" t="s">
        <v>78</v>
      </c>
      <c r="B66">
        <f>HYPERLINK("https://www.suredividend.com/sure-analysis-CBSH/","Commerce Bancshares, Inc.")</f>
        <v>0</v>
      </c>
      <c r="C66">
        <v>-0.026253687315634</v>
      </c>
      <c r="D66">
        <v>-0.065402038505096</v>
      </c>
      <c r="E66">
        <v>0.013613620068382</v>
      </c>
      <c r="F66">
        <v>-0.030116057000146</v>
      </c>
      <c r="G66">
        <v>0.006727783978968001</v>
      </c>
      <c r="H66">
        <v>-0.007837214369979001</v>
      </c>
      <c r="I66">
        <v>0.39104857502855</v>
      </c>
    </row>
    <row r="67" spans="1:9">
      <c r="A67" s="1" t="s">
        <v>79</v>
      </c>
      <c r="B67">
        <f>HYPERLINK("https://www.suredividend.com/sure-analysis-research-database/","Cabot Corp.")</f>
        <v>0</v>
      </c>
      <c r="C67">
        <v>0.106634249840605</v>
      </c>
      <c r="D67">
        <v>0.120499952453085</v>
      </c>
      <c r="E67">
        <v>0.209681500664413</v>
      </c>
      <c r="F67">
        <v>0.257629055049457</v>
      </c>
      <c r="G67">
        <v>0.187232496622503</v>
      </c>
      <c r="H67">
        <v>0.7889906295040171</v>
      </c>
      <c r="I67">
        <v>0.592565236924061</v>
      </c>
    </row>
    <row r="68" spans="1:9">
      <c r="A68" s="1" t="s">
        <v>80</v>
      </c>
      <c r="B68">
        <f>HYPERLINK("https://www.suredividend.com/sure-analysis-CBU/","Community Bank System, Inc.")</f>
        <v>0</v>
      </c>
      <c r="C68">
        <v>-0.045897968974892</v>
      </c>
      <c r="D68">
        <v>-0.07838799772609301</v>
      </c>
      <c r="E68">
        <v>-0.06621631351090701</v>
      </c>
      <c r="F68">
        <v>-0.052263701350278</v>
      </c>
      <c r="G68">
        <v>-0.155120260119863</v>
      </c>
      <c r="H68">
        <v>-0.143828490161777</v>
      </c>
      <c r="I68">
        <v>0.246693107872597</v>
      </c>
    </row>
    <row r="69" spans="1:9">
      <c r="A69" s="1" t="s">
        <v>81</v>
      </c>
      <c r="B69">
        <f>HYPERLINK("https://www.suredividend.com/sure-analysis-CE/","Celanese Corp")</f>
        <v>0</v>
      </c>
      <c r="C69">
        <v>-0.001488066603808</v>
      </c>
      <c r="D69">
        <v>0.148045722713864</v>
      </c>
      <c r="E69">
        <v>0.180622770453526</v>
      </c>
      <c r="F69">
        <v>0.22518807237011</v>
      </c>
      <c r="G69">
        <v>-0.118654047298569</v>
      </c>
      <c r="H69">
        <v>-0.095842574677929</v>
      </c>
      <c r="I69">
        <v>0.327664764114034</v>
      </c>
    </row>
    <row r="70" spans="1:9">
      <c r="A70" s="1" t="s">
        <v>82</v>
      </c>
      <c r="B70">
        <f>HYPERLINK("https://www.suredividend.com/sure-analysis-CFR/","Cullen Frost Bankers Inc.")</f>
        <v>0</v>
      </c>
      <c r="C70">
        <v>0.030104638625924</v>
      </c>
      <c r="D70">
        <v>-0.05895966756503</v>
      </c>
      <c r="E70">
        <v>0.020239678782286</v>
      </c>
      <c r="F70">
        <v>-0.004412119021804</v>
      </c>
      <c r="G70">
        <v>0.002449454880677</v>
      </c>
      <c r="H70">
        <v>0.288095901433339</v>
      </c>
      <c r="I70">
        <v>0.4215023870876881</v>
      </c>
    </row>
    <row r="71" spans="1:9">
      <c r="A71" s="1" t="s">
        <v>83</v>
      </c>
      <c r="B71">
        <f>HYPERLINK("https://www.suredividend.com/sure-analysis-research-database/","City Holding Co.")</f>
        <v>0</v>
      </c>
      <c r="C71">
        <v>-0.021937293398777</v>
      </c>
      <c r="D71">
        <v>-0.030533623524552</v>
      </c>
      <c r="E71">
        <v>0.176011485503406</v>
      </c>
      <c r="F71">
        <v>0.05632126706623</v>
      </c>
      <c r="G71">
        <v>0.263405242018964</v>
      </c>
      <c r="H71">
        <v>0.3145087353440481</v>
      </c>
      <c r="I71">
        <v>0.6416650693891001</v>
      </c>
    </row>
    <row r="72" spans="1:9">
      <c r="A72" s="1" t="s">
        <v>84</v>
      </c>
      <c r="B72">
        <f>HYPERLINK("https://www.suredividend.com/sure-analysis-CHD/","Church &amp; Dwight Co., Inc.")</f>
        <v>0</v>
      </c>
      <c r="C72">
        <v>0.019253507541532</v>
      </c>
      <c r="D72">
        <v>0.017168185413986</v>
      </c>
      <c r="E72">
        <v>0.007305416150375001</v>
      </c>
      <c r="F72">
        <v>0.048208636084165</v>
      </c>
      <c r="G72">
        <v>-0.153053713007695</v>
      </c>
      <c r="H72">
        <v>0.106966449269076</v>
      </c>
      <c r="I72">
        <v>0.793418312372499</v>
      </c>
    </row>
    <row r="73" spans="1:9">
      <c r="A73" s="1" t="s">
        <v>85</v>
      </c>
      <c r="B73">
        <f>HYPERLINK("https://www.suredividend.com/sure-analysis-research-database/","Churchill Downs, Inc.")</f>
        <v>0</v>
      </c>
      <c r="C73">
        <v>-0.011394876289892</v>
      </c>
      <c r="D73">
        <v>0.11403941992547</v>
      </c>
      <c r="E73">
        <v>0.277616557473951</v>
      </c>
      <c r="F73">
        <v>0.173579908243863</v>
      </c>
      <c r="G73">
        <v>0.09656275107190201</v>
      </c>
      <c r="H73">
        <v>0.100759436617718</v>
      </c>
      <c r="I73">
        <v>1.880820882439334</v>
      </c>
    </row>
    <row r="74" spans="1:9">
      <c r="A74" s="1" t="s">
        <v>86</v>
      </c>
      <c r="B74">
        <f>HYPERLINK("https://www.suredividend.com/sure-analysis-research-database/","Chemed Corp.")</f>
        <v>0</v>
      </c>
      <c r="C74">
        <v>0.023350556633783</v>
      </c>
      <c r="D74">
        <v>-0.004259032423447</v>
      </c>
      <c r="E74">
        <v>0.109704981649265</v>
      </c>
      <c r="F74">
        <v>0.022408364973985</v>
      </c>
      <c r="G74">
        <v>0.077305801725986</v>
      </c>
      <c r="H74">
        <v>0.248492294962888</v>
      </c>
      <c r="I74">
        <v>1.007251787927543</v>
      </c>
    </row>
    <row r="75" spans="1:9">
      <c r="A75" s="1" t="s">
        <v>87</v>
      </c>
      <c r="B75">
        <f>HYPERLINK("https://www.suredividend.com/sure-analysis-CHRW/","C.H. Robinson Worldwide, Inc.")</f>
        <v>0</v>
      </c>
      <c r="C75">
        <v>0.036142090045435</v>
      </c>
      <c r="D75">
        <v>0.022220094153459</v>
      </c>
      <c r="E75">
        <v>-0.151457338617063</v>
      </c>
      <c r="F75">
        <v>0.095893403232852</v>
      </c>
      <c r="G75">
        <v>0.059052130400411</v>
      </c>
      <c r="H75">
        <v>0.170497945737609</v>
      </c>
      <c r="I75">
        <v>0.218679783810044</v>
      </c>
    </row>
    <row r="76" spans="1:9">
      <c r="A76" s="1" t="s">
        <v>88</v>
      </c>
      <c r="B76">
        <f>HYPERLINK("https://www.suredividend.com/sure-analysis-CINF/","Cincinnati Financial Corp.")</f>
        <v>0</v>
      </c>
      <c r="C76">
        <v>0.05168968812440201</v>
      </c>
      <c r="D76">
        <v>0.103614506158489</v>
      </c>
      <c r="E76">
        <v>0.267248544433255</v>
      </c>
      <c r="F76">
        <v>0.182342025588436</v>
      </c>
      <c r="G76">
        <v>0.007107821931756001</v>
      </c>
      <c r="H76">
        <v>0.269779335720594</v>
      </c>
      <c r="I76">
        <v>0.8476462580050421</v>
      </c>
    </row>
    <row r="77" spans="1:9">
      <c r="A77" s="1" t="s">
        <v>89</v>
      </c>
      <c r="B77">
        <f>HYPERLINK("https://www.suredividend.com/sure-analysis-CL/","Colgate-Palmolive Co.")</f>
        <v>0</v>
      </c>
      <c r="C77">
        <v>-0.004576659038901001</v>
      </c>
      <c r="D77">
        <v>-0.048034664668762</v>
      </c>
      <c r="E77">
        <v>-0.041758344282815</v>
      </c>
      <c r="F77">
        <v>-0.05552660617949901</v>
      </c>
      <c r="G77">
        <v>-0.020105396641989</v>
      </c>
      <c r="H77">
        <v>0.041443684584098</v>
      </c>
      <c r="I77">
        <v>0.195899495927149</v>
      </c>
    </row>
    <row r="78" spans="1:9">
      <c r="A78" s="1" t="s">
        <v>90</v>
      </c>
      <c r="B78">
        <f>HYPERLINK("https://www.suredividend.com/sure-analysis-CLX/","Clorox Co.")</f>
        <v>0</v>
      </c>
      <c r="C78">
        <v>0.006848872520514001</v>
      </c>
      <c r="D78">
        <v>0.042791734756289</v>
      </c>
      <c r="E78">
        <v>0.109398527019474</v>
      </c>
      <c r="F78">
        <v>0.119702466535748</v>
      </c>
      <c r="G78">
        <v>0.112197559060738</v>
      </c>
      <c r="H78">
        <v>-0.072768870548823</v>
      </c>
      <c r="I78">
        <v>0.351991504395295</v>
      </c>
    </row>
    <row r="79" spans="1:9">
      <c r="A79" s="1" t="s">
        <v>91</v>
      </c>
      <c r="B79">
        <f>HYPERLINK("https://www.suredividend.com/sure-analysis-CMCSA/","Comcast Corp")</f>
        <v>0</v>
      </c>
      <c r="C79">
        <v>-0.06855141356017</v>
      </c>
      <c r="D79">
        <v>0.038204127161182</v>
      </c>
      <c r="E79">
        <v>0.050365638965377</v>
      </c>
      <c r="F79">
        <v>0.06462682299113501</v>
      </c>
      <c r="G79">
        <v>-0.198363567852721</v>
      </c>
      <c r="H79">
        <v>-0.287125755382459</v>
      </c>
      <c r="I79">
        <v>0.119005969234098</v>
      </c>
    </row>
    <row r="80" spans="1:9">
      <c r="A80" s="1" t="s">
        <v>92</v>
      </c>
      <c r="B80">
        <f>HYPERLINK("https://www.suredividend.com/sure-analysis-CME/","CME Group Inc")</f>
        <v>0</v>
      </c>
      <c r="C80">
        <v>0.049504389691305</v>
      </c>
      <c r="D80">
        <v>0.083144128492495</v>
      </c>
      <c r="E80">
        <v>-0.012401874459003</v>
      </c>
      <c r="F80">
        <v>0.101867269267364</v>
      </c>
      <c r="G80">
        <v>-0.203694917468601</v>
      </c>
      <c r="H80">
        <v>-0.046353430302069</v>
      </c>
      <c r="I80">
        <v>0.292954864856943</v>
      </c>
    </row>
    <row r="81" spans="1:9">
      <c r="A81" s="1" t="s">
        <v>93</v>
      </c>
      <c r="B81">
        <f>HYPERLINK("https://www.suredividend.com/sure-analysis-CMI/","Cummins Inc.")</f>
        <v>0</v>
      </c>
      <c r="C81">
        <v>0.013980642187739</v>
      </c>
      <c r="D81">
        <v>0.039802273978188</v>
      </c>
      <c r="E81">
        <v>0.227659882172053</v>
      </c>
      <c r="F81">
        <v>0.07181705927722301</v>
      </c>
      <c r="G81">
        <v>0.31166172281781</v>
      </c>
      <c r="H81">
        <v>0.049878803807</v>
      </c>
      <c r="I81">
        <v>0.8637106518076311</v>
      </c>
    </row>
    <row r="82" spans="1:9">
      <c r="A82" s="1" t="s">
        <v>94</v>
      </c>
      <c r="B82">
        <f>HYPERLINK("https://www.suredividend.com/sure-analysis-CMS/","CMS Energy Corporation")</f>
        <v>0</v>
      </c>
      <c r="C82">
        <v>-0.03862837460076701</v>
      </c>
      <c r="D82">
        <v>-0.003203275569984</v>
      </c>
      <c r="E82">
        <v>-0.09418287999588201</v>
      </c>
      <c r="F82">
        <v>-0.047432572903086</v>
      </c>
      <c r="G82">
        <v>-0.080080923362623</v>
      </c>
      <c r="H82">
        <v>0.175844106336864</v>
      </c>
      <c r="I82">
        <v>0.617940100526425</v>
      </c>
    </row>
    <row r="83" spans="1:9">
      <c r="A83" s="1" t="s">
        <v>95</v>
      </c>
      <c r="B83">
        <f>HYPERLINK("https://www.suredividend.com/sure-analysis-research-database/","Cohen &amp; Steers Inc.")</f>
        <v>0</v>
      </c>
      <c r="C83">
        <v>-0.04985447624702401</v>
      </c>
      <c r="D83">
        <v>0.069371145923143</v>
      </c>
      <c r="E83">
        <v>0.038691963865284</v>
      </c>
      <c r="F83">
        <v>0.119393663067035</v>
      </c>
      <c r="G83">
        <v>-0.042595102798496</v>
      </c>
      <c r="H83">
        <v>0.183692811158975</v>
      </c>
      <c r="I83">
        <v>1.080624564662177</v>
      </c>
    </row>
    <row r="84" spans="1:9">
      <c r="A84" s="1" t="s">
        <v>96</v>
      </c>
      <c r="B84">
        <f>HYPERLINK("https://www.suredividend.com/sure-analysis-COST/","Costco Wholesale Corp")</f>
        <v>0</v>
      </c>
      <c r="C84">
        <v>-0.07680652680652601</v>
      </c>
      <c r="D84">
        <v>-0.037293288277649</v>
      </c>
      <c r="E84">
        <v>-0.081222121888569</v>
      </c>
      <c r="F84">
        <v>0.042907642130343</v>
      </c>
      <c r="G84">
        <v>-0.08934850459895601</v>
      </c>
      <c r="H84">
        <v>0.510713842965355</v>
      </c>
      <c r="I84">
        <v>1.686481108824926</v>
      </c>
    </row>
    <row r="85" spans="1:9">
      <c r="A85" s="1" t="s">
        <v>97</v>
      </c>
      <c r="B85">
        <f>HYPERLINK("https://www.suredividend.com/sure-analysis-CPK/","Chesapeake Utilities Corp")</f>
        <v>0</v>
      </c>
      <c r="C85">
        <v>0.022526082832753</v>
      </c>
      <c r="D85">
        <v>0.111441394383428</v>
      </c>
      <c r="E85">
        <v>0.027332263410628</v>
      </c>
      <c r="F85">
        <v>0.09468607209341601</v>
      </c>
      <c r="G85">
        <v>-0.061876826464978</v>
      </c>
      <c r="H85">
        <v>0.232816142010661</v>
      </c>
      <c r="I85">
        <v>1.059346491374686</v>
      </c>
    </row>
    <row r="86" spans="1:9">
      <c r="A86" s="1" t="s">
        <v>98</v>
      </c>
      <c r="B86">
        <f>HYPERLINK("https://www.suredividend.com/sure-analysis-CSCO/","Cisco Systems, Inc.")</f>
        <v>0</v>
      </c>
      <c r="C86">
        <v>0.013366234834464</v>
      </c>
      <c r="D86">
        <v>-0.0005273191903620001</v>
      </c>
      <c r="E86">
        <v>0.124359448224251</v>
      </c>
      <c r="F86">
        <v>0.042689325975828</v>
      </c>
      <c r="G86">
        <v>-0.106733395808825</v>
      </c>
      <c r="H86">
        <v>0.163474273950028</v>
      </c>
      <c r="I86">
        <v>0.280392431966161</v>
      </c>
    </row>
    <row r="87" spans="1:9">
      <c r="A87" s="1" t="s">
        <v>99</v>
      </c>
      <c r="B87">
        <f>HYPERLINK("https://www.suredividend.com/sure-analysis-CSL/","Carlisle Companies Inc.")</f>
        <v>0</v>
      </c>
      <c r="C87">
        <v>0.062781545621651</v>
      </c>
      <c r="D87">
        <v>0.024932138402906</v>
      </c>
      <c r="E87">
        <v>-0.097739760600555</v>
      </c>
      <c r="F87">
        <v>0.129665071159451</v>
      </c>
      <c r="G87">
        <v>0.155192425447134</v>
      </c>
      <c r="H87">
        <v>0.8588456585267471</v>
      </c>
      <c r="I87">
        <v>1.750152043705701</v>
      </c>
    </row>
    <row r="88" spans="1:9">
      <c r="A88" s="1" t="s">
        <v>100</v>
      </c>
      <c r="B88">
        <f>HYPERLINK("https://www.suredividend.com/sure-analysis-CSX/","CSX Corp.")</f>
        <v>0</v>
      </c>
      <c r="C88">
        <v>-0.031242808182966</v>
      </c>
      <c r="D88">
        <v>-0.024590343600968</v>
      </c>
      <c r="E88">
        <v>0.003863990125716</v>
      </c>
      <c r="F88">
        <v>0.009096445648089001</v>
      </c>
      <c r="G88">
        <v>-0.156911834359564</v>
      </c>
      <c r="H88">
        <v>0.08469689424988701</v>
      </c>
      <c r="I88">
        <v>0.8038520783387181</v>
      </c>
    </row>
    <row r="89" spans="1:9">
      <c r="A89" s="1" t="s">
        <v>101</v>
      </c>
      <c r="B89">
        <f>HYPERLINK("https://www.suredividend.com/sure-analysis-CTAS/","Cintas Corporation")</f>
        <v>0</v>
      </c>
      <c r="C89">
        <v>0.001281940010102</v>
      </c>
      <c r="D89">
        <v>-0.042252104563483</v>
      </c>
      <c r="E89">
        <v>0.094501680333178</v>
      </c>
      <c r="F89">
        <v>-0.01911531905003</v>
      </c>
      <c r="G89">
        <v>0.178216396100433</v>
      </c>
      <c r="H89">
        <v>0.379358355646253</v>
      </c>
      <c r="I89">
        <v>1.719836803636216</v>
      </c>
    </row>
    <row r="90" spans="1:9">
      <c r="A90" s="1" t="s">
        <v>102</v>
      </c>
      <c r="B90">
        <f>HYPERLINK("https://www.suredividend.com/sure-analysis-CTBI/","Community Trust Bancorp, Inc.")</f>
        <v>0</v>
      </c>
      <c r="C90">
        <v>-0.044519015659955</v>
      </c>
      <c r="D90">
        <v>-0.09995153098855701</v>
      </c>
      <c r="E90">
        <v>0.036615260646482</v>
      </c>
      <c r="F90">
        <v>-0.07010668408447601</v>
      </c>
      <c r="G90">
        <v>0.045647623361202</v>
      </c>
      <c r="H90">
        <v>0.07849450147090301</v>
      </c>
      <c r="I90">
        <v>0.162255935777944</v>
      </c>
    </row>
    <row r="91" spans="1:9">
      <c r="A91" s="1" t="s">
        <v>103</v>
      </c>
      <c r="B91">
        <f>HYPERLINK("https://www.suredividend.com/sure-analysis-CUBE/","CubeSmart")</f>
        <v>0</v>
      </c>
      <c r="C91">
        <v>0.04578675838349</v>
      </c>
      <c r="D91">
        <v>0.177338947776003</v>
      </c>
      <c r="E91">
        <v>0.083084732178636</v>
      </c>
      <c r="F91">
        <v>0.208695652173912</v>
      </c>
      <c r="G91">
        <v>-0.011369755839827</v>
      </c>
      <c r="H91">
        <v>0.4759061730192821</v>
      </c>
      <c r="I91">
        <v>1.183739333791178</v>
      </c>
    </row>
    <row r="92" spans="1:9">
      <c r="A92" s="1" t="s">
        <v>104</v>
      </c>
      <c r="B92">
        <f>HYPERLINK("https://www.suredividend.com/sure-analysis-CVX/","Chevron Corp.")</f>
        <v>0</v>
      </c>
      <c r="C92">
        <v>-0.017891216687276</v>
      </c>
      <c r="D92">
        <v>-0.080714452499586</v>
      </c>
      <c r="E92">
        <v>0.062436842135771</v>
      </c>
      <c r="F92">
        <v>-0.07282713531912501</v>
      </c>
      <c r="G92">
        <v>0.07545949554586601</v>
      </c>
      <c r="H92">
        <v>0.712160637534887</v>
      </c>
      <c r="I92">
        <v>0.812221509364316</v>
      </c>
    </row>
    <row r="93" spans="1:9">
      <c r="A93" s="1" t="s">
        <v>105</v>
      </c>
      <c r="B93">
        <f>HYPERLINK("https://www.suredividend.com/sure-analysis-CWT/","California Water Service Group")</f>
        <v>0</v>
      </c>
      <c r="C93">
        <v>-0.09302696665071</v>
      </c>
      <c r="D93">
        <v>-0.112408941496131</v>
      </c>
      <c r="E93">
        <v>-0.01923060331812</v>
      </c>
      <c r="F93">
        <v>-0.05883599670824401</v>
      </c>
      <c r="G93">
        <v>-0.013542102349345</v>
      </c>
      <c r="H93">
        <v>0.116710380259138</v>
      </c>
      <c r="I93">
        <v>0.697324414715719</v>
      </c>
    </row>
    <row r="94" spans="1:9">
      <c r="A94" s="1" t="s">
        <v>106</v>
      </c>
      <c r="B94">
        <f>HYPERLINK("https://www.suredividend.com/sure-analysis-DCI/","Donaldson Co. Inc.")</f>
        <v>0</v>
      </c>
      <c r="C94">
        <v>0.05408633769213501</v>
      </c>
      <c r="D94">
        <v>0.104008529699628</v>
      </c>
      <c r="E94">
        <v>0.325512499133036</v>
      </c>
      <c r="F94">
        <v>0.140389461157881</v>
      </c>
      <c r="G94">
        <v>0.3400647093588161</v>
      </c>
      <c r="H94">
        <v>0.208327688208463</v>
      </c>
      <c r="I94">
        <v>0.542751443806852</v>
      </c>
    </row>
    <row r="95" spans="1:9">
      <c r="A95" s="1" t="s">
        <v>107</v>
      </c>
      <c r="B95">
        <f>HYPERLINK("https://www.suredividend.com/sure-analysis-DDS/","Dillard`s Inc.")</f>
        <v>0</v>
      </c>
      <c r="C95">
        <v>-0.103024880073571</v>
      </c>
      <c r="D95">
        <v>0.059679189231488</v>
      </c>
      <c r="E95">
        <v>0.310333984845178</v>
      </c>
      <c r="F95">
        <v>0.116584158415841</v>
      </c>
      <c r="G95">
        <v>0.488866711196246</v>
      </c>
      <c r="H95">
        <v>3.594405692337268</v>
      </c>
      <c r="I95">
        <v>3.462426487681585</v>
      </c>
    </row>
    <row r="96" spans="1:9">
      <c r="A96" s="1" t="s">
        <v>108</v>
      </c>
      <c r="B96">
        <f>HYPERLINK("https://www.suredividend.com/sure-analysis-DFS/","Discover Financial Services")</f>
        <v>0</v>
      </c>
      <c r="C96">
        <v>-0.030214025520149</v>
      </c>
      <c r="D96">
        <v>0.09491940984826401</v>
      </c>
      <c r="E96">
        <v>0.165963654687017</v>
      </c>
      <c r="F96">
        <v>0.179643568182822</v>
      </c>
      <c r="G96">
        <v>0.065070746421846</v>
      </c>
      <c r="H96">
        <v>0.250224674426331</v>
      </c>
      <c r="I96">
        <v>0.6913758547512381</v>
      </c>
    </row>
    <row r="97" spans="1:9">
      <c r="A97" s="1" t="s">
        <v>109</v>
      </c>
      <c r="B97">
        <f>HYPERLINK("https://www.suredividend.com/sure-analysis-DGX/","Quest Diagnostics, Inc.")</f>
        <v>0</v>
      </c>
      <c r="C97">
        <v>-0.014074644632728</v>
      </c>
      <c r="D97">
        <v>-0.064203110461252</v>
      </c>
      <c r="E97">
        <v>0.131315338884384</v>
      </c>
      <c r="F97">
        <v>-0.09997443109179201</v>
      </c>
      <c r="G97">
        <v>0.033486276579424</v>
      </c>
      <c r="H97">
        <v>0.224092363332869</v>
      </c>
      <c r="I97">
        <v>0.493477702844608</v>
      </c>
    </row>
    <row r="98" spans="1:9">
      <c r="A98" s="1" t="s">
        <v>110</v>
      </c>
      <c r="B98">
        <f>HYPERLINK("https://www.suredividend.com/sure-analysis-DLR/","Digital Realty Trust Inc")</f>
        <v>0</v>
      </c>
      <c r="C98">
        <v>-0.07994097734571601</v>
      </c>
      <c r="D98">
        <v>-0.03313430494214301</v>
      </c>
      <c r="E98">
        <v>-0.08457649572428101</v>
      </c>
      <c r="F98">
        <v>0.057145706592201</v>
      </c>
      <c r="G98">
        <v>-0.207720687160291</v>
      </c>
      <c r="H98">
        <v>-0.118668757472608</v>
      </c>
      <c r="I98">
        <v>0.285641686810407</v>
      </c>
    </row>
    <row r="99" spans="1:9">
      <c r="A99" s="1" t="s">
        <v>111</v>
      </c>
      <c r="B99">
        <f>HYPERLINK("https://www.suredividend.com/sure-analysis-DOV/","Dover Corp.")</f>
        <v>0</v>
      </c>
      <c r="C99">
        <v>-0.027767561950349</v>
      </c>
      <c r="D99">
        <v>0.08145567500246501</v>
      </c>
      <c r="E99">
        <v>0.217023694385007</v>
      </c>
      <c r="F99">
        <v>0.145986786138784</v>
      </c>
      <c r="G99">
        <v>0.03983023838436001</v>
      </c>
      <c r="H99">
        <v>0.267562689642623</v>
      </c>
      <c r="I99">
        <v>1.136430386077077</v>
      </c>
    </row>
    <row r="100" spans="1:9">
      <c r="A100" s="1" t="s">
        <v>112</v>
      </c>
      <c r="B100">
        <f>HYPERLINK("https://www.suredividend.com/sure-analysis-DTE/","DTE Energy Co.")</f>
        <v>0</v>
      </c>
      <c r="C100">
        <v>-0.030241220290883</v>
      </c>
      <c r="D100">
        <v>-0.041965167307838</v>
      </c>
      <c r="E100">
        <v>-0.153701308802667</v>
      </c>
      <c r="F100">
        <v>-0.06959925125499801</v>
      </c>
      <c r="G100">
        <v>-0.119538278948953</v>
      </c>
      <c r="H100">
        <v>0.137997997706312</v>
      </c>
      <c r="I100">
        <v>0.501858266332279</v>
      </c>
    </row>
    <row r="101" spans="1:9">
      <c r="A101" s="1" t="s">
        <v>113</v>
      </c>
      <c r="B101">
        <f>HYPERLINK("https://www.suredividend.com/sure-analysis-DUK/","Duke Energy Corp.")</f>
        <v>0</v>
      </c>
      <c r="C101">
        <v>-0.041899688233214</v>
      </c>
      <c r="D101">
        <v>-0.031695502292097</v>
      </c>
      <c r="E101">
        <v>-0.090048821995272</v>
      </c>
      <c r="F101">
        <v>-0.0643195693457</v>
      </c>
      <c r="G101">
        <v>-0.05804028139306101</v>
      </c>
      <c r="H101">
        <v>0.191758265097812</v>
      </c>
      <c r="I101">
        <v>0.5568133227576431</v>
      </c>
    </row>
    <row r="102" spans="1:9">
      <c r="A102" s="1" t="s">
        <v>114</v>
      </c>
      <c r="B102">
        <f>HYPERLINK("https://www.suredividend.com/sure-analysis-ECL/","Ecolab, Inc.")</f>
        <v>0</v>
      </c>
      <c r="C102">
        <v>0.065953421619153</v>
      </c>
      <c r="D102">
        <v>0.083532102456779</v>
      </c>
      <c r="E102">
        <v>0.017914421679459</v>
      </c>
      <c r="F102">
        <v>0.1225611431712</v>
      </c>
      <c r="G102">
        <v>-0.014658314378269</v>
      </c>
      <c r="H102">
        <v>-0.183111096890822</v>
      </c>
      <c r="I102">
        <v>0.347569961890325</v>
      </c>
    </row>
    <row r="103" spans="1:9">
      <c r="A103" s="1" t="s">
        <v>115</v>
      </c>
      <c r="B103">
        <f>HYPERLINK("https://www.suredividend.com/sure-analysis-ED/","Consolidated Edison, Inc.")</f>
        <v>0</v>
      </c>
      <c r="C103">
        <v>-0.015511474843924</v>
      </c>
      <c r="D103">
        <v>-0.060210175512407</v>
      </c>
      <c r="E103">
        <v>-0.062704442361335</v>
      </c>
      <c r="F103">
        <v>-0.04009500614428101</v>
      </c>
      <c r="G103">
        <v>0.043809137962586</v>
      </c>
      <c r="H103">
        <v>0.457251388317564</v>
      </c>
      <c r="I103">
        <v>0.4399809463321681</v>
      </c>
    </row>
    <row r="104" spans="1:9">
      <c r="A104" s="1" t="s">
        <v>116</v>
      </c>
      <c r="B104">
        <f>HYPERLINK("https://www.suredividend.com/sure-analysis-EGP/","Eastgroup Properties, Inc.")</f>
        <v>0</v>
      </c>
      <c r="C104">
        <v>-0.042156748573425</v>
      </c>
      <c r="D104">
        <v>0.07954720705715401</v>
      </c>
      <c r="E104">
        <v>0.000817689346189</v>
      </c>
      <c r="F104">
        <v>0.111036066459543</v>
      </c>
      <c r="G104">
        <v>-0.105805253625157</v>
      </c>
      <c r="H104">
        <v>0.273529325238486</v>
      </c>
      <c r="I104">
        <v>1.26257413540784</v>
      </c>
    </row>
    <row r="105" spans="1:9">
      <c r="A105" s="1" t="s">
        <v>117</v>
      </c>
      <c r="B105">
        <f>HYPERLINK("https://www.suredividend.com/sure-analysis-EIX/","Edison International")</f>
        <v>0</v>
      </c>
      <c r="C105">
        <v>0.006430387318677001</v>
      </c>
      <c r="D105">
        <v>0.041336252582065</v>
      </c>
      <c r="E105">
        <v>0.013218511938815</v>
      </c>
      <c r="F105">
        <v>0.057843445457403</v>
      </c>
      <c r="G105">
        <v>0.072344195399276</v>
      </c>
      <c r="H105">
        <v>0.289620376385192</v>
      </c>
      <c r="I105">
        <v>0.379635513827104</v>
      </c>
    </row>
    <row r="106" spans="1:9">
      <c r="A106" s="1" t="s">
        <v>118</v>
      </c>
      <c r="B106">
        <f>HYPERLINK("https://www.suredividend.com/sure-analysis-ELS/","Equity Lifestyle Properties Inc.")</f>
        <v>0</v>
      </c>
      <c r="C106">
        <v>-0.06278397356464201</v>
      </c>
      <c r="D106">
        <v>0.03672318105113</v>
      </c>
      <c r="E106">
        <v>-0.014362477719263</v>
      </c>
      <c r="F106">
        <v>0.053715170278637</v>
      </c>
      <c r="G106">
        <v>-0.102382701185878</v>
      </c>
      <c r="H106">
        <v>0.202645927046194</v>
      </c>
      <c r="I106">
        <v>0.8186870292641081</v>
      </c>
    </row>
    <row r="107" spans="1:9">
      <c r="A107" s="1" t="s">
        <v>119</v>
      </c>
      <c r="B107">
        <f>HYPERLINK("https://www.suredividend.com/sure-analysis-EMN/","Eastman Chemical Co")</f>
        <v>0</v>
      </c>
      <c r="C107">
        <v>-0.03259423503325901</v>
      </c>
      <c r="D107">
        <v>0.006050599987087</v>
      </c>
      <c r="E107">
        <v>-0.007457152086773001</v>
      </c>
      <c r="F107">
        <v>0.07146365422396801</v>
      </c>
      <c r="G107">
        <v>-0.21470868806134</v>
      </c>
      <c r="H107">
        <v>-0.168828892673578</v>
      </c>
      <c r="I107">
        <v>0.011879084739945</v>
      </c>
    </row>
    <row r="108" spans="1:9">
      <c r="A108" s="1" t="s">
        <v>120</v>
      </c>
      <c r="B108">
        <f>HYPERLINK("https://www.suredividend.com/sure-analysis-EMR/","Emerson Electric Co.")</f>
        <v>0</v>
      </c>
      <c r="C108">
        <v>-0.05837854855558901</v>
      </c>
      <c r="D108">
        <v>-0.11164652795447</v>
      </c>
      <c r="E108">
        <v>0.06483492817903701</v>
      </c>
      <c r="F108">
        <v>-0.104155299297378</v>
      </c>
      <c r="G108">
        <v>-0.037876444619407</v>
      </c>
      <c r="H108">
        <v>0.016669142772247</v>
      </c>
      <c r="I108">
        <v>0.414751856096879</v>
      </c>
    </row>
    <row r="109" spans="1:9">
      <c r="A109" s="1" t="s">
        <v>121</v>
      </c>
      <c r="B109">
        <f>HYPERLINK("https://www.suredividend.com/sure-analysis-research-database/","Ensign Group Inc")</f>
        <v>0</v>
      </c>
      <c r="C109">
        <v>-0.010281385281385</v>
      </c>
      <c r="D109">
        <v>-0.029419880707265</v>
      </c>
      <c r="E109">
        <v>0.110189830928225</v>
      </c>
      <c r="F109">
        <v>-0.03340027481238701</v>
      </c>
      <c r="G109">
        <v>0.07381935645988301</v>
      </c>
      <c r="H109">
        <v>0.113684743797707</v>
      </c>
      <c r="I109">
        <v>2.712680356287401</v>
      </c>
    </row>
    <row r="110" spans="1:9">
      <c r="A110" s="1" t="s">
        <v>122</v>
      </c>
      <c r="B110">
        <f>HYPERLINK("https://www.suredividend.com/sure-analysis-EPD/","Enterprise Products Partners L P")</f>
        <v>0</v>
      </c>
      <c r="C110">
        <v>0.010848508330104</v>
      </c>
      <c r="D110">
        <v>0.06965684063794</v>
      </c>
      <c r="E110">
        <v>0.030528773042726</v>
      </c>
      <c r="F110">
        <v>0.102029609917844</v>
      </c>
      <c r="G110">
        <v>0.104436796498313</v>
      </c>
      <c r="H110">
        <v>0.323633116701926</v>
      </c>
      <c r="I110">
        <v>0.5130075737366471</v>
      </c>
    </row>
    <row r="111" spans="1:9">
      <c r="A111" s="1" t="s">
        <v>123</v>
      </c>
      <c r="B111">
        <f>HYPERLINK("https://www.suredividend.com/sure-analysis-ERIE/","Erie Indemnity Co.")</f>
        <v>0</v>
      </c>
      <c r="C111">
        <v>-0.038042369076288</v>
      </c>
      <c r="D111">
        <v>-0.154415431855578</v>
      </c>
      <c r="E111">
        <v>0.103827307021085</v>
      </c>
      <c r="F111">
        <v>-0.047833373466521</v>
      </c>
      <c r="G111">
        <v>0.3977797561254801</v>
      </c>
      <c r="H111">
        <v>0.070678306759079</v>
      </c>
      <c r="I111">
        <v>1.301676130426035</v>
      </c>
    </row>
    <row r="112" spans="1:9">
      <c r="A112" s="1" t="s">
        <v>124</v>
      </c>
      <c r="B112">
        <f>HYPERLINK("https://www.suredividend.com/sure-analysis-ES/","Eversource Energy")</f>
        <v>0</v>
      </c>
      <c r="C112">
        <v>-0.052621929089806</v>
      </c>
      <c r="D112">
        <v>-0.083845613898732</v>
      </c>
      <c r="E112">
        <v>-0.137342525560115</v>
      </c>
      <c r="F112">
        <v>-0.09205791380327101</v>
      </c>
      <c r="G112">
        <v>-0.0946968242387</v>
      </c>
      <c r="H112">
        <v>0.03623526826186</v>
      </c>
      <c r="I112">
        <v>0.542260892319769</v>
      </c>
    </row>
    <row r="113" spans="1:9">
      <c r="A113" s="1" t="s">
        <v>125</v>
      </c>
      <c r="B113">
        <f>HYPERLINK("https://www.suredividend.com/sure-analysis-ESS/","Essex Property Trust, Inc.")</f>
        <v>0</v>
      </c>
      <c r="C113">
        <v>0.007988191369280001</v>
      </c>
      <c r="D113">
        <v>0.07747839056712101</v>
      </c>
      <c r="E113">
        <v>-0.110020112518173</v>
      </c>
      <c r="F113">
        <v>0.09560211400528501</v>
      </c>
      <c r="G113">
        <v>-0.272578939189629</v>
      </c>
      <c r="H113">
        <v>-0.07680550369925901</v>
      </c>
      <c r="I113">
        <v>0.220399991379722</v>
      </c>
    </row>
    <row r="114" spans="1:9">
      <c r="A114" s="1" t="s">
        <v>126</v>
      </c>
      <c r="B114">
        <f>HYPERLINK("https://www.suredividend.com/sure-analysis-ETN/","Eaton Corporation plc")</f>
        <v>0</v>
      </c>
      <c r="C114">
        <v>0.09302905407277201</v>
      </c>
      <c r="D114">
        <v>0.092560924655447</v>
      </c>
      <c r="E114">
        <v>0.306222563256706</v>
      </c>
      <c r="F114">
        <v>0.136833666924063</v>
      </c>
      <c r="G114">
        <v>0.217494341102759</v>
      </c>
      <c r="H114">
        <v>0.383215838541979</v>
      </c>
      <c r="I114">
        <v>1.604904056490693</v>
      </c>
    </row>
    <row r="115" spans="1:9">
      <c r="A115" s="1" t="s">
        <v>127</v>
      </c>
      <c r="B115">
        <f>HYPERLINK("https://www.suredividend.com/sure-analysis-EVR/","Evercore Inc")</f>
        <v>0</v>
      </c>
      <c r="C115">
        <v>-0.008268921263925</v>
      </c>
      <c r="D115">
        <v>0.152754819257171</v>
      </c>
      <c r="E115">
        <v>0.436183891433352</v>
      </c>
      <c r="F115">
        <v>0.220389241101559</v>
      </c>
      <c r="G115">
        <v>0.144165155347476</v>
      </c>
      <c r="H115">
        <v>0.149179789855336</v>
      </c>
      <c r="I115">
        <v>0.636498516320475</v>
      </c>
    </row>
    <row r="116" spans="1:9">
      <c r="A116" s="1" t="s">
        <v>128</v>
      </c>
      <c r="B116">
        <f>HYPERLINK("https://www.suredividend.com/sure-analysis-EVRG/","Evergy Inc")</f>
        <v>0</v>
      </c>
      <c r="C116">
        <v>-0.034231018818948</v>
      </c>
      <c r="D116">
        <v>0.017606837606837</v>
      </c>
      <c r="E116">
        <v>-0.12023243716157</v>
      </c>
      <c r="F116">
        <v>-0.054028285396472</v>
      </c>
      <c r="G116">
        <v>-0.03987587577255</v>
      </c>
      <c r="H116">
        <v>0.165990602346866</v>
      </c>
      <c r="I116">
        <v>0.280391279659996</v>
      </c>
    </row>
    <row r="117" spans="1:9">
      <c r="A117" s="1" t="s">
        <v>129</v>
      </c>
      <c r="B117">
        <f>HYPERLINK("https://www.suredividend.com/sure-analysis-EXPD/","Expeditors International Of Washington, Inc.")</f>
        <v>0</v>
      </c>
      <c r="C117">
        <v>-0.06519695804494501</v>
      </c>
      <c r="D117">
        <v>-0.052977839335179</v>
      </c>
      <c r="E117">
        <v>0.08230997001388</v>
      </c>
      <c r="F117">
        <v>0.052732871439568</v>
      </c>
      <c r="G117">
        <v>0.105801109439943</v>
      </c>
      <c r="H117">
        <v>0.190463236014233</v>
      </c>
      <c r="I117">
        <v>0.811993275418009</v>
      </c>
    </row>
    <row r="118" spans="1:9">
      <c r="A118" s="1" t="s">
        <v>130</v>
      </c>
      <c r="B118">
        <f>HYPERLINK("https://www.suredividend.com/sure-analysis-EXR/","Extra Space Storage Inc.")</f>
        <v>0</v>
      </c>
      <c r="C118">
        <v>0.03665788021823</v>
      </c>
      <c r="D118">
        <v>0.073738828316076</v>
      </c>
      <c r="E118">
        <v>-0.138019355953507</v>
      </c>
      <c r="F118">
        <v>0.149001222992254</v>
      </c>
      <c r="G118">
        <v>-0.128771857337228</v>
      </c>
      <c r="H118">
        <v>0.47313110265749</v>
      </c>
      <c r="I118">
        <v>1.347589247538717</v>
      </c>
    </row>
    <row r="119" spans="1:9">
      <c r="A119" s="1" t="s">
        <v>131</v>
      </c>
      <c r="B119">
        <f>HYPERLINK("https://www.suredividend.com/sure-analysis-FAF/","First American Financial Corp")</f>
        <v>0</v>
      </c>
      <c r="C119">
        <v>-0.131126670910248</v>
      </c>
      <c r="D119">
        <v>0.037159171640345</v>
      </c>
      <c r="E119">
        <v>0.04747598574972201</v>
      </c>
      <c r="F119">
        <v>0.043179212839128</v>
      </c>
      <c r="G119">
        <v>-0.139330695628871</v>
      </c>
      <c r="H119">
        <v>0.135541191444757</v>
      </c>
      <c r="I119">
        <v>0.115159635306035</v>
      </c>
    </row>
    <row r="120" spans="1:9">
      <c r="A120" s="1" t="s">
        <v>132</v>
      </c>
      <c r="B120">
        <f>HYPERLINK("https://www.suredividend.com/sure-analysis-FAST/","Fastenal Co.")</f>
        <v>0</v>
      </c>
      <c r="C120">
        <v>-0.009594095940959</v>
      </c>
      <c r="D120">
        <v>0.05102606223531</v>
      </c>
      <c r="E120">
        <v>0.07809782412223701</v>
      </c>
      <c r="F120">
        <v>0.142312373915782</v>
      </c>
      <c r="G120">
        <v>0.020249132370102</v>
      </c>
      <c r="H120">
        <v>0.273139089496839</v>
      </c>
      <c r="I120">
        <v>1.255955082623094</v>
      </c>
    </row>
    <row r="121" spans="1:9">
      <c r="A121" s="1" t="s">
        <v>133</v>
      </c>
      <c r="B121">
        <f>HYPERLINK("https://www.suredividend.com/sure-analysis-research-database/","First Community Bankshares Inc.")</f>
        <v>0</v>
      </c>
      <c r="C121">
        <v>-0.074696867785271</v>
      </c>
      <c r="D121">
        <v>-0.180297068501827</v>
      </c>
      <c r="E121">
        <v>-0.006519108404575</v>
      </c>
      <c r="F121">
        <v>-0.091074133707935</v>
      </c>
      <c r="G121">
        <v>0.092321558865187</v>
      </c>
      <c r="H121">
        <v>0.200089594115081</v>
      </c>
      <c r="I121">
        <v>0.322851016828016</v>
      </c>
    </row>
    <row r="122" spans="1:9">
      <c r="A122" s="1" t="s">
        <v>134</v>
      </c>
      <c r="B122">
        <f>HYPERLINK("https://www.suredividend.com/sure-analysis-FDS/","Factset Research Systems Inc.")</f>
        <v>0</v>
      </c>
      <c r="C122">
        <v>-0.012790133526462</v>
      </c>
      <c r="D122">
        <v>-0.104125044745891</v>
      </c>
      <c r="E122">
        <v>-0.017462206585802</v>
      </c>
      <c r="F122">
        <v>0.05204632001091</v>
      </c>
      <c r="G122">
        <v>0.028388855018901</v>
      </c>
      <c r="H122">
        <v>0.40771543025893</v>
      </c>
      <c r="I122">
        <v>1.146111904552029</v>
      </c>
    </row>
    <row r="123" spans="1:9">
      <c r="A123" s="1" t="s">
        <v>135</v>
      </c>
      <c r="B123">
        <f>HYPERLINK("https://www.suredividend.com/sure-analysis-FELE/","Franklin Electric Co., Inc.")</f>
        <v>0</v>
      </c>
      <c r="C123">
        <v>0.031000319590923</v>
      </c>
      <c r="D123">
        <v>0.161381369417197</v>
      </c>
      <c r="E123">
        <v>0.133633589663997</v>
      </c>
      <c r="F123">
        <v>0.216573456373434</v>
      </c>
      <c r="G123">
        <v>0.177496888356796</v>
      </c>
      <c r="H123">
        <v>0.336852966893619</v>
      </c>
      <c r="I123">
        <v>1.556496242389021</v>
      </c>
    </row>
    <row r="124" spans="1:9">
      <c r="A124" s="1" t="s">
        <v>136</v>
      </c>
      <c r="B124">
        <f>HYPERLINK("https://www.suredividend.com/sure-analysis-research-database/","First Financial Bankshares, Inc.")</f>
        <v>0</v>
      </c>
      <c r="C124">
        <v>-0.019655358104469</v>
      </c>
      <c r="D124">
        <v>-0.017910125694556</v>
      </c>
      <c r="E124">
        <v>-0.119783003906703</v>
      </c>
      <c r="F124">
        <v>0.05843023255813901</v>
      </c>
      <c r="G124">
        <v>-0.198473114397545</v>
      </c>
      <c r="H124">
        <v>-0.16552071873854</v>
      </c>
      <c r="I124">
        <v>0.6757411046728371</v>
      </c>
    </row>
    <row r="125" spans="1:9">
      <c r="A125" s="1" t="s">
        <v>137</v>
      </c>
      <c r="B125">
        <f>HYPERLINK("https://www.suredividend.com/sure-analysis-research-database/","Financial Institutions Inc.")</f>
        <v>0</v>
      </c>
      <c r="C125">
        <v>-0.0328125</v>
      </c>
      <c r="D125">
        <v>-0.009885153075914001</v>
      </c>
      <c r="E125">
        <v>-0.013907253118378</v>
      </c>
      <c r="F125">
        <v>0.016420361247947</v>
      </c>
      <c r="G125">
        <v>-0.184753977452323</v>
      </c>
      <c r="H125">
        <v>-0.071678701849893</v>
      </c>
      <c r="I125">
        <v>-0.04106087481894</v>
      </c>
    </row>
    <row r="126" spans="1:9">
      <c r="A126" s="1" t="s">
        <v>138</v>
      </c>
      <c r="B126">
        <f>HYPERLINK("https://www.suredividend.com/sure-analysis-FITB/","Fifth Third Bancorp")</f>
        <v>0</v>
      </c>
      <c r="C126">
        <v>-0.037460148777895</v>
      </c>
      <c r="D126">
        <v>0.03827250712863</v>
      </c>
      <c r="E126">
        <v>0.09813169093488101</v>
      </c>
      <c r="F126">
        <v>0.104236513258152</v>
      </c>
      <c r="G126">
        <v>-0.157367395258185</v>
      </c>
      <c r="H126">
        <v>0.08570247017539601</v>
      </c>
      <c r="I126">
        <v>0.315378638802762</v>
      </c>
    </row>
    <row r="127" spans="1:9">
      <c r="A127" s="1" t="s">
        <v>139</v>
      </c>
      <c r="B127">
        <f>HYPERLINK("https://www.suredividend.com/sure-analysis-FLIC/","First Of Long Island Corp.")</f>
        <v>0</v>
      </c>
      <c r="C127">
        <v>-0.03621958121109201</v>
      </c>
      <c r="D127">
        <v>-0.116655428186109</v>
      </c>
      <c r="E127">
        <v>-0.048247109253184</v>
      </c>
      <c r="F127">
        <v>-0.053888888888888</v>
      </c>
      <c r="G127">
        <v>-0.165024171643181</v>
      </c>
      <c r="H127">
        <v>-0.05072463768115901</v>
      </c>
      <c r="I127">
        <v>-0.26706347669279</v>
      </c>
    </row>
    <row r="128" spans="1:9">
      <c r="A128" s="1" t="s">
        <v>140</v>
      </c>
      <c r="B128">
        <f>HYPERLINK("https://www.suredividend.com/sure-analysis-FLO/","Flowers Foods, Inc.")</f>
        <v>0</v>
      </c>
      <c r="C128">
        <v>0.024140721402234</v>
      </c>
      <c r="D128">
        <v>-0.05955375035304501</v>
      </c>
      <c r="E128">
        <v>0.052334549832574</v>
      </c>
      <c r="F128">
        <v>-0.018978573257433</v>
      </c>
      <c r="G128">
        <v>0.071491506983657</v>
      </c>
      <c r="H128">
        <v>0.332425042159319</v>
      </c>
      <c r="I128">
        <v>0.591320278097015</v>
      </c>
    </row>
    <row r="129" spans="1:9">
      <c r="A129" s="1" t="s">
        <v>141</v>
      </c>
      <c r="B129">
        <f>HYPERLINK("https://www.suredividend.com/sure-analysis-FNF/","Fidelity National Financial Inc")</f>
        <v>0</v>
      </c>
      <c r="C129">
        <v>-0.142632170978627</v>
      </c>
      <c r="D129">
        <v>0.030646243049696</v>
      </c>
      <c r="E129">
        <v>-0.016130198168055</v>
      </c>
      <c r="F129">
        <v>0.013024986709197</v>
      </c>
      <c r="G129">
        <v>-0.152612093788564</v>
      </c>
      <c r="H129">
        <v>0.106279464016163</v>
      </c>
      <c r="I129">
        <v>0.193066377817918</v>
      </c>
    </row>
    <row r="130" spans="1:9">
      <c r="A130" s="1" t="s">
        <v>142</v>
      </c>
      <c r="B130">
        <f>HYPERLINK("https://www.suredividend.com/sure-analysis-research-database/","First Merchants Corp.")</f>
        <v>0</v>
      </c>
      <c r="C130">
        <v>-0.055868981887013</v>
      </c>
      <c r="D130">
        <v>-0.053916346287461</v>
      </c>
      <c r="E130">
        <v>0.04494143467773001</v>
      </c>
      <c r="F130">
        <v>0.001547065356768</v>
      </c>
      <c r="G130">
        <v>-0.022455992572101</v>
      </c>
      <c r="H130">
        <v>-0.01986659628581</v>
      </c>
      <c r="I130">
        <v>0.117310795656574</v>
      </c>
    </row>
    <row r="131" spans="1:9">
      <c r="A131" s="1" t="s">
        <v>143</v>
      </c>
      <c r="B131">
        <f>HYPERLINK("https://www.suredividend.com/sure-analysis-FRT/","Federal Realty Investment Trust.")</f>
        <v>0</v>
      </c>
      <c r="C131">
        <v>-0.051220806794055</v>
      </c>
      <c r="D131">
        <v>-0.009547134474408001</v>
      </c>
      <c r="E131">
        <v>0.08787162607646001</v>
      </c>
      <c r="F131">
        <v>0.06146080760094901</v>
      </c>
      <c r="G131">
        <v>-0.07851720745606301</v>
      </c>
      <c r="H131">
        <v>-0.186393001386735</v>
      </c>
      <c r="I131">
        <v>-0.186393001386735</v>
      </c>
    </row>
    <row r="132" spans="1:9">
      <c r="A132" s="1" t="s">
        <v>144</v>
      </c>
      <c r="B132">
        <f>HYPERLINK("https://www.suredividend.com/sure-analysis-FUL/","H.B. Fuller Company")</f>
        <v>0</v>
      </c>
      <c r="C132">
        <v>-0.020748576078112</v>
      </c>
      <c r="D132">
        <v>-0.098767404360263</v>
      </c>
      <c r="E132">
        <v>0.136694565872717</v>
      </c>
      <c r="F132">
        <v>0.01083628819683</v>
      </c>
      <c r="G132">
        <v>0.103959639198899</v>
      </c>
      <c r="H132">
        <v>0.328583966101881</v>
      </c>
      <c r="I132">
        <v>0.5516585620566721</v>
      </c>
    </row>
    <row r="133" spans="1:9">
      <c r="A133" s="1" t="s">
        <v>145</v>
      </c>
      <c r="B133">
        <f>HYPERLINK("https://www.suredividend.com/sure-analysis-GATX/","GATX Corp.")</f>
        <v>0</v>
      </c>
      <c r="C133">
        <v>-0.072358293959771</v>
      </c>
      <c r="D133">
        <v>-0.040465725824425</v>
      </c>
      <c r="E133">
        <v>0.174268005424566</v>
      </c>
      <c r="F133">
        <v>0.017230445273417</v>
      </c>
      <c r="G133">
        <v>-0.040172221444387</v>
      </c>
      <c r="H133">
        <v>0.173361648963946</v>
      </c>
      <c r="I133">
        <v>0.7733511278071601</v>
      </c>
    </row>
    <row r="134" spans="1:9">
      <c r="A134" s="1" t="s">
        <v>146</v>
      </c>
      <c r="B134">
        <f>HYPERLINK("https://www.suredividend.com/sure-analysis-GD/","General Dynamics Corp.")</f>
        <v>0</v>
      </c>
      <c r="C134">
        <v>-0.002159454090006</v>
      </c>
      <c r="D134">
        <v>-0.09175392443757401</v>
      </c>
      <c r="E134">
        <v>0.038656974812658</v>
      </c>
      <c r="F134">
        <v>-0.06382285570497101</v>
      </c>
      <c r="G134">
        <v>-0.037225422349421</v>
      </c>
      <c r="H134">
        <v>0.459835566305498</v>
      </c>
      <c r="I134">
        <v>0.159805587989907</v>
      </c>
    </row>
    <row r="135" spans="1:9">
      <c r="A135" s="1" t="s">
        <v>147</v>
      </c>
      <c r="B135">
        <f>HYPERLINK("https://www.suredividend.com/sure-analysis-research-database/","Griffon Corp.")</f>
        <v>0</v>
      </c>
      <c r="C135">
        <v>-0.113862078612393</v>
      </c>
      <c r="D135">
        <v>0.05751360495008701</v>
      </c>
      <c r="E135">
        <v>0.20407122424995</v>
      </c>
      <c r="F135">
        <v>0.06489977166711</v>
      </c>
      <c r="G135">
        <v>0.771226997581513</v>
      </c>
      <c r="H135">
        <v>0.6936012083784461</v>
      </c>
      <c r="I135">
        <v>1.465236340995174</v>
      </c>
    </row>
    <row r="136" spans="1:9">
      <c r="A136" s="1" t="s">
        <v>148</v>
      </c>
      <c r="B136">
        <f>HYPERLINK("https://www.suredividend.com/sure-analysis-GGG/","Graco Inc.")</f>
        <v>0</v>
      </c>
      <c r="C136">
        <v>-0.003225354087785</v>
      </c>
      <c r="D136">
        <v>0.011958997722095</v>
      </c>
      <c r="E136">
        <v>0.124478931839934</v>
      </c>
      <c r="F136">
        <v>0.05679452869461701</v>
      </c>
      <c r="G136">
        <v>0.016564218884525</v>
      </c>
      <c r="H136">
        <v>0.105888686111512</v>
      </c>
      <c r="I136">
        <v>0.7100843975248521</v>
      </c>
    </row>
    <row r="137" spans="1:9">
      <c r="A137" s="1" t="s">
        <v>149</v>
      </c>
      <c r="B137">
        <f>HYPERLINK("https://www.suredividend.com/sure-analysis-GL/","Globe Life Inc")</f>
        <v>0</v>
      </c>
      <c r="C137">
        <v>0.00349533954727</v>
      </c>
      <c r="D137">
        <v>-0.002898358974782</v>
      </c>
      <c r="E137">
        <v>0.250383680512348</v>
      </c>
      <c r="F137">
        <v>0.001981027342165</v>
      </c>
      <c r="G137">
        <v>0.250473153405408</v>
      </c>
      <c r="H137">
        <v>0.296743193657594</v>
      </c>
      <c r="I137">
        <v>0.470633074730552</v>
      </c>
    </row>
    <row r="138" spans="1:9">
      <c r="A138" s="1" t="s">
        <v>150</v>
      </c>
      <c r="B138">
        <f>HYPERLINK("https://www.suredividend.com/sure-analysis-GLW/","Corning, Inc.")</f>
        <v>0</v>
      </c>
      <c r="C138">
        <v>-0.005029860388227001</v>
      </c>
      <c r="D138">
        <v>0.04588924308695901</v>
      </c>
      <c r="E138">
        <v>0.08142747199847901</v>
      </c>
      <c r="F138">
        <v>0.113345307503638</v>
      </c>
      <c r="G138">
        <v>-0.062743316033812</v>
      </c>
      <c r="H138">
        <v>0.009508326225463</v>
      </c>
      <c r="I138">
        <v>0.406148460891371</v>
      </c>
    </row>
    <row r="139" spans="1:9">
      <c r="A139" s="1" t="s">
        <v>151</v>
      </c>
      <c r="B139">
        <f>HYPERLINK("https://www.suredividend.com/sure-analysis-GNTX/","Gentex Corp.")</f>
        <v>0</v>
      </c>
      <c r="C139">
        <v>-0.048643282594308</v>
      </c>
      <c r="D139">
        <v>0.013791084985665</v>
      </c>
      <c r="E139">
        <v>0.08335625652368801</v>
      </c>
      <c r="F139">
        <v>0.058775870958238</v>
      </c>
      <c r="G139">
        <v>0.027875997039717</v>
      </c>
      <c r="H139">
        <v>-0.145971958174904</v>
      </c>
      <c r="I139">
        <v>0.374243568540099</v>
      </c>
    </row>
    <row r="140" spans="1:9">
      <c r="A140" s="1" t="s">
        <v>152</v>
      </c>
      <c r="B140">
        <f>HYPERLINK("https://www.suredividend.com/sure-analysis-GPC/","Genuine Parts Co.")</f>
        <v>0</v>
      </c>
      <c r="C140">
        <v>-0.018453898526433</v>
      </c>
      <c r="D140">
        <v>-0.08851803073548101</v>
      </c>
      <c r="E140">
        <v>0.025439846655775</v>
      </c>
      <c r="F140">
        <v>-0.042553068176944</v>
      </c>
      <c r="G140">
        <v>0.390985705348474</v>
      </c>
      <c r="H140">
        <v>0.529367654614718</v>
      </c>
      <c r="I140">
        <v>1.043494771894277</v>
      </c>
    </row>
    <row r="141" spans="1:9">
      <c r="A141" s="1" t="s">
        <v>153</v>
      </c>
      <c r="B141">
        <f>HYPERLINK("https://www.suredividend.com/sure-analysis-GRC/","Gorman-Rupp Co.")</f>
        <v>0</v>
      </c>
      <c r="C141">
        <v>-0.030273950216788</v>
      </c>
      <c r="D141">
        <v>0.027229500528531</v>
      </c>
      <c r="E141">
        <v>0.07660119819652801</v>
      </c>
      <c r="F141">
        <v>0.09539220460936601</v>
      </c>
      <c r="G141">
        <v>-0.259497233403073</v>
      </c>
      <c r="H141">
        <v>-0.101267699129302</v>
      </c>
      <c r="I141">
        <v>0.172888569277805</v>
      </c>
    </row>
    <row r="142" spans="1:9">
      <c r="A142" s="1" t="s">
        <v>154</v>
      </c>
      <c r="B142">
        <f>HYPERLINK("https://www.suredividend.com/sure-analysis-GS/","Goldman Sachs Group, Inc.")</f>
        <v>0</v>
      </c>
      <c r="C142">
        <v>-0.027850111034006</v>
      </c>
      <c r="D142">
        <v>-0.05500321138537301</v>
      </c>
      <c r="E142">
        <v>0.092088482746598</v>
      </c>
      <c r="F142">
        <v>0.047372724958262</v>
      </c>
      <c r="G142">
        <v>0.106374830832379</v>
      </c>
      <c r="H142">
        <v>0.129304030694147</v>
      </c>
      <c r="I142">
        <v>0.5196748289945561</v>
      </c>
    </row>
    <row r="143" spans="1:9">
      <c r="A143" s="1" t="s">
        <v>155</v>
      </c>
      <c r="B143">
        <f>HYPERLINK("https://www.suredividend.com/sure-analysis-GWW/","W.W. Grainger Inc.")</f>
        <v>0</v>
      </c>
      <c r="C143">
        <v>0.04033199028676501</v>
      </c>
      <c r="D143">
        <v>0.208731197634677</v>
      </c>
      <c r="E143">
        <v>0.256710147837898</v>
      </c>
      <c r="F143">
        <v>0.261078711210541</v>
      </c>
      <c r="G143">
        <v>0.455474625355443</v>
      </c>
      <c r="H143">
        <v>0.80483716481273</v>
      </c>
      <c r="I143">
        <v>1.84200537976406</v>
      </c>
    </row>
    <row r="144" spans="1:9">
      <c r="A144" s="1" t="s">
        <v>156</v>
      </c>
      <c r="B144">
        <f>HYPERLINK("https://www.suredividend.com/sure-analysis-HBAN/","Huntington Bancshares, Inc.")</f>
        <v>0</v>
      </c>
      <c r="C144">
        <v>-0.014886731391585</v>
      </c>
      <c r="D144">
        <v>-0.004291620871931</v>
      </c>
      <c r="E144">
        <v>0.168378548508436</v>
      </c>
      <c r="F144">
        <v>0.079432624113475</v>
      </c>
      <c r="G144">
        <v>0.07842303658985901</v>
      </c>
      <c r="H144">
        <v>0.04972032746860101</v>
      </c>
      <c r="I144">
        <v>0.200059924148643</v>
      </c>
    </row>
    <row r="145" spans="1:9">
      <c r="A145" s="1" t="s">
        <v>157</v>
      </c>
      <c r="B145">
        <f>HYPERLINK("https://www.suredividend.com/sure-analysis-research-database/","Horizon Bancorp Inc (IN)")</f>
        <v>0</v>
      </c>
      <c r="C145">
        <v>-0.072303921568627</v>
      </c>
      <c r="D145">
        <v>-0.031002790507155</v>
      </c>
      <c r="E145">
        <v>-0.187877162397747</v>
      </c>
      <c r="F145">
        <v>0.014616101166741</v>
      </c>
      <c r="G145">
        <v>-0.200253552374412</v>
      </c>
      <c r="H145">
        <v>-0.119199017970899</v>
      </c>
      <c r="I145">
        <v>-0.091901488705749</v>
      </c>
    </row>
    <row r="146" spans="1:9">
      <c r="A146" s="1" t="s">
        <v>158</v>
      </c>
      <c r="B146">
        <f>HYPERLINK("https://www.suredividend.com/sure-analysis-HCSG/","Healthcare Services Group, Inc.")</f>
        <v>0</v>
      </c>
      <c r="C146">
        <v>-0.074391988555078</v>
      </c>
      <c r="D146">
        <v>-0.062997827661115</v>
      </c>
      <c r="E146">
        <v>-0.04617289774737501</v>
      </c>
      <c r="F146">
        <v>0.07833333333333301</v>
      </c>
      <c r="G146">
        <v>-0.169122698874398</v>
      </c>
      <c r="H146">
        <v>-0.496999098174581</v>
      </c>
      <c r="I146">
        <v>-0.6610453633415581</v>
      </c>
    </row>
    <row r="147" spans="1:9">
      <c r="A147" s="1" t="s">
        <v>159</v>
      </c>
      <c r="B147">
        <f>HYPERLINK("https://www.suredividend.com/sure-analysis-HD/","Home Depot, Inc.")</f>
        <v>0</v>
      </c>
      <c r="C147">
        <v>-0.09969834087481101</v>
      </c>
      <c r="D147">
        <v>-0.090063721454922</v>
      </c>
      <c r="E147">
        <v>0.028624682787588</v>
      </c>
      <c r="F147">
        <v>-0.05511935667700801</v>
      </c>
      <c r="G147">
        <v>-0.056440626577802</v>
      </c>
      <c r="H147">
        <v>0.244770358741607</v>
      </c>
      <c r="I147">
        <v>0.8819311280677931</v>
      </c>
    </row>
    <row r="148" spans="1:9">
      <c r="A148" s="1" t="s">
        <v>160</v>
      </c>
      <c r="B148">
        <f>HYPERLINK("https://www.suredividend.com/sure-analysis-HEI/","Heico Corp.")</f>
        <v>0</v>
      </c>
      <c r="C148">
        <v>0.026642357231076</v>
      </c>
      <c r="D148">
        <v>0.060563807287973</v>
      </c>
      <c r="E148">
        <v>0.147515873991502</v>
      </c>
      <c r="F148">
        <v>0.136910580966777</v>
      </c>
      <c r="G148">
        <v>0.176599844836569</v>
      </c>
      <c r="H148">
        <v>0.422888816432996</v>
      </c>
      <c r="I148">
        <v>1.546521873595882</v>
      </c>
    </row>
    <row r="149" spans="1:9">
      <c r="A149" s="1" t="s">
        <v>161</v>
      </c>
      <c r="B149">
        <f>HYPERLINK("https://www.suredividend.com/sure-analysis-research-database/","Heritage Financial Corp.")</f>
        <v>0</v>
      </c>
      <c r="C149">
        <v>-0.10499139414802</v>
      </c>
      <c r="D149">
        <v>-0.152489886922593</v>
      </c>
      <c r="E149">
        <v>-0.0007263950436020001</v>
      </c>
      <c r="F149">
        <v>-0.145020897662289</v>
      </c>
      <c r="G149">
        <v>0.076288130611704</v>
      </c>
      <c r="H149">
        <v>-0.06358947762699101</v>
      </c>
      <c r="I149">
        <v>-0.03197462284242</v>
      </c>
    </row>
    <row r="150" spans="1:9">
      <c r="A150" s="1" t="s">
        <v>162</v>
      </c>
      <c r="B150">
        <f>HYPERLINK("https://www.suredividend.com/sure-analysis-HI/","Hillenbrand Inc")</f>
        <v>0</v>
      </c>
      <c r="C150">
        <v>0.006893755068937001</v>
      </c>
      <c r="D150">
        <v>-0.060010902813531</v>
      </c>
      <c r="E150">
        <v>0.23577834625683</v>
      </c>
      <c r="F150">
        <v>0.163815326927583</v>
      </c>
      <c r="G150">
        <v>0.075534301877311</v>
      </c>
      <c r="H150">
        <v>0.08929546755693701</v>
      </c>
      <c r="I150">
        <v>0.258540640269245</v>
      </c>
    </row>
    <row r="151" spans="1:9">
      <c r="A151" s="1" t="s">
        <v>163</v>
      </c>
      <c r="B151">
        <f>HYPERLINK("https://www.suredividend.com/sure-analysis-HIFS/","Hingham Institution For Savings")</f>
        <v>0</v>
      </c>
      <c r="C151">
        <v>-0.085060295496427</v>
      </c>
      <c r="D151">
        <v>-0.016991800391674</v>
      </c>
      <c r="E151">
        <v>-0.039960702843751</v>
      </c>
      <c r="F151">
        <v>0.025510943615016</v>
      </c>
      <c r="G151">
        <v>-0.214789699594631</v>
      </c>
      <c r="H151">
        <v>0.07722525046438601</v>
      </c>
      <c r="I151">
        <v>0.475468383006566</v>
      </c>
    </row>
    <row r="152" spans="1:9">
      <c r="A152" s="1" t="s">
        <v>164</v>
      </c>
      <c r="B152">
        <f>HYPERLINK("https://www.suredividend.com/sure-analysis-research-database/","Horace Mann Educators Corp.")</f>
        <v>0</v>
      </c>
      <c r="C152">
        <v>0.011570247933884</v>
      </c>
      <c r="D152">
        <v>-0.026498230358302</v>
      </c>
      <c r="E152">
        <v>0.050589669201586</v>
      </c>
      <c r="F152">
        <v>-0.017393631255017</v>
      </c>
      <c r="G152">
        <v>-0.07718057555584</v>
      </c>
      <c r="H152">
        <v>-0.052548469163961</v>
      </c>
      <c r="I152">
        <v>0.022761455931013</v>
      </c>
    </row>
    <row r="153" spans="1:9">
      <c r="A153" s="1" t="s">
        <v>165</v>
      </c>
      <c r="B153">
        <f>HYPERLINK("https://www.suredividend.com/sure-analysis-HNI/","HNI Corp.")</f>
        <v>0</v>
      </c>
      <c r="C153">
        <v>0.008540540202458001</v>
      </c>
      <c r="D153">
        <v>0.118676874087281</v>
      </c>
      <c r="E153">
        <v>0.06241743616436</v>
      </c>
      <c r="F153">
        <v>0.145827411744642</v>
      </c>
      <c r="G153">
        <v>-0.135923864845095</v>
      </c>
      <c r="H153">
        <v>-0.069677545910331</v>
      </c>
      <c r="I153">
        <v>0.024385130692484</v>
      </c>
    </row>
    <row r="154" spans="1:9">
      <c r="A154" s="1" t="s">
        <v>166</v>
      </c>
      <c r="B154">
        <f>HYPERLINK("https://www.suredividend.com/sure-analysis-research-database/","Home Bancshares Inc")</f>
        <v>0</v>
      </c>
      <c r="C154">
        <v>-0.022863067693561</v>
      </c>
      <c r="D154">
        <v>-0.038270634296651</v>
      </c>
      <c r="E154">
        <v>0.069065516678216</v>
      </c>
      <c r="F154">
        <v>0.07060607266153</v>
      </c>
      <c r="G154">
        <v>0.117988912430356</v>
      </c>
      <c r="H154">
        <v>-0.010766390563479</v>
      </c>
      <c r="I154">
        <v>0.138468191518364</v>
      </c>
    </row>
    <row r="155" spans="1:9">
      <c r="A155" s="1" t="s">
        <v>167</v>
      </c>
      <c r="B155">
        <f>HYPERLINK("https://www.suredividend.com/sure-analysis-HON/","Honeywell International Inc")</f>
        <v>0</v>
      </c>
      <c r="C155">
        <v>-0.023817329548695</v>
      </c>
      <c r="D155">
        <v>-0.096848145950661</v>
      </c>
      <c r="E155">
        <v>0.069174190324087</v>
      </c>
      <c r="F155">
        <v>-0.076703246080961</v>
      </c>
      <c r="G155">
        <v>0.07691381734815</v>
      </c>
      <c r="H155">
        <v>0.012692355978702</v>
      </c>
      <c r="I155">
        <v>0.54341995890905</v>
      </c>
    </row>
    <row r="156" spans="1:9">
      <c r="A156" s="1" t="s">
        <v>168</v>
      </c>
      <c r="B156">
        <f>HYPERLINK("https://www.suredividend.com/sure-analysis-HPQ/","HP Inc")</f>
        <v>0</v>
      </c>
      <c r="C156">
        <v>-0.062274664044575</v>
      </c>
      <c r="D156">
        <v>-0.025939758749008</v>
      </c>
      <c r="E156">
        <v>0.053783084958268</v>
      </c>
      <c r="F156">
        <v>0.0647562337179</v>
      </c>
      <c r="G156">
        <v>-0.187924168409937</v>
      </c>
      <c r="H156">
        <v>0.07243530152637401</v>
      </c>
      <c r="I156">
        <v>0.391090408720935</v>
      </c>
    </row>
    <row r="157" spans="1:9">
      <c r="A157" s="1" t="s">
        <v>169</v>
      </c>
      <c r="B157">
        <f>HYPERLINK("https://www.suredividend.com/sure-analysis-HRL/","Hormel Foods Corp.")</f>
        <v>0</v>
      </c>
      <c r="C157">
        <v>-0.101900972590627</v>
      </c>
      <c r="D157">
        <v>-0.142074056555964</v>
      </c>
      <c r="E157">
        <v>-0.113948066845345</v>
      </c>
      <c r="F157">
        <v>-0.10271019946644</v>
      </c>
      <c r="G157">
        <v>-0.197170435796358</v>
      </c>
      <c r="H157">
        <v>-0.09654695487626701</v>
      </c>
      <c r="I157">
        <v>0.380099796534634</v>
      </c>
    </row>
    <row r="158" spans="1:9">
      <c r="A158" s="1" t="s">
        <v>170</v>
      </c>
      <c r="B158">
        <f>HYPERLINK("https://www.suredividend.com/sure-analysis-HSY/","Hershey Company")</f>
        <v>0</v>
      </c>
      <c r="C158">
        <v>0.013393456810905</v>
      </c>
      <c r="D158">
        <v>0.020085064140415</v>
      </c>
      <c r="E158">
        <v>0.07369540828573901</v>
      </c>
      <c r="F158">
        <v>0.034005509202172</v>
      </c>
      <c r="G158">
        <v>0.140403034888009</v>
      </c>
      <c r="H158">
        <v>0.693519800471543</v>
      </c>
      <c r="I158">
        <v>1.683965333615539</v>
      </c>
    </row>
    <row r="159" spans="1:9">
      <c r="A159" s="1" t="s">
        <v>171</v>
      </c>
      <c r="B159">
        <f>HYPERLINK("https://www.suredividend.com/sure-analysis-HUBB/","Hubbell Inc.")</f>
        <v>0</v>
      </c>
      <c r="C159">
        <v>0.05361336420112901</v>
      </c>
      <c r="D159">
        <v>0.017140734749923</v>
      </c>
      <c r="E159">
        <v>0.237322505294462</v>
      </c>
      <c r="F159">
        <v>0.08301982083777301</v>
      </c>
      <c r="G159">
        <v>0.426553146771933</v>
      </c>
      <c r="H159">
        <v>0.506887411618349</v>
      </c>
      <c r="I159">
        <v>1.21060696466995</v>
      </c>
    </row>
    <row r="160" spans="1:9">
      <c r="A160" s="1" t="s">
        <v>172</v>
      </c>
      <c r="B160">
        <f>HYPERLINK("https://www.suredividend.com/sure-analysis-HUM/","Humana Inc.")</f>
        <v>0</v>
      </c>
      <c r="C160">
        <v>0.049604465241202</v>
      </c>
      <c r="D160">
        <v>-0.083771167906475</v>
      </c>
      <c r="E160">
        <v>0.035870814043161</v>
      </c>
      <c r="F160">
        <v>-0.023389757707101</v>
      </c>
      <c r="G160">
        <v>0.140795060332985</v>
      </c>
      <c r="H160">
        <v>0.304338756235381</v>
      </c>
      <c r="I160">
        <v>0.9191995540118021</v>
      </c>
    </row>
    <row r="161" spans="1:9">
      <c r="A161" s="1" t="s">
        <v>173</v>
      </c>
      <c r="B161">
        <f>HYPERLINK("https://www.suredividend.com/sure-analysis-HWKN/","Hawkins Inc")</f>
        <v>0</v>
      </c>
      <c r="C161">
        <v>-0.008356624601225</v>
      </c>
      <c r="D161">
        <v>0.011803170076551</v>
      </c>
      <c r="E161">
        <v>0.117245876262699</v>
      </c>
      <c r="F161">
        <v>0.09594668732888001</v>
      </c>
      <c r="G161">
        <v>-0.07961394008210301</v>
      </c>
      <c r="H161">
        <v>0.408587202074616</v>
      </c>
      <c r="I161">
        <v>1.746572486055361</v>
      </c>
    </row>
    <row r="162" spans="1:9">
      <c r="A162" s="1" t="s">
        <v>174</v>
      </c>
      <c r="B162">
        <f>HYPERLINK("https://www.suredividend.com/sure-analysis-IBM/","International Business Machines Corp.")</f>
        <v>0</v>
      </c>
      <c r="C162">
        <v>-0.04167997256029</v>
      </c>
      <c r="D162">
        <v>-0.117290591423474</v>
      </c>
      <c r="E162">
        <v>0.039181736565345</v>
      </c>
      <c r="F162">
        <v>-0.06854700805573201</v>
      </c>
      <c r="G162">
        <v>0.074880999463554</v>
      </c>
      <c r="H162">
        <v>0.188604288474004</v>
      </c>
      <c r="I162">
        <v>0.06901425407312201</v>
      </c>
    </row>
    <row r="163" spans="1:9">
      <c r="A163" s="1" t="s">
        <v>175</v>
      </c>
      <c r="B163">
        <f>HYPERLINK("https://www.suredividend.com/sure-analysis-research-database/","International Bancshares Corp.")</f>
        <v>0</v>
      </c>
      <c r="C163">
        <v>0.031741202292198</v>
      </c>
      <c r="D163">
        <v>-0.050783195561441</v>
      </c>
      <c r="E163">
        <v>0.215397506914936</v>
      </c>
      <c r="F163">
        <v>0.08923436814659501</v>
      </c>
      <c r="G163">
        <v>0.226805589862199</v>
      </c>
      <c r="H163">
        <v>0.111884980846724</v>
      </c>
      <c r="I163">
        <v>0.447956605473788</v>
      </c>
    </row>
    <row r="164" spans="1:9">
      <c r="A164" s="1" t="s">
        <v>176</v>
      </c>
      <c r="B164">
        <f>HYPERLINK("https://www.suredividend.com/sure-analysis-IDA/","Idacorp, Inc.")</f>
        <v>0</v>
      </c>
      <c r="C164">
        <v>-0.027246158197416</v>
      </c>
      <c r="D164">
        <v>-0.04316780266147301</v>
      </c>
      <c r="E164">
        <v>-0.040486842729302</v>
      </c>
      <c r="F164">
        <v>-0.036336772185828</v>
      </c>
      <c r="G164">
        <v>-0.041191234863543</v>
      </c>
      <c r="H164">
        <v>0.251133756602464</v>
      </c>
      <c r="I164">
        <v>0.450905726282514</v>
      </c>
    </row>
    <row r="165" spans="1:9">
      <c r="A165" s="1" t="s">
        <v>177</v>
      </c>
      <c r="B165">
        <f>HYPERLINK("https://www.suredividend.com/sure-analysis-IEX/","Idex Corporation")</f>
        <v>0</v>
      </c>
      <c r="C165">
        <v>-0.006961364427427</v>
      </c>
      <c r="D165">
        <v>-0.053824705522423</v>
      </c>
      <c r="E165">
        <v>0.147436316379522</v>
      </c>
      <c r="F165">
        <v>0.002159402357515</v>
      </c>
      <c r="G165">
        <v>0.202207840160715</v>
      </c>
      <c r="H165">
        <v>0.195668687038016</v>
      </c>
      <c r="I165">
        <v>0.7603056626096231</v>
      </c>
    </row>
    <row r="166" spans="1:9">
      <c r="A166" s="1" t="s">
        <v>178</v>
      </c>
      <c r="B166">
        <f>HYPERLINK("https://www.suredividend.com/sure-analysis-IFF/","International Flavors &amp; Fragrances Inc.")</f>
        <v>0</v>
      </c>
      <c r="C166">
        <v>-0.172505073678637</v>
      </c>
      <c r="D166">
        <v>-0.124601062464353</v>
      </c>
      <c r="E166">
        <v>-0.116244311611991</v>
      </c>
      <c r="F166">
        <v>-0.105494086226631</v>
      </c>
      <c r="G166">
        <v>-0.239902446852743</v>
      </c>
      <c r="H166">
        <v>-0.254577220172358</v>
      </c>
      <c r="I166">
        <v>-0.239538793009076</v>
      </c>
    </row>
    <row r="167" spans="1:9">
      <c r="A167" s="1" t="s">
        <v>179</v>
      </c>
      <c r="B167">
        <f>HYPERLINK("https://www.suredividend.com/sure-analysis-research-database/","Independent Bank Corp.")</f>
        <v>0</v>
      </c>
      <c r="C167">
        <v>-0.057287889775199</v>
      </c>
      <c r="D167">
        <v>-0.142043498394631</v>
      </c>
      <c r="E167">
        <v>0.027770896690577</v>
      </c>
      <c r="F167">
        <v>-0.076157763828023</v>
      </c>
      <c r="G167">
        <v>-0.039272803414276</v>
      </c>
      <c r="H167">
        <v>-0.06508562257506501</v>
      </c>
      <c r="I167">
        <v>0.238048074359072</v>
      </c>
    </row>
    <row r="168" spans="1:9">
      <c r="A168" s="1" t="s">
        <v>180</v>
      </c>
      <c r="B168">
        <f>HYPERLINK("https://www.suredividend.com/sure-analysis-INGR/","Ingredion Inc")</f>
        <v>0</v>
      </c>
      <c r="C168">
        <v>-0.017605633802816</v>
      </c>
      <c r="D168">
        <v>0.007190926056101001</v>
      </c>
      <c r="E168">
        <v>0.19327942745398</v>
      </c>
      <c r="F168">
        <v>0.025630552435413</v>
      </c>
      <c r="G168">
        <v>0.214952479681238</v>
      </c>
      <c r="H168">
        <v>0.195277440268854</v>
      </c>
      <c r="I168">
        <v>-0.116338240805747</v>
      </c>
    </row>
    <row r="169" spans="1:9">
      <c r="A169" s="1" t="s">
        <v>181</v>
      </c>
      <c r="B169">
        <f>HYPERLINK("https://www.suredividend.com/sure-analysis-INTU/","Intuit Inc")</f>
        <v>0</v>
      </c>
      <c r="C169">
        <v>-0.035963753067774</v>
      </c>
      <c r="D169">
        <v>0.003495974421808</v>
      </c>
      <c r="E169">
        <v>-0.023664403638721</v>
      </c>
      <c r="F169">
        <v>0.051708575909561</v>
      </c>
      <c r="G169">
        <v>-0.115249897722697</v>
      </c>
      <c r="H169">
        <v>0.09861296482701201</v>
      </c>
      <c r="I169">
        <v>1.511176802165223</v>
      </c>
    </row>
    <row r="170" spans="1:9">
      <c r="A170" s="1" t="s">
        <v>182</v>
      </c>
      <c r="B170">
        <f>HYPERLINK("https://www.suredividend.com/sure-analysis-ITT/","ITT Inc")</f>
        <v>0</v>
      </c>
      <c r="C170">
        <v>0.01547619047619</v>
      </c>
      <c r="D170">
        <v>0.107138643067846</v>
      </c>
      <c r="E170">
        <v>0.307760708919756</v>
      </c>
      <c r="F170">
        <v>0.156966707768187</v>
      </c>
      <c r="G170">
        <v>0.191290867701073</v>
      </c>
      <c r="H170">
        <v>0.140202497435972</v>
      </c>
      <c r="I170">
        <v>1.000200382432003</v>
      </c>
    </row>
    <row r="171" spans="1:9">
      <c r="A171" s="1" t="s">
        <v>183</v>
      </c>
      <c r="B171">
        <f>HYPERLINK("https://www.suredividend.com/sure-analysis-ITW/","Illinois Tool Works, Inc.")</f>
        <v>0</v>
      </c>
      <c r="C171">
        <v>-0.0316135046407</v>
      </c>
      <c r="D171">
        <v>0.052864431971861</v>
      </c>
      <c r="E171">
        <v>0.238693609319778</v>
      </c>
      <c r="F171">
        <v>0.08456650022696301</v>
      </c>
      <c r="G171">
        <v>0.155107773155456</v>
      </c>
      <c r="H171">
        <v>0.226565856878917</v>
      </c>
      <c r="I171">
        <v>0.705094874581718</v>
      </c>
    </row>
    <row r="172" spans="1:9">
      <c r="A172" s="1" t="s">
        <v>184</v>
      </c>
      <c r="B172">
        <f>HYPERLINK("https://www.suredividend.com/sure-analysis-JBHT/","J.B. Hunt Transport Services, Inc.")</f>
        <v>0</v>
      </c>
      <c r="C172">
        <v>-0.054842337837146</v>
      </c>
      <c r="D172">
        <v>0.022732565626344</v>
      </c>
      <c r="E172">
        <v>0.111085975813758</v>
      </c>
      <c r="F172">
        <v>0.072707794029068</v>
      </c>
      <c r="G172">
        <v>-0.07603731692405101</v>
      </c>
      <c r="H172">
        <v>0.270628826472432</v>
      </c>
      <c r="I172">
        <v>0.6204117707322231</v>
      </c>
    </row>
    <row r="173" spans="1:9">
      <c r="A173" s="1" t="s">
        <v>185</v>
      </c>
      <c r="B173">
        <f>HYPERLINK("https://www.suredividend.com/sure-analysis-JJSF/","J&amp;J Snack Foods Corp.")</f>
        <v>0</v>
      </c>
      <c r="C173">
        <v>0.017064363095659</v>
      </c>
      <c r="D173">
        <v>-0.119158846983591</v>
      </c>
      <c r="E173">
        <v>0.003581424660826</v>
      </c>
      <c r="F173">
        <v>-0.040545053770623</v>
      </c>
      <c r="G173">
        <v>-0.106182239510055</v>
      </c>
      <c r="H173">
        <v>-0.04254553307897201</v>
      </c>
      <c r="I173">
        <v>0.129227527869058</v>
      </c>
    </row>
    <row r="174" spans="1:9">
      <c r="A174" s="1" t="s">
        <v>186</v>
      </c>
      <c r="B174">
        <f>HYPERLINK("https://www.suredividend.com/sure-analysis-JKHY/","Jack Henry &amp; Associates, Inc.")</f>
        <v>0</v>
      </c>
      <c r="C174">
        <v>-0.08101826231322601</v>
      </c>
      <c r="D174">
        <v>-0.133298538622129</v>
      </c>
      <c r="E174">
        <v>-0.126970441277905</v>
      </c>
      <c r="F174">
        <v>-0.054112554112554</v>
      </c>
      <c r="G174">
        <v>-0.09456619764694001</v>
      </c>
      <c r="H174">
        <v>0.152776562940378</v>
      </c>
      <c r="I174">
        <v>0.461175803928262</v>
      </c>
    </row>
    <row r="175" spans="1:9">
      <c r="A175" s="1" t="s">
        <v>187</v>
      </c>
      <c r="B175">
        <f>HYPERLINK("https://www.suredividend.com/sure-analysis-JNJ/","Johnson &amp; Johnson")</f>
        <v>0</v>
      </c>
      <c r="C175">
        <v>-0.05760411663388001</v>
      </c>
      <c r="D175">
        <v>-0.132782966015137</v>
      </c>
      <c r="E175">
        <v>-0.040622492861663</v>
      </c>
      <c r="F175">
        <v>-0.121835240052797</v>
      </c>
      <c r="G175">
        <v>-0.06662691256035801</v>
      </c>
      <c r="H175">
        <v>0.05967391050083001</v>
      </c>
      <c r="I175">
        <v>0.365688257404128</v>
      </c>
    </row>
    <row r="176" spans="1:9">
      <c r="A176" s="1" t="s">
        <v>188</v>
      </c>
      <c r="B176">
        <f>HYPERLINK("https://www.suredividend.com/sure-analysis-JPM/","JPMorgan Chase &amp; Co.")</f>
        <v>0</v>
      </c>
      <c r="C176">
        <v>0.018215323552342</v>
      </c>
      <c r="D176">
        <v>0.07073994047800901</v>
      </c>
      <c r="E176">
        <v>0.284108288424701</v>
      </c>
      <c r="F176">
        <v>0.079203435782287</v>
      </c>
      <c r="G176">
        <v>0.09448150024569801</v>
      </c>
      <c r="H176">
        <v>0.000341896053851</v>
      </c>
      <c r="I176">
        <v>0.447902325553268</v>
      </c>
    </row>
    <row r="177" spans="1:9">
      <c r="A177" s="1" t="s">
        <v>189</v>
      </c>
      <c r="B177">
        <f>HYPERLINK("https://www.suredividend.com/sure-analysis-K/","Kellogg Co")</f>
        <v>0</v>
      </c>
      <c r="C177">
        <v>-0.025054051755394</v>
      </c>
      <c r="D177">
        <v>-0.107191657284026</v>
      </c>
      <c r="E177">
        <v>-0.085864902752478</v>
      </c>
      <c r="F177">
        <v>-0.074732289775607</v>
      </c>
      <c r="G177">
        <v>0.031526766967147</v>
      </c>
      <c r="H177">
        <v>0.20382926038381</v>
      </c>
      <c r="I177">
        <v>0.13429032207665</v>
      </c>
    </row>
    <row r="178" spans="1:9">
      <c r="A178" s="1" t="s">
        <v>190</v>
      </c>
      <c r="B178">
        <f>HYPERLINK("https://www.suredividend.com/sure-analysis-KALU/","Kaiser Aluminum Corp")</f>
        <v>0</v>
      </c>
      <c r="C178">
        <v>-0.102108177172061</v>
      </c>
      <c r="D178">
        <v>-0.052303667392638</v>
      </c>
      <c r="E178">
        <v>0.236173125804399</v>
      </c>
      <c r="F178">
        <v>0.120243151080723</v>
      </c>
      <c r="G178">
        <v>-0.07979275968329001</v>
      </c>
      <c r="H178">
        <v>-0.192787253064498</v>
      </c>
      <c r="I178">
        <v>-0.031510088580133</v>
      </c>
    </row>
    <row r="179" spans="1:9">
      <c r="A179" s="1" t="s">
        <v>191</v>
      </c>
      <c r="B179">
        <f>HYPERLINK("https://www.suredividend.com/sure-analysis-KEY/","Keycorp")</f>
        <v>0</v>
      </c>
      <c r="C179">
        <v>-0.074560517276217</v>
      </c>
      <c r="D179">
        <v>-0.001221214235868</v>
      </c>
      <c r="E179">
        <v>0.067182393820594</v>
      </c>
      <c r="F179">
        <v>0.06356421733400601</v>
      </c>
      <c r="G179">
        <v>-0.176721716661049</v>
      </c>
      <c r="H179">
        <v>-0.02365712884848</v>
      </c>
      <c r="I179">
        <v>0.051495741212663</v>
      </c>
    </row>
    <row r="180" spans="1:9">
      <c r="A180" s="1" t="s">
        <v>192</v>
      </c>
      <c r="B180">
        <f>HYPERLINK("https://www.suredividend.com/sure-analysis-KLAC/","KLA Corp.")</f>
        <v>0</v>
      </c>
      <c r="C180">
        <v>-0.062477116657009</v>
      </c>
      <c r="D180">
        <v>-0.017449396184501</v>
      </c>
      <c r="E180">
        <v>0.145639749702652</v>
      </c>
      <c r="F180">
        <v>0.015204248887753</v>
      </c>
      <c r="G180">
        <v>0.164427773767795</v>
      </c>
      <c r="H180">
        <v>0.360033279874979</v>
      </c>
      <c r="I180">
        <v>2.69876307189384</v>
      </c>
    </row>
    <row r="181" spans="1:9">
      <c r="A181" s="1" t="s">
        <v>193</v>
      </c>
      <c r="B181">
        <f>HYPERLINK("https://www.suredividend.com/sure-analysis-KMB/","Kimberly-Clark Corp.")</f>
        <v>0</v>
      </c>
      <c r="C181">
        <v>-0.036340088374219</v>
      </c>
      <c r="D181">
        <v>-0.075092351834898</v>
      </c>
      <c r="E181">
        <v>0.017903644785507</v>
      </c>
      <c r="F181">
        <v>-0.068213627992633</v>
      </c>
      <c r="G181">
        <v>0.005934288609060001</v>
      </c>
      <c r="H181">
        <v>0.044557836330859</v>
      </c>
      <c r="I181">
        <v>0.316183784998688</v>
      </c>
    </row>
    <row r="182" spans="1:9">
      <c r="A182" s="1" t="s">
        <v>194</v>
      </c>
      <c r="B182">
        <f>HYPERLINK("https://www.suredividend.com/sure-analysis-KO/","Coca-Cola Co")</f>
        <v>0</v>
      </c>
      <c r="C182">
        <v>-0.006518468995487</v>
      </c>
      <c r="D182">
        <v>-0.076301476301476</v>
      </c>
      <c r="E182">
        <v>-0.01393333432869</v>
      </c>
      <c r="F182">
        <v>-0.06555573023109501</v>
      </c>
      <c r="G182">
        <v>-0.021917988547357</v>
      </c>
      <c r="H182">
        <v>0.26407570843745</v>
      </c>
      <c r="I182">
        <v>0.58210917724467</v>
      </c>
    </row>
    <row r="183" spans="1:9">
      <c r="A183" s="1" t="s">
        <v>195</v>
      </c>
      <c r="B183">
        <f>HYPERLINK("https://www.suredividend.com/sure-analysis-KR/","Kroger Co.")</f>
        <v>0</v>
      </c>
      <c r="C183">
        <v>0.041150110840143</v>
      </c>
      <c r="D183">
        <v>-0.027793929526689</v>
      </c>
      <c r="E183">
        <v>-0.039756743944181</v>
      </c>
      <c r="F183">
        <v>0.037412740457291</v>
      </c>
      <c r="G183">
        <v>-0.203535070959516</v>
      </c>
      <c r="H183">
        <v>0.4039566049776641</v>
      </c>
      <c r="I183">
        <v>0.8656776978884321</v>
      </c>
    </row>
    <row r="184" spans="1:9">
      <c r="A184" s="1" t="s">
        <v>196</v>
      </c>
      <c r="B184">
        <f>HYPERLINK("https://www.suredividend.com/sure-analysis-research-database/","Kennedy-Wilson Holdings Inc")</f>
        <v>0</v>
      </c>
      <c r="C184">
        <v>-0.08030803080308001</v>
      </c>
      <c r="D184">
        <v>-0.005016573139018</v>
      </c>
      <c r="E184">
        <v>-0.024173874473275</v>
      </c>
      <c r="F184">
        <v>0.062937062937062</v>
      </c>
      <c r="G184">
        <v>-0.198396793587174</v>
      </c>
      <c r="H184">
        <v>-0.07082203352154001</v>
      </c>
      <c r="I184">
        <v>0.284780119718147</v>
      </c>
    </row>
    <row r="185" spans="1:9">
      <c r="A185" s="1" t="s">
        <v>197</v>
      </c>
      <c r="B185">
        <f>HYPERLINK("https://www.suredividend.com/sure-analysis-KWR/","Quaker Houghton")</f>
        <v>0</v>
      </c>
      <c r="C185">
        <v>-0.048718925611963</v>
      </c>
      <c r="D185">
        <v>0.03509369217272201</v>
      </c>
      <c r="E185">
        <v>0.192263982466109</v>
      </c>
      <c r="F185">
        <v>0.199567855304792</v>
      </c>
      <c r="G185">
        <v>0.134484231379123</v>
      </c>
      <c r="H185">
        <v>-0.212447236921892</v>
      </c>
      <c r="I185">
        <v>0.403729457939065</v>
      </c>
    </row>
    <row r="186" spans="1:9">
      <c r="A186" s="1" t="s">
        <v>198</v>
      </c>
      <c r="B186">
        <f>HYPERLINK("https://www.suredividend.com/sure-analysis-LAD/","Lithia Motors, Inc.")</f>
        <v>0</v>
      </c>
      <c r="C186">
        <v>-0.09459926699398301</v>
      </c>
      <c r="D186">
        <v>0.143144017112673</v>
      </c>
      <c r="E186">
        <v>0.033000715991865</v>
      </c>
      <c r="F186">
        <v>0.27898798476116</v>
      </c>
      <c r="G186">
        <v>-0.213074751287325</v>
      </c>
      <c r="H186">
        <v>-0.259752393309898</v>
      </c>
      <c r="I186">
        <v>1.647818679124134</v>
      </c>
    </row>
    <row r="187" spans="1:9">
      <c r="A187" s="1" t="s">
        <v>199</v>
      </c>
      <c r="B187">
        <f>HYPERLINK("https://www.suredividend.com/sure-analysis-LANC/","Lancaster Colony Corp.")</f>
        <v>0</v>
      </c>
      <c r="C187">
        <v>0.020399398754562</v>
      </c>
      <c r="D187">
        <v>-0.06590004422821701</v>
      </c>
      <c r="E187">
        <v>0.139728235256025</v>
      </c>
      <c r="F187">
        <v>-0.03659401926001001</v>
      </c>
      <c r="G187">
        <v>0.192970960872586</v>
      </c>
      <c r="H187">
        <v>0.126705128440709</v>
      </c>
      <c r="I187">
        <v>0.7235313532550151</v>
      </c>
    </row>
    <row r="188" spans="1:9">
      <c r="A188" s="1" t="s">
        <v>200</v>
      </c>
      <c r="B188">
        <f>HYPERLINK("https://www.suredividend.com/sure-analysis-research-database/","Lakeland Bancorp, Inc.")</f>
        <v>0</v>
      </c>
      <c r="C188">
        <v>-0.027300303336703</v>
      </c>
      <c r="D188">
        <v>0.037582712707152</v>
      </c>
      <c r="E188">
        <v>0.208337781908847</v>
      </c>
      <c r="F188">
        <v>0.100623534122761</v>
      </c>
      <c r="G188">
        <v>0.142925032671973</v>
      </c>
      <c r="H188">
        <v>0.229880208133573</v>
      </c>
      <c r="I188">
        <v>0.140148148148148</v>
      </c>
    </row>
    <row r="189" spans="1:9">
      <c r="A189" s="1" t="s">
        <v>201</v>
      </c>
      <c r="B189">
        <f>HYPERLINK("https://www.suredividend.com/sure-analysis-LECO/","Lincoln Electric Holdings, Inc.")</f>
        <v>0</v>
      </c>
      <c r="C189">
        <v>-0.006074498567335</v>
      </c>
      <c r="D189">
        <v>0.175346457493308</v>
      </c>
      <c r="E189">
        <v>0.291327467363157</v>
      </c>
      <c r="F189">
        <v>0.200359886497335</v>
      </c>
      <c r="G189">
        <v>0.3742720177489</v>
      </c>
      <c r="H189">
        <v>0.556474706837307</v>
      </c>
      <c r="I189">
        <v>1.204212455376263</v>
      </c>
    </row>
    <row r="190" spans="1:9">
      <c r="A190" s="1" t="s">
        <v>202</v>
      </c>
      <c r="B190">
        <f>HYPERLINK("https://www.suredividend.com/sure-analysis-LEG/","Leggett &amp; Platt, Inc.")</f>
        <v>0</v>
      </c>
      <c r="C190">
        <v>-0.066344345957561</v>
      </c>
      <c r="D190">
        <v>-0.002568186057188</v>
      </c>
      <c r="E190">
        <v>-0.055075300386016</v>
      </c>
      <c r="F190">
        <v>0.078498293515358</v>
      </c>
      <c r="G190">
        <v>-0.02155065642804</v>
      </c>
      <c r="H190">
        <v>-0.144678725482717</v>
      </c>
      <c r="I190">
        <v>0.013816013976427</v>
      </c>
    </row>
    <row r="191" spans="1:9">
      <c r="A191" s="1" t="s">
        <v>203</v>
      </c>
      <c r="B191">
        <f>HYPERLINK("https://www.suredividend.com/sure-analysis-research-database/","Littelfuse, Inc.")</f>
        <v>0</v>
      </c>
      <c r="C191">
        <v>0.007850198959583001</v>
      </c>
      <c r="D191">
        <v>0.105731078391618</v>
      </c>
      <c r="E191">
        <v>0.206889919489087</v>
      </c>
      <c r="F191">
        <v>0.242466160594759</v>
      </c>
      <c r="G191">
        <v>0.123308360408483</v>
      </c>
      <c r="H191">
        <v>0.103332755312436</v>
      </c>
      <c r="I191">
        <v>0.360763295683355</v>
      </c>
    </row>
    <row r="192" spans="1:9">
      <c r="A192" s="1" t="s">
        <v>204</v>
      </c>
      <c r="B192">
        <f>HYPERLINK("https://www.suredividend.com/sure-analysis-LHX/","L3Harris Technologies Inc")</f>
        <v>0</v>
      </c>
      <c r="C192">
        <v>0.015216876036975</v>
      </c>
      <c r="D192">
        <v>-0.068869565217391</v>
      </c>
      <c r="E192">
        <v>-0.05260401183448701</v>
      </c>
      <c r="F192">
        <v>0.02857691753518</v>
      </c>
      <c r="G192">
        <v>-0.182124360939182</v>
      </c>
      <c r="H192">
        <v>0.210855406925102</v>
      </c>
      <c r="I192">
        <v>0.433828538450285</v>
      </c>
    </row>
    <row r="193" spans="1:9">
      <c r="A193" s="1" t="s">
        <v>205</v>
      </c>
      <c r="B193">
        <f>HYPERLINK("https://www.suredividend.com/sure-analysis-LII/","Lennox International Inc")</f>
        <v>0</v>
      </c>
      <c r="C193">
        <v>-0.04530732559409</v>
      </c>
      <c r="D193">
        <v>-0.009710005915165</v>
      </c>
      <c r="E193">
        <v>0.071599548387413</v>
      </c>
      <c r="F193">
        <v>0.09660159678970001</v>
      </c>
      <c r="G193">
        <v>-0.009910705524482</v>
      </c>
      <c r="H193">
        <v>-0.030395049152917</v>
      </c>
      <c r="I193">
        <v>0.415083907668391</v>
      </c>
    </row>
    <row r="194" spans="1:9">
      <c r="A194" s="1" t="s">
        <v>206</v>
      </c>
      <c r="B194">
        <f>HYPERLINK("https://www.suredividend.com/sure-analysis-research-database/","Lakeland Financial Corp.")</f>
        <v>0</v>
      </c>
      <c r="C194">
        <v>-0.022279934390377</v>
      </c>
      <c r="D194">
        <v>-0.07292561760676601</v>
      </c>
      <c r="E194">
        <v>-0.038682512569162</v>
      </c>
      <c r="F194">
        <v>-0.013594278764076</v>
      </c>
      <c r="G194">
        <v>-0.071563467391798</v>
      </c>
      <c r="H194">
        <v>0.071597643773557</v>
      </c>
      <c r="I194">
        <v>0.7390014781391001</v>
      </c>
    </row>
    <row r="195" spans="1:9">
      <c r="A195" s="1" t="s">
        <v>207</v>
      </c>
      <c r="B195">
        <f>HYPERLINK("https://www.suredividend.com/sure-analysis-research-database/","Lemaitre Vascular Inc")</f>
        <v>0</v>
      </c>
      <c r="C195">
        <v>0.012987012987013</v>
      </c>
      <c r="D195">
        <v>0.07483570065719701</v>
      </c>
      <c r="E195">
        <v>0.032002247200159</v>
      </c>
      <c r="F195">
        <v>0.101694915254237</v>
      </c>
      <c r="G195">
        <v>0.05760505647861301</v>
      </c>
      <c r="H195">
        <v>0.103940217391304</v>
      </c>
      <c r="I195">
        <v>0.5184232357689</v>
      </c>
    </row>
    <row r="196" spans="1:9">
      <c r="A196" s="1" t="s">
        <v>208</v>
      </c>
      <c r="B196">
        <f>HYPERLINK("https://www.suredividend.com/sure-analysis-LMT/","Lockheed Martin Corp.")</f>
        <v>0</v>
      </c>
      <c r="C196">
        <v>0.047527255677622</v>
      </c>
      <c r="D196">
        <v>-0.030895393118138</v>
      </c>
      <c r="E196">
        <v>0.156073139666669</v>
      </c>
      <c r="F196">
        <v>-0.011492902416028</v>
      </c>
      <c r="G196">
        <v>0.063201877539451</v>
      </c>
      <c r="H196">
        <v>0.4825125623775791</v>
      </c>
      <c r="I196">
        <v>0.5772498971911221</v>
      </c>
    </row>
    <row r="197" spans="1:9">
      <c r="A197" s="1" t="s">
        <v>209</v>
      </c>
      <c r="B197">
        <f>HYPERLINK("https://www.suredividend.com/sure-analysis-LNC/","Lincoln National Corp.")</f>
        <v>0</v>
      </c>
      <c r="C197">
        <v>-0.109441451658633</v>
      </c>
      <c r="D197">
        <v>-0.179308434754889</v>
      </c>
      <c r="E197">
        <v>-0.303800835173019</v>
      </c>
      <c r="F197">
        <v>0.037085462973968</v>
      </c>
      <c r="G197">
        <v>-0.470037102464555</v>
      </c>
      <c r="H197">
        <v>-0.408699515438571</v>
      </c>
      <c r="I197">
        <v>-0.50208139804003</v>
      </c>
    </row>
    <row r="198" spans="1:9">
      <c r="A198" s="1" t="s">
        <v>210</v>
      </c>
      <c r="B198">
        <f>HYPERLINK("https://www.suredividend.com/sure-analysis-LNN/","Lindsay Corporation")</f>
        <v>0</v>
      </c>
      <c r="C198">
        <v>0.00986368056707</v>
      </c>
      <c r="D198">
        <v>-0.107978486074251</v>
      </c>
      <c r="E198">
        <v>0.005685752211374</v>
      </c>
      <c r="F198">
        <v>-0.029266023203089</v>
      </c>
      <c r="G198">
        <v>0.15898455495478</v>
      </c>
      <c r="H198">
        <v>0.031685039782073</v>
      </c>
      <c r="I198">
        <v>0.8737416032642581</v>
      </c>
    </row>
    <row r="199" spans="1:9">
      <c r="A199" s="1" t="s">
        <v>211</v>
      </c>
      <c r="B199">
        <f>HYPERLINK("https://www.suredividend.com/sure-analysis-LNT/","Alliant Energy Corp.")</f>
        <v>0</v>
      </c>
      <c r="C199">
        <v>-0.023809523809523</v>
      </c>
      <c r="D199">
        <v>-0.041849835217308</v>
      </c>
      <c r="E199">
        <v>-0.138863438658697</v>
      </c>
      <c r="F199">
        <v>-0.048965405134892</v>
      </c>
      <c r="G199">
        <v>-0.113430497854661</v>
      </c>
      <c r="H199">
        <v>0.170978093916625</v>
      </c>
      <c r="I199">
        <v>0.5811897032877931</v>
      </c>
    </row>
    <row r="200" spans="1:9">
      <c r="A200" s="1" t="s">
        <v>212</v>
      </c>
      <c r="B200">
        <f>HYPERLINK("https://www.suredividend.com/sure-analysis-LOW/","Lowe`s Cos., Inc.")</f>
        <v>0</v>
      </c>
      <c r="C200">
        <v>-0.04596434049079701</v>
      </c>
      <c r="D200">
        <v>-0.008404525122660001</v>
      </c>
      <c r="E200">
        <v>-0.021676464646911</v>
      </c>
      <c r="F200">
        <v>0.004187266673393</v>
      </c>
      <c r="G200">
        <v>-0.100609308388665</v>
      </c>
      <c r="H200">
        <v>0.237080725654587</v>
      </c>
      <c r="I200">
        <v>1.453896215168666</v>
      </c>
    </row>
    <row r="201" spans="1:9">
      <c r="A201" s="1" t="s">
        <v>213</v>
      </c>
      <c r="B201">
        <f>HYPERLINK("https://www.suredividend.com/sure-analysis-LYB/","LyondellBasell Industries NV")</f>
        <v>0</v>
      </c>
      <c r="C201">
        <v>0.002945714686491</v>
      </c>
      <c r="D201">
        <v>0.159471441278804</v>
      </c>
      <c r="E201">
        <v>0.218607448994937</v>
      </c>
      <c r="F201">
        <v>0.18558473321905</v>
      </c>
      <c r="G201">
        <v>0.07547336754556701</v>
      </c>
      <c r="H201">
        <v>0.026297013986515</v>
      </c>
      <c r="I201">
        <v>0.111340957897275</v>
      </c>
    </row>
    <row r="202" spans="1:9">
      <c r="A202" s="1" t="s">
        <v>214</v>
      </c>
      <c r="B202">
        <f>HYPERLINK("https://www.suredividend.com/sure-analysis-MA/","Mastercard Incorporated")</f>
        <v>0</v>
      </c>
      <c r="C202">
        <v>-0.033189805033296</v>
      </c>
      <c r="D202">
        <v>0.005628739116815</v>
      </c>
      <c r="E202">
        <v>0.124351748234783</v>
      </c>
      <c r="F202">
        <v>0.041287105754731</v>
      </c>
      <c r="G202">
        <v>0.09968232413524301</v>
      </c>
      <c r="H202">
        <v>0.044638878598224</v>
      </c>
      <c r="I202">
        <v>1.11976589340656</v>
      </c>
    </row>
    <row r="203" spans="1:9">
      <c r="A203" s="1" t="s">
        <v>215</v>
      </c>
      <c r="B203">
        <f>HYPERLINK("https://www.suredividend.com/sure-analysis-MAA/","Mid-America Apartment Communities, Inc.")</f>
        <v>0</v>
      </c>
      <c r="C203">
        <v>-0.078474429355677</v>
      </c>
      <c r="D203">
        <v>-0.020623590154279</v>
      </c>
      <c r="E203">
        <v>-0.011873994260975</v>
      </c>
      <c r="F203">
        <v>0.024729873442936</v>
      </c>
      <c r="G203">
        <v>-0.232983212880225</v>
      </c>
      <c r="H203">
        <v>0.267104158075355</v>
      </c>
      <c r="I203">
        <v>1.17852215133673</v>
      </c>
    </row>
    <row r="204" spans="1:9">
      <c r="A204" s="1" t="s">
        <v>216</v>
      </c>
      <c r="B204">
        <f>HYPERLINK("https://www.suredividend.com/sure-analysis-MAN/","ManpowerGroup")</f>
        <v>0</v>
      </c>
      <c r="C204">
        <v>-0.05714600308302101</v>
      </c>
      <c r="D204">
        <v>-0.026378624218305</v>
      </c>
      <c r="E204">
        <v>0.201428300841125</v>
      </c>
      <c r="F204">
        <v>0.029083042903497</v>
      </c>
      <c r="G204">
        <v>-0.08688507633461601</v>
      </c>
      <c r="H204">
        <v>-0.06334738184646201</v>
      </c>
      <c r="I204">
        <v>-0.204014229767804</v>
      </c>
    </row>
    <row r="205" spans="1:9">
      <c r="A205" s="1" t="s">
        <v>217</v>
      </c>
      <c r="B205">
        <f>HYPERLINK("https://www.suredividend.com/sure-analysis-MATW/","Matthews International Corp.")</f>
        <v>0</v>
      </c>
      <c r="C205">
        <v>0.009324009324009001</v>
      </c>
      <c r="D205">
        <v>0.233290293179401</v>
      </c>
      <c r="E205">
        <v>0.567622579879562</v>
      </c>
      <c r="F205">
        <v>0.287983448239392</v>
      </c>
      <c r="G205">
        <v>0.178748052812268</v>
      </c>
      <c r="H205">
        <v>0.079244279756069</v>
      </c>
      <c r="I205">
        <v>-0.193791970606611</v>
      </c>
    </row>
    <row r="206" spans="1:9">
      <c r="A206" s="1" t="s">
        <v>218</v>
      </c>
      <c r="B206">
        <f>HYPERLINK("https://www.suredividend.com/sure-analysis-MCD/","McDonald`s Corp")</f>
        <v>0</v>
      </c>
      <c r="C206">
        <v>0.024196728599857</v>
      </c>
      <c r="D206">
        <v>-0.010155225407009</v>
      </c>
      <c r="E206">
        <v>0.06930046202427501</v>
      </c>
      <c r="F206">
        <v>0.026917316878433</v>
      </c>
      <c r="G206">
        <v>0.166845912331523</v>
      </c>
      <c r="H206">
        <v>0.373212481244449</v>
      </c>
      <c r="I206">
        <v>1.028480294558226</v>
      </c>
    </row>
    <row r="207" spans="1:9">
      <c r="A207" s="1" t="s">
        <v>219</v>
      </c>
      <c r="B207">
        <f>HYPERLINK("https://www.suredividend.com/sure-analysis-MCHP/","Microchip Technology, Inc.")</f>
        <v>0</v>
      </c>
      <c r="C207">
        <v>-0.027995151743371</v>
      </c>
      <c r="D207">
        <v>0.07296416091864401</v>
      </c>
      <c r="E207">
        <v>0.291771447159354</v>
      </c>
      <c r="F207">
        <v>0.18079450601762</v>
      </c>
      <c r="G207">
        <v>0.239983306762262</v>
      </c>
      <c r="H207">
        <v>1.428576048830255</v>
      </c>
      <c r="I207">
        <v>2.902595745887155</v>
      </c>
    </row>
    <row r="208" spans="1:9">
      <c r="A208" s="1" t="s">
        <v>220</v>
      </c>
      <c r="B208">
        <f>HYPERLINK("https://www.suredividend.com/sure-analysis-MCK/","Mckesson Corporation")</f>
        <v>0</v>
      </c>
      <c r="C208">
        <v>-0.045186987782746</v>
      </c>
      <c r="D208">
        <v>-0.105089523409104</v>
      </c>
      <c r="E208">
        <v>-0.047093437881888</v>
      </c>
      <c r="F208">
        <v>-0.07710586036577201</v>
      </c>
      <c r="G208">
        <v>0.231997359725622</v>
      </c>
      <c r="H208">
        <v>1.031813543621068</v>
      </c>
      <c r="I208">
        <v>1.408093344879066</v>
      </c>
    </row>
    <row r="209" spans="1:9">
      <c r="A209" s="1" t="s">
        <v>221</v>
      </c>
      <c r="B209">
        <f>HYPERLINK("https://www.suredividend.com/sure-analysis-MCO/","Moody`s Corp.")</f>
        <v>0</v>
      </c>
      <c r="C209">
        <v>-0.076942194053569</v>
      </c>
      <c r="D209">
        <v>-0.007712145474410001</v>
      </c>
      <c r="E209">
        <v>0.05815906120009001</v>
      </c>
      <c r="F209">
        <v>0.07459283540002801</v>
      </c>
      <c r="G209">
        <v>-0.07208681652942001</v>
      </c>
      <c r="H209">
        <v>0.09560554384770201</v>
      </c>
      <c r="I209">
        <v>0.8777400214800071</v>
      </c>
    </row>
    <row r="210" spans="1:9">
      <c r="A210" s="1" t="s">
        <v>222</v>
      </c>
      <c r="B210">
        <f>HYPERLINK("https://www.suredividend.com/sure-analysis-MCY/","Mercury General Corp.")</f>
        <v>0</v>
      </c>
      <c r="C210">
        <v>-0.14037814037814</v>
      </c>
      <c r="D210">
        <v>-0.085705155752426</v>
      </c>
      <c r="E210">
        <v>0.027061317324503</v>
      </c>
      <c r="F210">
        <v>-0.02953216374269</v>
      </c>
      <c r="G210">
        <v>-0.35702094767247</v>
      </c>
      <c r="H210">
        <v>-0.399859322251495</v>
      </c>
      <c r="I210">
        <v>-0.070102347578315</v>
      </c>
    </row>
    <row r="211" spans="1:9">
      <c r="A211" s="1" t="s">
        <v>223</v>
      </c>
      <c r="B211">
        <f>HYPERLINK("https://www.suredividend.com/sure-analysis-MDT/","Medtronic Plc")</f>
        <v>0</v>
      </c>
      <c r="C211">
        <v>-0.042365097588978</v>
      </c>
      <c r="D211">
        <v>0.056919840847461</v>
      </c>
      <c r="E211">
        <v>-0.027238715455953</v>
      </c>
      <c r="F211">
        <v>0.07321152856407601</v>
      </c>
      <c r="G211">
        <v>-0.206108991784118</v>
      </c>
      <c r="H211">
        <v>-0.237987871390697</v>
      </c>
      <c r="I211">
        <v>0.184942521550866</v>
      </c>
    </row>
    <row r="212" spans="1:9">
      <c r="A212" s="1" t="s">
        <v>224</v>
      </c>
      <c r="B212">
        <f>HYPERLINK("https://www.suredividend.com/sure-analysis-MDU/","MDU Resources Group Inc")</f>
        <v>0</v>
      </c>
      <c r="C212">
        <v>0.020316027088036</v>
      </c>
      <c r="D212">
        <v>0.010175184299502</v>
      </c>
      <c r="E212">
        <v>0.07198639349760901</v>
      </c>
      <c r="F212">
        <v>0.042847725774554</v>
      </c>
      <c r="G212">
        <v>0.2332301743828</v>
      </c>
      <c r="H212">
        <v>0.133371781048619</v>
      </c>
      <c r="I212">
        <v>0.4930232777617861</v>
      </c>
    </row>
    <row r="213" spans="1:9">
      <c r="A213" s="1" t="s">
        <v>225</v>
      </c>
      <c r="B213">
        <f>HYPERLINK("https://www.suredividend.com/sure-analysis-MGEE/","MGE Energy, Inc.")</f>
        <v>0</v>
      </c>
      <c r="C213">
        <v>-0.026234939100391</v>
      </c>
      <c r="D213">
        <v>0.012424760854614</v>
      </c>
      <c r="E213">
        <v>-0.067070128829431</v>
      </c>
      <c r="F213">
        <v>0.017889133658486</v>
      </c>
      <c r="G213">
        <v>-0.040256685875003</v>
      </c>
      <c r="H213">
        <v>0.167041757982565</v>
      </c>
      <c r="I213">
        <v>0.503510300891977</v>
      </c>
    </row>
    <row r="214" spans="1:9">
      <c r="A214" s="1" t="s">
        <v>226</v>
      </c>
      <c r="B214">
        <f>HYPERLINK("https://www.suredividend.com/sure-analysis-MGRC/","McGrath Rentcorp")</f>
        <v>0</v>
      </c>
      <c r="C214">
        <v>-0.033665835411471</v>
      </c>
      <c r="D214">
        <v>0.019227228491017</v>
      </c>
      <c r="E214">
        <v>0.215439886695668</v>
      </c>
      <c r="F214">
        <v>0.025007121637569</v>
      </c>
      <c r="G214">
        <v>0.275815477192978</v>
      </c>
      <c r="H214">
        <v>0.384443934486601</v>
      </c>
      <c r="I214">
        <v>1.244950254576244</v>
      </c>
    </row>
    <row r="215" spans="1:9">
      <c r="A215" s="1" t="s">
        <v>227</v>
      </c>
      <c r="B215">
        <f>HYPERLINK("https://www.suredividend.com/sure-analysis-MKC/","McCormick &amp; Co., Inc.")</f>
        <v>0</v>
      </c>
      <c r="C215">
        <v>-0.022001609873893</v>
      </c>
      <c r="D215">
        <v>-0.152082051472922</v>
      </c>
      <c r="E215">
        <v>-0.113554948649417</v>
      </c>
      <c r="F215">
        <v>-0.120521172638436</v>
      </c>
      <c r="G215">
        <v>-0.282305129598563</v>
      </c>
      <c r="H215">
        <v>-0.090462204899277</v>
      </c>
      <c r="I215">
        <v>0.4582712384503521</v>
      </c>
    </row>
    <row r="216" spans="1:9">
      <c r="A216" s="1" t="s">
        <v>228</v>
      </c>
      <c r="B216">
        <f>HYPERLINK("https://www.suredividend.com/sure-analysis-MKTX/","MarketAxess Holdings Inc.")</f>
        <v>0</v>
      </c>
      <c r="C216">
        <v>0.07048323256271301</v>
      </c>
      <c r="D216">
        <v>0.316973100275569</v>
      </c>
      <c r="E216">
        <v>0.48591612728887</v>
      </c>
      <c r="F216">
        <v>0.327692293873004</v>
      </c>
      <c r="G216">
        <v>0.013526486306201</v>
      </c>
      <c r="H216">
        <v>-0.225240974755544</v>
      </c>
      <c r="I216">
        <v>0.8884837854716761</v>
      </c>
    </row>
    <row r="217" spans="1:9">
      <c r="A217" s="1" t="s">
        <v>229</v>
      </c>
      <c r="B217">
        <f>HYPERLINK("https://www.suredividend.com/sure-analysis-MMC/","Marsh &amp; McLennan Cos., Inc.")</f>
        <v>0</v>
      </c>
      <c r="C217">
        <v>-0.047765883174307</v>
      </c>
      <c r="D217">
        <v>-0.055669731927213</v>
      </c>
      <c r="E217">
        <v>0.028510096265327</v>
      </c>
      <c r="F217">
        <v>-0.007562582920399001</v>
      </c>
      <c r="G217">
        <v>0.06067361555749601</v>
      </c>
      <c r="H217">
        <v>0.48721956183951</v>
      </c>
      <c r="I217">
        <v>1.152722700327373</v>
      </c>
    </row>
    <row r="218" spans="1:9">
      <c r="A218" s="1" t="s">
        <v>230</v>
      </c>
      <c r="B218">
        <f>HYPERLINK("https://www.suredividend.com/sure-analysis-MMM/","3M Co.")</f>
        <v>0</v>
      </c>
      <c r="C218">
        <v>-0.040487362737344</v>
      </c>
      <c r="D218">
        <v>-0.112267873927037</v>
      </c>
      <c r="E218">
        <v>-0.062448386629229</v>
      </c>
      <c r="F218">
        <v>-0.05993088472620001</v>
      </c>
      <c r="G218">
        <v>-0.206787718398945</v>
      </c>
      <c r="H218">
        <v>-0.3230185850443451</v>
      </c>
      <c r="I218">
        <v>-0.4241388608963571</v>
      </c>
    </row>
    <row r="219" spans="1:9">
      <c r="A219" s="1" t="s">
        <v>231</v>
      </c>
      <c r="B219">
        <f>HYPERLINK("https://www.suredividend.com/sure-analysis-MMP/","Magellan Midstream Partners L.P.")</f>
        <v>0</v>
      </c>
      <c r="C219">
        <v>0.004240249755370001</v>
      </c>
      <c r="D219">
        <v>0.04672170956775101</v>
      </c>
      <c r="E219">
        <v>0.089536967010567</v>
      </c>
      <c r="F219">
        <v>0.09404347340528101</v>
      </c>
      <c r="G219">
        <v>0.180150344320033</v>
      </c>
      <c r="H219">
        <v>0.423957799261064</v>
      </c>
      <c r="I219">
        <v>0.259299251852838</v>
      </c>
    </row>
    <row r="220" spans="1:9">
      <c r="A220" s="1" t="s">
        <v>232</v>
      </c>
      <c r="B220">
        <f>HYPERLINK("https://www.suredividend.com/sure-analysis-research-database/","Monro Inc")</f>
        <v>0</v>
      </c>
      <c r="C220">
        <v>-0.054891710231516</v>
      </c>
      <c r="D220">
        <v>0.08533447684391</v>
      </c>
      <c r="E220">
        <v>0.103204785929889</v>
      </c>
      <c r="F220">
        <v>0.119911504424778</v>
      </c>
      <c r="G220">
        <v>0.122628663180352</v>
      </c>
      <c r="H220">
        <v>-0.198628391225123</v>
      </c>
      <c r="I220">
        <v>0.05287022573687301</v>
      </c>
    </row>
    <row r="221" spans="1:9">
      <c r="A221" s="1" t="s">
        <v>233</v>
      </c>
      <c r="B221">
        <f>HYPERLINK("https://www.suredividend.com/sure-analysis-MO/","Altria Group Inc.")</f>
        <v>0</v>
      </c>
      <c r="C221">
        <v>-0.008100618205073001</v>
      </c>
      <c r="D221">
        <v>-0.002912190700275</v>
      </c>
      <c r="E221">
        <v>0.078964027575844</v>
      </c>
      <c r="F221">
        <v>0.017939181798293</v>
      </c>
      <c r="G221">
        <v>-0.05871262312293701</v>
      </c>
      <c r="H221">
        <v>0.222219011770392</v>
      </c>
      <c r="I221">
        <v>0.06293303727461501</v>
      </c>
    </row>
    <row r="222" spans="1:9">
      <c r="A222" s="1" t="s">
        <v>234</v>
      </c>
      <c r="B222">
        <f>HYPERLINK("https://www.suredividend.com/sure-analysis-MORN/","Morningstar Inc")</f>
        <v>0</v>
      </c>
      <c r="C222">
        <v>-0.150253643610596</v>
      </c>
      <c r="D222">
        <v>-0.152964443850484</v>
      </c>
      <c r="E222">
        <v>-0.061229155537684</v>
      </c>
      <c r="F222">
        <v>-0.023869548346576</v>
      </c>
      <c r="G222">
        <v>-0.20515066586426</v>
      </c>
      <c r="H222">
        <v>-0.06258674714581</v>
      </c>
      <c r="I222">
        <v>1.341510388469287</v>
      </c>
    </row>
    <row r="223" spans="1:9">
      <c r="A223" s="1" t="s">
        <v>235</v>
      </c>
      <c r="B223">
        <f>HYPERLINK("https://www.suredividend.com/sure-analysis-MRK/","Merck &amp; Co Inc")</f>
        <v>0</v>
      </c>
      <c r="C223">
        <v>0.038274723139692</v>
      </c>
      <c r="D223">
        <v>-0.022281337447411</v>
      </c>
      <c r="E223">
        <v>0.257746177218884</v>
      </c>
      <c r="F223">
        <v>-0.03668319062640801</v>
      </c>
      <c r="G223">
        <v>0.417393841338885</v>
      </c>
      <c r="H223">
        <v>0.5840621530973541</v>
      </c>
      <c r="I223">
        <v>1.29725460020505</v>
      </c>
    </row>
    <row r="224" spans="1:9">
      <c r="A224" s="1" t="s">
        <v>236</v>
      </c>
      <c r="B224">
        <f>HYPERLINK("https://www.suredividend.com/sure-analysis-MSA/","MSA Safety Inc")</f>
        <v>0</v>
      </c>
      <c r="C224">
        <v>0.003747254167205</v>
      </c>
      <c r="D224">
        <v>0.014346655245255</v>
      </c>
      <c r="E224">
        <v>0.115983837362225</v>
      </c>
      <c r="F224">
        <v>-0.054031015034323</v>
      </c>
      <c r="G224">
        <v>0.016852037331949</v>
      </c>
      <c r="H224">
        <v>-0.141429229174732</v>
      </c>
      <c r="I224">
        <v>0.6755844639276021</v>
      </c>
    </row>
    <row r="225" spans="1:9">
      <c r="A225" s="1" t="s">
        <v>237</v>
      </c>
      <c r="B225">
        <f>HYPERLINK("https://www.suredividend.com/sure-analysis-MSEX/","Middlesex Water Co.")</f>
        <v>0</v>
      </c>
      <c r="C225">
        <v>-0.148964309851861</v>
      </c>
      <c r="D225">
        <v>-0.162893458265393</v>
      </c>
      <c r="E225">
        <v>-0.142724562019525</v>
      </c>
      <c r="F225">
        <v>-0.031266625585124</v>
      </c>
      <c r="G225">
        <v>-0.277628360578848</v>
      </c>
      <c r="H225">
        <v>0.12907063197026</v>
      </c>
      <c r="I225">
        <v>1.375314002558945</v>
      </c>
    </row>
    <row r="226" spans="1:9">
      <c r="A226" s="1" t="s">
        <v>238</v>
      </c>
      <c r="B226">
        <f>HYPERLINK("https://www.suredividend.com/sure-analysis-MSFT/","Microsoft Corporation")</f>
        <v>0</v>
      </c>
      <c r="C226">
        <v>-0.009369258200768001</v>
      </c>
      <c r="D226">
        <v>0.003566278852186</v>
      </c>
      <c r="E226">
        <v>0.00230661261668</v>
      </c>
      <c r="F226">
        <v>0.067173088627744</v>
      </c>
      <c r="G226">
        <v>-0.110624155181783</v>
      </c>
      <c r="H226">
        <v>0.146272425702652</v>
      </c>
      <c r="I226">
        <v>1.907028383638015</v>
      </c>
    </row>
    <row r="227" spans="1:9">
      <c r="A227" s="1" t="s">
        <v>239</v>
      </c>
      <c r="B227">
        <f>HYPERLINK("https://www.suredividend.com/sure-analysis-research-database/","Motorola Solutions Inc")</f>
        <v>0</v>
      </c>
      <c r="C227">
        <v>0.03946342224301901</v>
      </c>
      <c r="D227">
        <v>-0.019285015509468</v>
      </c>
      <c r="E227">
        <v>0.100637110992745</v>
      </c>
      <c r="F227">
        <v>0.034340925846882</v>
      </c>
      <c r="G227">
        <v>0.212394661388213</v>
      </c>
      <c r="H227">
        <v>0.5661160545108971</v>
      </c>
      <c r="I227">
        <v>1.709254213136265</v>
      </c>
    </row>
    <row r="228" spans="1:9">
      <c r="A228" s="1" t="s">
        <v>240</v>
      </c>
      <c r="B228">
        <f>HYPERLINK("https://www.suredividend.com/sure-analysis-NDSN/","Nordson Corp.")</f>
        <v>0</v>
      </c>
      <c r="C228">
        <v>-0.100786947518685</v>
      </c>
      <c r="D228">
        <v>-0.07322784281405501</v>
      </c>
      <c r="E228">
        <v>0.002077043856992</v>
      </c>
      <c r="F228">
        <v>-0.059442523877733</v>
      </c>
      <c r="G228">
        <v>-0.004800824044019001</v>
      </c>
      <c r="H228">
        <v>0.186987057534725</v>
      </c>
      <c r="I228">
        <v>0.735685980866122</v>
      </c>
    </row>
    <row r="229" spans="1:9">
      <c r="A229" s="1" t="s">
        <v>241</v>
      </c>
      <c r="B229">
        <f>HYPERLINK("https://www.suredividend.com/sure-analysis-NEE/","NextEra Energy Inc")</f>
        <v>0</v>
      </c>
      <c r="C229">
        <v>-0.004010784852915001</v>
      </c>
      <c r="D229">
        <v>-0.128625446249392</v>
      </c>
      <c r="E229">
        <v>-0.16795628772912</v>
      </c>
      <c r="F229">
        <v>-0.106110950592314</v>
      </c>
      <c r="G229">
        <v>-0.07379225004241201</v>
      </c>
      <c r="H229">
        <v>0.08681810397446001</v>
      </c>
      <c r="I229">
        <v>1.139226939565758</v>
      </c>
    </row>
    <row r="230" spans="1:9">
      <c r="A230" s="1" t="s">
        <v>242</v>
      </c>
      <c r="B230">
        <f>HYPERLINK("https://www.suredividend.com/sure-analysis-NFG/","National Fuel Gas Co.")</f>
        <v>0</v>
      </c>
      <c r="C230">
        <v>-0.014912868632707</v>
      </c>
      <c r="D230">
        <v>-0.07728140955113401</v>
      </c>
      <c r="E230">
        <v>-0.153555097386516</v>
      </c>
      <c r="F230">
        <v>-0.071248025276461</v>
      </c>
      <c r="G230">
        <v>-0.07486234662999</v>
      </c>
      <c r="H230">
        <v>0.320877229640314</v>
      </c>
      <c r="I230">
        <v>0.395651379152353</v>
      </c>
    </row>
    <row r="231" spans="1:9">
      <c r="A231" s="1" t="s">
        <v>243</v>
      </c>
      <c r="B231">
        <f>HYPERLINK("https://www.suredividend.com/sure-analysis-NHC/","National Healthcare Corp.")</f>
        <v>0</v>
      </c>
      <c r="C231">
        <v>-0.110806008722338</v>
      </c>
      <c r="D231">
        <v>-0.075046415699848</v>
      </c>
      <c r="E231">
        <v>-0.190606625998509</v>
      </c>
      <c r="F231">
        <v>-0.07478991596638601</v>
      </c>
      <c r="G231">
        <v>-0.145588333439391</v>
      </c>
      <c r="H231">
        <v>-0.16707392540432</v>
      </c>
      <c r="I231">
        <v>0.06301014349188601</v>
      </c>
    </row>
    <row r="232" spans="1:9">
      <c r="A232" s="1" t="s">
        <v>244</v>
      </c>
      <c r="B232">
        <f>HYPERLINK("https://www.suredividend.com/sure-analysis-research-database/","NiSource Inc")</f>
        <v>0</v>
      </c>
      <c r="C232">
        <v>0.023651145602365</v>
      </c>
      <c r="D232">
        <v>0.013998301461328</v>
      </c>
      <c r="E232">
        <v>-0.04510088491914301</v>
      </c>
      <c r="F232">
        <v>0.019544333615517</v>
      </c>
      <c r="G232">
        <v>-0.05941316889475901</v>
      </c>
      <c r="H232">
        <v>0.379880642815155</v>
      </c>
      <c r="I232">
        <v>0.406891227499898</v>
      </c>
    </row>
    <row r="233" spans="1:9">
      <c r="A233" s="1" t="s">
        <v>245</v>
      </c>
      <c r="B233">
        <f>HYPERLINK("https://www.suredividend.com/sure-analysis-NJR/","New Jersey Resources Corporation")</f>
        <v>0</v>
      </c>
      <c r="C233">
        <v>-0.033502729154903</v>
      </c>
      <c r="D233">
        <v>0.06106221936609001</v>
      </c>
      <c r="E233">
        <v>0.173247668355899</v>
      </c>
      <c r="F233">
        <v>0.034864973800886</v>
      </c>
      <c r="G233">
        <v>0.173145812771868</v>
      </c>
      <c r="H233">
        <v>0.399720328518586</v>
      </c>
      <c r="I233">
        <v>0.585130946942102</v>
      </c>
    </row>
    <row r="234" spans="1:9">
      <c r="A234" s="1" t="s">
        <v>246</v>
      </c>
      <c r="B234">
        <f>HYPERLINK("https://www.suredividend.com/sure-analysis-NKE/","Nike, Inc.")</f>
        <v>0</v>
      </c>
      <c r="C234">
        <v>-0.049566513054904</v>
      </c>
      <c r="D234">
        <v>0.080969959153028</v>
      </c>
      <c r="E234">
        <v>0.15053079101608</v>
      </c>
      <c r="F234">
        <v>0.036534098749285</v>
      </c>
      <c r="G234">
        <v>-0.067626023518274</v>
      </c>
      <c r="H234">
        <v>-0.066501898411262</v>
      </c>
      <c r="I234">
        <v>0.9231411411315901</v>
      </c>
    </row>
    <row r="235" spans="1:9">
      <c r="A235" s="1" t="s">
        <v>247</v>
      </c>
      <c r="B235">
        <f>HYPERLINK("https://www.suredividend.com/sure-analysis-NNN/","National Retail Properties Inc")</f>
        <v>0</v>
      </c>
      <c r="C235">
        <v>-0.027954256670902</v>
      </c>
      <c r="D235">
        <v>0.005099951606298001</v>
      </c>
      <c r="E235">
        <v>0.05508509640581401</v>
      </c>
      <c r="F235">
        <v>0.014766062154973</v>
      </c>
      <c r="G235">
        <v>0.110267189790379</v>
      </c>
      <c r="H235">
        <v>0.192396717401978</v>
      </c>
      <c r="I235">
        <v>0.540728606865808</v>
      </c>
    </row>
    <row r="236" spans="1:9">
      <c r="A236" s="1" t="s">
        <v>248</v>
      </c>
      <c r="B236">
        <f>HYPERLINK("https://www.suredividend.com/sure-analysis-NOC/","Northrop Grumman Corp.")</f>
        <v>0</v>
      </c>
      <c r="C236">
        <v>0.06455138194886301</v>
      </c>
      <c r="D236">
        <v>-0.1402420191675</v>
      </c>
      <c r="E236">
        <v>-0.016492448194773</v>
      </c>
      <c r="F236">
        <v>-0.140257834354037</v>
      </c>
      <c r="G236">
        <v>0.008343460707764001</v>
      </c>
      <c r="H236">
        <v>0.6081123345842551</v>
      </c>
      <c r="I236">
        <v>0.453335335875068</v>
      </c>
    </row>
    <row r="237" spans="1:9">
      <c r="A237" s="1" t="s">
        <v>249</v>
      </c>
      <c r="B237">
        <f>HYPERLINK("https://www.suredividend.com/sure-analysis-research-database/","Neenah Inc")</f>
        <v>0</v>
      </c>
      <c r="C237">
        <v>-0.160765801206399</v>
      </c>
      <c r="D237">
        <v>-0.207023786808345</v>
      </c>
      <c r="E237">
        <v>-0.308257674016428</v>
      </c>
      <c r="F237">
        <v>-0.292861436198423</v>
      </c>
      <c r="G237">
        <v>-0.331461425324241</v>
      </c>
      <c r="H237">
        <v>-0.299431663937369</v>
      </c>
      <c r="I237">
        <v>-0.528915740691669</v>
      </c>
    </row>
    <row r="238" spans="1:9">
      <c r="A238" s="1" t="s">
        <v>250</v>
      </c>
      <c r="B238">
        <f>HYPERLINK("https://www.suredividend.com/sure-analysis-NSP/","Insperity Inc")</f>
        <v>0</v>
      </c>
      <c r="C238">
        <v>0.089440226028606</v>
      </c>
      <c r="D238">
        <v>0.043378995433789</v>
      </c>
      <c r="E238">
        <v>0.152946980697318</v>
      </c>
      <c r="F238">
        <v>0.08617957746478801</v>
      </c>
      <c r="G238">
        <v>0.399871573496944</v>
      </c>
      <c r="H238">
        <v>0.478937811258337</v>
      </c>
      <c r="I238">
        <v>1.014264236076535</v>
      </c>
    </row>
    <row r="239" spans="1:9">
      <c r="A239" s="1" t="s">
        <v>251</v>
      </c>
      <c r="B239">
        <f>HYPERLINK("https://www.suredividend.com/sure-analysis-NUE/","Nucor Corp.")</f>
        <v>0</v>
      </c>
      <c r="C239">
        <v>0.009851101171941001</v>
      </c>
      <c r="D239">
        <v>0.161157186193966</v>
      </c>
      <c r="E239">
        <v>0.375529502127262</v>
      </c>
      <c r="F239">
        <v>0.353235718079053</v>
      </c>
      <c r="G239">
        <v>0.307173736045735</v>
      </c>
      <c r="H239">
        <v>2.05586631420069</v>
      </c>
      <c r="I239">
        <v>1.986686581259408</v>
      </c>
    </row>
    <row r="240" spans="1:9">
      <c r="A240" s="1" t="s">
        <v>252</v>
      </c>
      <c r="B240">
        <f>HYPERLINK("https://www.suredividend.com/sure-analysis-NUS/","Nu Skin Enterprises, Inc.")</f>
        <v>0</v>
      </c>
      <c r="C240">
        <v>-0.044108416547788</v>
      </c>
      <c r="D240">
        <v>0.002110461860939</v>
      </c>
      <c r="E240">
        <v>0.06026121717380101</v>
      </c>
      <c r="F240">
        <v>0.002823133894129</v>
      </c>
      <c r="G240">
        <v>-0.05801062099772501</v>
      </c>
      <c r="H240">
        <v>-0.09870163968295201</v>
      </c>
      <c r="I240">
        <v>-0.320031627946245</v>
      </c>
    </row>
    <row r="241" spans="1:9">
      <c r="A241" s="1" t="s">
        <v>253</v>
      </c>
      <c r="B241">
        <f>HYPERLINK("https://www.suredividend.com/sure-analysis-NWBI/","Northwest Bancshares Inc")</f>
        <v>0</v>
      </c>
      <c r="C241">
        <v>-0.05483207676490701</v>
      </c>
      <c r="D241">
        <v>-0.07548940734781401</v>
      </c>
      <c r="E241">
        <v>0.016916655605209</v>
      </c>
      <c r="F241">
        <v>0.000558687592056</v>
      </c>
      <c r="G241">
        <v>0.05410404977756</v>
      </c>
      <c r="H241">
        <v>0.07039454789608</v>
      </c>
      <c r="I241">
        <v>0.08437524573405601</v>
      </c>
    </row>
    <row r="242" spans="1:9">
      <c r="A242" s="1" t="s">
        <v>254</v>
      </c>
      <c r="B242">
        <f>HYPERLINK("https://www.suredividend.com/sure-analysis-NWE/","Northwestern Corp.")</f>
        <v>0</v>
      </c>
      <c r="C242">
        <v>0.001214645150095</v>
      </c>
      <c r="D242">
        <v>0.002888736707813</v>
      </c>
      <c r="E242">
        <v>0.106576555152389</v>
      </c>
      <c r="F242">
        <v>-0.027637344118638</v>
      </c>
      <c r="G242">
        <v>-0.024271458840996</v>
      </c>
      <c r="H242">
        <v>0.060893835232339</v>
      </c>
      <c r="I242">
        <v>0.37708830548926</v>
      </c>
    </row>
    <row r="243" spans="1:9">
      <c r="A243" s="1" t="s">
        <v>255</v>
      </c>
      <c r="B243">
        <f>HYPERLINK("https://www.suredividend.com/sure-analysis-NWN/","Northwest Natural Holding Co")</f>
        <v>0</v>
      </c>
      <c r="C243">
        <v>-0.06760672203979101</v>
      </c>
      <c r="D243">
        <v>0.044181398125795</v>
      </c>
      <c r="E243">
        <v>0.036971793164192</v>
      </c>
      <c r="F243">
        <v>0.024216666277661</v>
      </c>
      <c r="G243">
        <v>-0.103439693456985</v>
      </c>
      <c r="H243">
        <v>0.07409401827317101</v>
      </c>
      <c r="I243">
        <v>-0.170902045520517</v>
      </c>
    </row>
    <row r="244" spans="1:9">
      <c r="A244" s="1" t="s">
        <v>256</v>
      </c>
      <c r="B244">
        <f>HYPERLINK("https://www.suredividend.com/sure-analysis-O/","Realty Income Corp.")</f>
        <v>0</v>
      </c>
      <c r="C244">
        <v>-0.04210063513377001</v>
      </c>
      <c r="D244">
        <v>0.037136865398965</v>
      </c>
      <c r="E244">
        <v>-0.024361462807279</v>
      </c>
      <c r="F244">
        <v>0.024478507238387</v>
      </c>
      <c r="G244">
        <v>0.005753176411508</v>
      </c>
      <c r="H244">
        <v>0.178566859774484</v>
      </c>
      <c r="I244">
        <v>0.599902750522839</v>
      </c>
    </row>
    <row r="245" spans="1:9">
      <c r="A245" s="1" t="s">
        <v>257</v>
      </c>
      <c r="B245">
        <f>HYPERLINK("https://www.suredividend.com/sure-analysis-OGE/","Oge Energy Corp.")</f>
        <v>0</v>
      </c>
      <c r="C245">
        <v>-0.07731958762886601</v>
      </c>
      <c r="D245">
        <v>-0.087109630993393</v>
      </c>
      <c r="E245">
        <v>-0.09962702426731501</v>
      </c>
      <c r="F245">
        <v>-0.08503079714774901</v>
      </c>
      <c r="G245">
        <v>-0.061323376718722</v>
      </c>
      <c r="H245">
        <v>0.27397601508843</v>
      </c>
      <c r="I245">
        <v>0.42258250382468</v>
      </c>
    </row>
    <row r="246" spans="1:9">
      <c r="A246" s="1" t="s">
        <v>258</v>
      </c>
      <c r="B246">
        <f>HYPERLINK("https://www.suredividend.com/sure-analysis-ORCL/","Oracle Corp.")</f>
        <v>0</v>
      </c>
      <c r="C246">
        <v>-0.004128542735996</v>
      </c>
      <c r="D246">
        <v>0.074801357440997</v>
      </c>
      <c r="E246">
        <v>0.205747056558656</v>
      </c>
      <c r="F246">
        <v>0.09597149123345501</v>
      </c>
      <c r="G246">
        <v>0.187105046493285</v>
      </c>
      <c r="H246">
        <v>0.4051312085545331</v>
      </c>
      <c r="I246">
        <v>0.926472429319507</v>
      </c>
    </row>
    <row r="247" spans="1:9">
      <c r="A247" s="1" t="s">
        <v>259</v>
      </c>
      <c r="B247">
        <f>HYPERLINK("https://www.suredividend.com/sure-analysis-ORI/","Old Republic International Corp.")</f>
        <v>0</v>
      </c>
      <c r="C247">
        <v>-0.001690097564723</v>
      </c>
      <c r="D247">
        <v>0.08456611096041901</v>
      </c>
      <c r="E247">
        <v>0.205512238337979</v>
      </c>
      <c r="F247">
        <v>0.086361337407362</v>
      </c>
      <c r="G247">
        <v>0.023216261225261</v>
      </c>
      <c r="H247">
        <v>0.491663557838551</v>
      </c>
      <c r="I247">
        <v>0.7646180168925341</v>
      </c>
    </row>
    <row r="248" spans="1:9">
      <c r="A248" s="1" t="s">
        <v>260</v>
      </c>
      <c r="B248">
        <f>HYPERLINK("https://www.suredividend.com/sure-analysis-OZK/","Bank OZK")</f>
        <v>0</v>
      </c>
      <c r="C248">
        <v>-0.08702859510982101</v>
      </c>
      <c r="D248">
        <v>-0.020760499709961</v>
      </c>
      <c r="E248">
        <v>0.114396351780985</v>
      </c>
      <c r="F248">
        <v>0.108793086526628</v>
      </c>
      <c r="G248">
        <v>0.057626988451558</v>
      </c>
      <c r="H248">
        <v>0.103566428136685</v>
      </c>
      <c r="I248">
        <v>-0.134081725704762</v>
      </c>
    </row>
    <row r="249" spans="1:9">
      <c r="A249" s="1" t="s">
        <v>261</v>
      </c>
      <c r="B249">
        <f>HYPERLINK("https://www.suredividend.com/sure-analysis-PAYX/","Paychex Inc.")</f>
        <v>0</v>
      </c>
      <c r="C249">
        <v>-0.042918804739474</v>
      </c>
      <c r="D249">
        <v>-0.09913725590479401</v>
      </c>
      <c r="E249">
        <v>-0.054812966493777</v>
      </c>
      <c r="F249">
        <v>-0.017907314077126</v>
      </c>
      <c r="G249">
        <v>-0.063537871349226</v>
      </c>
      <c r="H249">
        <v>0.3268971816529651</v>
      </c>
      <c r="I249">
        <v>1.044970113649762</v>
      </c>
    </row>
    <row r="250" spans="1:9">
      <c r="A250" s="1" t="s">
        <v>262</v>
      </c>
      <c r="B250">
        <f>HYPERLINK("https://www.suredividend.com/sure-analysis-PB/","Prosperity Bancshares Inc.")</f>
        <v>0</v>
      </c>
      <c r="C250">
        <v>-0.122761145247744</v>
      </c>
      <c r="D250">
        <v>-0.051164974271157</v>
      </c>
      <c r="E250">
        <v>-0.041936345165633</v>
      </c>
      <c r="F250">
        <v>-0.07677490368739601</v>
      </c>
      <c r="G250">
        <v>-0.034243341892249</v>
      </c>
      <c r="H250">
        <v>-0.07271772477267001</v>
      </c>
      <c r="I250">
        <v>-0.02234901411693</v>
      </c>
    </row>
    <row r="251" spans="1:9">
      <c r="A251" s="1" t="s">
        <v>263</v>
      </c>
      <c r="B251">
        <f>HYPERLINK("https://www.suredividend.com/sure-analysis-PEG/","Public Service Enterprise Group Inc.")</f>
        <v>0</v>
      </c>
      <c r="C251">
        <v>-0.007888249794576</v>
      </c>
      <c r="D251">
        <v>-2.1533410743E-05</v>
      </c>
      <c r="E251">
        <v>-0.040587121904395</v>
      </c>
      <c r="F251">
        <v>-0.01468908111637</v>
      </c>
      <c r="G251">
        <v>-0.07689155425345501</v>
      </c>
      <c r="H251">
        <v>0.170996074049935</v>
      </c>
      <c r="I251">
        <v>0.46144256024789</v>
      </c>
    </row>
    <row r="252" spans="1:9">
      <c r="A252" s="1" t="s">
        <v>264</v>
      </c>
      <c r="B252">
        <f>HYPERLINK("https://www.suredividend.com/sure-analysis-PEP/","PepsiCo Inc")</f>
        <v>0</v>
      </c>
      <c r="C252">
        <v>0.030748020058957</v>
      </c>
      <c r="D252">
        <v>-0.06123064177884101</v>
      </c>
      <c r="E252">
        <v>0.027817862245694</v>
      </c>
      <c r="F252">
        <v>-0.035093291961878</v>
      </c>
      <c r="G252">
        <v>0.072787202141237</v>
      </c>
      <c r="H252">
        <v>0.418566964717294</v>
      </c>
      <c r="I252">
        <v>0.8215846471396441</v>
      </c>
    </row>
    <row r="253" spans="1:9">
      <c r="A253" s="1" t="s">
        <v>265</v>
      </c>
      <c r="B253">
        <f>HYPERLINK("https://www.suredividend.com/sure-analysis-PETS/","Petmed Express, Inc.")</f>
        <v>0</v>
      </c>
      <c r="C253">
        <v>-0.159694785692274</v>
      </c>
      <c r="D253">
        <v>-0.044536022090201</v>
      </c>
      <c r="E253">
        <v>-0.089373028096355</v>
      </c>
      <c r="F253">
        <v>0.04777197912484901</v>
      </c>
      <c r="G253">
        <v>-0.264507558221452</v>
      </c>
      <c r="H253">
        <v>-0.367590300974402</v>
      </c>
      <c r="I253">
        <v>-0.489043950051039</v>
      </c>
    </row>
    <row r="254" spans="1:9">
      <c r="A254" s="1" t="s">
        <v>266</v>
      </c>
      <c r="B254">
        <f>HYPERLINK("https://www.suredividend.com/sure-analysis-research-database/","Premier Financial Corp")</f>
        <v>0</v>
      </c>
      <c r="C254">
        <v>-0.024459997298993</v>
      </c>
      <c r="D254">
        <v>-0.135980974695077</v>
      </c>
      <c r="E254">
        <v>-0.065545016303499</v>
      </c>
      <c r="F254">
        <v>-0.077995014565876</v>
      </c>
      <c r="G254">
        <v>-0.15469495363901</v>
      </c>
      <c r="H254">
        <v>-0.13479084907455</v>
      </c>
      <c r="I254">
        <v>-0.038563168670312</v>
      </c>
    </row>
    <row r="255" spans="1:9">
      <c r="A255" s="1" t="s">
        <v>267</v>
      </c>
      <c r="B255">
        <f>HYPERLINK("https://www.suredividend.com/sure-analysis-PFE/","Pfizer Inc.")</f>
        <v>0</v>
      </c>
      <c r="C255">
        <v>-0.06604630049931901</v>
      </c>
      <c r="D255">
        <v>-0.18429080875138</v>
      </c>
      <c r="E255">
        <v>-0.083506683830964</v>
      </c>
      <c r="F255">
        <v>-0.189544234340872</v>
      </c>
      <c r="G255">
        <v>-0.125326010019959</v>
      </c>
      <c r="H255">
        <v>0.288732438475944</v>
      </c>
      <c r="I255">
        <v>0.37292976204775</v>
      </c>
    </row>
    <row r="256" spans="1:9">
      <c r="A256" s="1" t="s">
        <v>268</v>
      </c>
      <c r="B256">
        <f>HYPERLINK("https://www.suredividend.com/sure-analysis-PFG/","Principal Financial Group Inc")</f>
        <v>0</v>
      </c>
      <c r="C256">
        <v>-0.05145704690716001</v>
      </c>
      <c r="D256">
        <v>-0.05011933174224301</v>
      </c>
      <c r="E256">
        <v>0.194963575173799</v>
      </c>
      <c r="F256">
        <v>0.043374642516682</v>
      </c>
      <c r="G256">
        <v>0.351543253706093</v>
      </c>
      <c r="H256">
        <v>0.644331600612962</v>
      </c>
      <c r="I256">
        <v>0.737539464728306</v>
      </c>
    </row>
    <row r="257" spans="1:9">
      <c r="A257" s="1" t="s">
        <v>269</v>
      </c>
      <c r="B257">
        <f>HYPERLINK("https://www.suredividend.com/sure-analysis-PG/","Procter &amp; Gamble Co.")</f>
        <v>0</v>
      </c>
      <c r="C257">
        <v>-0.011640137437767</v>
      </c>
      <c r="D257">
        <v>-0.058264654691472</v>
      </c>
      <c r="E257">
        <v>0.04142345851595401</v>
      </c>
      <c r="F257">
        <v>-0.06416775000564301</v>
      </c>
      <c r="G257">
        <v>-0.068092396043872</v>
      </c>
      <c r="H257">
        <v>0.212595160115039</v>
      </c>
      <c r="I257">
        <v>1.028799014316023</v>
      </c>
    </row>
    <row r="258" spans="1:9">
      <c r="A258" s="1" t="s">
        <v>270</v>
      </c>
      <c r="B258">
        <f>HYPERLINK("https://www.suredividend.com/sure-analysis-PII/","Polaris Inc")</f>
        <v>0</v>
      </c>
      <c r="C258">
        <v>-0.014735551753198</v>
      </c>
      <c r="D258">
        <v>-0.001380500431406</v>
      </c>
      <c r="E258">
        <v>0.042126247283034</v>
      </c>
      <c r="F258">
        <v>0.152466291804783</v>
      </c>
      <c r="G258">
        <v>-0.000380881312719</v>
      </c>
      <c r="H258">
        <v>-0.019046133817905</v>
      </c>
      <c r="I258">
        <v>0.125550303073917</v>
      </c>
    </row>
    <row r="259" spans="1:9">
      <c r="A259" s="1" t="s">
        <v>271</v>
      </c>
      <c r="B259">
        <f>HYPERLINK("https://www.suredividend.com/sure-analysis-PKG/","Packaging Corp Of America")</f>
        <v>0</v>
      </c>
      <c r="C259">
        <v>-0.014402437335549</v>
      </c>
      <c r="D259">
        <v>0.042604386790552</v>
      </c>
      <c r="E259">
        <v>0.06738375498016101</v>
      </c>
      <c r="F259">
        <v>0.112813697130795</v>
      </c>
      <c r="G259">
        <v>-0.013822694549004</v>
      </c>
      <c r="H259">
        <v>0.130806166126977</v>
      </c>
      <c r="I259">
        <v>0.41583378425693</v>
      </c>
    </row>
    <row r="260" spans="1:9">
      <c r="A260" s="1" t="s">
        <v>272</v>
      </c>
      <c r="B260">
        <f>HYPERLINK("https://www.suredividend.com/sure-analysis-research-database/","Douglas Dynamics Inc")</f>
        <v>0</v>
      </c>
      <c r="C260">
        <v>-0.08903444929645801</v>
      </c>
      <c r="D260">
        <v>-0.03194703680405801</v>
      </c>
      <c r="E260">
        <v>0.332680302239825</v>
      </c>
      <c r="F260">
        <v>0.038440265486725</v>
      </c>
      <c r="G260">
        <v>0.038497704519055</v>
      </c>
      <c r="H260">
        <v>-0.165635283739553</v>
      </c>
      <c r="I260">
        <v>0.01259883288209</v>
      </c>
    </row>
    <row r="261" spans="1:9">
      <c r="A261" s="1" t="s">
        <v>273</v>
      </c>
      <c r="B261">
        <f>HYPERLINK("https://www.suredividend.com/sure-analysis-PM/","Philip Morris International Inc")</f>
        <v>0</v>
      </c>
      <c r="C261">
        <v>-0.033044156350521</v>
      </c>
      <c r="D261">
        <v>-0.036776307804345</v>
      </c>
      <c r="E261">
        <v>0.077686884159523</v>
      </c>
      <c r="F261">
        <v>-0.019859697658334</v>
      </c>
      <c r="G261">
        <v>0.04757047076254001</v>
      </c>
      <c r="H261">
        <v>0.300553784191978</v>
      </c>
      <c r="I261">
        <v>0.227783553641269</v>
      </c>
    </row>
    <row r="262" spans="1:9">
      <c r="A262" s="1" t="s">
        <v>274</v>
      </c>
      <c r="B262">
        <f>HYPERLINK("https://www.suredividend.com/sure-analysis-PNC/","PNC Financial Services Group Inc")</f>
        <v>0</v>
      </c>
      <c r="C262">
        <v>-0.075578934639337</v>
      </c>
      <c r="D262">
        <v>-0.06070376259132401</v>
      </c>
      <c r="E262">
        <v>-0.009295348437869</v>
      </c>
      <c r="F262">
        <v>-0.023296134388932</v>
      </c>
      <c r="G262">
        <v>-0.142352441594532</v>
      </c>
      <c r="H262">
        <v>-0.058167649731261</v>
      </c>
      <c r="I262">
        <v>0.139667186470393</v>
      </c>
    </row>
    <row r="263" spans="1:9">
      <c r="A263" s="1" t="s">
        <v>275</v>
      </c>
      <c r="B263">
        <f>HYPERLINK("https://www.suredividend.com/sure-analysis-PNW/","Pinnacle West Capital Corp.")</f>
        <v>0</v>
      </c>
      <c r="C263">
        <v>0.006216108980293</v>
      </c>
      <c r="D263">
        <v>-0.013839686730777</v>
      </c>
      <c r="E263">
        <v>0.046116868634506</v>
      </c>
      <c r="F263">
        <v>0.012357736991908</v>
      </c>
      <c r="G263">
        <v>0.071688162409777</v>
      </c>
      <c r="H263">
        <v>0.093574816731349</v>
      </c>
      <c r="I263">
        <v>0.217542989285685</v>
      </c>
    </row>
    <row r="264" spans="1:9">
      <c r="A264" s="1" t="s">
        <v>276</v>
      </c>
      <c r="B264">
        <f>HYPERLINK("https://www.suredividend.com/sure-analysis-POOL/","Pool Corporation")</f>
        <v>0</v>
      </c>
      <c r="C264">
        <v>-0.10412072255123</v>
      </c>
      <c r="D264">
        <v>0.09418031050449401</v>
      </c>
      <c r="E264">
        <v>0.067162304598316</v>
      </c>
      <c r="F264">
        <v>0.195878675619356</v>
      </c>
      <c r="G264">
        <v>-0.21580986311864</v>
      </c>
      <c r="H264">
        <v>0.136549748689061</v>
      </c>
      <c r="I264">
        <v>1.66451962370247</v>
      </c>
    </row>
    <row r="265" spans="1:9">
      <c r="A265" s="1" t="s">
        <v>277</v>
      </c>
      <c r="B265">
        <f>HYPERLINK("https://www.suredividend.com/sure-analysis-POR/","Portland General Electric Co")</f>
        <v>0</v>
      </c>
      <c r="C265">
        <v>-0.014052490183922</v>
      </c>
      <c r="D265">
        <v>-0.012734504008244</v>
      </c>
      <c r="E265">
        <v>-0.060412465339047</v>
      </c>
      <c r="F265">
        <v>-0.026326530612244</v>
      </c>
      <c r="G265">
        <v>-0.08092343019179001</v>
      </c>
      <c r="H265">
        <v>0.20375837029636</v>
      </c>
      <c r="I265">
        <v>0.425655828574673</v>
      </c>
    </row>
    <row r="266" spans="1:9">
      <c r="A266" s="1" t="s">
        <v>278</v>
      </c>
      <c r="B266">
        <f>HYPERLINK("https://www.suredividend.com/sure-analysis-PPG/","PPG Industries, Inc.")</f>
        <v>0</v>
      </c>
      <c r="C266">
        <v>0.056478481917432</v>
      </c>
      <c r="D266">
        <v>0.005924607611832</v>
      </c>
      <c r="E266">
        <v>0.121951179697466</v>
      </c>
      <c r="F266">
        <v>0.09840497150907201</v>
      </c>
      <c r="G266">
        <v>0.13086286498422</v>
      </c>
      <c r="H266">
        <v>0.031454639182219</v>
      </c>
      <c r="I266">
        <v>0.359119627443419</v>
      </c>
    </row>
    <row r="267" spans="1:9">
      <c r="A267" s="1" t="s">
        <v>279</v>
      </c>
      <c r="B267">
        <f>HYPERLINK("https://www.suredividend.com/sure-analysis-PRGO/","Perrigo Company plc")</f>
        <v>0</v>
      </c>
      <c r="C267">
        <v>0.04166666666666601</v>
      </c>
      <c r="D267">
        <v>0.213212273011897</v>
      </c>
      <c r="E267">
        <v>0.06328683225586901</v>
      </c>
      <c r="F267">
        <v>0.136696978586095</v>
      </c>
      <c r="G267">
        <v>0.063543645086565</v>
      </c>
      <c r="H267">
        <v>0.006673923378475</v>
      </c>
      <c r="I267">
        <v>-0.486701257482571</v>
      </c>
    </row>
    <row r="268" spans="1:9">
      <c r="A268" s="1" t="s">
        <v>280</v>
      </c>
      <c r="B268">
        <f>HYPERLINK("https://www.suredividend.com/sure-analysis-PRI/","Primerica Inc")</f>
        <v>0</v>
      </c>
      <c r="C268">
        <v>0.147404956521155</v>
      </c>
      <c r="D268">
        <v>0.287448539683104</v>
      </c>
      <c r="E268">
        <v>0.540607533096048</v>
      </c>
      <c r="F268">
        <v>0.332113055486543</v>
      </c>
      <c r="G268">
        <v>0.52486329300791</v>
      </c>
      <c r="H268">
        <v>0.372288235946076</v>
      </c>
      <c r="I268">
        <v>1.09659954280316</v>
      </c>
    </row>
    <row r="269" spans="1:9">
      <c r="A269" s="1" t="s">
        <v>281</v>
      </c>
      <c r="B269">
        <f>HYPERLINK("https://www.suredividend.com/sure-analysis-PRU/","Prudential Financial Inc.")</f>
        <v>0</v>
      </c>
      <c r="C269">
        <v>-0.015355994323489</v>
      </c>
      <c r="D269">
        <v>-0.06857464093872001</v>
      </c>
      <c r="E269">
        <v>0.06892102412732101</v>
      </c>
      <c r="F269">
        <v>0.008404729772365001</v>
      </c>
      <c r="G269">
        <v>-0.023923143306366</v>
      </c>
      <c r="H269">
        <v>0.224210404058625</v>
      </c>
      <c r="I269">
        <v>0.16624390129066</v>
      </c>
    </row>
    <row r="270" spans="1:9">
      <c r="A270" s="1" t="s">
        <v>282</v>
      </c>
      <c r="B270">
        <f>HYPERLINK("https://www.suredividend.com/sure-analysis-QCOM/","Qualcomm, Inc.")</f>
        <v>0</v>
      </c>
      <c r="C270">
        <v>-0.07898795977949301</v>
      </c>
      <c r="D270">
        <v>-0.010385349219477</v>
      </c>
      <c r="E270">
        <v>-0.025934877914807</v>
      </c>
      <c r="F270">
        <v>0.131117161225376</v>
      </c>
      <c r="G270">
        <v>-0.2203093025427</v>
      </c>
      <c r="H270">
        <v>0.00757638749627</v>
      </c>
      <c r="I270">
        <v>1.125405821823584</v>
      </c>
    </row>
    <row r="271" spans="1:9">
      <c r="A271" s="1" t="s">
        <v>283</v>
      </c>
      <c r="B271">
        <f>HYPERLINK("https://www.suredividend.com/sure-analysis-R/","Ryder System, Inc.")</f>
        <v>0</v>
      </c>
      <c r="C271">
        <v>0.019465319699396</v>
      </c>
      <c r="D271">
        <v>0.106255075906031</v>
      </c>
      <c r="E271">
        <v>0.353087779014739</v>
      </c>
      <c r="F271">
        <v>0.195740130628287</v>
      </c>
      <c r="G271">
        <v>0.271009089058954</v>
      </c>
      <c r="H271">
        <v>0.4828973993294851</v>
      </c>
      <c r="I271">
        <v>0.6337315382577801</v>
      </c>
    </row>
    <row r="272" spans="1:9">
      <c r="A272" s="1" t="s">
        <v>284</v>
      </c>
      <c r="B272">
        <f>HYPERLINK("https://www.suredividend.com/sure-analysis-RBCAA/","Republic Bancorp, Inc. (KY)")</f>
        <v>0</v>
      </c>
      <c r="C272">
        <v>-0.05641355641355601</v>
      </c>
      <c r="D272">
        <v>-0.014013161433771</v>
      </c>
      <c r="E272">
        <v>0.066721631485141</v>
      </c>
      <c r="F272">
        <v>0.075024437927663</v>
      </c>
      <c r="G272">
        <v>-0.012226476102796</v>
      </c>
      <c r="H272">
        <v>0.08011353591702801</v>
      </c>
      <c r="I272">
        <v>0.322426844152642</v>
      </c>
    </row>
    <row r="273" spans="1:9">
      <c r="A273" s="1" t="s">
        <v>285</v>
      </c>
      <c r="B273">
        <f>HYPERLINK("https://www.suredividend.com/sure-analysis-RGA/","Reinsurance Group Of America, Inc.")</f>
        <v>0</v>
      </c>
      <c r="C273">
        <v>0.03751121882440801</v>
      </c>
      <c r="D273">
        <v>0.020058790125931</v>
      </c>
      <c r="E273">
        <v>0.190403679872529</v>
      </c>
      <c r="F273">
        <v>0.037072989194149</v>
      </c>
      <c r="G273">
        <v>0.457311162478562</v>
      </c>
      <c r="H273">
        <v>0.245374874149847</v>
      </c>
      <c r="I273">
        <v>0.08408980979245601</v>
      </c>
    </row>
    <row r="274" spans="1:9">
      <c r="A274" s="1" t="s">
        <v>286</v>
      </c>
      <c r="B274">
        <f>HYPERLINK("https://www.suredividend.com/sure-analysis-RGLD/","Royal Gold, Inc.")</f>
        <v>0</v>
      </c>
      <c r="C274">
        <v>-0.112467306015693</v>
      </c>
      <c r="D274">
        <v>0.003066168507592</v>
      </c>
      <c r="E274">
        <v>0.193752998241032</v>
      </c>
      <c r="F274">
        <v>-0.003429881440372</v>
      </c>
      <c r="G274">
        <v>-0.131141193823483</v>
      </c>
      <c r="H274">
        <v>0.103361024101905</v>
      </c>
      <c r="I274">
        <v>0.440952227762586</v>
      </c>
    </row>
    <row r="275" spans="1:9">
      <c r="A275" s="1" t="s">
        <v>287</v>
      </c>
      <c r="B275">
        <f>HYPERLINK("https://www.suredividend.com/sure-analysis-RHI/","Robert Half International Inc.")</f>
        <v>0</v>
      </c>
      <c r="C275">
        <v>-0.060326528442686</v>
      </c>
      <c r="D275">
        <v>0.05585981422476301</v>
      </c>
      <c r="E275">
        <v>0.081604477512682</v>
      </c>
      <c r="F275">
        <v>0.108058907529132</v>
      </c>
      <c r="G275">
        <v>-0.28966316651948</v>
      </c>
      <c r="H275">
        <v>0.113205558361841</v>
      </c>
      <c r="I275">
        <v>0.549430490932439</v>
      </c>
    </row>
    <row r="276" spans="1:9">
      <c r="A276" s="1" t="s">
        <v>288</v>
      </c>
      <c r="B276">
        <f>HYPERLINK("https://www.suredividend.com/sure-analysis-RJF/","Raymond James Financial, Inc.")</f>
        <v>0</v>
      </c>
      <c r="C276">
        <v>-0.035130061678734</v>
      </c>
      <c r="D276">
        <v>-0.09062264631000301</v>
      </c>
      <c r="E276">
        <v>0.050605017675548</v>
      </c>
      <c r="F276">
        <v>0.010201216658867</v>
      </c>
      <c r="G276">
        <v>0.09608126070669501</v>
      </c>
      <c r="H276">
        <v>0.4249091115505551</v>
      </c>
      <c r="I276">
        <v>0.9047047654675641</v>
      </c>
    </row>
    <row r="277" spans="1:9">
      <c r="A277" s="1" t="s">
        <v>289</v>
      </c>
      <c r="B277">
        <f>HYPERLINK("https://www.suredividend.com/sure-analysis-RLI/","RLI Corp.")</f>
        <v>0</v>
      </c>
      <c r="C277">
        <v>0.029882672842019</v>
      </c>
      <c r="D277">
        <v>0.032147652893805</v>
      </c>
      <c r="E277">
        <v>0.249611279071265</v>
      </c>
      <c r="F277">
        <v>0.036708424038323</v>
      </c>
      <c r="G277">
        <v>0.324032029448063</v>
      </c>
      <c r="H277">
        <v>0.329394676157029</v>
      </c>
      <c r="I277">
        <v>1.371751327583527</v>
      </c>
    </row>
    <row r="278" spans="1:9">
      <c r="A278" s="1" t="s">
        <v>290</v>
      </c>
      <c r="B278">
        <f>HYPERLINK("https://www.suredividend.com/sure-analysis-RNR/","RenaissanceRe Holdings Ltd")</f>
        <v>0</v>
      </c>
      <c r="C278">
        <v>0.032700984910969</v>
      </c>
      <c r="D278">
        <v>0.135470090485523</v>
      </c>
      <c r="E278">
        <v>0.5520647163954471</v>
      </c>
      <c r="F278">
        <v>0.155349291646311</v>
      </c>
      <c r="G278">
        <v>0.487075334670548</v>
      </c>
      <c r="H278">
        <v>0.354011078908597</v>
      </c>
      <c r="I278">
        <v>0.7633243448113031</v>
      </c>
    </row>
    <row r="279" spans="1:9">
      <c r="A279" s="1" t="s">
        <v>291</v>
      </c>
      <c r="B279">
        <f>HYPERLINK("https://www.suredividend.com/sure-analysis-ROK/","Rockwell Automation Inc")</f>
        <v>0</v>
      </c>
      <c r="C279">
        <v>0.047736247055091</v>
      </c>
      <c r="D279">
        <v>0.144305210580294</v>
      </c>
      <c r="E279">
        <v>0.288118016964896</v>
      </c>
      <c r="F279">
        <v>0.179491297358569</v>
      </c>
      <c r="G279">
        <v>0.150859198411107</v>
      </c>
      <c r="H279">
        <v>0.277226916188605</v>
      </c>
      <c r="I279">
        <v>0.8736594161618061</v>
      </c>
    </row>
    <row r="280" spans="1:9">
      <c r="A280" s="1" t="s">
        <v>292</v>
      </c>
      <c r="B280">
        <f>HYPERLINK("https://www.suredividend.com/sure-analysis-ROP/","Roper Technologies Inc")</f>
        <v>0</v>
      </c>
      <c r="C280">
        <v>-0.0005344611237620001</v>
      </c>
      <c r="D280">
        <v>-0.029480672537784</v>
      </c>
      <c r="E280">
        <v>0.076246042992289</v>
      </c>
      <c r="F280">
        <v>-0.003021463167007</v>
      </c>
      <c r="G280">
        <v>-0.048103621282854</v>
      </c>
      <c r="H280">
        <v>0.169572674022575</v>
      </c>
      <c r="I280">
        <v>0.6487389797529131</v>
      </c>
    </row>
    <row r="281" spans="1:9">
      <c r="A281" s="1" t="s">
        <v>293</v>
      </c>
      <c r="B281">
        <f>HYPERLINK("https://www.suredividend.com/sure-analysis-RPM/","RPM International, Inc.")</f>
        <v>0</v>
      </c>
      <c r="C281">
        <v>-0.003501477185687</v>
      </c>
      <c r="D281">
        <v>-0.12480911959084</v>
      </c>
      <c r="E281">
        <v>-0.006402143648916001</v>
      </c>
      <c r="F281">
        <v>-0.060864866425635</v>
      </c>
      <c r="G281">
        <v>0.140654883949293</v>
      </c>
      <c r="H281">
        <v>0.175570035937048</v>
      </c>
      <c r="I281">
        <v>1.03407017285241</v>
      </c>
    </row>
    <row r="282" spans="1:9">
      <c r="A282" s="1" t="s">
        <v>294</v>
      </c>
      <c r="B282">
        <f>HYPERLINK("https://www.suredividend.com/sure-analysis-research-database/","Regal Rexnord Corp")</f>
        <v>0</v>
      </c>
      <c r="C282">
        <v>0.032560214094558</v>
      </c>
      <c r="D282">
        <v>0.289959490257044</v>
      </c>
      <c r="E282">
        <v>0.199367343902765</v>
      </c>
      <c r="F282">
        <v>0.350641773628938</v>
      </c>
      <c r="G282">
        <v>0.05366918103798601</v>
      </c>
      <c r="H282">
        <v>0.257748874002358</v>
      </c>
      <c r="I282">
        <v>1.559647446275835</v>
      </c>
    </row>
    <row r="283" spans="1:9">
      <c r="A283" s="1" t="s">
        <v>295</v>
      </c>
      <c r="B283">
        <f>HYPERLINK("https://www.suredividend.com/sure-analysis-RS/","Reliance Steel &amp; Aluminum Co.")</f>
        <v>0</v>
      </c>
      <c r="C283">
        <v>0.118383632582028</v>
      </c>
      <c r="D283">
        <v>0.235834896810506</v>
      </c>
      <c r="E283">
        <v>0.438790777934318</v>
      </c>
      <c r="F283">
        <v>0.301521438450899</v>
      </c>
      <c r="G283">
        <v>0.420675279074695</v>
      </c>
      <c r="H283">
        <v>0.9995568008305431</v>
      </c>
      <c r="I283">
        <v>2.155010800894726</v>
      </c>
    </row>
    <row r="284" spans="1:9">
      <c r="A284" s="1" t="s">
        <v>296</v>
      </c>
      <c r="B284">
        <f>HYPERLINK("https://www.suredividend.com/sure-analysis-RSG/","Republic Services, Inc.")</f>
        <v>0</v>
      </c>
      <c r="C284">
        <v>0.047611309717257</v>
      </c>
      <c r="D284">
        <v>-0.07892105037574601</v>
      </c>
      <c r="E284">
        <v>-0.09028758172701401</v>
      </c>
      <c r="F284">
        <v>-0.000387626947825</v>
      </c>
      <c r="G284">
        <v>0.006425386834513</v>
      </c>
      <c r="H284">
        <v>0.4532216799846721</v>
      </c>
      <c r="I284">
        <v>1.115532279340828</v>
      </c>
    </row>
    <row r="285" spans="1:9">
      <c r="A285" s="1" t="s">
        <v>297</v>
      </c>
      <c r="B285">
        <f>HYPERLINK("https://www.suredividend.com/sure-analysis-RTX/","Raytheon Technologies Corporation")</f>
        <v>0</v>
      </c>
      <c r="C285">
        <v>0.031973244983694</v>
      </c>
      <c r="D285">
        <v>-0.014307571475641</v>
      </c>
      <c r="E285">
        <v>0.143379725159318</v>
      </c>
      <c r="F285">
        <v>-0.013428609573986</v>
      </c>
      <c r="G285">
        <v>0.017508921956387</v>
      </c>
      <c r="H285">
        <v>0.393856726393328</v>
      </c>
      <c r="I285">
        <v>0.00325993621974</v>
      </c>
    </row>
    <row r="286" spans="1:9">
      <c r="A286" s="1" t="s">
        <v>298</v>
      </c>
      <c r="B286">
        <f>HYPERLINK("https://www.suredividend.com/sure-analysis-research-database/","Sandy Spring Bancorp")</f>
        <v>0</v>
      </c>
      <c r="C286">
        <v>-0.109752460483149</v>
      </c>
      <c r="D286">
        <v>-0.132469193210881</v>
      </c>
      <c r="E286">
        <v>-0.221784811116614</v>
      </c>
      <c r="F286">
        <v>-0.144289674428738</v>
      </c>
      <c r="G286">
        <v>-0.306067319606562</v>
      </c>
      <c r="H286">
        <v>-0.217260648270762</v>
      </c>
      <c r="I286">
        <v>-0.118600627166588</v>
      </c>
    </row>
    <row r="287" spans="1:9">
      <c r="A287" s="1" t="s">
        <v>299</v>
      </c>
      <c r="B287">
        <f>HYPERLINK("https://www.suredividend.com/sure-analysis-SBSI/","Southside Bancshares Inc")</f>
        <v>0</v>
      </c>
      <c r="C287">
        <v>-0.02948115010114</v>
      </c>
      <c r="D287">
        <v>0.069027253951149</v>
      </c>
      <c r="E287">
        <v>0.022992147974693</v>
      </c>
      <c r="F287">
        <v>0.06813701987107701</v>
      </c>
      <c r="G287">
        <v>-0.046559530275082</v>
      </c>
      <c r="H287">
        <v>0.08035369920820301</v>
      </c>
      <c r="I287">
        <v>0.29408008044052</v>
      </c>
    </row>
    <row r="288" spans="1:9">
      <c r="A288" s="1" t="s">
        <v>300</v>
      </c>
      <c r="B288">
        <f>HYPERLINK("https://www.suredividend.com/sure-analysis-SBUX/","Starbucks Corp.")</f>
        <v>0</v>
      </c>
      <c r="C288">
        <v>0.007419541337444001</v>
      </c>
      <c r="D288">
        <v>0.000227694109228</v>
      </c>
      <c r="E288">
        <v>0.28155939607969</v>
      </c>
      <c r="F288">
        <v>0.05921256587785401</v>
      </c>
      <c r="G288">
        <v>0.19572489749704</v>
      </c>
      <c r="H288">
        <v>0.044134272371737</v>
      </c>
      <c r="I288">
        <v>1.04429201601802</v>
      </c>
    </row>
    <row r="289" spans="1:9">
      <c r="A289" s="1" t="s">
        <v>301</v>
      </c>
      <c r="B289">
        <f>HYPERLINK("https://www.suredividend.com/sure-analysis-SCI/","Service Corp. International")</f>
        <v>0</v>
      </c>
      <c r="C289">
        <v>-0.08413494106489601</v>
      </c>
      <c r="D289">
        <v>-0.044581036064239</v>
      </c>
      <c r="E289">
        <v>0.106486202477154</v>
      </c>
      <c r="F289">
        <v>-0.022273647671391</v>
      </c>
      <c r="G289">
        <v>0.109424363024658</v>
      </c>
      <c r="H289">
        <v>0.5098756139453541</v>
      </c>
      <c r="I289">
        <v>0.9407664304826641</v>
      </c>
    </row>
    <row r="290" spans="1:9">
      <c r="A290" s="1" t="s">
        <v>302</v>
      </c>
      <c r="B290">
        <f>HYPERLINK("https://www.suredividend.com/sure-analysis-SCL/","Stepan Co.")</f>
        <v>0</v>
      </c>
      <c r="C290">
        <v>-0.066341967122409</v>
      </c>
      <c r="D290">
        <v>-0.06387670062693801</v>
      </c>
      <c r="E290">
        <v>0.050400801702527</v>
      </c>
      <c r="F290">
        <v>-0.001093452481948</v>
      </c>
      <c r="G290">
        <v>0.049306617949212</v>
      </c>
      <c r="H290">
        <v>-0.094117878370557</v>
      </c>
      <c r="I290">
        <v>0.371343235681582</v>
      </c>
    </row>
    <row r="291" spans="1:9">
      <c r="A291" s="1" t="s">
        <v>303</v>
      </c>
      <c r="B291">
        <f>HYPERLINK("https://www.suredividend.com/sure-analysis-SEIC/","SEI Investments Co.")</f>
        <v>0</v>
      </c>
      <c r="C291">
        <v>-0.053149914022197</v>
      </c>
      <c r="D291">
        <v>-0.033958965983617</v>
      </c>
      <c r="E291">
        <v>0.133058097053525</v>
      </c>
      <c r="F291">
        <v>0.03893653516295</v>
      </c>
      <c r="G291">
        <v>0.059851792229153</v>
      </c>
      <c r="H291">
        <v>0.105114507159434</v>
      </c>
      <c r="I291">
        <v>-0.120441565343916</v>
      </c>
    </row>
    <row r="292" spans="1:9">
      <c r="A292" s="1" t="s">
        <v>304</v>
      </c>
      <c r="B292">
        <f>HYPERLINK("https://www.suredividend.com/sure-analysis-research-database/","Simmons First National Corp.")</f>
        <v>0</v>
      </c>
      <c r="C292">
        <v>-0.06933219906422801</v>
      </c>
      <c r="D292">
        <v>-0.029767685233223</v>
      </c>
      <c r="E292">
        <v>-0.05212038244429901</v>
      </c>
      <c r="F292">
        <v>0.013901760889712</v>
      </c>
      <c r="G292">
        <v>-0.184151357075473</v>
      </c>
      <c r="H292">
        <v>-0.247892862544514</v>
      </c>
      <c r="I292">
        <v>-0.135946292822588</v>
      </c>
    </row>
    <row r="293" spans="1:9">
      <c r="A293" s="1" t="s">
        <v>305</v>
      </c>
      <c r="B293">
        <f>HYPERLINK("https://www.suredividend.com/sure-analysis-SHW/","Sherwin-Williams Co.")</f>
        <v>0</v>
      </c>
      <c r="C293">
        <v>-0.063188675325029</v>
      </c>
      <c r="D293">
        <v>-0.132920186727763</v>
      </c>
      <c r="E293">
        <v>-0.081404057803535</v>
      </c>
      <c r="F293">
        <v>-0.070372894417632</v>
      </c>
      <c r="G293">
        <v>-0.07349586772335501</v>
      </c>
      <c r="H293">
        <v>-0.023618553155611</v>
      </c>
      <c r="I293">
        <v>0.70679810323014</v>
      </c>
    </row>
    <row r="294" spans="1:9">
      <c r="A294" s="1" t="s">
        <v>306</v>
      </c>
      <c r="B294">
        <f>HYPERLINK("https://www.suredividend.com/sure-analysis-SJM/","J.M. Smucker Co.")</f>
        <v>0</v>
      </c>
      <c r="C294">
        <v>0.012470575913137</v>
      </c>
      <c r="D294">
        <v>-0.016897241640529</v>
      </c>
      <c r="E294">
        <v>0.09960624179670401</v>
      </c>
      <c r="F294">
        <v>-0.041775536554865</v>
      </c>
      <c r="G294">
        <v>0.167555882801545</v>
      </c>
      <c r="H294">
        <v>0.383889978911278</v>
      </c>
      <c r="I294">
        <v>0.372453725192535</v>
      </c>
    </row>
    <row r="295" spans="1:9">
      <c r="A295" s="1" t="s">
        <v>307</v>
      </c>
      <c r="B295">
        <f>HYPERLINK("https://www.suredividend.com/sure-analysis-SJW/","SJW Group")</f>
        <v>0</v>
      </c>
      <c r="C295">
        <v>-0.05073280721533201</v>
      </c>
      <c r="D295">
        <v>0.023492516268101</v>
      </c>
      <c r="E295">
        <v>0.194002571406963</v>
      </c>
      <c r="F295">
        <v>-0.062228525181725</v>
      </c>
      <c r="G295">
        <v>0.137812211436679</v>
      </c>
      <c r="H295">
        <v>0.287496771913609</v>
      </c>
      <c r="I295">
        <v>0.608900117833144</v>
      </c>
    </row>
    <row r="296" spans="1:9">
      <c r="A296" s="1" t="s">
        <v>308</v>
      </c>
      <c r="B296">
        <f>HYPERLINK("https://www.suredividend.com/sure-analysis-SLGN/","Silgan Holdings Inc.")</f>
        <v>0</v>
      </c>
      <c r="C296">
        <v>-0.003099927060539</v>
      </c>
      <c r="D296">
        <v>0.009043927648578001</v>
      </c>
      <c r="E296">
        <v>0.217001061842887</v>
      </c>
      <c r="F296">
        <v>0.054591049382715</v>
      </c>
      <c r="G296">
        <v>0.320279463580621</v>
      </c>
      <c r="H296">
        <v>0.442582980845601</v>
      </c>
      <c r="I296">
        <v>1.079798525462029</v>
      </c>
    </row>
    <row r="297" spans="1:9">
      <c r="A297" s="1" t="s">
        <v>309</v>
      </c>
      <c r="B297">
        <f>HYPERLINK("https://www.suredividend.com/sure-analysis-research-database/","Southern Missouri Bancorp, Inc.")</f>
        <v>0</v>
      </c>
      <c r="C297">
        <v>-0.077130671550083</v>
      </c>
      <c r="D297">
        <v>-0.119047436497044</v>
      </c>
      <c r="E297">
        <v>-0.103688217673489</v>
      </c>
      <c r="F297">
        <v>0.007243121226399</v>
      </c>
      <c r="G297">
        <v>-0.108626885876701</v>
      </c>
      <c r="H297">
        <v>0.233368577547109</v>
      </c>
      <c r="I297">
        <v>0.399372170275216</v>
      </c>
    </row>
    <row r="298" spans="1:9">
      <c r="A298" s="1" t="s">
        <v>310</v>
      </c>
      <c r="B298">
        <f>HYPERLINK("https://www.suredividend.com/sure-analysis-SMG/","Scotts Miracle-Gro Company")</f>
        <v>0</v>
      </c>
      <c r="C298">
        <v>0.044667307892592</v>
      </c>
      <c r="D298">
        <v>0.541610464001967</v>
      </c>
      <c r="E298">
        <v>0.405244863010876</v>
      </c>
      <c r="F298">
        <v>0.7687769175234631</v>
      </c>
      <c r="G298">
        <v>-0.367840849522247</v>
      </c>
      <c r="H298">
        <v>-0.5539406876093761</v>
      </c>
      <c r="I298">
        <v>0.023298463251991</v>
      </c>
    </row>
    <row r="299" spans="1:9">
      <c r="A299" s="1" t="s">
        <v>311</v>
      </c>
      <c r="B299">
        <f>HYPERLINK("https://www.suredividend.com/sure-analysis-SNA/","Snap-on, Inc.")</f>
        <v>0</v>
      </c>
      <c r="C299">
        <v>-0.030432630187001</v>
      </c>
      <c r="D299">
        <v>0.027750918544678</v>
      </c>
      <c r="E299">
        <v>0.187901736160422</v>
      </c>
      <c r="F299">
        <v>0.101832981328314</v>
      </c>
      <c r="G299">
        <v>0.237392915542119</v>
      </c>
      <c r="H299">
        <v>0.238552918547688</v>
      </c>
      <c r="I299">
        <v>0.8349983564988731</v>
      </c>
    </row>
    <row r="300" spans="1:9">
      <c r="A300" s="1" t="s">
        <v>312</v>
      </c>
      <c r="B300">
        <f>HYPERLINK("https://www.suredividend.com/sure-analysis-SO/","Southern Company")</f>
        <v>0</v>
      </c>
      <c r="C300">
        <v>-0.026517302186693</v>
      </c>
      <c r="D300">
        <v>-0.027529570993642</v>
      </c>
      <c r="E300">
        <v>-0.150130870142199</v>
      </c>
      <c r="F300">
        <v>-0.08295565331450401</v>
      </c>
      <c r="G300">
        <v>-0.002950687519422</v>
      </c>
      <c r="H300">
        <v>0.222730985976609</v>
      </c>
      <c r="I300">
        <v>0.821370257228853</v>
      </c>
    </row>
    <row r="301" spans="1:9">
      <c r="A301" s="1" t="s">
        <v>313</v>
      </c>
      <c r="B301">
        <f>HYPERLINK("https://www.suredividend.com/sure-analysis-SON/","Sonoco Products Co.")</f>
        <v>0</v>
      </c>
      <c r="C301">
        <v>-0.025351202971096</v>
      </c>
      <c r="D301">
        <v>-0.032227032227032</v>
      </c>
      <c r="E301">
        <v>-0.026834600576547</v>
      </c>
      <c r="F301">
        <v>-0.005765112831494001</v>
      </c>
      <c r="G301">
        <v>0.08215872378418401</v>
      </c>
      <c r="H301">
        <v>0.047903931723051</v>
      </c>
      <c r="I301">
        <v>0.4367768211431841</v>
      </c>
    </row>
    <row r="302" spans="1:9">
      <c r="A302" s="1" t="s">
        <v>314</v>
      </c>
      <c r="B302">
        <f>HYPERLINK("https://www.suredividend.com/sure-analysis-SPGI/","S&amp;P Global Inc")</f>
        <v>0</v>
      </c>
      <c r="C302">
        <v>-0.069555730135403</v>
      </c>
      <c r="D302">
        <v>-0.035653001159768</v>
      </c>
      <c r="E302">
        <v>-0.001892847470757</v>
      </c>
      <c r="F302">
        <v>0.035922786080612</v>
      </c>
      <c r="G302">
        <v>-0.144617631203573</v>
      </c>
      <c r="H302">
        <v>0.072240777806007</v>
      </c>
      <c r="I302">
        <v>0.9021294043801681</v>
      </c>
    </row>
    <row r="303" spans="1:9">
      <c r="A303" s="1" t="s">
        <v>315</v>
      </c>
      <c r="B303">
        <f>HYPERLINK("https://www.suredividend.com/sure-analysis-SPTN/","SpartanNash Co")</f>
        <v>0</v>
      </c>
      <c r="C303">
        <v>-0.125390869293308</v>
      </c>
      <c r="D303">
        <v>-0.166281651936748</v>
      </c>
      <c r="E303">
        <v>-0.042814952209191</v>
      </c>
      <c r="F303">
        <v>-0.075066137566137</v>
      </c>
      <c r="G303">
        <v>-0.128931796947991</v>
      </c>
      <c r="H303">
        <v>0.57260286295809</v>
      </c>
      <c r="I303">
        <v>0.865039674601586</v>
      </c>
    </row>
    <row r="304" spans="1:9">
      <c r="A304" s="1" t="s">
        <v>316</v>
      </c>
      <c r="B304">
        <f>HYPERLINK("https://www.suredividend.com/sure-analysis-SR/","Spire Inc.")</f>
        <v>0</v>
      </c>
      <c r="C304">
        <v>-0.074216166159544</v>
      </c>
      <c r="D304">
        <v>0.028804466875524</v>
      </c>
      <c r="E304">
        <v>0.034966731099433</v>
      </c>
      <c r="F304">
        <v>0.01626488527447</v>
      </c>
      <c r="G304">
        <v>0.028183209965061</v>
      </c>
      <c r="H304">
        <v>0.11292764538989</v>
      </c>
      <c r="I304">
        <v>0.233377688870872</v>
      </c>
    </row>
    <row r="305" spans="1:9">
      <c r="A305" s="1" t="s">
        <v>317</v>
      </c>
      <c r="B305">
        <f>HYPERLINK("https://www.suredividend.com/sure-analysis-SRCE/","1st Source Corp.")</f>
        <v>0</v>
      </c>
      <c r="C305">
        <v>-0.022016905838411</v>
      </c>
      <c r="D305">
        <v>-0.111459581680529</v>
      </c>
      <c r="E305">
        <v>0.07023310645108501</v>
      </c>
      <c r="F305">
        <v>-0.056897068134684</v>
      </c>
      <c r="G305">
        <v>0.065673323465591</v>
      </c>
      <c r="H305">
        <v>0.140942521723774</v>
      </c>
      <c r="I305">
        <v>0.117711286749673</v>
      </c>
    </row>
    <row r="306" spans="1:9">
      <c r="A306" s="1" t="s">
        <v>318</v>
      </c>
      <c r="B306">
        <f>HYPERLINK("https://www.suredividend.com/sure-analysis-SRE/","Sempra Energy")</f>
        <v>0</v>
      </c>
      <c r="C306">
        <v>-0.032135984605516</v>
      </c>
      <c r="D306">
        <v>-0.08393952750245501</v>
      </c>
      <c r="E306">
        <v>-0.082398643635718</v>
      </c>
      <c r="F306">
        <v>-0.023618480652258</v>
      </c>
      <c r="G306">
        <v>0.022732048134627</v>
      </c>
      <c r="H306">
        <v>0.362487132718111</v>
      </c>
      <c r="I306">
        <v>0.6392605564946821</v>
      </c>
    </row>
    <row r="307" spans="1:9">
      <c r="A307" s="1" t="s">
        <v>319</v>
      </c>
      <c r="B307">
        <f>HYPERLINK("https://www.suredividend.com/sure-analysis-research-database/","SouthState Corporation")</f>
        <v>0</v>
      </c>
      <c r="C307">
        <v>-0.02161670049005</v>
      </c>
      <c r="D307">
        <v>-0.07868603575030901</v>
      </c>
      <c r="E307">
        <v>0.041140318922666</v>
      </c>
      <c r="F307">
        <v>0.050775628963139</v>
      </c>
      <c r="G307">
        <v>-0.026117967476199</v>
      </c>
      <c r="H307">
        <v>0.03728448444073201</v>
      </c>
      <c r="I307">
        <v>0.024653886977104</v>
      </c>
    </row>
    <row r="308" spans="1:9">
      <c r="A308" s="1" t="s">
        <v>320</v>
      </c>
      <c r="B308">
        <f>HYPERLINK("https://www.suredividend.com/sure-analysis-STAG/","STAG Industrial Inc")</f>
        <v>0</v>
      </c>
      <c r="C308">
        <v>-0.05417809431124401</v>
      </c>
      <c r="D308">
        <v>0.046027023638804</v>
      </c>
      <c r="E308">
        <v>0.157080139891361</v>
      </c>
      <c r="F308">
        <v>0.06627020490091501</v>
      </c>
      <c r="G308">
        <v>-0.107114892728506</v>
      </c>
      <c r="H308">
        <v>0.174322130188077</v>
      </c>
      <c r="I308">
        <v>0.8842671131772011</v>
      </c>
    </row>
    <row r="309" spans="1:9">
      <c r="A309" s="1" t="s">
        <v>321</v>
      </c>
      <c r="B309">
        <f>HYPERLINK("https://www.suredividend.com/sure-analysis-STE/","Steris Plc")</f>
        <v>0</v>
      </c>
      <c r="C309">
        <v>-0.130561750026547</v>
      </c>
      <c r="D309">
        <v>-0.007696036844018</v>
      </c>
      <c r="E309">
        <v>-0.041151970471821</v>
      </c>
      <c r="F309">
        <v>0.031095719012167</v>
      </c>
      <c r="G309">
        <v>-0.21956819256595</v>
      </c>
      <c r="H309">
        <v>0.12642864301374</v>
      </c>
      <c r="I309">
        <v>1.21464897901126</v>
      </c>
    </row>
    <row r="310" spans="1:9">
      <c r="A310" s="1" t="s">
        <v>322</v>
      </c>
      <c r="B310">
        <f>HYPERLINK("https://www.suredividend.com/sure-analysis-STT/","State Street Corp.")</f>
        <v>0</v>
      </c>
      <c r="C310">
        <v>-0.007246376811594001</v>
      </c>
      <c r="D310">
        <v>0.172838705493222</v>
      </c>
      <c r="E310">
        <v>0.360714156724414</v>
      </c>
      <c r="F310">
        <v>0.165656826092561</v>
      </c>
      <c r="G310">
        <v>0.161324130419705</v>
      </c>
      <c r="H310">
        <v>0.226055510131026</v>
      </c>
      <c r="I310">
        <v>0.003045077125314</v>
      </c>
    </row>
    <row r="311" spans="1:9">
      <c r="A311" s="1" t="s">
        <v>323</v>
      </c>
      <c r="B311">
        <f>HYPERLINK("https://www.suredividend.com/sure-analysis-SWK/","Stanley Black &amp; Decker Inc")</f>
        <v>0</v>
      </c>
      <c r="C311">
        <v>-0.06992112555958201</v>
      </c>
      <c r="D311">
        <v>0.06492555528435401</v>
      </c>
      <c r="E311">
        <v>0.027583177594306</v>
      </c>
      <c r="F311">
        <v>0.161608093716719</v>
      </c>
      <c r="G311">
        <v>-0.443245281526092</v>
      </c>
      <c r="H311">
        <v>-0.495897742227316</v>
      </c>
      <c r="I311">
        <v>-0.3661129780485921</v>
      </c>
    </row>
    <row r="312" spans="1:9">
      <c r="A312" s="1" t="s">
        <v>324</v>
      </c>
      <c r="B312">
        <f>HYPERLINK("https://www.suredividend.com/sure-analysis-SWX/","Southwest Gas Holdings Inc")</f>
        <v>0</v>
      </c>
      <c r="C312">
        <v>-0.083944214220791</v>
      </c>
      <c r="D312">
        <v>-0.103090378835488</v>
      </c>
      <c r="E312">
        <v>-0.234284569128109</v>
      </c>
      <c r="F312">
        <v>-0.015254823408128</v>
      </c>
      <c r="G312">
        <v>-0.151987638713302</v>
      </c>
      <c r="H312">
        <v>-0.008660468263012</v>
      </c>
      <c r="I312">
        <v>0.09874709706539601</v>
      </c>
    </row>
    <row r="313" spans="1:9">
      <c r="A313" s="1" t="s">
        <v>325</v>
      </c>
      <c r="B313">
        <f>HYPERLINK("https://www.suredividend.com/sure-analysis-SXI/","Standex International Corp.")</f>
        <v>0</v>
      </c>
      <c r="C313">
        <v>0.021104460271544</v>
      </c>
      <c r="D313">
        <v>0.132500494695272</v>
      </c>
      <c r="E313">
        <v>0.399475023032929</v>
      </c>
      <c r="F313">
        <v>0.181931983122528</v>
      </c>
      <c r="G313">
        <v>0.137708303499423</v>
      </c>
      <c r="H313">
        <v>0.223232916675107</v>
      </c>
      <c r="I313">
        <v>0.329070388122451</v>
      </c>
    </row>
    <row r="314" spans="1:9">
      <c r="A314" s="1" t="s">
        <v>326</v>
      </c>
      <c r="B314">
        <f>HYPERLINK("https://www.suredividend.com/sure-analysis-SXT/","Sensient Technologies Corp.")</f>
        <v>0</v>
      </c>
      <c r="C314">
        <v>-0.024721403868323</v>
      </c>
      <c r="D314">
        <v>0.011762704837432</v>
      </c>
      <c r="E314">
        <v>-0.008119765565055</v>
      </c>
      <c r="F314">
        <v>0.04964226140421001</v>
      </c>
      <c r="G314">
        <v>-0.020531028095091</v>
      </c>
      <c r="H314">
        <v>0.06974110691650701</v>
      </c>
      <c r="I314">
        <v>0.188678980177755</v>
      </c>
    </row>
    <row r="315" spans="1:9">
      <c r="A315" s="1" t="s">
        <v>327</v>
      </c>
      <c r="B315">
        <f>HYPERLINK("https://www.suredividend.com/sure-analysis-research-database/","Stock Yards Bancorp Inc")</f>
        <v>0</v>
      </c>
      <c r="C315">
        <v>-0.08153553299492301</v>
      </c>
      <c r="D315">
        <v>-0.215655462776823</v>
      </c>
      <c r="E315">
        <v>-0.109651287776388</v>
      </c>
      <c r="F315">
        <v>-0.108956602031394</v>
      </c>
      <c r="G315">
        <v>0.130344979726023</v>
      </c>
      <c r="H315">
        <v>0.167230458465545</v>
      </c>
      <c r="I315">
        <v>0.8243115508223581</v>
      </c>
    </row>
    <row r="316" spans="1:9">
      <c r="A316" s="1" t="s">
        <v>328</v>
      </c>
      <c r="B316">
        <f>HYPERLINK("https://www.suredividend.com/sure-analysis-SYK/","Stryker Corp.")</f>
        <v>0</v>
      </c>
      <c r="C316">
        <v>-0.041004450095359</v>
      </c>
      <c r="D316">
        <v>0.120378947455287</v>
      </c>
      <c r="E316">
        <v>0.341275043629844</v>
      </c>
      <c r="F316">
        <v>0.110597570452779</v>
      </c>
      <c r="G316">
        <v>0.029434400616909</v>
      </c>
      <c r="H316">
        <v>0.177742731332563</v>
      </c>
      <c r="I316">
        <v>0.787677645240167</v>
      </c>
    </row>
    <row r="317" spans="1:9">
      <c r="A317" s="1" t="s">
        <v>329</v>
      </c>
      <c r="B317">
        <f>HYPERLINK("https://www.suredividend.com/sure-analysis-SYY/","Sysco Corp.")</f>
        <v>0</v>
      </c>
      <c r="C317">
        <v>-0.005995828988529001</v>
      </c>
      <c r="D317">
        <v>-0.100545263473244</v>
      </c>
      <c r="E317">
        <v>-0.043676615723782</v>
      </c>
      <c r="F317">
        <v>0.003929622242846</v>
      </c>
      <c r="G317">
        <v>-0.080265138358226</v>
      </c>
      <c r="H317">
        <v>0.007200705806526</v>
      </c>
      <c r="I317">
        <v>0.4395252171746341</v>
      </c>
    </row>
    <row r="318" spans="1:9">
      <c r="A318" s="1" t="s">
        <v>330</v>
      </c>
      <c r="B318">
        <f>HYPERLINK("https://www.suredividend.com/sure-analysis-TDS/","Telephone And Data Systems, Inc.")</f>
        <v>0</v>
      </c>
      <c r="C318">
        <v>-0.113501483679525</v>
      </c>
      <c r="D318">
        <v>0.166695956104895</v>
      </c>
      <c r="E318">
        <v>-0.238989224851618</v>
      </c>
      <c r="F318">
        <v>0.139180171591992</v>
      </c>
      <c r="G318">
        <v>-0.30046187078155</v>
      </c>
      <c r="H318">
        <v>-0.305171962671163</v>
      </c>
      <c r="I318">
        <v>-0.514030093533956</v>
      </c>
    </row>
    <row r="319" spans="1:9">
      <c r="A319" s="1" t="s">
        <v>331</v>
      </c>
      <c r="B319">
        <f>HYPERLINK("https://www.suredividend.com/sure-analysis-TEL/","TE Connectivity Ltd")</f>
        <v>0</v>
      </c>
      <c r="C319">
        <v>-0.021350578204199</v>
      </c>
      <c r="D319">
        <v>0.041750664866543</v>
      </c>
      <c r="E319">
        <v>0.062373747448487</v>
      </c>
      <c r="F319">
        <v>0.141388543601164</v>
      </c>
      <c r="G319">
        <v>-0.004949324710781001</v>
      </c>
      <c r="H319">
        <v>0.05249996975111101</v>
      </c>
      <c r="I319">
        <v>0.4098660367939591</v>
      </c>
    </row>
    <row r="320" spans="1:9">
      <c r="A320" s="1" t="s">
        <v>332</v>
      </c>
      <c r="B320">
        <f>HYPERLINK("https://www.suredividend.com/sure-analysis-TFC/","Truist Financial Corporation")</f>
        <v>0</v>
      </c>
      <c r="C320">
        <v>-0.06701209817357101</v>
      </c>
      <c r="D320">
        <v>0.037136391061427</v>
      </c>
      <c r="E320">
        <v>0.017122142643461</v>
      </c>
      <c r="F320">
        <v>0.08606297474151901</v>
      </c>
      <c r="G320">
        <v>-0.181333555232542</v>
      </c>
      <c r="H320">
        <v>-0.132683971722196</v>
      </c>
      <c r="I320">
        <v>-0.09850016474207601</v>
      </c>
    </row>
    <row r="321" spans="1:9">
      <c r="A321" s="1" t="s">
        <v>333</v>
      </c>
      <c r="B321">
        <f>HYPERLINK("https://www.suredividend.com/sure-analysis-TGT/","Target Corp")</f>
        <v>0</v>
      </c>
      <c r="C321">
        <v>-0.05498506762549601</v>
      </c>
      <c r="D321">
        <v>0.017549043105461</v>
      </c>
      <c r="E321">
        <v>0.027907057386936</v>
      </c>
      <c r="F321">
        <v>0.120778765698498</v>
      </c>
      <c r="G321">
        <v>-0.237145324275276</v>
      </c>
      <c r="H321">
        <v>0.021293351134189</v>
      </c>
      <c r="I321">
        <v>1.45427072675983</v>
      </c>
    </row>
    <row r="322" spans="1:9">
      <c r="A322" s="1" t="s">
        <v>334</v>
      </c>
      <c r="B322">
        <f>HYPERLINK("https://www.suredividend.com/sure-analysis-THFF/","First Financial Corp. - Indiana")</f>
        <v>0</v>
      </c>
      <c r="C322">
        <v>-0.03725749559082801</v>
      </c>
      <c r="D322">
        <v>-0.084693612347728</v>
      </c>
      <c r="E322">
        <v>-0.047733269369153</v>
      </c>
      <c r="F322">
        <v>-0.048146315626573</v>
      </c>
      <c r="G322">
        <v>-0.04491334890516</v>
      </c>
      <c r="H322">
        <v>0.041465444667825</v>
      </c>
      <c r="I322">
        <v>0.123968558736172</v>
      </c>
    </row>
    <row r="323" spans="1:9">
      <c r="A323" s="1" t="s">
        <v>335</v>
      </c>
      <c r="B323">
        <f>HYPERLINK("https://www.suredividend.com/sure-analysis-THG/","Hanover Insurance Group Inc")</f>
        <v>0</v>
      </c>
      <c r="C323">
        <v>-0.03560393258426901</v>
      </c>
      <c r="D323">
        <v>-0.053788600677843</v>
      </c>
      <c r="E323">
        <v>0.077268712376392</v>
      </c>
      <c r="F323">
        <v>0.016280618663509</v>
      </c>
      <c r="G323">
        <v>-0.020823455174847</v>
      </c>
      <c r="H323">
        <v>0.194006752098184</v>
      </c>
      <c r="I323">
        <v>0.477230555749775</v>
      </c>
    </row>
    <row r="324" spans="1:9">
      <c r="A324" s="1" t="s">
        <v>336</v>
      </c>
      <c r="B324">
        <f>HYPERLINK("https://www.suredividend.com/sure-analysis-THO/","Thor Industries, Inc.")</f>
        <v>0</v>
      </c>
      <c r="C324">
        <v>-0.100986424455513</v>
      </c>
      <c r="D324">
        <v>0.023991776917745</v>
      </c>
      <c r="E324">
        <v>0.195909612358988</v>
      </c>
      <c r="F324">
        <v>0.219366803550139</v>
      </c>
      <c r="G324">
        <v>0.073264122080441</v>
      </c>
      <c r="H324">
        <v>-0.196830249789718</v>
      </c>
      <c r="I324">
        <v>-0.15108164464213</v>
      </c>
    </row>
    <row r="325" spans="1:9">
      <c r="A325" s="1" t="s">
        <v>337</v>
      </c>
      <c r="B325">
        <f>HYPERLINK("https://www.suredividend.com/sure-analysis-TMP/","Tompkins Financial Corp")</f>
        <v>0</v>
      </c>
      <c r="C325">
        <v>-0.042506742005907</v>
      </c>
      <c r="D325">
        <v>-0.09791647258239501</v>
      </c>
      <c r="E325">
        <v>0.054429849868196</v>
      </c>
      <c r="F325">
        <v>-0.0315222869375</v>
      </c>
      <c r="G325">
        <v>-0.033802652636762</v>
      </c>
      <c r="H325">
        <v>-0.023512447727924</v>
      </c>
      <c r="I325">
        <v>0.08365162693083501</v>
      </c>
    </row>
    <row r="326" spans="1:9">
      <c r="A326" s="1" t="s">
        <v>338</v>
      </c>
      <c r="B326">
        <f>HYPERLINK("https://www.suredividend.com/sure-analysis-TNC/","Tennant Co.")</f>
        <v>0</v>
      </c>
      <c r="C326">
        <v>0.026162600748314</v>
      </c>
      <c r="D326">
        <v>0.126785168362667</v>
      </c>
      <c r="E326">
        <v>0.218705715635332</v>
      </c>
      <c r="F326">
        <v>0.177661598352838</v>
      </c>
      <c r="G326">
        <v>-0.075371790392007</v>
      </c>
      <c r="H326">
        <v>-0.030162431682434</v>
      </c>
      <c r="I326">
        <v>0.180324654635764</v>
      </c>
    </row>
    <row r="327" spans="1:9">
      <c r="A327" s="1" t="s">
        <v>339</v>
      </c>
      <c r="B327">
        <f>HYPERLINK("https://www.suredividend.com/sure-analysis-research-database/","Townebank Portsmouth VA")</f>
        <v>0</v>
      </c>
      <c r="C327">
        <v>-0.037531806615776</v>
      </c>
      <c r="D327">
        <v>-0.068817065327437</v>
      </c>
      <c r="E327">
        <v>0.094406087588653</v>
      </c>
      <c r="F327">
        <v>-0.018806744487678</v>
      </c>
      <c r="G327">
        <v>0.002700598107924</v>
      </c>
      <c r="H327">
        <v>0.057117903930131</v>
      </c>
      <c r="I327">
        <v>0.198999908866497</v>
      </c>
    </row>
    <row r="328" spans="1:9">
      <c r="A328" s="1" t="s">
        <v>340</v>
      </c>
      <c r="B328">
        <f>HYPERLINK("https://www.suredividend.com/sure-analysis-TR/","Tootsie Roll Industries, Inc.")</f>
        <v>0</v>
      </c>
      <c r="C328">
        <v>-0.061144400742637</v>
      </c>
      <c r="D328">
        <v>-0.041626809299902</v>
      </c>
      <c r="E328">
        <v>0.253509709707357</v>
      </c>
      <c r="F328">
        <v>0.03479209601163701</v>
      </c>
      <c r="G328">
        <v>0.283933384674624</v>
      </c>
      <c r="H328">
        <v>0.438907131827897</v>
      </c>
      <c r="I328">
        <v>0.496210394946258</v>
      </c>
    </row>
    <row r="329" spans="1:9">
      <c r="A329" s="1" t="s">
        <v>341</v>
      </c>
      <c r="B329">
        <f>HYPERLINK("https://www.suredividend.com/sure-analysis-TRN/","Trinity Industries, Inc.")</f>
        <v>0</v>
      </c>
      <c r="C329">
        <v>-0.023660403618649</v>
      </c>
      <c r="D329">
        <v>-0.103055875207773</v>
      </c>
      <c r="E329">
        <v>0.217781519753145</v>
      </c>
      <c r="F329">
        <v>-0.04208542713567801</v>
      </c>
      <c r="G329">
        <v>-0.041293399752635</v>
      </c>
      <c r="H329">
        <v>0.034592099344438</v>
      </c>
      <c r="I329">
        <v>0.393558640212559</v>
      </c>
    </row>
    <row r="330" spans="1:9">
      <c r="A330" s="1" t="s">
        <v>342</v>
      </c>
      <c r="B330">
        <f>HYPERLINK("https://www.suredividend.com/sure-analysis-research-database/","Terreno Realty Corp")</f>
        <v>0</v>
      </c>
      <c r="C330">
        <v>-0.021446078431372</v>
      </c>
      <c r="D330">
        <v>0.09495869907662101</v>
      </c>
      <c r="E330">
        <v>0.077999726618729</v>
      </c>
      <c r="F330">
        <v>0.123263583611746</v>
      </c>
      <c r="G330">
        <v>-0.06640535370054501</v>
      </c>
      <c r="H330">
        <v>0.228738004512553</v>
      </c>
      <c r="I330">
        <v>1.110082348705312</v>
      </c>
    </row>
    <row r="331" spans="1:9">
      <c r="A331" s="1" t="s">
        <v>343</v>
      </c>
      <c r="B331">
        <f>HYPERLINK("https://www.suredividend.com/sure-analysis-TROW/","T. Rowe Price Group Inc.")</f>
        <v>0</v>
      </c>
      <c r="C331">
        <v>-0.09799713876967001</v>
      </c>
      <c r="D331">
        <v>-0.090149661521884</v>
      </c>
      <c r="E331">
        <v>-0.021068294050417</v>
      </c>
      <c r="F331">
        <v>0.040619842288648</v>
      </c>
      <c r="G331">
        <v>-0.148180172390499</v>
      </c>
      <c r="H331">
        <v>-0.249296525557256</v>
      </c>
      <c r="I331">
        <v>0.209149003722589</v>
      </c>
    </row>
    <row r="332" spans="1:9">
      <c r="A332" s="1" t="s">
        <v>344</v>
      </c>
      <c r="B332">
        <f>HYPERLINK("https://www.suredividend.com/sure-analysis-TRV/","Travelers Companies Inc.")</f>
        <v>0</v>
      </c>
      <c r="C332">
        <v>0.004541475158678</v>
      </c>
      <c r="D332">
        <v>-0.026577576343062</v>
      </c>
      <c r="E332">
        <v>0.140470649917317</v>
      </c>
      <c r="F332">
        <v>-0.020801109392501</v>
      </c>
      <c r="G332">
        <v>0.08143036970322001</v>
      </c>
      <c r="H332">
        <v>0.286828356064333</v>
      </c>
      <c r="I332">
        <v>0.496226630372773</v>
      </c>
    </row>
    <row r="333" spans="1:9">
      <c r="A333" s="1" t="s">
        <v>345</v>
      </c>
      <c r="B333">
        <f>HYPERLINK("https://www.suredividend.com/sure-analysis-TSCO/","Tractor Supply Co.")</f>
        <v>0</v>
      </c>
      <c r="C333">
        <v>0.011471784613112</v>
      </c>
      <c r="D333">
        <v>0.027749596330537</v>
      </c>
      <c r="E333">
        <v>0.237612315898715</v>
      </c>
      <c r="F333">
        <v>0.027612395105714</v>
      </c>
      <c r="G333">
        <v>0.056374875388521</v>
      </c>
      <c r="H333">
        <v>0.5640757301874221</v>
      </c>
      <c r="I333">
        <v>2.833655080975469</v>
      </c>
    </row>
    <row r="334" spans="1:9">
      <c r="A334" s="1" t="s">
        <v>346</v>
      </c>
      <c r="B334">
        <f>HYPERLINK("https://www.suredividend.com/sure-analysis-TSN/","Tyson Foods, Inc.")</f>
        <v>0</v>
      </c>
      <c r="C334">
        <v>-0.06755539882747801</v>
      </c>
      <c r="D334">
        <v>-0.09566168005692001</v>
      </c>
      <c r="E334">
        <v>-0.194066325225465</v>
      </c>
      <c r="F334">
        <v>-0.040893589872302</v>
      </c>
      <c r="G334">
        <v>-0.3529943808932891</v>
      </c>
      <c r="H334">
        <v>-0.14336210487342</v>
      </c>
      <c r="I334">
        <v>-0.101122572401139</v>
      </c>
    </row>
    <row r="335" spans="1:9">
      <c r="A335" s="1" t="s">
        <v>347</v>
      </c>
      <c r="B335">
        <f>HYPERLINK("https://www.suredividend.com/sure-analysis-TT/","Trane Technologies plc")</f>
        <v>0</v>
      </c>
      <c r="C335">
        <v>0.046147776794501</v>
      </c>
      <c r="D335">
        <v>0.088750771929962</v>
      </c>
      <c r="E335">
        <v>0.25864993567664</v>
      </c>
      <c r="F335">
        <v>0.159481754484472</v>
      </c>
      <c r="G335">
        <v>0.304981532202004</v>
      </c>
      <c r="H335">
        <v>0.304945562842228</v>
      </c>
      <c r="I335">
        <v>1.321399847998598</v>
      </c>
    </row>
    <row r="336" spans="1:9">
      <c r="A336" s="1" t="s">
        <v>348</v>
      </c>
      <c r="B336">
        <f>HYPERLINK("https://www.suredividend.com/sure-analysis-TTC/","Toro Co.")</f>
        <v>0</v>
      </c>
      <c r="C336">
        <v>0.00123141877034</v>
      </c>
      <c r="D336">
        <v>0.018860966606637</v>
      </c>
      <c r="E336">
        <v>0.385769294916979</v>
      </c>
      <c r="F336">
        <v>0.005565371024734001</v>
      </c>
      <c r="G336">
        <v>0.273449972087694</v>
      </c>
      <c r="H336">
        <v>0.202364378832978</v>
      </c>
      <c r="I336">
        <v>0.9732280297882371</v>
      </c>
    </row>
    <row r="337" spans="1:9">
      <c r="A337" s="1" t="s">
        <v>349</v>
      </c>
      <c r="B337">
        <f>HYPERLINK("https://www.suredividend.com/sure-analysis-TXN/","Texas Instruments Inc.")</f>
        <v>0</v>
      </c>
      <c r="C337">
        <v>-0.036260902956826</v>
      </c>
      <c r="D337">
        <v>-0.004098005191524001</v>
      </c>
      <c r="E337">
        <v>0.09412679115929601</v>
      </c>
      <c r="F337">
        <v>0.07088714539207</v>
      </c>
      <c r="G337">
        <v>0.06328957633648001</v>
      </c>
      <c r="H337">
        <v>0.133796799450655</v>
      </c>
      <c r="I337">
        <v>0.8579780528457691</v>
      </c>
    </row>
    <row r="338" spans="1:9">
      <c r="A338" s="1" t="s">
        <v>350</v>
      </c>
      <c r="B338">
        <f>HYPERLINK("https://www.suredividend.com/sure-analysis-UBSI/","United Bankshares, Inc.")</f>
        <v>0</v>
      </c>
      <c r="C338">
        <v>-0.05342789598108701</v>
      </c>
      <c r="D338">
        <v>-0.059723083281669</v>
      </c>
      <c r="E338">
        <v>0.120338451895957</v>
      </c>
      <c r="F338">
        <v>-0.011113855272906</v>
      </c>
      <c r="G338">
        <v>0.193094118558513</v>
      </c>
      <c r="H338">
        <v>0.120166066577702</v>
      </c>
      <c r="I338">
        <v>0.351497313207139</v>
      </c>
    </row>
    <row r="339" spans="1:9">
      <c r="A339" s="1" t="s">
        <v>351</v>
      </c>
      <c r="B339">
        <f>HYPERLINK("https://www.suredividend.com/sure-analysis-UDR/","UDR Inc")</f>
        <v>0</v>
      </c>
      <c r="C339">
        <v>-0.009220839096357</v>
      </c>
      <c r="D339">
        <v>0.05898585719213501</v>
      </c>
      <c r="E339">
        <v>-0.032720512941695</v>
      </c>
      <c r="F339">
        <v>0.121054594680598</v>
      </c>
      <c r="G339">
        <v>-0.23357163109438</v>
      </c>
      <c r="H339">
        <v>0.08080107023949601</v>
      </c>
      <c r="I339">
        <v>0.5354551527774301</v>
      </c>
    </row>
    <row r="340" spans="1:9">
      <c r="A340" s="1" t="s">
        <v>352</v>
      </c>
      <c r="B340">
        <f>HYPERLINK("https://www.suredividend.com/sure-analysis-UGI/","UGI Corp.")</f>
        <v>0</v>
      </c>
      <c r="C340">
        <v>-0.10433539780848</v>
      </c>
      <c r="D340">
        <v>-0.019896619946667</v>
      </c>
      <c r="E340">
        <v>-0.018784022881121</v>
      </c>
      <c r="F340">
        <v>0.014297275424871</v>
      </c>
      <c r="G340">
        <v>0.074761680172648</v>
      </c>
      <c r="H340">
        <v>0.030122875029109</v>
      </c>
      <c r="I340">
        <v>0.021289541017269</v>
      </c>
    </row>
    <row r="341" spans="1:9">
      <c r="A341" s="1" t="s">
        <v>353</v>
      </c>
      <c r="B341">
        <f>HYPERLINK("https://www.suredividend.com/sure-analysis-UHT/","Universal Health Realty Income Trust")</f>
        <v>0</v>
      </c>
      <c r="C341">
        <v>-0.114390499476074</v>
      </c>
      <c r="D341">
        <v>-0.043638811931977</v>
      </c>
      <c r="E341">
        <v>0.051278596083878</v>
      </c>
      <c r="F341">
        <v>0.062434527550806</v>
      </c>
      <c r="G341">
        <v>-0.11537153174527</v>
      </c>
      <c r="H341">
        <v>-0.128983000482657</v>
      </c>
      <c r="I341">
        <v>0.09093647139814501</v>
      </c>
    </row>
    <row r="342" spans="1:9">
      <c r="A342" s="1" t="s">
        <v>354</v>
      </c>
      <c r="B342">
        <f>HYPERLINK("https://www.suredividend.com/sure-analysis-UMBF/","UMB Financial Corp.")</f>
        <v>0</v>
      </c>
      <c r="C342">
        <v>-0.025340061430451</v>
      </c>
      <c r="D342">
        <v>0.047847166449077</v>
      </c>
      <c r="E342">
        <v>0.008492448508429</v>
      </c>
      <c r="F342">
        <v>0.063817049808429</v>
      </c>
      <c r="G342">
        <v>-0.101770376720637</v>
      </c>
      <c r="H342">
        <v>0.024083540320768</v>
      </c>
      <c r="I342">
        <v>0.3008937147140811</v>
      </c>
    </row>
    <row r="343" spans="1:9">
      <c r="A343" s="1" t="s">
        <v>355</v>
      </c>
      <c r="B343">
        <f>HYPERLINK("https://www.suredividend.com/sure-analysis-UNH/","Unitedhealth Group Inc")</f>
        <v>0</v>
      </c>
      <c r="C343">
        <v>0.013855345112495</v>
      </c>
      <c r="D343">
        <v>-0.107430617726051</v>
      </c>
      <c r="E343">
        <v>-0.06741282474957201</v>
      </c>
      <c r="F343">
        <v>-0.097363159681617</v>
      </c>
      <c r="G343">
        <v>-0.027998067207791</v>
      </c>
      <c r="H343">
        <v>0.472405322516331</v>
      </c>
      <c r="I343">
        <v>1.286479831094042</v>
      </c>
    </row>
    <row r="344" spans="1:9">
      <c r="A344" s="1" t="s">
        <v>356</v>
      </c>
      <c r="B344">
        <f>HYPERLINK("https://www.suredividend.com/sure-analysis-UNM/","Unum Group")</f>
        <v>0</v>
      </c>
      <c r="C344">
        <v>0.092900120336943</v>
      </c>
      <c r="D344">
        <v>0.067747032599085</v>
      </c>
      <c r="E344">
        <v>0.225535176448997</v>
      </c>
      <c r="F344">
        <v>0.115631617997513</v>
      </c>
      <c r="G344">
        <v>0.7089674690270811</v>
      </c>
      <c r="H344">
        <v>0.7992424242424241</v>
      </c>
      <c r="I344">
        <v>0.134713847706958</v>
      </c>
    </row>
    <row r="345" spans="1:9">
      <c r="A345" s="1" t="s">
        <v>357</v>
      </c>
      <c r="B345">
        <f>HYPERLINK("https://www.suredividend.com/sure-analysis-UNP/","Union Pacific Corp.")</f>
        <v>0</v>
      </c>
      <c r="C345">
        <v>0.002293171710208</v>
      </c>
      <c r="D345">
        <v>-0.01238388340318</v>
      </c>
      <c r="E345">
        <v>-0.053001775395505</v>
      </c>
      <c r="F345">
        <v>0.017879003863233</v>
      </c>
      <c r="G345">
        <v>-0.18934375797404</v>
      </c>
      <c r="H345">
        <v>0.08763187588445401</v>
      </c>
      <c r="I345">
        <v>0.8049520656597</v>
      </c>
    </row>
    <row r="346" spans="1:9">
      <c r="A346" s="1" t="s">
        <v>358</v>
      </c>
      <c r="B346">
        <f>HYPERLINK("https://www.suredividend.com/sure-analysis-UPS/","United Parcel Service, Inc.")</f>
        <v>0</v>
      </c>
      <c r="C346">
        <v>-0.022668428895285</v>
      </c>
      <c r="D346">
        <v>-0.010954183123686</v>
      </c>
      <c r="E346">
        <v>-0.027032748564364</v>
      </c>
      <c r="F346">
        <v>0.077516419822866</v>
      </c>
      <c r="G346">
        <v>-0.078719197402075</v>
      </c>
      <c r="H346">
        <v>0.24291538897669</v>
      </c>
      <c r="I346">
        <v>1.072772534201081</v>
      </c>
    </row>
    <row r="347" spans="1:9">
      <c r="A347" s="1" t="s">
        <v>359</v>
      </c>
      <c r="B347">
        <f>HYPERLINK("https://www.suredividend.com/sure-analysis-USB/","U.S. Bancorp.")</f>
        <v>0</v>
      </c>
      <c r="C347">
        <v>-0.044421906693711</v>
      </c>
      <c r="D347">
        <v>0.04376686621793401</v>
      </c>
      <c r="E347">
        <v>0.05809054074692901</v>
      </c>
      <c r="F347">
        <v>0.08025682182985501</v>
      </c>
      <c r="G347">
        <v>-0.111847624649574</v>
      </c>
      <c r="H347">
        <v>-0.008216790209746</v>
      </c>
      <c r="I347">
        <v>0.048109354003328</v>
      </c>
    </row>
    <row r="348" spans="1:9">
      <c r="A348" s="1" t="s">
        <v>360</v>
      </c>
      <c r="B348">
        <f>HYPERLINK("https://www.suredividend.com/sure-analysis-UVV/","Universal Corp.")</f>
        <v>0</v>
      </c>
      <c r="C348">
        <v>-0.06834662799129701</v>
      </c>
      <c r="D348">
        <v>-0.091020042132521</v>
      </c>
      <c r="E348">
        <v>0.054194932725583</v>
      </c>
      <c r="F348">
        <v>-0.012186683069352</v>
      </c>
      <c r="G348">
        <v>-0.04953725281310301</v>
      </c>
      <c r="H348">
        <v>0.109824941798438</v>
      </c>
      <c r="I348">
        <v>0.367500898096036</v>
      </c>
    </row>
    <row r="349" spans="1:9">
      <c r="A349" s="1" t="s">
        <v>361</v>
      </c>
      <c r="B349">
        <f>HYPERLINK("https://www.suredividend.com/sure-analysis-V/","Visa Inc")</f>
        <v>0</v>
      </c>
      <c r="C349">
        <v>-0.025731876640597</v>
      </c>
      <c r="D349">
        <v>0.030085000310724</v>
      </c>
      <c r="E349">
        <v>0.138915991394381</v>
      </c>
      <c r="F349">
        <v>0.07916947788298101</v>
      </c>
      <c r="G349">
        <v>0.128672839724119</v>
      </c>
      <c r="H349">
        <v>0.075496210025756</v>
      </c>
      <c r="I349">
        <v>0.9195762983754331</v>
      </c>
    </row>
    <row r="350" spans="1:9">
      <c r="A350" s="1" t="s">
        <v>362</v>
      </c>
      <c r="B350">
        <f>HYPERLINK("https://www.suredividend.com/sure-analysis-VZ/","Verizon Communications Inc")</f>
        <v>0</v>
      </c>
      <c r="C350">
        <v>-0.07829438689472401</v>
      </c>
      <c r="D350">
        <v>0.01783742800516</v>
      </c>
      <c r="E350">
        <v>-0.04321057119778701</v>
      </c>
      <c r="F350">
        <v>-0.01367857161271</v>
      </c>
      <c r="G350">
        <v>-0.265109810956893</v>
      </c>
      <c r="H350">
        <v>-0.226803602860786</v>
      </c>
      <c r="I350">
        <v>0.010463820324426</v>
      </c>
    </row>
    <row r="351" spans="1:9">
      <c r="A351" s="1" t="s">
        <v>363</v>
      </c>
      <c r="B351">
        <f>HYPERLINK("https://www.suredividend.com/sure-analysis-WABC/","Westamerica Bancorporation")</f>
        <v>0</v>
      </c>
      <c r="C351">
        <v>-0.020527340293753</v>
      </c>
      <c r="D351">
        <v>-0.09599001750855801</v>
      </c>
      <c r="E351">
        <v>0.012036561306377</v>
      </c>
      <c r="F351">
        <v>-0.05493338432879701</v>
      </c>
      <c r="G351">
        <v>-0.051311452650414</v>
      </c>
      <c r="H351">
        <v>-0.049357822746024</v>
      </c>
      <c r="I351">
        <v>0.09490350606499401</v>
      </c>
    </row>
    <row r="352" spans="1:9">
      <c r="A352" s="1" t="s">
        <v>364</v>
      </c>
      <c r="B352">
        <f>HYPERLINK("https://www.suredividend.com/sure-analysis-WAFD/","Washington Federal Inc.")</f>
        <v>0</v>
      </c>
      <c r="C352">
        <v>-0.046572643138644</v>
      </c>
      <c r="D352">
        <v>-0.006437248364731</v>
      </c>
      <c r="E352">
        <v>0.107962859927122</v>
      </c>
      <c r="F352">
        <v>0.03413392409547</v>
      </c>
      <c r="G352">
        <v>0.01878166133864</v>
      </c>
      <c r="H352">
        <v>0.175952538623811</v>
      </c>
      <c r="I352">
        <v>0.134941029188904</v>
      </c>
    </row>
    <row r="353" spans="1:9">
      <c r="A353" s="1" t="s">
        <v>365</v>
      </c>
      <c r="B353">
        <f>HYPERLINK("https://www.suredividend.com/sure-analysis-WASH/","Washington Trust Bancorp, Inc.")</f>
        <v>0</v>
      </c>
      <c r="C353">
        <v>-0.051930458342741</v>
      </c>
      <c r="D353">
        <v>-0.144630565554217</v>
      </c>
      <c r="E353">
        <v>-0.148681662899023</v>
      </c>
      <c r="F353">
        <v>-0.110004239084357</v>
      </c>
      <c r="G353">
        <v>-0.177110381656949</v>
      </c>
      <c r="H353">
        <v>-0.08388186243173801</v>
      </c>
      <c r="I353">
        <v>-0.03015324918294</v>
      </c>
    </row>
    <row r="354" spans="1:9">
      <c r="A354" s="1" t="s">
        <v>366</v>
      </c>
      <c r="B354">
        <f>HYPERLINK("https://www.suredividend.com/sure-analysis-WBA/","Walgreens Boots Alliance Inc")</f>
        <v>0</v>
      </c>
      <c r="C354">
        <v>-0.014085276569705</v>
      </c>
      <c r="D354">
        <v>-0.118427287960877</v>
      </c>
      <c r="E354">
        <v>0.048993733359686</v>
      </c>
      <c r="F354">
        <v>-0.021208505098719</v>
      </c>
      <c r="G354">
        <v>-0.206265422731291</v>
      </c>
      <c r="H354">
        <v>-0.160404792369431</v>
      </c>
      <c r="I354">
        <v>-0.388354845707467</v>
      </c>
    </row>
    <row r="355" spans="1:9">
      <c r="A355" s="1" t="s">
        <v>367</v>
      </c>
      <c r="B355">
        <f>HYPERLINK("https://www.suredividend.com/sure-analysis-WDFC/","WD-40 Co.")</f>
        <v>0</v>
      </c>
      <c r="C355">
        <v>-0.04689738785407201</v>
      </c>
      <c r="D355">
        <v>0.004574750351993001</v>
      </c>
      <c r="E355">
        <v>-0.04780204412869</v>
      </c>
      <c r="F355">
        <v>0.07810612379239</v>
      </c>
      <c r="G355">
        <v>-0.150440547785324</v>
      </c>
      <c r="H355">
        <v>-0.428560100311739</v>
      </c>
      <c r="I355">
        <v>0.4624803395964751</v>
      </c>
    </row>
    <row r="356" spans="1:9">
      <c r="A356" s="1" t="s">
        <v>368</v>
      </c>
      <c r="B356">
        <f>HYPERLINK("https://www.suredividend.com/sure-analysis-WEC/","WEC Energy Group Inc")</f>
        <v>0</v>
      </c>
      <c r="C356">
        <v>-0.03435743110405901</v>
      </c>
      <c r="D356">
        <v>-0.059488728876813</v>
      </c>
      <c r="E356">
        <v>-0.108939350388042</v>
      </c>
      <c r="F356">
        <v>-0.03641696396593001</v>
      </c>
      <c r="G356">
        <v>-0.016032984147137</v>
      </c>
      <c r="H356">
        <v>0.165549990242633</v>
      </c>
      <c r="I356">
        <v>0.761630319154166</v>
      </c>
    </row>
    <row r="357" spans="1:9">
      <c r="A357" s="1" t="s">
        <v>369</v>
      </c>
      <c r="B357">
        <f>HYPERLINK("https://www.suredividend.com/sure-analysis-WHR/","Whirlpool Corp.")</f>
        <v>0</v>
      </c>
      <c r="C357">
        <v>-0.093108961579038</v>
      </c>
      <c r="D357">
        <v>-0.038181571131859</v>
      </c>
      <c r="E357">
        <v>-0.07471197292295301</v>
      </c>
      <c r="F357">
        <v>-0.006497082292317001</v>
      </c>
      <c r="G357">
        <v>-0.287913572396052</v>
      </c>
      <c r="H357">
        <v>-0.200967086685913</v>
      </c>
      <c r="I357">
        <v>0.039737704918032</v>
      </c>
    </row>
    <row r="358" spans="1:9">
      <c r="A358" s="1" t="s">
        <v>370</v>
      </c>
      <c r="B358">
        <f>HYPERLINK("https://www.suredividend.com/sure-analysis-WLK/","Westlake Corporation")</f>
        <v>0</v>
      </c>
      <c r="C358">
        <v>-4.013791387000001E-06</v>
      </c>
      <c r="D358">
        <v>0.150032265896839</v>
      </c>
      <c r="E358">
        <v>0.30909557122785</v>
      </c>
      <c r="F358">
        <v>0.218445804250524</v>
      </c>
      <c r="G358">
        <v>0.126167459663822</v>
      </c>
      <c r="H358">
        <v>0.496034433892019</v>
      </c>
      <c r="I358">
        <v>0.215483090373319</v>
      </c>
    </row>
    <row r="359" spans="1:9">
      <c r="A359" s="1" t="s">
        <v>371</v>
      </c>
      <c r="B359">
        <f>HYPERLINK("https://www.suredividend.com/sure-analysis-WM/","Waste Management, Inc.")</f>
        <v>0</v>
      </c>
      <c r="C359">
        <v>-0.006487488415199001</v>
      </c>
      <c r="D359">
        <v>-0.116188681467522</v>
      </c>
      <c r="E359">
        <v>-0.102228039342128</v>
      </c>
      <c r="F359">
        <v>-0.043345232024477</v>
      </c>
      <c r="G359">
        <v>-0.033765417712326</v>
      </c>
      <c r="H359">
        <v>0.341470826942397</v>
      </c>
      <c r="I359">
        <v>0.921373228798066</v>
      </c>
    </row>
    <row r="360" spans="1:9">
      <c r="A360" s="1" t="s">
        <v>372</v>
      </c>
      <c r="B360">
        <f>HYPERLINK("https://www.suredividend.com/sure-analysis-WMT/","Walmart Inc")</f>
        <v>0</v>
      </c>
      <c r="C360">
        <v>-0.015119098559406</v>
      </c>
      <c r="D360">
        <v>-0.07178384191423501</v>
      </c>
      <c r="E360">
        <v>0.016056787347628</v>
      </c>
      <c r="F360">
        <v>-0.026024402285069</v>
      </c>
      <c r="G360">
        <v>0.011033516383355</v>
      </c>
      <c r="H360">
        <v>0.114337840443927</v>
      </c>
      <c r="I360">
        <v>0.7016568050253701</v>
      </c>
    </row>
    <row r="361" spans="1:9">
      <c r="A361" s="1" t="s">
        <v>373</v>
      </c>
      <c r="B361">
        <f>HYPERLINK("https://www.suredividend.com/sure-analysis-WOR/","Worthington Industries, Inc.")</f>
        <v>0</v>
      </c>
      <c r="C361">
        <v>0.01556420233463</v>
      </c>
      <c r="D361">
        <v>0.107022808487174</v>
      </c>
      <c r="E361">
        <v>0.284232884070509</v>
      </c>
      <c r="F361">
        <v>0.260108630054314</v>
      </c>
      <c r="G361">
        <v>0.06941281314981601</v>
      </c>
      <c r="H361">
        <v>0.007814423137256001</v>
      </c>
      <c r="I361">
        <v>0.578322754908951</v>
      </c>
    </row>
    <row r="362" spans="1:9">
      <c r="A362" s="1" t="s">
        <v>374</v>
      </c>
      <c r="B362">
        <f>HYPERLINK("https://www.suredividend.com/sure-analysis-WPC/","W. P. Carey Inc")</f>
        <v>0</v>
      </c>
      <c r="C362">
        <v>-0.016710432084029</v>
      </c>
      <c r="D362">
        <v>0.019432073129834</v>
      </c>
      <c r="E362">
        <v>0.012469673841706</v>
      </c>
      <c r="F362">
        <v>0.05412667946257101</v>
      </c>
      <c r="G362">
        <v>0.07467826835647701</v>
      </c>
      <c r="H362">
        <v>0.367103228076231</v>
      </c>
      <c r="I362">
        <v>0.825818105253825</v>
      </c>
    </row>
    <row r="363" spans="1:9">
      <c r="A363" s="1" t="s">
        <v>375</v>
      </c>
      <c r="B363">
        <f>HYPERLINK("https://www.suredividend.com/sure-analysis-WRB/","W.R. Berkley Corp.")</f>
        <v>0</v>
      </c>
      <c r="C363">
        <v>-0.06600103469139</v>
      </c>
      <c r="D363">
        <v>-0.12264565372577</v>
      </c>
      <c r="E363">
        <v>-0.04423354738753101</v>
      </c>
      <c r="F363">
        <v>-0.111910899275327</v>
      </c>
      <c r="G363">
        <v>0.05917350988987301</v>
      </c>
      <c r="H363">
        <v>0.318555716251596</v>
      </c>
      <c r="I363">
        <v>1.127808334110189</v>
      </c>
    </row>
    <row r="364" spans="1:9">
      <c r="A364" s="1" t="s">
        <v>376</v>
      </c>
      <c r="B364">
        <f>HYPERLINK("https://www.suredividend.com/sure-analysis-WSBC/","Wesbanco, Inc.")</f>
        <v>0</v>
      </c>
      <c r="C364">
        <v>-0.07042619542619501</v>
      </c>
      <c r="D364">
        <v>-0.100150687653926</v>
      </c>
      <c r="E364">
        <v>0.05935277898708401</v>
      </c>
      <c r="F364">
        <v>-0.032720389399675</v>
      </c>
      <c r="G364">
        <v>0.06075073988624401</v>
      </c>
      <c r="H364">
        <v>0.140541350602475</v>
      </c>
      <c r="I364">
        <v>0.024095005783259</v>
      </c>
    </row>
    <row r="365" spans="1:9">
      <c r="A365" s="1" t="s">
        <v>377</v>
      </c>
      <c r="B365">
        <f>HYPERLINK("https://www.suredividend.com/sure-analysis-WSM/","Williams-Sonoma, Inc.")</f>
        <v>0</v>
      </c>
      <c r="C365">
        <v>-0.125133461456331</v>
      </c>
      <c r="D365">
        <v>0.06213456988345901</v>
      </c>
      <c r="E365">
        <v>-0.146164827492784</v>
      </c>
      <c r="F365">
        <v>0.076275356963346</v>
      </c>
      <c r="G365">
        <v>-0.170613075580759</v>
      </c>
      <c r="H365">
        <v>0.011469243220868</v>
      </c>
      <c r="I365">
        <v>1.632745779702731</v>
      </c>
    </row>
    <row r="366" spans="1:9">
      <c r="A366" s="1" t="s">
        <v>378</v>
      </c>
      <c r="B366">
        <f>HYPERLINK("https://www.suredividend.com/sure-analysis-WST/","West Pharmaceutical Services, Inc.")</f>
        <v>0</v>
      </c>
      <c r="C366">
        <v>0.206610964526531</v>
      </c>
      <c r="D366">
        <v>0.348463514982336</v>
      </c>
      <c r="E366">
        <v>0.131883741108493</v>
      </c>
      <c r="F366">
        <v>0.400029849388151</v>
      </c>
      <c r="G366">
        <v>-0.147350457451684</v>
      </c>
      <c r="H366">
        <v>0.284970227061099</v>
      </c>
      <c r="I366">
        <v>2.894973182578494</v>
      </c>
    </row>
    <row r="367" spans="1:9">
      <c r="A367" s="1" t="s">
        <v>379</v>
      </c>
      <c r="B367">
        <f>HYPERLINK("https://www.suredividend.com/sure-analysis-WTRG/","Essential Utilities Inc")</f>
        <v>0</v>
      </c>
      <c r="C367">
        <v>-0.09866806268344101</v>
      </c>
      <c r="D367">
        <v>-0.125156184922948</v>
      </c>
      <c r="E367">
        <v>-0.128842548814678</v>
      </c>
      <c r="F367">
        <v>-0.114342756310387</v>
      </c>
      <c r="G367">
        <v>-0.111980130000528</v>
      </c>
      <c r="H367">
        <v>0.06792685933921201</v>
      </c>
      <c r="I367">
        <v>0.347173853090386</v>
      </c>
    </row>
    <row r="368" spans="1:9">
      <c r="A368" s="1" t="s">
        <v>380</v>
      </c>
      <c r="B368">
        <f>HYPERLINK("https://www.suredividend.com/sure-analysis-XEL/","Xcel Energy, Inc.")</f>
        <v>0</v>
      </c>
      <c r="C368">
        <v>-0.050847457627118</v>
      </c>
      <c r="D368">
        <v>-0.07116947551363301</v>
      </c>
      <c r="E368">
        <v>-0.147859592666299</v>
      </c>
      <c r="F368">
        <v>-0.081443446013407</v>
      </c>
      <c r="G368">
        <v>-0.056951904547131</v>
      </c>
      <c r="H368">
        <v>0.09832573544334601</v>
      </c>
      <c r="I368">
        <v>0.7197501555519351</v>
      </c>
    </row>
    <row r="369" spans="1:9">
      <c r="A369" s="1" t="s">
        <v>381</v>
      </c>
      <c r="B369">
        <f>HYPERLINK("https://www.suredividend.com/sure-analysis-XOM/","Exxon Mobil Corp.")</f>
        <v>0</v>
      </c>
      <c r="C369">
        <v>0.015707862214515</v>
      </c>
      <c r="D369">
        <v>0.034753822883827</v>
      </c>
      <c r="E369">
        <v>0.198799181743311</v>
      </c>
      <c r="F369">
        <v>0.030626442908995</v>
      </c>
      <c r="G369">
        <v>0.390080045740423</v>
      </c>
      <c r="H369">
        <v>1.1011792009149</v>
      </c>
      <c r="I369">
        <v>0.937121260253555</v>
      </c>
    </row>
    <row r="370" spans="1:9">
      <c r="A370" s="1" t="s">
        <v>382</v>
      </c>
      <c r="B370">
        <f>HYPERLINK("https://www.suredividend.com/sure-analysis-XYL/","Xylem Inc")</f>
        <v>0</v>
      </c>
      <c r="C370">
        <v>-0.012636579572446</v>
      </c>
      <c r="D370">
        <v>-0.084647229807099</v>
      </c>
      <c r="E370">
        <v>0.142391040277199</v>
      </c>
      <c r="F370">
        <v>-0.06014289590304701</v>
      </c>
      <c r="G370">
        <v>0.230791095951251</v>
      </c>
      <c r="H370">
        <v>0.07589668410132801</v>
      </c>
      <c r="I370">
        <v>0.4967075889642301</v>
      </c>
    </row>
    <row r="371" spans="1:9">
      <c r="A371" s="1" t="s">
        <v>383</v>
      </c>
      <c r="B371">
        <f>HYPERLINK("https://www.suredividend.com/sure-analysis-YORW/","York Water Co.")</f>
        <v>0</v>
      </c>
      <c r="C371">
        <v>-0.06039890848735401</v>
      </c>
      <c r="D371">
        <v>-0.042975723939713</v>
      </c>
      <c r="E371">
        <v>0.009056409088479002</v>
      </c>
      <c r="F371">
        <v>-0.030318730793968</v>
      </c>
      <c r="G371">
        <v>-0.052238219552443</v>
      </c>
      <c r="H371">
        <v>0.08277951646488201</v>
      </c>
      <c r="I371">
        <v>0.6809976035524721</v>
      </c>
    </row>
  </sheetData>
  <autoFilter ref="A1:I371"/>
  <conditionalFormatting sqref="A1:I1">
    <cfRule type="cellIs" dxfId="8" priority="10" operator="notEqual">
      <formula>-13.345</formula>
    </cfRule>
  </conditionalFormatting>
  <conditionalFormatting sqref="A2:A371">
    <cfRule type="cellIs" dxfId="0" priority="1" operator="notEqual">
      <formula>"None"</formula>
    </cfRule>
  </conditionalFormatting>
  <conditionalFormatting sqref="B2:B371">
    <cfRule type="cellIs" dxfId="0" priority="2" operator="notEqual">
      <formula>"None"</formula>
    </cfRule>
  </conditionalFormatting>
  <conditionalFormatting sqref="C2:C371">
    <cfRule type="cellIs" dxfId="3" priority="3" operator="notEqual">
      <formula>"None"</formula>
    </cfRule>
  </conditionalFormatting>
  <conditionalFormatting sqref="D2:D371">
    <cfRule type="cellIs" dxfId="3" priority="4" operator="notEqual">
      <formula>"None"</formula>
    </cfRule>
  </conditionalFormatting>
  <conditionalFormatting sqref="E2:E371">
    <cfRule type="cellIs" dxfId="3" priority="5" operator="notEqual">
      <formula>"None"</formula>
    </cfRule>
  </conditionalFormatting>
  <conditionalFormatting sqref="F2:F371">
    <cfRule type="cellIs" dxfId="3" priority="6" operator="notEqual">
      <formula>"None"</formula>
    </cfRule>
  </conditionalFormatting>
  <conditionalFormatting sqref="G2:G371">
    <cfRule type="cellIs" dxfId="3" priority="7" operator="notEqual">
      <formula>"None"</formula>
    </cfRule>
  </conditionalFormatting>
  <conditionalFormatting sqref="H2:H371">
    <cfRule type="cellIs" dxfId="3" priority="8" operator="notEqual">
      <formula>"None"</formula>
    </cfRule>
  </conditionalFormatting>
  <conditionalFormatting sqref="I2:I371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403</v>
      </c>
      <c r="B1" s="1"/>
    </row>
    <row r="2" spans="1:2">
      <c r="A2" s="1" t="s">
        <v>404</v>
      </c>
    </row>
    <row r="3" spans="1:2">
      <c r="A3" s="1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2023-03-12T12:57:26Z</dcterms:created>
  <dcterms:modified xsi:type="dcterms:W3CDTF">2023-03-12T12:57:26Z</dcterms:modified>
</cp:coreProperties>
</file>